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omments1.xml" ContentType="application/vnd.openxmlformats-officedocument.spreadsheetml.comments+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7.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trlProps/ctrlProp78.xml" ContentType="application/vnd.ms-excel.controlproperties+xml"/>
  <Override PartName="/xl/drawings/drawing15.xml" ContentType="application/vnd.openxmlformats-officedocument.drawing+xml"/>
  <Override PartName="/xl/ctrlProps/ctrlProp79.xml" ContentType="application/vnd.ms-excel.controlproperties+xml"/>
  <Override PartName="/xl/ctrlProps/ctrlProp80.xml" ContentType="application/vnd.ms-excel.controlpropertie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trlProps/ctrlProp81.xml" ContentType="application/vnd.ms-excel.controlproperties+xml"/>
  <Override PartName="/xl/drawings/drawing32.xml" ContentType="application/vnd.openxmlformats-officedocument.drawing+xml"/>
  <Override PartName="/xl/ctrlProps/ctrlProp82.xml" ContentType="application/vnd.ms-excel.controlpropertie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drawings/drawing44.xml" ContentType="application/vnd.openxmlformats-officedocument.drawing+xml"/>
  <Override PartName="/xl/ctrlProps/ctrlProp87.xml" ContentType="application/vnd.ms-excel.controlproperties+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trlProps/ctrlProp88.xml" ContentType="application/vnd.ms-excel.controlproperties+xml"/>
  <Override PartName="/xl/ctrlProps/ctrlProp89.xml" ContentType="application/vnd.ms-excel.controlproperties+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ctrlProps/ctrlProp90.xml" ContentType="application/vnd.ms-excel.controlproperties+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ctrlProps/ctrlProp91.xml" ContentType="application/vnd.ms-excel.controlproperties+xml"/>
  <Override PartName="/xl/ctrlProps/ctrlProp92.xml" ContentType="application/vnd.ms-excel.controlproperties+xml"/>
  <Override PartName="/xl/drawings/drawing67.xml" ContentType="application/vnd.openxmlformats-officedocument.drawing+xml"/>
  <Override PartName="/xl/drawings/drawing68.xml" ContentType="application/vnd.openxmlformats-officedocument.drawing+xml"/>
  <Override PartName="/xl/ctrlProps/ctrlProp93.xml" ContentType="application/vnd.ms-excel.controlproperties+xml"/>
  <Override PartName="/xl/drawings/drawing69.xml" ContentType="application/vnd.openxmlformats-officedocument.drawing+xml"/>
  <Override PartName="/xl/ctrlProps/ctrlProp94.xml" ContentType="application/vnd.ms-excel.controlproperties+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ctrlProps/ctrlProp95.xml" ContentType="application/vnd.ms-excel.controlproperties+xml"/>
  <Override PartName="/xl/drawings/drawing81.xml" ContentType="application/vnd.openxmlformats-officedocument.drawing+xml"/>
  <Override PartName="/xl/drawings/drawing82.xml" ContentType="application/vnd.openxmlformats-officedocument.drawing+xml"/>
  <Override PartName="/xl/ctrlProps/ctrlProp96.xml" ContentType="application/vnd.ms-excel.controlproperties+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ctrlProps/ctrlProp97.xml" ContentType="application/vnd.ms-excel.controlproperties+xml"/>
  <Override PartName="/xl/ctrlProps/ctrlProp98.xml" ContentType="application/vnd.ms-excel.controlproperties+xml"/>
  <Override PartName="/xl/drawings/drawing8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BARNARD N'DIA\OneDrive - Befils\Bureau\"/>
    </mc:Choice>
  </mc:AlternateContent>
  <xr:revisionPtr revIDLastSave="0" documentId="13_ncr:1_{DED4A7B3-ED58-44C6-AC46-3195947FC16C}" xr6:coauthVersionLast="47" xr6:coauthVersionMax="47" xr10:uidLastSave="{00000000-0000-0000-0000-000000000000}"/>
  <bookViews>
    <workbookView xWindow="-96" yWindow="-96" windowWidth="23232" windowHeight="12432" tabRatio="893" firstSheet="77" activeTab="82" xr2:uid="{00000000-000D-0000-FFFF-FFFF00000000}"/>
  </bookViews>
  <sheets>
    <sheet name="Referentiels" sheetId="99" state="veryHidden" r:id="rId1"/>
    <sheet name="Export XML" sheetId="98" state="veryHidden" r:id="rId2"/>
    <sheet name="tableaux" sheetId="86" state="veryHidden" r:id="rId3"/>
    <sheet name="champs fixes" sheetId="88" state="veryHidden" r:id="rId4"/>
    <sheet name="champs variables" sheetId="89" state="veryHidden" r:id="rId5"/>
    <sheet name="export" sheetId="91" state="veryHidden" r:id="rId6"/>
    <sheet name="Sommaire" sheetId="117" state="veryHidden" r:id="rId7"/>
    <sheet name="TABLE DE CONVERSION" sheetId="118" state="veryHidden" r:id="rId8"/>
    <sheet name="Table TFT" sheetId="120" state="hidden" r:id="rId9"/>
    <sheet name="COUVERTURE" sheetId="2" r:id="rId10"/>
    <sheet name="GARDE" sheetId="3" r:id="rId11"/>
    <sheet name="RECEVABILITE" sheetId="4" r:id="rId12"/>
    <sheet name="NOTE36 (TABLE DES CODES)" sheetId="5" r:id="rId13"/>
    <sheet name="NOTE36 Suite (Nomenclature)" sheetId="6" r:id="rId14"/>
    <sheet name="FICHE R1" sheetId="7" r:id="rId15"/>
    <sheet name="FICHE R2" sheetId="8" r:id="rId16"/>
    <sheet name="FICHE R3" sheetId="9" r:id="rId17"/>
    <sheet name="BILAN" sheetId="10" r:id="rId18"/>
    <sheet name="RESULTAT" sheetId="13" r:id="rId19"/>
    <sheet name="ACTIF" sheetId="11" r:id="rId20"/>
    <sheet name="PASSIF" sheetId="12" r:id="rId21"/>
    <sheet name="TFT" sheetId="14" r:id="rId22"/>
    <sheet name="TBFT" sheetId="121" state="veryHidden" r:id="rId23"/>
    <sheet name="Contrôle Mouvement" sheetId="122" state="veryHidden" r:id="rId24"/>
    <sheet name="FICHE R4" sheetId="15" r:id="rId25"/>
    <sheet name="NOTE 1" sheetId="16" r:id="rId26"/>
    <sheet name="NOTE 2" sheetId="17" r:id="rId27"/>
    <sheet name="NOTE 3A" sheetId="18" r:id="rId28"/>
    <sheet name="NOTE 3B" sheetId="19" r:id="rId29"/>
    <sheet name="NOTE 3C" sheetId="20" r:id="rId30"/>
    <sheet name="NOTE 3C BIS" sheetId="21" r:id="rId31"/>
    <sheet name="NOTE 3D" sheetId="22" r:id="rId32"/>
    <sheet name="NOTE 3E" sheetId="23" r:id="rId33"/>
    <sheet name="NOTE 4" sheetId="24" r:id="rId34"/>
    <sheet name="NOTE 5" sheetId="25" r:id="rId35"/>
    <sheet name="NOTE 6" sheetId="26" r:id="rId36"/>
    <sheet name="NOTE 7" sheetId="27" r:id="rId37"/>
    <sheet name="NOTE 8" sheetId="28" r:id="rId38"/>
    <sheet name="NOTE 8A" sheetId="29" r:id="rId39"/>
    <sheet name="NOTE 8B" sheetId="30" r:id="rId40"/>
    <sheet name="NOTE 8C" sheetId="31" r:id="rId41"/>
    <sheet name="NOTE 9" sheetId="32" r:id="rId42"/>
    <sheet name="NOTE 10" sheetId="33" r:id="rId43"/>
    <sheet name="NOTE 11" sheetId="34" r:id="rId44"/>
    <sheet name="NOTE 12" sheetId="35" r:id="rId45"/>
    <sheet name="NOTE 13" sheetId="36" r:id="rId46"/>
    <sheet name="NOTE 14" sheetId="37" r:id="rId47"/>
    <sheet name="NOTE 15A" sheetId="38" r:id="rId48"/>
    <sheet name="NOTE 15B" sheetId="39" r:id="rId49"/>
    <sheet name="NOTE 16A" sheetId="40" r:id="rId50"/>
    <sheet name="NOTE 16B" sheetId="41" r:id="rId51"/>
    <sheet name="NOTE 16B BIS" sheetId="42" r:id="rId52"/>
    <sheet name="NOTE 16C" sheetId="43" r:id="rId53"/>
    <sheet name="NOTE 17" sheetId="44" r:id="rId54"/>
    <sheet name="NOTE 18" sheetId="45" r:id="rId55"/>
    <sheet name="NOTE 19" sheetId="46" r:id="rId56"/>
    <sheet name="NOTE 20" sheetId="47" r:id="rId57"/>
    <sheet name="NOTE 21" sheetId="48" r:id="rId58"/>
    <sheet name="NOTE 22" sheetId="49" r:id="rId59"/>
    <sheet name="NOTE 23" sheetId="50" r:id="rId60"/>
    <sheet name="NOTE 24" sheetId="51" r:id="rId61"/>
    <sheet name="NOTE 25" sheetId="52" r:id="rId62"/>
    <sheet name="NOTE 26" sheetId="53" r:id="rId63"/>
    <sheet name="NOTE 27A" sheetId="54" r:id="rId64"/>
    <sheet name="NOTE 27B" sheetId="55" r:id="rId65"/>
    <sheet name="NOTE 28" sheetId="56" r:id="rId66"/>
    <sheet name="NOTE 29" sheetId="57" r:id="rId67"/>
    <sheet name="NOTE 30" sheetId="58" r:id="rId68"/>
    <sheet name="NOTE 31" sheetId="59" r:id="rId69"/>
    <sheet name="NOTE 32" sheetId="60" r:id="rId70"/>
    <sheet name="NOTE 33" sheetId="61" r:id="rId71"/>
    <sheet name="NOTE 34" sheetId="62" r:id="rId72"/>
    <sheet name="NOTE 35" sheetId="63" r:id="rId73"/>
    <sheet name="NOTE 37" sheetId="64" r:id="rId74"/>
    <sheet name="NOTE 38" sheetId="65" r:id="rId75"/>
    <sheet name="NOTE 39" sheetId="66" r:id="rId76"/>
    <sheet name="GARDE (DGI-INS)" sheetId="67" r:id="rId77"/>
    <sheet name="NOTES DGI - INS" sheetId="68" r:id="rId78"/>
    <sheet name="COMP-CHARGES" sheetId="69" r:id="rId79"/>
    <sheet name="COMP-TVA" sheetId="70" r:id="rId80"/>
    <sheet name="COMP-TVA (2)" sheetId="71" r:id="rId81"/>
    <sheet name="SUPPL1" sheetId="72" r:id="rId82"/>
    <sheet name="SUPPL2" sheetId="73" r:id="rId83"/>
    <sheet name="SUPPL3" sheetId="74" r:id="rId84"/>
    <sheet name="SUPPL4" sheetId="75" r:id="rId85"/>
    <sheet name="SUPPL5" sheetId="76" r:id="rId86"/>
    <sheet name="SUPPL6" sheetId="77" r:id="rId87"/>
    <sheet name="SUPPL7" sheetId="78" r:id="rId88"/>
    <sheet name="COMMENTAIRE" sheetId="85" r:id="rId89"/>
    <sheet name="Code" sheetId="112" state="veryHidden" r:id="rId90"/>
    <sheet name="parametrage" sheetId="113" state="veryHidden" r:id="rId91"/>
    <sheet name="CODE ACTIVITE" sheetId="114" state="veryHidden" r:id="rId92"/>
    <sheet name="Plan comptable" sheetId="115" state="veryHidden" r:id="rId93"/>
  </sheets>
  <definedNames>
    <definedName name="_xlnm._FilterDatabase" localSheetId="3" hidden="1">'champs fixes'!$A$28:$D$4317</definedName>
    <definedName name="_xlnm._FilterDatabase" localSheetId="91" hidden="1">'CODE ACTIVITE'!#REF!</definedName>
    <definedName name="_xlnm._FilterDatabase" localSheetId="90" hidden="1">parametrage!$A$1:$F$9</definedName>
    <definedName name="_xlnm._FilterDatabase" localSheetId="92" hidden="1">'Plan comptable'!$E$1:$H$1443</definedName>
    <definedName name="_xlnm._FilterDatabase" localSheetId="7" hidden="1">'TABLE DE CONVERSION'!#REF!</definedName>
    <definedName name="_xlnm._FilterDatabase" localSheetId="8" hidden="1">'Table TFT'!#REF!</definedName>
    <definedName name="_xlnm._FilterDatabase" localSheetId="2" hidden="1">tableaux!$A$27:$F$36</definedName>
    <definedName name="AAD">BILAN!$I$11</definedName>
    <definedName name="AAI">BILAN!$I$16</definedName>
    <definedName name="AAP">BILAN!$I$22</definedName>
    <definedName name="AAQ">BILAN!$I$23</definedName>
    <definedName name="ABK">BILAN!$I$33</definedName>
    <definedName name="ABT">BILAN!$I$37</definedName>
    <definedName name="ABU">BILAN!$I$38</definedName>
    <definedName name="ad">BILAN!$H$11</definedName>
    <definedName name="AI">BILAN!$H$16</definedName>
    <definedName name="AP">BILAN!$H$22</definedName>
    <definedName name="AQ">BILAN!$H$23</definedName>
    <definedName name="BK">BILAN!$H$33</definedName>
    <definedName name="BT">BILAN!$H$37</definedName>
    <definedName name="BU">BILAN!$H$38</definedName>
    <definedName name="ECEN">'Table TFT'!$G$25</definedName>
    <definedName name="ECH">'Table TFT'!$P$26</definedName>
    <definedName name="ECHN">'Table TFT'!$G$26</definedName>
    <definedName name="ECN">'Table TFT'!$P$25</definedName>
    <definedName name="EPA">'Table TFT'!$Q$27</definedName>
    <definedName name="EPB">'Table TFT'!$Q$28</definedName>
    <definedName name="EPH">'Table TFT'!$H$28</definedName>
    <definedName name="EPN">'Table TFT'!$H$27</definedName>
    <definedName name="Forme">FormeJuridique[Forme]</definedName>
    <definedName name="_xlnm.Print_Titles" localSheetId="13">'NOTE36 Suite (Nomenclature)'!$11:$11</definedName>
    <definedName name="_xlnm.Print_Titles" localSheetId="22">TBFT!$3:$4</definedName>
    <definedName name="_xlnm.Print_Area" localSheetId="19">ACTIF!$A$1:$I$39</definedName>
    <definedName name="_xlnm.Print_Area" localSheetId="17">BILAN!$A$1:$N$39</definedName>
    <definedName name="_xlnm.Print_Area" localSheetId="79">'COMP-TVA'!$A$1:$H$28</definedName>
    <definedName name="_xlnm.Print_Area" localSheetId="9">COUVERTURE!#REF!</definedName>
    <definedName name="_xlnm.Print_Area" localSheetId="14">'FICHE R1'!$A$1:$V$64</definedName>
    <definedName name="_xlnm.Print_Area" localSheetId="15">'FICHE R2'!$A$1:$AL$40</definedName>
    <definedName name="_xlnm.Print_Area" localSheetId="16">'FICHE R3'!$A$1:$J$17</definedName>
    <definedName name="_xlnm.Print_Area" localSheetId="24">'FICHE R4'!$A$1:$J$65</definedName>
    <definedName name="_xlnm.Print_Area" localSheetId="10">GARDE!$A$1:$L$48</definedName>
    <definedName name="_xlnm.Print_Area" localSheetId="25">'NOTE 1'!$A$1:$I$53</definedName>
    <definedName name="_xlnm.Print_Area" localSheetId="42">'NOTE 10'!$A$1:$I$20</definedName>
    <definedName name="_xlnm.Print_Area" localSheetId="43">'NOTE 11'!$A$1:$I$31</definedName>
    <definedName name="_xlnm.Print_Area" localSheetId="44">'NOTE 12'!$A$1:$I$22</definedName>
    <definedName name="_xlnm.Print_Area" localSheetId="45">'NOTE 13'!$A$1:$M$20</definedName>
    <definedName name="_xlnm.Print_Area" localSheetId="46">'NOTE 14'!$A$1:$H$27</definedName>
    <definedName name="_xlnm.Print_Area" localSheetId="47">'NOTE 15A'!$A$1:$J$30</definedName>
    <definedName name="_xlnm.Print_Area" localSheetId="48">'NOTE 15B'!$A$1:$K$20</definedName>
    <definedName name="_xlnm.Print_Area" localSheetId="49">'NOTE 16A'!$A$1:$K$46</definedName>
    <definedName name="_xlnm.Print_Area" localSheetId="50">'NOTE 16B'!$A$1:$I$38</definedName>
    <definedName name="_xlnm.Print_Area" localSheetId="51">'NOTE 16B BIS'!$A$1:$I$25</definedName>
    <definedName name="_xlnm.Print_Area" localSheetId="52">'NOTE 16C'!$A$1:$H$16</definedName>
    <definedName name="_xlnm.Print_Area" localSheetId="53">'NOTE 17'!$A$1:$K$26</definedName>
    <definedName name="_xlnm.Print_Area" localSheetId="54">'NOTE 18'!$A$1:$K$29</definedName>
    <definedName name="_xlnm.Print_Area" localSheetId="55">'NOTE 19'!$A$1:$K$34</definedName>
    <definedName name="_xlnm.Print_Area" localSheetId="26">'NOTE 2'!$A$1:$I$20</definedName>
    <definedName name="_xlnm.Print_Area" localSheetId="56">'NOTE 20'!$A$1:$H$23</definedName>
    <definedName name="_xlnm.Print_Area" localSheetId="57">'NOTE 21'!$A$1:$H$45</definedName>
    <definedName name="_xlnm.Print_Area" localSheetId="58">'NOTE 22'!$A$1:$H$37</definedName>
    <definedName name="_xlnm.Print_Area" localSheetId="59">'NOTE 23'!$A$1:$H$18</definedName>
    <definedName name="_xlnm.Print_Area" localSheetId="60">'NOTE 24'!$A$1:$H$26</definedName>
    <definedName name="_xlnm.Print_Area" localSheetId="61">'NOTE 25'!$A$1:$H$17</definedName>
    <definedName name="_xlnm.Print_Area" localSheetId="62">'NOTE 26'!$A$1:$H$23</definedName>
    <definedName name="_xlnm.Print_Area" localSheetId="63">'NOTE 27A'!$A$1:$H$20</definedName>
    <definedName name="_xlnm.Print_Area" localSheetId="64">'NOTE 27B'!$A$1:$S$31</definedName>
    <definedName name="_xlnm.Print_Area" localSheetId="65">'NOTE 28'!$A$1:$L$31</definedName>
    <definedName name="_xlnm.Print_Area" localSheetId="66">'NOTE 29'!$A$1:$H$38</definedName>
    <definedName name="_xlnm.Print_Area" localSheetId="67">'NOTE 30'!$A$1:$H$32</definedName>
    <definedName name="_xlnm.Print_Area" localSheetId="68">'NOTE 31'!$A$1:$K$37</definedName>
    <definedName name="_xlnm.Print_Area" localSheetId="69">'NOTE 32'!$A$1:$P$14</definedName>
    <definedName name="_xlnm.Print_Area" localSheetId="70">'NOTE 33'!$A$1:$L$15</definedName>
    <definedName name="_xlnm.Print_Area" localSheetId="71">'NOTE 34'!$A$1:$H$65</definedName>
    <definedName name="_xlnm.Print_Area" localSheetId="72">'NOTE 35'!$A$1:$I$65</definedName>
    <definedName name="_xlnm.Print_Area" localSheetId="73">'NOTE 37'!$A$1:$H$38</definedName>
    <definedName name="_xlnm.Print_Area" localSheetId="74">'NOTE 38'!$A$1:$I$25</definedName>
    <definedName name="_xlnm.Print_Area" localSheetId="75">'NOTE 39'!$A$1:$I$38</definedName>
    <definedName name="_xlnm.Print_Area" localSheetId="27">'NOTE 3A'!$A$1:$J$38</definedName>
    <definedName name="_xlnm.Print_Area" localSheetId="28">'NOTE 3B'!$A$1:$L$18</definedName>
    <definedName name="_xlnm.Print_Area" localSheetId="29">'NOTE 3C'!$A$1:$O$28</definedName>
    <definedName name="_xlnm.Print_Area" localSheetId="30">'NOTE 3C BIS'!$A$1:$K$26</definedName>
    <definedName name="_xlnm.Print_Area" localSheetId="31">'NOTE 3D'!$A$1:$H$26</definedName>
    <definedName name="_xlnm.Print_Area" localSheetId="32">'NOTE 3E'!$A$1:$I$17</definedName>
    <definedName name="_xlnm.Print_Area" localSheetId="33">'NOTE 4'!$A$1:$K$34</definedName>
    <definedName name="_xlnm.Print_Area" localSheetId="34">'NOTE 5'!$A$1:$I$29</definedName>
    <definedName name="_xlnm.Print_Area" localSheetId="35">'NOTE 6'!$A$1:$J$24</definedName>
    <definedName name="_xlnm.Print_Area" localSheetId="36">'NOTE 7'!$A$1:$J$28</definedName>
    <definedName name="_xlnm.Print_Area" localSheetId="37">'NOTE 8'!$A$1:$J$27</definedName>
    <definedName name="_xlnm.Print_Area" localSheetId="38">'NOTE 8A'!$A$1:$J$48</definedName>
    <definedName name="_xlnm.Print_Area" localSheetId="39">'NOTE 8B'!$A$1:$I$19</definedName>
    <definedName name="_xlnm.Print_Area" localSheetId="40">'NOTE 8C'!$A$1:$I$19</definedName>
    <definedName name="_xlnm.Print_Area" localSheetId="41">'NOTE 9'!$A$1:$I$23</definedName>
    <definedName name="_xlnm.Print_Area" localSheetId="12">'NOTE36 (TABLE DES CODES)'!$A$1:$J$46</definedName>
    <definedName name="_xlnm.Print_Area" localSheetId="13">'NOTE36 Suite (Nomenclature)'!$A$1:$J$239</definedName>
    <definedName name="_xlnm.Print_Area" localSheetId="77">'NOTES DGI - INS'!$A$1:$J$38</definedName>
    <definedName name="_xlnm.Print_Area" localSheetId="20">PASSIF!$A$1:$I$39</definedName>
    <definedName name="_xlnm.Print_Area" localSheetId="11">RECEVABILITE!$A$1:$B$48</definedName>
    <definedName name="_xlnm.Print_Area" localSheetId="18">RESULTAT!$A$1:$J$56</definedName>
    <definedName name="_xlnm.Print_Area" localSheetId="81">SUPPL1!$A$1:$N$76</definedName>
    <definedName name="_xlnm.Print_Area" localSheetId="82">SUPPL2!$A$1:$J$10</definedName>
    <definedName name="_xlnm.Print_Area" localSheetId="83">SUPPL3!$A$1:$K$12</definedName>
    <definedName name="_xlnm.Print_Area" localSheetId="84">SUPPL4!$A$1:$N$11</definedName>
    <definedName name="_xlnm.Print_Area" localSheetId="85">SUPPL5!$A$1:$Q$15</definedName>
    <definedName name="_xlnm.Print_Area" localSheetId="86">SUPPL6!$A$1:$H$28</definedName>
    <definedName name="_xlnm.Print_Area" localSheetId="22">TBFT!$A:$E</definedName>
    <definedName name="_xlnm.Print_Area" localSheetId="21">TFT!$A$1:$J$44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0" i="118" l="1"/>
  <c r="V11" i="118"/>
  <c r="V12" i="118"/>
  <c r="V13" i="118"/>
  <c r="V14" i="118"/>
  <c r="V15" i="118"/>
  <c r="V16" i="118"/>
  <c r="V17" i="118"/>
  <c r="V18" i="118"/>
  <c r="V19" i="118"/>
  <c r="V20" i="118"/>
  <c r="V21" i="118"/>
  <c r="V22" i="118"/>
  <c r="V23" i="118"/>
  <c r="V24" i="118"/>
  <c r="V25" i="118"/>
  <c r="V26" i="118"/>
  <c r="V27" i="118"/>
  <c r="V28" i="118"/>
  <c r="V29" i="118"/>
  <c r="V30" i="118"/>
  <c r="V31" i="118"/>
  <c r="V32" i="118"/>
  <c r="V33" i="118"/>
  <c r="V34" i="118"/>
  <c r="V35" i="118"/>
  <c r="V36" i="118"/>
  <c r="V37" i="118"/>
  <c r="V38" i="118"/>
  <c r="V39" i="118"/>
  <c r="V40" i="118"/>
  <c r="V41" i="118"/>
  <c r="V42" i="118"/>
  <c r="V43" i="118"/>
  <c r="V44" i="118"/>
  <c r="V45" i="118"/>
  <c r="V46" i="118"/>
  <c r="V47" i="118"/>
  <c r="V48" i="118"/>
  <c r="V49" i="118"/>
  <c r="V50" i="118"/>
  <c r="V51" i="118"/>
  <c r="V52" i="118"/>
  <c r="V53" i="118"/>
  <c r="V54" i="118"/>
  <c r="V55" i="118"/>
  <c r="V56" i="118"/>
  <c r="V57" i="118"/>
  <c r="V58" i="118"/>
  <c r="V59" i="118"/>
  <c r="V60" i="118"/>
  <c r="V61" i="118"/>
  <c r="V62" i="118"/>
  <c r="V63" i="118"/>
  <c r="V64" i="118"/>
  <c r="V65" i="118"/>
  <c r="V66" i="118"/>
  <c r="V67" i="118"/>
  <c r="V68" i="118"/>
  <c r="V69" i="118"/>
  <c r="V70" i="118"/>
  <c r="V71" i="118"/>
  <c r="V72" i="118"/>
  <c r="V73" i="118"/>
  <c r="V74" i="118"/>
  <c r="V75" i="118"/>
  <c r="V76" i="118"/>
  <c r="V77" i="118"/>
  <c r="V78" i="118"/>
  <c r="V79" i="118"/>
  <c r="V80" i="118"/>
  <c r="V81" i="118"/>
  <c r="V82" i="118"/>
  <c r="V83" i="118"/>
  <c r="V84" i="118"/>
  <c r="V85" i="118"/>
  <c r="V86" i="118"/>
  <c r="V87" i="118"/>
  <c r="V88" i="118"/>
  <c r="V89" i="118"/>
  <c r="V90" i="118"/>
  <c r="V91" i="118"/>
  <c r="V92" i="118"/>
  <c r="V93" i="118"/>
  <c r="V94" i="118"/>
  <c r="V95" i="118"/>
  <c r="V96" i="118"/>
  <c r="V97" i="118"/>
  <c r="V98" i="118"/>
  <c r="V99" i="118"/>
  <c r="V100" i="118"/>
  <c r="V101" i="118"/>
  <c r="V102" i="118"/>
  <c r="V103" i="118"/>
  <c r="V104" i="118"/>
  <c r="V105" i="118"/>
  <c r="V106" i="118"/>
  <c r="V107" i="118"/>
  <c r="V108" i="118"/>
  <c r="V109" i="118"/>
  <c r="V110" i="118"/>
  <c r="V111" i="118"/>
  <c r="V112" i="118"/>
  <c r="V113" i="118"/>
  <c r="V114" i="118"/>
  <c r="V115" i="118"/>
  <c r="V116" i="118"/>
  <c r="V117" i="118"/>
  <c r="V118" i="118"/>
  <c r="V119" i="118"/>
  <c r="V120" i="118"/>
  <c r="V121" i="118"/>
  <c r="V122" i="118"/>
  <c r="V123" i="118"/>
  <c r="V124" i="118"/>
  <c r="V125" i="118"/>
  <c r="V126" i="118"/>
  <c r="V127" i="118"/>
  <c r="V128" i="118"/>
  <c r="V129" i="118"/>
  <c r="V130" i="118"/>
  <c r="V131" i="118"/>
  <c r="V132" i="118"/>
  <c r="V133" i="118"/>
  <c r="V134" i="118"/>
  <c r="V135" i="118"/>
  <c r="V136" i="118"/>
  <c r="V137" i="118"/>
  <c r="V138" i="118"/>
  <c r="V139" i="118"/>
  <c r="V140" i="118"/>
  <c r="V141" i="118"/>
  <c r="V142" i="118"/>
  <c r="V143" i="118"/>
  <c r="V144" i="118"/>
  <c r="V145" i="118"/>
  <c r="V146" i="118"/>
  <c r="V147" i="118"/>
  <c r="V148" i="118"/>
  <c r="V149" i="118"/>
  <c r="V150" i="118"/>
  <c r="V151" i="118"/>
  <c r="V152" i="118"/>
  <c r="V153" i="118"/>
  <c r="V154" i="118"/>
  <c r="V155" i="118"/>
  <c r="I10" i="118"/>
  <c r="I11" i="118"/>
  <c r="I12" i="118"/>
  <c r="I13" i="118"/>
  <c r="I14" i="118"/>
  <c r="I15" i="118"/>
  <c r="I16" i="118"/>
  <c r="I17" i="118"/>
  <c r="I18" i="118"/>
  <c r="I19" i="118"/>
  <c r="I20" i="118"/>
  <c r="I21" i="118"/>
  <c r="I22" i="118"/>
  <c r="I23" i="118"/>
  <c r="I24" i="118"/>
  <c r="I25" i="118"/>
  <c r="I26" i="118"/>
  <c r="I27" i="118"/>
  <c r="I28" i="118"/>
  <c r="I29" i="118"/>
  <c r="I30" i="118"/>
  <c r="I31" i="118"/>
  <c r="I32" i="118"/>
  <c r="I33" i="118"/>
  <c r="I34" i="118"/>
  <c r="I35" i="118"/>
  <c r="I36" i="118"/>
  <c r="I37" i="118"/>
  <c r="I38" i="118"/>
  <c r="I39" i="118"/>
  <c r="I40" i="118"/>
  <c r="I41" i="118"/>
  <c r="I42" i="118"/>
  <c r="I43" i="118"/>
  <c r="I44" i="118"/>
  <c r="I45" i="118"/>
  <c r="I46" i="118"/>
  <c r="I47" i="118"/>
  <c r="I48" i="118"/>
  <c r="I49" i="118"/>
  <c r="I50" i="118"/>
  <c r="I51" i="118"/>
  <c r="I52" i="118"/>
  <c r="I53" i="118"/>
  <c r="I54" i="118"/>
  <c r="I55" i="118"/>
  <c r="I56" i="118"/>
  <c r="I57" i="118"/>
  <c r="I58" i="118"/>
  <c r="I59" i="118"/>
  <c r="I60" i="118"/>
  <c r="I61" i="118"/>
  <c r="I62" i="118"/>
  <c r="I63" i="118"/>
  <c r="I64" i="118"/>
  <c r="I65" i="118"/>
  <c r="I66" i="118"/>
  <c r="I67" i="118"/>
  <c r="I68" i="118"/>
  <c r="I69" i="118"/>
  <c r="I70" i="118"/>
  <c r="I71" i="118"/>
  <c r="I72" i="118"/>
  <c r="I73" i="118"/>
  <c r="I74" i="118"/>
  <c r="I75" i="118"/>
  <c r="I76" i="118"/>
  <c r="I77" i="118"/>
  <c r="I78" i="118"/>
  <c r="I79" i="118"/>
  <c r="I80" i="118"/>
  <c r="I81" i="118"/>
  <c r="I82" i="118"/>
  <c r="I83" i="118"/>
  <c r="I84" i="118"/>
  <c r="I85" i="118"/>
  <c r="I86" i="118"/>
  <c r="I87" i="118"/>
  <c r="I88" i="118"/>
  <c r="I89" i="118"/>
  <c r="I90" i="118"/>
  <c r="I91" i="118"/>
  <c r="I92" i="118"/>
  <c r="I93" i="118"/>
  <c r="I94" i="118"/>
  <c r="I95" i="118"/>
  <c r="I96" i="118"/>
  <c r="I97" i="118"/>
  <c r="I98" i="118"/>
  <c r="I99" i="118"/>
  <c r="I100" i="118"/>
  <c r="I101" i="118"/>
  <c r="I102" i="118"/>
  <c r="I103" i="118"/>
  <c r="I104" i="118"/>
  <c r="I105" i="118"/>
  <c r="I106" i="118"/>
  <c r="I107" i="118"/>
  <c r="I108" i="118"/>
  <c r="I109" i="118"/>
  <c r="I110" i="118"/>
  <c r="I111" i="118"/>
  <c r="I112" i="118"/>
  <c r="I113" i="118"/>
  <c r="I114" i="118"/>
  <c r="I115" i="118"/>
  <c r="I116" i="118"/>
  <c r="I117" i="118"/>
  <c r="I118" i="118"/>
  <c r="I119" i="118"/>
  <c r="I120" i="118"/>
  <c r="I121" i="118"/>
  <c r="I122" i="118"/>
  <c r="I123" i="118"/>
  <c r="I124" i="118"/>
  <c r="I125" i="118"/>
  <c r="I126" i="118"/>
  <c r="I127" i="118"/>
  <c r="I128" i="118"/>
  <c r="I129" i="118"/>
  <c r="I130" i="118"/>
  <c r="I131" i="118"/>
  <c r="I132" i="118"/>
  <c r="I133" i="118"/>
  <c r="I134" i="118"/>
  <c r="I135" i="118"/>
  <c r="I136" i="118"/>
  <c r="I137" i="118"/>
  <c r="I138" i="118"/>
  <c r="I139" i="118"/>
  <c r="I140" i="118"/>
  <c r="I141" i="118"/>
  <c r="I142" i="118"/>
  <c r="I143" i="118"/>
  <c r="I144" i="118"/>
  <c r="I145" i="118"/>
  <c r="I146" i="118"/>
  <c r="I147" i="118"/>
  <c r="I148" i="118"/>
  <c r="I149" i="118"/>
  <c r="I150" i="118"/>
  <c r="I151" i="118"/>
  <c r="I152" i="118"/>
  <c r="I153" i="118"/>
  <c r="I154" i="118"/>
  <c r="I155" i="118"/>
  <c r="I156" i="118"/>
  <c r="I157" i="118"/>
  <c r="I158" i="118"/>
  <c r="I159" i="118"/>
  <c r="I160" i="118"/>
  <c r="I161" i="118"/>
  <c r="I162" i="118"/>
  <c r="I163" i="118"/>
  <c r="I164" i="118"/>
  <c r="I165" i="118"/>
  <c r="I166" i="118"/>
  <c r="I167" i="118"/>
  <c r="I168" i="118"/>
  <c r="I169" i="118"/>
  <c r="I170" i="118"/>
  <c r="V9" i="118"/>
  <c r="I9" i="118"/>
  <c r="J78" i="112"/>
  <c r="J77" i="112"/>
  <c r="J2" i="120"/>
  <c r="A2" i="120"/>
  <c r="J1" i="120"/>
  <c r="A1" i="120"/>
  <c r="P14" i="120"/>
  <c r="P15" i="120"/>
  <c r="P16" i="120"/>
  <c r="P17" i="120"/>
  <c r="P18" i="120"/>
  <c r="P19" i="120"/>
  <c r="P20" i="120"/>
  <c r="P21" i="120"/>
  <c r="P22" i="120"/>
  <c r="P23" i="120"/>
  <c r="P24" i="120"/>
  <c r="P25" i="120"/>
  <c r="E25" i="121" s="1"/>
  <c r="P26" i="120"/>
  <c r="P27" i="120"/>
  <c r="P28" i="120"/>
  <c r="P29" i="120"/>
  <c r="P30" i="120"/>
  <c r="P31" i="120"/>
  <c r="P32" i="120"/>
  <c r="P33" i="120"/>
  <c r="P34" i="120"/>
  <c r="Q14" i="120"/>
  <c r="Q15" i="120"/>
  <c r="Q16" i="120"/>
  <c r="Q17" i="120"/>
  <c r="Q18" i="120"/>
  <c r="Q19" i="120"/>
  <c r="Q20" i="120"/>
  <c r="Q21" i="120"/>
  <c r="Q22" i="120"/>
  <c r="Q23" i="120"/>
  <c r="Q24" i="120"/>
  <c r="Q25" i="120"/>
  <c r="Q26" i="120"/>
  <c r="Q27" i="120"/>
  <c r="E26" i="121" s="1"/>
  <c r="Q28" i="120"/>
  <c r="Q29" i="120"/>
  <c r="Q30" i="120"/>
  <c r="Q31" i="120"/>
  <c r="Q32" i="120"/>
  <c r="Q33" i="120"/>
  <c r="Q34" i="120"/>
  <c r="G14" i="120"/>
  <c r="G15" i="120"/>
  <c r="G16" i="120"/>
  <c r="G17" i="120"/>
  <c r="G18" i="120"/>
  <c r="G19" i="120"/>
  <c r="G20" i="120"/>
  <c r="G21" i="120"/>
  <c r="G22" i="120"/>
  <c r="G23" i="120"/>
  <c r="G24" i="120"/>
  <c r="G25" i="120"/>
  <c r="D25" i="121" s="1"/>
  <c r="G26" i="120"/>
  <c r="G27" i="120"/>
  <c r="G28" i="120"/>
  <c r="G29" i="120"/>
  <c r="G30" i="120"/>
  <c r="G31" i="120"/>
  <c r="G32" i="120"/>
  <c r="G33" i="120"/>
  <c r="G34" i="120"/>
  <c r="H14" i="120"/>
  <c r="H15" i="120"/>
  <c r="H16" i="120"/>
  <c r="H17" i="120"/>
  <c r="H18" i="120"/>
  <c r="H19" i="120"/>
  <c r="H20" i="120"/>
  <c r="H21" i="120"/>
  <c r="H22" i="120"/>
  <c r="H23" i="120"/>
  <c r="H24" i="120"/>
  <c r="H25" i="120"/>
  <c r="H26" i="120"/>
  <c r="H27" i="120"/>
  <c r="D26" i="121" s="1"/>
  <c r="H28" i="120"/>
  <c r="H29" i="120"/>
  <c r="H30" i="120"/>
  <c r="H31" i="120"/>
  <c r="H32" i="120"/>
  <c r="H33" i="120"/>
  <c r="H34" i="120"/>
  <c r="N2" i="118"/>
  <c r="A2" i="118"/>
  <c r="N1" i="118"/>
  <c r="A1" i="118"/>
  <c r="I2" i="115"/>
  <c r="I3" i="115"/>
  <c r="I4" i="115"/>
  <c r="I5" i="115"/>
  <c r="I6" i="115"/>
  <c r="I7" i="115"/>
  <c r="I8" i="115"/>
  <c r="I9" i="115"/>
  <c r="I10" i="115"/>
  <c r="I11" i="115"/>
  <c r="I12" i="115"/>
  <c r="I13" i="115"/>
  <c r="I14" i="115"/>
  <c r="I15" i="115"/>
  <c r="I16" i="115"/>
  <c r="I17" i="115"/>
  <c r="I18" i="115"/>
  <c r="I19" i="115"/>
  <c r="I20" i="115"/>
  <c r="I21" i="115"/>
  <c r="I22" i="115"/>
  <c r="I23" i="115"/>
  <c r="I24" i="115"/>
  <c r="I25" i="115"/>
  <c r="I26" i="115"/>
  <c r="I27" i="115"/>
  <c r="I28" i="115"/>
  <c r="I29" i="115"/>
  <c r="I30" i="115"/>
  <c r="I31" i="115"/>
  <c r="I32" i="115"/>
  <c r="I33" i="115"/>
  <c r="I34" i="115"/>
  <c r="I35" i="115"/>
  <c r="I36" i="115"/>
  <c r="I37" i="115"/>
  <c r="I38" i="115"/>
  <c r="I39" i="115"/>
  <c r="I40" i="115"/>
  <c r="I41" i="115"/>
  <c r="I42" i="115"/>
  <c r="I43" i="115"/>
  <c r="I44" i="115"/>
  <c r="I45" i="115"/>
  <c r="I46" i="115"/>
  <c r="I47" i="115"/>
  <c r="I48" i="115"/>
  <c r="I49" i="115"/>
  <c r="I50" i="115"/>
  <c r="I51" i="115"/>
  <c r="I52" i="115"/>
  <c r="I53" i="115"/>
  <c r="I54" i="115"/>
  <c r="I55" i="115"/>
  <c r="I56" i="115"/>
  <c r="I57" i="115"/>
  <c r="I58" i="115"/>
  <c r="I59" i="115"/>
  <c r="I60" i="115"/>
  <c r="I61" i="115"/>
  <c r="I62" i="115"/>
  <c r="I63" i="115"/>
  <c r="I64" i="115"/>
  <c r="I65" i="115"/>
  <c r="I66" i="115"/>
  <c r="I67" i="115"/>
  <c r="I68" i="115"/>
  <c r="I69" i="115"/>
  <c r="I70" i="115"/>
  <c r="I71" i="115"/>
  <c r="I72" i="115"/>
  <c r="I73" i="115"/>
  <c r="I74" i="115"/>
  <c r="I75" i="115"/>
  <c r="I76" i="115"/>
  <c r="I77" i="115"/>
  <c r="I78" i="115"/>
  <c r="I79" i="115"/>
  <c r="I80" i="115"/>
  <c r="I81" i="115"/>
  <c r="I82" i="115"/>
  <c r="I83" i="115"/>
  <c r="I84" i="115"/>
  <c r="I85" i="115"/>
  <c r="I86" i="115"/>
  <c r="I87" i="115"/>
  <c r="I88" i="115"/>
  <c r="I89" i="115"/>
  <c r="I90" i="115"/>
  <c r="I91" i="115"/>
  <c r="I92" i="115"/>
  <c r="I93" i="115"/>
  <c r="I94" i="115"/>
  <c r="I95" i="115"/>
  <c r="I96" i="115"/>
  <c r="I97" i="115"/>
  <c r="I98" i="115"/>
  <c r="I99" i="115"/>
  <c r="I100" i="115"/>
  <c r="I101" i="115"/>
  <c r="I102" i="115"/>
  <c r="I103" i="115"/>
  <c r="I104" i="115"/>
  <c r="I105" i="115"/>
  <c r="I106" i="115"/>
  <c r="I107" i="115"/>
  <c r="I108" i="115"/>
  <c r="I109" i="115"/>
  <c r="I110" i="115"/>
  <c r="I111" i="115"/>
  <c r="I112" i="115"/>
  <c r="I113" i="115"/>
  <c r="I114" i="115"/>
  <c r="I115" i="115"/>
  <c r="I116" i="115"/>
  <c r="I117" i="115"/>
  <c r="I118" i="115"/>
  <c r="I119" i="115"/>
  <c r="I120" i="115"/>
  <c r="I121" i="115"/>
  <c r="I122" i="115"/>
  <c r="I123" i="115"/>
  <c r="I124" i="115"/>
  <c r="I125" i="115"/>
  <c r="I126" i="115"/>
  <c r="I127" i="115"/>
  <c r="I128" i="115"/>
  <c r="I129" i="115"/>
  <c r="I130" i="115"/>
  <c r="I131" i="115"/>
  <c r="I132" i="115"/>
  <c r="I133" i="115"/>
  <c r="I134" i="115"/>
  <c r="I135" i="115"/>
  <c r="I136" i="115"/>
  <c r="I137" i="115"/>
  <c r="I138" i="115"/>
  <c r="I139" i="115"/>
  <c r="I140" i="115"/>
  <c r="I141" i="115"/>
  <c r="I142" i="115"/>
  <c r="I143" i="115"/>
  <c r="I144" i="115"/>
  <c r="I145" i="115"/>
  <c r="I146" i="115"/>
  <c r="I147" i="115"/>
  <c r="I148" i="115"/>
  <c r="I149" i="115"/>
  <c r="I150" i="115"/>
  <c r="I151" i="115"/>
  <c r="I152" i="115"/>
  <c r="I153" i="115"/>
  <c r="I154" i="115"/>
  <c r="I155" i="115"/>
  <c r="I156" i="115"/>
  <c r="I157" i="115"/>
  <c r="I158" i="115"/>
  <c r="I159" i="115"/>
  <c r="I160" i="115"/>
  <c r="I161" i="115"/>
  <c r="I162" i="115"/>
  <c r="I163" i="115"/>
  <c r="I164" i="115"/>
  <c r="I165" i="115"/>
  <c r="I166" i="115"/>
  <c r="I167" i="115"/>
  <c r="I168" i="115"/>
  <c r="I169" i="115"/>
  <c r="I170" i="115"/>
  <c r="I171" i="115"/>
  <c r="I172" i="115"/>
  <c r="I173" i="115"/>
  <c r="I174" i="115"/>
  <c r="I175" i="115"/>
  <c r="I176" i="115"/>
  <c r="I177" i="115"/>
  <c r="I178" i="115"/>
  <c r="I179" i="115"/>
  <c r="I180" i="115"/>
  <c r="I181" i="115"/>
  <c r="I182" i="115"/>
  <c r="I183" i="115"/>
  <c r="I184" i="115"/>
  <c r="I185" i="115"/>
  <c r="I186" i="115"/>
  <c r="I187" i="115"/>
  <c r="I188" i="115"/>
  <c r="I189" i="115"/>
  <c r="I190" i="115"/>
  <c r="I191" i="115"/>
  <c r="I192" i="115"/>
  <c r="I193" i="115"/>
  <c r="I194" i="115"/>
  <c r="I195" i="115"/>
  <c r="I196" i="115"/>
  <c r="I197" i="115"/>
  <c r="I198" i="115"/>
  <c r="I199" i="115"/>
  <c r="I200" i="115"/>
  <c r="I201" i="115"/>
  <c r="I202" i="115"/>
  <c r="I203" i="115"/>
  <c r="I204" i="115"/>
  <c r="I205" i="115"/>
  <c r="I206" i="115"/>
  <c r="I207" i="115"/>
  <c r="I208" i="115"/>
  <c r="I209" i="115"/>
  <c r="I210" i="115"/>
  <c r="I211" i="115"/>
  <c r="I212" i="115"/>
  <c r="I213" i="115"/>
  <c r="I214" i="115"/>
  <c r="I215" i="115"/>
  <c r="I216" i="115"/>
  <c r="I217" i="115"/>
  <c r="I218" i="115"/>
  <c r="I219" i="115"/>
  <c r="I220" i="115"/>
  <c r="I221" i="115"/>
  <c r="I222" i="115"/>
  <c r="I223" i="115"/>
  <c r="I224" i="115"/>
  <c r="I225" i="115"/>
  <c r="I226" i="115"/>
  <c r="I227" i="115"/>
  <c r="I228" i="115"/>
  <c r="I229" i="115"/>
  <c r="I230" i="115"/>
  <c r="I231" i="115"/>
  <c r="I232" i="115"/>
  <c r="I233" i="115"/>
  <c r="I234" i="115"/>
  <c r="I235" i="115"/>
  <c r="I236" i="115"/>
  <c r="I237" i="115"/>
  <c r="I238" i="115"/>
  <c r="I239" i="115"/>
  <c r="I240" i="115"/>
  <c r="I241" i="115"/>
  <c r="I242" i="115"/>
  <c r="I243" i="115"/>
  <c r="I244" i="115"/>
  <c r="I245" i="115"/>
  <c r="I246" i="115"/>
  <c r="I247" i="115"/>
  <c r="I248" i="115"/>
  <c r="I249" i="115"/>
  <c r="I250" i="115"/>
  <c r="I251" i="115"/>
  <c r="I252" i="115"/>
  <c r="I253" i="115"/>
  <c r="I254" i="115"/>
  <c r="I255" i="115"/>
  <c r="I256" i="115"/>
  <c r="I257" i="115"/>
  <c r="I258" i="115"/>
  <c r="I259" i="115"/>
  <c r="I260" i="115"/>
  <c r="I261" i="115"/>
  <c r="I262" i="115"/>
  <c r="I263" i="115"/>
  <c r="I264" i="115"/>
  <c r="I265" i="115"/>
  <c r="I266" i="115"/>
  <c r="I267" i="115"/>
  <c r="I268" i="115"/>
  <c r="I269" i="115"/>
  <c r="I270" i="115"/>
  <c r="I271" i="115"/>
  <c r="I272" i="115"/>
  <c r="I273" i="115"/>
  <c r="I274" i="115"/>
  <c r="I275" i="115"/>
  <c r="I276" i="115"/>
  <c r="I277" i="115"/>
  <c r="I278" i="115"/>
  <c r="I279" i="115"/>
  <c r="I280" i="115"/>
  <c r="I281" i="115"/>
  <c r="I282" i="115"/>
  <c r="I283" i="115"/>
  <c r="I284" i="115"/>
  <c r="I285" i="115"/>
  <c r="I286" i="115"/>
  <c r="I287" i="115"/>
  <c r="I288" i="115"/>
  <c r="I289" i="115"/>
  <c r="I290" i="115"/>
  <c r="I291" i="115"/>
  <c r="I292" i="115"/>
  <c r="I293" i="115"/>
  <c r="I294" i="115"/>
  <c r="I295" i="115"/>
  <c r="I296" i="115"/>
  <c r="I297" i="115"/>
  <c r="I298" i="115"/>
  <c r="I299" i="115"/>
  <c r="I300" i="115"/>
  <c r="I301" i="115"/>
  <c r="I302" i="115"/>
  <c r="I303" i="115"/>
  <c r="I304" i="115"/>
  <c r="I305" i="115"/>
  <c r="I306" i="115"/>
  <c r="I307" i="115"/>
  <c r="I308" i="115"/>
  <c r="I309" i="115"/>
  <c r="I310" i="115"/>
  <c r="I311" i="115"/>
  <c r="I312" i="115"/>
  <c r="I313" i="115"/>
  <c r="I314" i="115"/>
  <c r="I315" i="115"/>
  <c r="I316" i="115"/>
  <c r="I317" i="115"/>
  <c r="I318" i="115"/>
  <c r="I319" i="115"/>
  <c r="I320" i="115"/>
  <c r="I321" i="115"/>
  <c r="I322" i="115"/>
  <c r="I323" i="115"/>
  <c r="I324" i="115"/>
  <c r="I325" i="115"/>
  <c r="I326" i="115"/>
  <c r="I327" i="115"/>
  <c r="I328" i="115"/>
  <c r="I329" i="115"/>
  <c r="I330" i="115"/>
  <c r="I331" i="115"/>
  <c r="I332" i="115"/>
  <c r="I333" i="115"/>
  <c r="I334" i="115"/>
  <c r="I335" i="115"/>
  <c r="I336" i="115"/>
  <c r="I337" i="115"/>
  <c r="I338" i="115"/>
  <c r="I339" i="115"/>
  <c r="I340" i="115"/>
  <c r="I341" i="115"/>
  <c r="I342" i="115"/>
  <c r="I343" i="115"/>
  <c r="I344" i="115"/>
  <c r="I345" i="115"/>
  <c r="I346" i="115"/>
  <c r="I347" i="115"/>
  <c r="I348" i="115"/>
  <c r="I349" i="115"/>
  <c r="I350" i="115"/>
  <c r="I351" i="115"/>
  <c r="I352" i="115"/>
  <c r="I353" i="115"/>
  <c r="I354" i="115"/>
  <c r="I355" i="115"/>
  <c r="I356" i="115"/>
  <c r="I357" i="115"/>
  <c r="I358" i="115"/>
  <c r="I359" i="115"/>
  <c r="I360" i="115"/>
  <c r="I361" i="115"/>
  <c r="I362" i="115"/>
  <c r="I363" i="115"/>
  <c r="I364" i="115"/>
  <c r="I365" i="115"/>
  <c r="I366" i="115"/>
  <c r="I367" i="115"/>
  <c r="I368" i="115"/>
  <c r="I369" i="115"/>
  <c r="I370" i="115"/>
  <c r="I371" i="115"/>
  <c r="I372" i="115"/>
  <c r="I373" i="115"/>
  <c r="I374" i="115"/>
  <c r="I375" i="115"/>
  <c r="I376" i="115"/>
  <c r="I377" i="115"/>
  <c r="I378" i="115"/>
  <c r="I379" i="115"/>
  <c r="I380" i="115"/>
  <c r="I381" i="115"/>
  <c r="I382" i="115"/>
  <c r="I383" i="115"/>
  <c r="I384" i="115"/>
  <c r="I385" i="115"/>
  <c r="I386" i="115"/>
  <c r="I387" i="115"/>
  <c r="I388" i="115"/>
  <c r="I389" i="115"/>
  <c r="I390" i="115"/>
  <c r="I391" i="115"/>
  <c r="I392" i="115"/>
  <c r="I393" i="115"/>
  <c r="I394" i="115"/>
  <c r="I395" i="115"/>
  <c r="I396" i="115"/>
  <c r="I397" i="115"/>
  <c r="I398" i="115"/>
  <c r="I399" i="115"/>
  <c r="I400" i="115"/>
  <c r="I401" i="115"/>
  <c r="I402" i="115"/>
  <c r="I403" i="115"/>
  <c r="I404" i="115"/>
  <c r="I405" i="115"/>
  <c r="I406" i="115"/>
  <c r="I407" i="115"/>
  <c r="I408" i="115"/>
  <c r="I409" i="115"/>
  <c r="I410" i="115"/>
  <c r="I411" i="115"/>
  <c r="I412" i="115"/>
  <c r="I413" i="115"/>
  <c r="I414" i="115"/>
  <c r="I415" i="115"/>
  <c r="I416" i="115"/>
  <c r="I417" i="115"/>
  <c r="I418" i="115"/>
  <c r="I419" i="115"/>
  <c r="I420" i="115"/>
  <c r="I421" i="115"/>
  <c r="I422" i="115"/>
  <c r="I423" i="115"/>
  <c r="I424" i="115"/>
  <c r="I425" i="115"/>
  <c r="I426" i="115"/>
  <c r="I427" i="115"/>
  <c r="I428" i="115"/>
  <c r="I429" i="115"/>
  <c r="I430" i="115"/>
  <c r="I431" i="115"/>
  <c r="I432" i="115"/>
  <c r="I433" i="115"/>
  <c r="I434" i="115"/>
  <c r="I435" i="115"/>
  <c r="I436" i="115"/>
  <c r="I437" i="115"/>
  <c r="I438" i="115"/>
  <c r="I439" i="115"/>
  <c r="I440" i="115"/>
  <c r="I441" i="115"/>
  <c r="I442" i="115"/>
  <c r="I443" i="115"/>
  <c r="I444" i="115"/>
  <c r="I445" i="115"/>
  <c r="I446" i="115"/>
  <c r="I447" i="115"/>
  <c r="I448" i="115"/>
  <c r="I449" i="115"/>
  <c r="I450" i="115"/>
  <c r="I451" i="115"/>
  <c r="I452" i="115"/>
  <c r="I453" i="115"/>
  <c r="I454" i="115"/>
  <c r="I455" i="115"/>
  <c r="I456" i="115"/>
  <c r="I457" i="115"/>
  <c r="I458" i="115"/>
  <c r="I459" i="115"/>
  <c r="I460" i="115"/>
  <c r="I461" i="115"/>
  <c r="I462" i="115"/>
  <c r="I463" i="115"/>
  <c r="I464" i="115"/>
  <c r="I465" i="115"/>
  <c r="I466" i="115"/>
  <c r="I467" i="115"/>
  <c r="I468" i="115"/>
  <c r="I469" i="115"/>
  <c r="I470" i="115"/>
  <c r="I471" i="115"/>
  <c r="I472" i="115"/>
  <c r="I473" i="115"/>
  <c r="I474" i="115"/>
  <c r="I475" i="115"/>
  <c r="I476" i="115"/>
  <c r="I477" i="115"/>
  <c r="I478" i="115"/>
  <c r="I479" i="115"/>
  <c r="I480" i="115"/>
  <c r="I481" i="115"/>
  <c r="I482" i="115"/>
  <c r="I483" i="115"/>
  <c r="I484" i="115"/>
  <c r="I485" i="115"/>
  <c r="I486" i="115"/>
  <c r="I487" i="115"/>
  <c r="I488" i="115"/>
  <c r="I489" i="115"/>
  <c r="I490" i="115"/>
  <c r="I491" i="115"/>
  <c r="I492" i="115"/>
  <c r="I493" i="115"/>
  <c r="I494" i="115"/>
  <c r="I495" i="115"/>
  <c r="I496" i="115"/>
  <c r="I497" i="115"/>
  <c r="I498" i="115"/>
  <c r="I499" i="115"/>
  <c r="I500" i="115"/>
  <c r="I501" i="115"/>
  <c r="I502" i="115"/>
  <c r="I503" i="115"/>
  <c r="I504" i="115"/>
  <c r="I505" i="115"/>
  <c r="I506" i="115"/>
  <c r="I507" i="115"/>
  <c r="I508" i="115"/>
  <c r="I509" i="115"/>
  <c r="I510" i="115"/>
  <c r="I511" i="115"/>
  <c r="I512" i="115"/>
  <c r="I513" i="115"/>
  <c r="I514" i="115"/>
  <c r="I515" i="115"/>
  <c r="I516" i="115"/>
  <c r="I517" i="115"/>
  <c r="I518" i="115"/>
  <c r="I519" i="115"/>
  <c r="I520" i="115"/>
  <c r="I521" i="115"/>
  <c r="I522" i="115"/>
  <c r="I523" i="115"/>
  <c r="I524" i="115"/>
  <c r="I525" i="115"/>
  <c r="I526" i="115"/>
  <c r="I527" i="115"/>
  <c r="I528" i="115"/>
  <c r="I529" i="115"/>
  <c r="I530" i="115"/>
  <c r="I531" i="115"/>
  <c r="I532" i="115"/>
  <c r="I533" i="115"/>
  <c r="I534" i="115"/>
  <c r="I535" i="115"/>
  <c r="I536" i="115"/>
  <c r="I537" i="115"/>
  <c r="I538" i="115"/>
  <c r="I539" i="115"/>
  <c r="I540" i="115"/>
  <c r="I541" i="115"/>
  <c r="I542" i="115"/>
  <c r="I543" i="115"/>
  <c r="I544" i="115"/>
  <c r="I545" i="115"/>
  <c r="I546" i="115"/>
  <c r="I547" i="115"/>
  <c r="I548" i="115"/>
  <c r="I549" i="115"/>
  <c r="I550" i="115"/>
  <c r="I551" i="115"/>
  <c r="I552" i="115"/>
  <c r="I553" i="115"/>
  <c r="I554" i="115"/>
  <c r="I555" i="115"/>
  <c r="I556" i="115"/>
  <c r="I557" i="115"/>
  <c r="I558" i="115"/>
  <c r="I559" i="115"/>
  <c r="I560" i="115"/>
  <c r="I561" i="115"/>
  <c r="I562" i="115"/>
  <c r="I563" i="115"/>
  <c r="I564" i="115"/>
  <c r="I565" i="115"/>
  <c r="I566" i="115"/>
  <c r="I567" i="115"/>
  <c r="I568" i="115"/>
  <c r="I569" i="115"/>
  <c r="I570" i="115"/>
  <c r="I571" i="115"/>
  <c r="I572" i="115"/>
  <c r="I573" i="115"/>
  <c r="I574" i="115"/>
  <c r="I575" i="115"/>
  <c r="I576" i="115"/>
  <c r="I577" i="115"/>
  <c r="I578" i="115"/>
  <c r="I579" i="115"/>
  <c r="I580" i="115"/>
  <c r="I581" i="115"/>
  <c r="I582" i="115"/>
  <c r="I583" i="115"/>
  <c r="I584" i="115"/>
  <c r="I585" i="115"/>
  <c r="I586" i="115"/>
  <c r="I587" i="115"/>
  <c r="I588" i="115"/>
  <c r="I589" i="115"/>
  <c r="I590" i="115"/>
  <c r="I591" i="115"/>
  <c r="I592" i="115"/>
  <c r="I593" i="115"/>
  <c r="I594" i="115"/>
  <c r="I595" i="115"/>
  <c r="I596" i="115"/>
  <c r="I597" i="115"/>
  <c r="I598" i="115"/>
  <c r="I599" i="115"/>
  <c r="I600" i="115"/>
  <c r="I601" i="115"/>
  <c r="I602" i="115"/>
  <c r="I603" i="115"/>
  <c r="I604" i="115"/>
  <c r="I605" i="115"/>
  <c r="I606" i="115"/>
  <c r="I607" i="115"/>
  <c r="I608" i="115"/>
  <c r="I609" i="115"/>
  <c r="I610" i="115"/>
  <c r="I611" i="115"/>
  <c r="I612" i="115"/>
  <c r="I613" i="115"/>
  <c r="I614" i="115"/>
  <c r="I615" i="115"/>
  <c r="I616" i="115"/>
  <c r="I617" i="115"/>
  <c r="I618" i="115"/>
  <c r="I619" i="115"/>
  <c r="I620" i="115"/>
  <c r="I621" i="115"/>
  <c r="I622" i="115"/>
  <c r="I623" i="115"/>
  <c r="I624" i="115"/>
  <c r="I625" i="115"/>
  <c r="I626" i="115"/>
  <c r="I627" i="115"/>
  <c r="I628" i="115"/>
  <c r="I629" i="115"/>
  <c r="I630" i="115"/>
  <c r="I631" i="115"/>
  <c r="I632" i="115"/>
  <c r="I633" i="115"/>
  <c r="I634" i="115"/>
  <c r="I635" i="115"/>
  <c r="I636" i="115"/>
  <c r="I637" i="115"/>
  <c r="I638" i="115"/>
  <c r="I639" i="115"/>
  <c r="I640" i="115"/>
  <c r="I641" i="115"/>
  <c r="I642" i="115"/>
  <c r="I643" i="115"/>
  <c r="I644" i="115"/>
  <c r="I645" i="115"/>
  <c r="I646" i="115"/>
  <c r="I647" i="115"/>
  <c r="I648" i="115"/>
  <c r="I649" i="115"/>
  <c r="I650" i="115"/>
  <c r="I651" i="115"/>
  <c r="I652" i="115"/>
  <c r="I653" i="115"/>
  <c r="I654" i="115"/>
  <c r="I655" i="115"/>
  <c r="I656" i="115"/>
  <c r="I657" i="115"/>
  <c r="I658" i="115"/>
  <c r="I659" i="115"/>
  <c r="I660" i="115"/>
  <c r="I661" i="115"/>
  <c r="I662" i="115"/>
  <c r="I663" i="115"/>
  <c r="I664" i="115"/>
  <c r="I665" i="115"/>
  <c r="I666" i="115"/>
  <c r="I667" i="115"/>
  <c r="I668" i="115"/>
  <c r="I669" i="115"/>
  <c r="I670" i="115"/>
  <c r="I671" i="115"/>
  <c r="I672" i="115"/>
  <c r="I673" i="115"/>
  <c r="I674" i="115"/>
  <c r="I675" i="115"/>
  <c r="I676" i="115"/>
  <c r="I677" i="115"/>
  <c r="I678" i="115"/>
  <c r="I679" i="115"/>
  <c r="I680" i="115"/>
  <c r="I681" i="115"/>
  <c r="I682" i="115"/>
  <c r="I683" i="115"/>
  <c r="I684" i="115"/>
  <c r="I685" i="115"/>
  <c r="I686" i="115"/>
  <c r="I687" i="115"/>
  <c r="I688" i="115"/>
  <c r="I689" i="115"/>
  <c r="I690" i="115"/>
  <c r="I691" i="115"/>
  <c r="I692" i="115"/>
  <c r="I693" i="115"/>
  <c r="I694" i="115"/>
  <c r="I695" i="115"/>
  <c r="I696" i="115"/>
  <c r="I697" i="115"/>
  <c r="I698" i="115"/>
  <c r="I699" i="115"/>
  <c r="I700" i="115"/>
  <c r="I701" i="115"/>
  <c r="I702" i="115"/>
  <c r="I703" i="115"/>
  <c r="I704" i="115"/>
  <c r="I705" i="115"/>
  <c r="I706" i="115"/>
  <c r="I707" i="115"/>
  <c r="I708" i="115"/>
  <c r="I709" i="115"/>
  <c r="I710" i="115"/>
  <c r="I711" i="115"/>
  <c r="I712" i="115"/>
  <c r="I713" i="115"/>
  <c r="I714" i="115"/>
  <c r="I715" i="115"/>
  <c r="I716" i="115"/>
  <c r="I717" i="115"/>
  <c r="I718" i="115"/>
  <c r="I719" i="115"/>
  <c r="I720" i="115"/>
  <c r="I721" i="115"/>
  <c r="I722" i="115"/>
  <c r="I723" i="115"/>
  <c r="I724" i="115"/>
  <c r="I725" i="115"/>
  <c r="I726" i="115"/>
  <c r="I727" i="115"/>
  <c r="I728" i="115"/>
  <c r="I729" i="115"/>
  <c r="I730" i="115"/>
  <c r="I731" i="115"/>
  <c r="I732" i="115"/>
  <c r="I733" i="115"/>
  <c r="I734" i="115"/>
  <c r="I735" i="115"/>
  <c r="I736" i="115"/>
  <c r="I737" i="115"/>
  <c r="I738" i="115"/>
  <c r="I739" i="115"/>
  <c r="I740" i="115"/>
  <c r="I741" i="115"/>
  <c r="I742" i="115"/>
  <c r="I743" i="115"/>
  <c r="I744" i="115"/>
  <c r="I745" i="115"/>
  <c r="I746" i="115"/>
  <c r="I747" i="115"/>
  <c r="I748" i="115"/>
  <c r="I749" i="115"/>
  <c r="I750" i="115"/>
  <c r="I751" i="115"/>
  <c r="I752" i="115"/>
  <c r="I753" i="115"/>
  <c r="I754" i="115"/>
  <c r="I755" i="115"/>
  <c r="I756" i="115"/>
  <c r="I757" i="115"/>
  <c r="I758" i="115"/>
  <c r="I759" i="115"/>
  <c r="I760" i="115"/>
  <c r="I761" i="115"/>
  <c r="I762" i="115"/>
  <c r="I763" i="115"/>
  <c r="I764" i="115"/>
  <c r="I765" i="115"/>
  <c r="I766" i="115"/>
  <c r="I767" i="115"/>
  <c r="I768" i="115"/>
  <c r="I769" i="115"/>
  <c r="I770" i="115"/>
  <c r="I771" i="115"/>
  <c r="I772" i="115"/>
  <c r="I773" i="115"/>
  <c r="I774" i="115"/>
  <c r="I775" i="115"/>
  <c r="I776" i="115"/>
  <c r="I777" i="115"/>
  <c r="I778" i="115"/>
  <c r="I779" i="115"/>
  <c r="I780" i="115"/>
  <c r="I781" i="115"/>
  <c r="I782" i="115"/>
  <c r="I783" i="115"/>
  <c r="I784" i="115"/>
  <c r="I785" i="115"/>
  <c r="I786" i="115"/>
  <c r="I787" i="115"/>
  <c r="I788" i="115"/>
  <c r="I789" i="115"/>
  <c r="I790" i="115"/>
  <c r="I791" i="115"/>
  <c r="I792" i="115"/>
  <c r="I793" i="115"/>
  <c r="I794" i="115"/>
  <c r="I795" i="115"/>
  <c r="I796" i="115"/>
  <c r="I797" i="115"/>
  <c r="I798" i="115"/>
  <c r="I799" i="115"/>
  <c r="I800" i="115"/>
  <c r="I801" i="115"/>
  <c r="I802" i="115"/>
  <c r="I803" i="115"/>
  <c r="I804" i="115"/>
  <c r="I805" i="115"/>
  <c r="I806" i="115"/>
  <c r="I807" i="115"/>
  <c r="I808" i="115"/>
  <c r="I809" i="115"/>
  <c r="I810" i="115"/>
  <c r="I811" i="115"/>
  <c r="I812" i="115"/>
  <c r="I813" i="115"/>
  <c r="I814" i="115"/>
  <c r="I815" i="115"/>
  <c r="I816" i="115"/>
  <c r="I817" i="115"/>
  <c r="I818" i="115"/>
  <c r="I819" i="115"/>
  <c r="I820" i="115"/>
  <c r="I821" i="115"/>
  <c r="I822" i="115"/>
  <c r="I823" i="115"/>
  <c r="I824" i="115"/>
  <c r="I825" i="115"/>
  <c r="I826" i="115"/>
  <c r="I827" i="115"/>
  <c r="I828" i="115"/>
  <c r="I829" i="115"/>
  <c r="I830" i="115"/>
  <c r="I831" i="115"/>
  <c r="I832" i="115"/>
  <c r="I833" i="115"/>
  <c r="I834" i="115"/>
  <c r="I835" i="115"/>
  <c r="I836" i="115"/>
  <c r="I837" i="115"/>
  <c r="I838" i="115"/>
  <c r="I839" i="115"/>
  <c r="I840" i="115"/>
  <c r="I841" i="115"/>
  <c r="I842" i="115"/>
  <c r="I843" i="115"/>
  <c r="I844" i="115"/>
  <c r="I845" i="115"/>
  <c r="I846" i="115"/>
  <c r="I847" i="115"/>
  <c r="I848" i="115"/>
  <c r="I849" i="115"/>
  <c r="I850" i="115"/>
  <c r="I851" i="115"/>
  <c r="I852" i="115"/>
  <c r="I853" i="115"/>
  <c r="I854" i="115"/>
  <c r="I855" i="115"/>
  <c r="I856" i="115"/>
  <c r="I857" i="115"/>
  <c r="I858" i="115"/>
  <c r="I859" i="115"/>
  <c r="I860" i="115"/>
  <c r="I861" i="115"/>
  <c r="I862" i="115"/>
  <c r="I863" i="115"/>
  <c r="I864" i="115"/>
  <c r="I865" i="115"/>
  <c r="I866" i="115"/>
  <c r="I867" i="115"/>
  <c r="I868" i="115"/>
  <c r="I869" i="115"/>
  <c r="I870" i="115"/>
  <c r="I871" i="115"/>
  <c r="I872" i="115"/>
  <c r="I873" i="115"/>
  <c r="I874" i="115"/>
  <c r="I875" i="115"/>
  <c r="I876" i="115"/>
  <c r="I877" i="115"/>
  <c r="I878" i="115"/>
  <c r="I879" i="115"/>
  <c r="I880" i="115"/>
  <c r="I881" i="115"/>
  <c r="I882" i="115"/>
  <c r="I883" i="115"/>
  <c r="I884" i="115"/>
  <c r="I885" i="115"/>
  <c r="I886" i="115"/>
  <c r="I887" i="115"/>
  <c r="I888" i="115"/>
  <c r="I889" i="115"/>
  <c r="I890" i="115"/>
  <c r="I891" i="115"/>
  <c r="I892" i="115"/>
  <c r="I893" i="115"/>
  <c r="I894" i="115"/>
  <c r="I895" i="115"/>
  <c r="I896" i="115"/>
  <c r="I897" i="115"/>
  <c r="I898" i="115"/>
  <c r="I899" i="115"/>
  <c r="I900" i="115"/>
  <c r="I901" i="115"/>
  <c r="I902" i="115"/>
  <c r="I903" i="115"/>
  <c r="I904" i="115"/>
  <c r="I905" i="115"/>
  <c r="I906" i="115"/>
  <c r="I907" i="115"/>
  <c r="I908" i="115"/>
  <c r="I909" i="115"/>
  <c r="I910" i="115"/>
  <c r="I911" i="115"/>
  <c r="I912" i="115"/>
  <c r="I913" i="115"/>
  <c r="I914" i="115"/>
  <c r="I915" i="115"/>
  <c r="I916" i="115"/>
  <c r="I917" i="115"/>
  <c r="I918" i="115"/>
  <c r="I919" i="115"/>
  <c r="I920" i="115"/>
  <c r="I921" i="115"/>
  <c r="I922" i="115"/>
  <c r="I923" i="115"/>
  <c r="I924" i="115"/>
  <c r="I925" i="115"/>
  <c r="I926" i="115"/>
  <c r="I927" i="115"/>
  <c r="I928" i="115"/>
  <c r="I929" i="115"/>
  <c r="I930" i="115"/>
  <c r="I931" i="115"/>
  <c r="I932" i="115"/>
  <c r="I933" i="115"/>
  <c r="I934" i="115"/>
  <c r="I935" i="115"/>
  <c r="I936" i="115"/>
  <c r="I937" i="115"/>
  <c r="I938" i="115"/>
  <c r="I939" i="115"/>
  <c r="I940" i="115"/>
  <c r="I941" i="115"/>
  <c r="I942" i="115"/>
  <c r="I943" i="115"/>
  <c r="I944" i="115"/>
  <c r="I945" i="115"/>
  <c r="I946" i="115"/>
  <c r="I947" i="115"/>
  <c r="I948" i="115"/>
  <c r="I949" i="115"/>
  <c r="I950" i="115"/>
  <c r="I951" i="115"/>
  <c r="I952" i="115"/>
  <c r="I953" i="115"/>
  <c r="I954" i="115"/>
  <c r="I955" i="115"/>
  <c r="I956" i="115"/>
  <c r="I957" i="115"/>
  <c r="I958" i="115"/>
  <c r="I959" i="115"/>
  <c r="I960" i="115"/>
  <c r="I961" i="115"/>
  <c r="I962" i="115"/>
  <c r="I963" i="115"/>
  <c r="I964" i="115"/>
  <c r="I965" i="115"/>
  <c r="I966" i="115"/>
  <c r="I967" i="115"/>
  <c r="I968" i="115"/>
  <c r="I969" i="115"/>
  <c r="I970" i="115"/>
  <c r="I971" i="115"/>
  <c r="I972" i="115"/>
  <c r="I973" i="115"/>
  <c r="I974" i="115"/>
  <c r="I975" i="115"/>
  <c r="I976" i="115"/>
  <c r="I977" i="115"/>
  <c r="I978" i="115"/>
  <c r="I979" i="115"/>
  <c r="I980" i="115"/>
  <c r="I981" i="115"/>
  <c r="I982" i="115"/>
  <c r="I983" i="115"/>
  <c r="I984" i="115"/>
  <c r="I985" i="115"/>
  <c r="I986" i="115"/>
  <c r="I987" i="115"/>
  <c r="I988" i="115"/>
  <c r="I989" i="115"/>
  <c r="I990" i="115"/>
  <c r="I991" i="115"/>
  <c r="I992" i="115"/>
  <c r="I993" i="115"/>
  <c r="I994" i="115"/>
  <c r="I995" i="115"/>
  <c r="I996" i="115"/>
  <c r="I997" i="115"/>
  <c r="I998" i="115"/>
  <c r="I999" i="115"/>
  <c r="I1000" i="115"/>
  <c r="I1001" i="115"/>
  <c r="I1002" i="115"/>
  <c r="I1003" i="115"/>
  <c r="I1004" i="115"/>
  <c r="I1005" i="115"/>
  <c r="I1006" i="115"/>
  <c r="I1007" i="115"/>
  <c r="I1008" i="115"/>
  <c r="I1009" i="115"/>
  <c r="I1010" i="115"/>
  <c r="I1011" i="115"/>
  <c r="I1012" i="115"/>
  <c r="I1013" i="115"/>
  <c r="I1014" i="115"/>
  <c r="I1015" i="115"/>
  <c r="I1016" i="115"/>
  <c r="I1017" i="115"/>
  <c r="I1018" i="115"/>
  <c r="I1019" i="115"/>
  <c r="I1020" i="115"/>
  <c r="I1021" i="115"/>
  <c r="I1022" i="115"/>
  <c r="I1023" i="115"/>
  <c r="I1024" i="115"/>
  <c r="I1025" i="115"/>
  <c r="I1026" i="115"/>
  <c r="I1027" i="115"/>
  <c r="I1028" i="115"/>
  <c r="I1029" i="115"/>
  <c r="I1030" i="115"/>
  <c r="I1031" i="115"/>
  <c r="I1032" i="115"/>
  <c r="I1033" i="115"/>
  <c r="I1034" i="115"/>
  <c r="I1035" i="115"/>
  <c r="I1036" i="115"/>
  <c r="I1037" i="115"/>
  <c r="I1038" i="115"/>
  <c r="I1039" i="115"/>
  <c r="I1040" i="115"/>
  <c r="I1041" i="115"/>
  <c r="I1042" i="115"/>
  <c r="I1043" i="115"/>
  <c r="I1044" i="115"/>
  <c r="I1045" i="115"/>
  <c r="I1046" i="115"/>
  <c r="I1047" i="115"/>
  <c r="I1048" i="115"/>
  <c r="I1049" i="115"/>
  <c r="I1050" i="115"/>
  <c r="I1051" i="115"/>
  <c r="I1052" i="115"/>
  <c r="I1053" i="115"/>
  <c r="I1054" i="115"/>
  <c r="I1055" i="115"/>
  <c r="I1056" i="115"/>
  <c r="I1057" i="115"/>
  <c r="I1058" i="115"/>
  <c r="I1059" i="115"/>
  <c r="I1060" i="115"/>
  <c r="I1061" i="115"/>
  <c r="I1062" i="115"/>
  <c r="I1063" i="115"/>
  <c r="I1064" i="115"/>
  <c r="I1065" i="115"/>
  <c r="I1066" i="115"/>
  <c r="I1067" i="115"/>
  <c r="I1068" i="115"/>
  <c r="I1069" i="115"/>
  <c r="I1070" i="115"/>
  <c r="I1071" i="115"/>
  <c r="I1072" i="115"/>
  <c r="I1073" i="115"/>
  <c r="I1074" i="115"/>
  <c r="I1075" i="115"/>
  <c r="I1076" i="115"/>
  <c r="I1077" i="115"/>
  <c r="I1078" i="115"/>
  <c r="I1079" i="115"/>
  <c r="I1080" i="115"/>
  <c r="I1081" i="115"/>
  <c r="I1082" i="115"/>
  <c r="I1083" i="115"/>
  <c r="I1084" i="115"/>
  <c r="I1085" i="115"/>
  <c r="I1086" i="115"/>
  <c r="I1087" i="115"/>
  <c r="I1088" i="115"/>
  <c r="I1089" i="115"/>
  <c r="I1090" i="115"/>
  <c r="I1091" i="115"/>
  <c r="I1092" i="115"/>
  <c r="I1093" i="115"/>
  <c r="I1094" i="115"/>
  <c r="I1095" i="115"/>
  <c r="I1096" i="115"/>
  <c r="I1097" i="115"/>
  <c r="I1098" i="115"/>
  <c r="I1099" i="115"/>
  <c r="I1100" i="115"/>
  <c r="I1101" i="115"/>
  <c r="I1102" i="115"/>
  <c r="I1103" i="115"/>
  <c r="I1104" i="115"/>
  <c r="I1105" i="115"/>
  <c r="I1106" i="115"/>
  <c r="I1107" i="115"/>
  <c r="I1108" i="115"/>
  <c r="I1109" i="115"/>
  <c r="I1110" i="115"/>
  <c r="I1111" i="115"/>
  <c r="I1112" i="115"/>
  <c r="I1113" i="115"/>
  <c r="I1114" i="115"/>
  <c r="I1115" i="115"/>
  <c r="I1116" i="115"/>
  <c r="I1117" i="115"/>
  <c r="I1118" i="115"/>
  <c r="I1119" i="115"/>
  <c r="I1120" i="115"/>
  <c r="I1121" i="115"/>
  <c r="I1122" i="115"/>
  <c r="I1123" i="115"/>
  <c r="I1124" i="115"/>
  <c r="I1125" i="115"/>
  <c r="I1126" i="115"/>
  <c r="I1127" i="115"/>
  <c r="I1128" i="115"/>
  <c r="I1129" i="115"/>
  <c r="I1130" i="115"/>
  <c r="I1131" i="115"/>
  <c r="I1132" i="115"/>
  <c r="I1133" i="115"/>
  <c r="I1134" i="115"/>
  <c r="I1135" i="115"/>
  <c r="I1136" i="115"/>
  <c r="I1137" i="115"/>
  <c r="I1138" i="115"/>
  <c r="I1139" i="115"/>
  <c r="I1140" i="115"/>
  <c r="I1141" i="115"/>
  <c r="I1142" i="115"/>
  <c r="I1143" i="115"/>
  <c r="I1144" i="115"/>
  <c r="I1145" i="115"/>
  <c r="I1146" i="115"/>
  <c r="I1147" i="115"/>
  <c r="I1148" i="115"/>
  <c r="I1149" i="115"/>
  <c r="I1150" i="115"/>
  <c r="I1151" i="115"/>
  <c r="I1152" i="115"/>
  <c r="I1153" i="115"/>
  <c r="I1154" i="115"/>
  <c r="I1155" i="115"/>
  <c r="I1156" i="115"/>
  <c r="I1157" i="115"/>
  <c r="I1158" i="115"/>
  <c r="I1159" i="115"/>
  <c r="I1160" i="115"/>
  <c r="I1161" i="115"/>
  <c r="I1162" i="115"/>
  <c r="I1163" i="115"/>
  <c r="I1164" i="115"/>
  <c r="I1165" i="115"/>
  <c r="I1166" i="115"/>
  <c r="I1167" i="115"/>
  <c r="I1168" i="115"/>
  <c r="I1169" i="115"/>
  <c r="I1170" i="115"/>
  <c r="I1171" i="115"/>
  <c r="I1172" i="115"/>
  <c r="I1173" i="115"/>
  <c r="I1174" i="115"/>
  <c r="I1175" i="115"/>
  <c r="I1176" i="115"/>
  <c r="I1177" i="115"/>
  <c r="I1178" i="115"/>
  <c r="I1179" i="115"/>
  <c r="I1180" i="115"/>
  <c r="I1181" i="115"/>
  <c r="I1182" i="115"/>
  <c r="I1183" i="115"/>
  <c r="I1184" i="115"/>
  <c r="I1185" i="115"/>
  <c r="I1186" i="115"/>
  <c r="I1187" i="115"/>
  <c r="I1188" i="115"/>
  <c r="I1189" i="115"/>
  <c r="I1190" i="115"/>
  <c r="I1191" i="115"/>
  <c r="I1192" i="115"/>
  <c r="I1193" i="115"/>
  <c r="I1194" i="115"/>
  <c r="I1195" i="115"/>
  <c r="I1196" i="115"/>
  <c r="I1197" i="115"/>
  <c r="I1198" i="115"/>
  <c r="I1199" i="115"/>
  <c r="I1200" i="115"/>
  <c r="I1201" i="115"/>
  <c r="I1202" i="115"/>
  <c r="I1203" i="115"/>
  <c r="I1204" i="115"/>
  <c r="I1205" i="115"/>
  <c r="I1206" i="115"/>
  <c r="I1207" i="115"/>
  <c r="I1208" i="115"/>
  <c r="I1209" i="115"/>
  <c r="I1210" i="115"/>
  <c r="I1211" i="115"/>
  <c r="I1212" i="115"/>
  <c r="I1213" i="115"/>
  <c r="I1214" i="115"/>
  <c r="I1215" i="115"/>
  <c r="I1216" i="115"/>
  <c r="I1217" i="115"/>
  <c r="I1218" i="115"/>
  <c r="I1219" i="115"/>
  <c r="I1220" i="115"/>
  <c r="I1221" i="115"/>
  <c r="I1222" i="115"/>
  <c r="I1223" i="115"/>
  <c r="I1224" i="115"/>
  <c r="I1225" i="115"/>
  <c r="I1226" i="115"/>
  <c r="I1227" i="115"/>
  <c r="I1228" i="115"/>
  <c r="I1229" i="115"/>
  <c r="I1230" i="115"/>
  <c r="I1231" i="115"/>
  <c r="I1232" i="115"/>
  <c r="I1233" i="115"/>
  <c r="I1234" i="115"/>
  <c r="I1235" i="115"/>
  <c r="I1236" i="115"/>
  <c r="I1237" i="115"/>
  <c r="I1238" i="115"/>
  <c r="I1239" i="115"/>
  <c r="I1240" i="115"/>
  <c r="I1241" i="115"/>
  <c r="I1242" i="115"/>
  <c r="I1243" i="115"/>
  <c r="I1244" i="115"/>
  <c r="I1245" i="115"/>
  <c r="I1246" i="115"/>
  <c r="I1247" i="115"/>
  <c r="I1248" i="115"/>
  <c r="I1249" i="115"/>
  <c r="I1250" i="115"/>
  <c r="I1251" i="115"/>
  <c r="I1252" i="115"/>
  <c r="I1253" i="115"/>
  <c r="I1254" i="115"/>
  <c r="I1255" i="115"/>
  <c r="I1256" i="115"/>
  <c r="I1257" i="115"/>
  <c r="I1258" i="115"/>
  <c r="I1259" i="115"/>
  <c r="I1260" i="115"/>
  <c r="I1261" i="115"/>
  <c r="I1262" i="115"/>
  <c r="I1263" i="115"/>
  <c r="I1264" i="115"/>
  <c r="I1265" i="115"/>
  <c r="I1266" i="115"/>
  <c r="I1267" i="115"/>
  <c r="I1268" i="115"/>
  <c r="I1269" i="115"/>
  <c r="I1270" i="115"/>
  <c r="I1271" i="115"/>
  <c r="I1272" i="115"/>
  <c r="I1273" i="115"/>
  <c r="I1274" i="115"/>
  <c r="I1275" i="115"/>
  <c r="I1276" i="115"/>
  <c r="I1277" i="115"/>
  <c r="I1278" i="115"/>
  <c r="I1279" i="115"/>
  <c r="I1280" i="115"/>
  <c r="I1281" i="115"/>
  <c r="I1282" i="115"/>
  <c r="I1283" i="115"/>
  <c r="I1284" i="115"/>
  <c r="I1285" i="115"/>
  <c r="I1286" i="115"/>
  <c r="I1287" i="115"/>
  <c r="I1288" i="115"/>
  <c r="I1289" i="115"/>
  <c r="I1290" i="115"/>
  <c r="I1291" i="115"/>
  <c r="I1292" i="115"/>
  <c r="I1293" i="115"/>
  <c r="I1294" i="115"/>
  <c r="I1295" i="115"/>
  <c r="I1296" i="115"/>
  <c r="I1297" i="115"/>
  <c r="I1298" i="115"/>
  <c r="I1299" i="115"/>
  <c r="I1300" i="115"/>
  <c r="I1301" i="115"/>
  <c r="I1302" i="115"/>
  <c r="I1303" i="115"/>
  <c r="I1304" i="115"/>
  <c r="I1305" i="115"/>
  <c r="I1306" i="115"/>
  <c r="I1307" i="115"/>
  <c r="I1308" i="115"/>
  <c r="I1309" i="115"/>
  <c r="I1310" i="115"/>
  <c r="I1311" i="115"/>
  <c r="I1312" i="115"/>
  <c r="I1313" i="115"/>
  <c r="I1314" i="115"/>
  <c r="I1315" i="115"/>
  <c r="I1316" i="115"/>
  <c r="I1317" i="115"/>
  <c r="I1318" i="115"/>
  <c r="I1319" i="115"/>
  <c r="I1320" i="115"/>
  <c r="I1321" i="115"/>
  <c r="I1322" i="115"/>
  <c r="I1323" i="115"/>
  <c r="I1324" i="115"/>
  <c r="I1325" i="115"/>
  <c r="I1326" i="115"/>
  <c r="I1327" i="115"/>
  <c r="I1328" i="115"/>
  <c r="I1329" i="115"/>
  <c r="I1330" i="115"/>
  <c r="I1331" i="115"/>
  <c r="I1332" i="115"/>
  <c r="I1333" i="115"/>
  <c r="I1334" i="115"/>
  <c r="I1335" i="115"/>
  <c r="I1336" i="115"/>
  <c r="I1337" i="115"/>
  <c r="I1338" i="115"/>
  <c r="I1339" i="115"/>
  <c r="I1340" i="115"/>
  <c r="I1341" i="115"/>
  <c r="I1342" i="115"/>
  <c r="I1343" i="115"/>
  <c r="I1344" i="115"/>
  <c r="I1345" i="115"/>
  <c r="I1346" i="115"/>
  <c r="I1347" i="115"/>
  <c r="I1348" i="115"/>
  <c r="I1349" i="115"/>
  <c r="I1350" i="115"/>
  <c r="I1351" i="115"/>
  <c r="I1352" i="115"/>
  <c r="I1353" i="115"/>
  <c r="I1354" i="115"/>
  <c r="I1355" i="115"/>
  <c r="I1356" i="115"/>
  <c r="I1357" i="115"/>
  <c r="I1358" i="115"/>
  <c r="I1359" i="115"/>
  <c r="I1360" i="115"/>
  <c r="I1361" i="115"/>
  <c r="I1362" i="115"/>
  <c r="I1363" i="115"/>
  <c r="I1364" i="115"/>
  <c r="I1365" i="115"/>
  <c r="I1366" i="115"/>
  <c r="I1367" i="115"/>
  <c r="I1368" i="115"/>
  <c r="I1369" i="115"/>
  <c r="I1370" i="115"/>
  <c r="I1371" i="115"/>
  <c r="R5" i="112"/>
  <c r="U6" i="112"/>
  <c r="J62" i="112"/>
  <c r="J2" i="112"/>
  <c r="K2" i="112" s="1"/>
  <c r="J3" i="112"/>
  <c r="J4" i="112"/>
  <c r="J5" i="112"/>
  <c r="J6" i="112"/>
  <c r="J7" i="112"/>
  <c r="J8" i="112"/>
  <c r="J9" i="112"/>
  <c r="J10" i="112"/>
  <c r="J11" i="112"/>
  <c r="J12" i="112"/>
  <c r="J13" i="112"/>
  <c r="J14" i="112"/>
  <c r="J15" i="112"/>
  <c r="J16" i="112"/>
  <c r="J17" i="112"/>
  <c r="J18" i="112"/>
  <c r="J19" i="112"/>
  <c r="J20" i="112"/>
  <c r="J21" i="112"/>
  <c r="J22" i="112"/>
  <c r="J23" i="112"/>
  <c r="J24" i="112"/>
  <c r="J25" i="112"/>
  <c r="J26" i="112"/>
  <c r="J27" i="112"/>
  <c r="J28" i="112"/>
  <c r="J29" i="112"/>
  <c r="J30" i="112"/>
  <c r="J31" i="112"/>
  <c r="J32" i="112"/>
  <c r="J33" i="112"/>
  <c r="J34" i="112"/>
  <c r="J35" i="112"/>
  <c r="J36" i="112"/>
  <c r="J37" i="112"/>
  <c r="J38" i="112"/>
  <c r="J39" i="112"/>
  <c r="J40" i="112"/>
  <c r="J41" i="112"/>
  <c r="J42" i="112"/>
  <c r="J43" i="112"/>
  <c r="J44" i="112"/>
  <c r="J45" i="112"/>
  <c r="J46" i="112"/>
  <c r="J47" i="112"/>
  <c r="J48" i="112"/>
  <c r="J49" i="112"/>
  <c r="J50" i="112"/>
  <c r="J51" i="112"/>
  <c r="J52" i="112"/>
  <c r="J53" i="112"/>
  <c r="J54" i="112"/>
  <c r="J55" i="112"/>
  <c r="J56" i="112"/>
  <c r="J57" i="112"/>
  <c r="J58" i="112"/>
  <c r="J59" i="112"/>
  <c r="J60" i="112"/>
  <c r="J61" i="112"/>
  <c r="J63" i="112"/>
  <c r="J64" i="112"/>
  <c r="J65" i="112"/>
  <c r="J66" i="112"/>
  <c r="J67" i="112"/>
  <c r="J68" i="112"/>
  <c r="J69" i="112"/>
  <c r="J70" i="112"/>
  <c r="J71" i="112"/>
  <c r="J72" i="112"/>
  <c r="J73" i="112"/>
  <c r="J74" i="112"/>
  <c r="J75" i="112"/>
  <c r="J76" i="112"/>
  <c r="CL2" i="113"/>
  <c r="CL3" i="113"/>
  <c r="CL4" i="113"/>
  <c r="CL5" i="113"/>
  <c r="CL6" i="113"/>
  <c r="CL7" i="113"/>
  <c r="CL8" i="113"/>
  <c r="CL9" i="113"/>
  <c r="CK2" i="113"/>
  <c r="E79" i="121"/>
  <c r="D79" i="121"/>
  <c r="E78" i="121"/>
  <c r="D78" i="121"/>
  <c r="E71" i="121"/>
  <c r="D71" i="121"/>
  <c r="E70" i="121"/>
  <c r="D70" i="121"/>
  <c r="E67" i="121"/>
  <c r="D67" i="121"/>
  <c r="E61" i="121"/>
  <c r="D61" i="121"/>
  <c r="E54" i="121"/>
  <c r="D54" i="121"/>
  <c r="E53" i="121"/>
  <c r="D53" i="121"/>
  <c r="E49" i="121"/>
  <c r="D49" i="121"/>
  <c r="E43" i="121"/>
  <c r="D43" i="121"/>
  <c r="O12" i="120"/>
  <c r="N12" i="120"/>
  <c r="M12" i="120"/>
  <c r="L12" i="120"/>
  <c r="F12" i="120"/>
  <c r="E12" i="120"/>
  <c r="D12" i="120"/>
  <c r="C12" i="120"/>
  <c r="Q7" i="118"/>
  <c r="U7" i="118"/>
  <c r="T7" i="118"/>
  <c r="S7" i="118"/>
  <c r="R7" i="118"/>
  <c r="P7" i="118"/>
  <c r="H7" i="118"/>
  <c r="G7" i="118"/>
  <c r="F7" i="118"/>
  <c r="E7" i="118"/>
  <c r="D7" i="118"/>
  <c r="C7" i="118"/>
  <c r="H12" i="7"/>
  <c r="E17" i="3"/>
  <c r="G5" i="5" s="1"/>
  <c r="J15" i="20"/>
  <c r="J23" i="20"/>
  <c r="G14" i="56"/>
  <c r="J14" i="56"/>
  <c r="F42" i="10"/>
  <c r="F2848" i="88"/>
  <c r="F2847" i="88"/>
  <c r="F2846" i="88"/>
  <c r="F2845" i="88"/>
  <c r="F2844" i="88"/>
  <c r="F2843" i="88"/>
  <c r="F2842" i="88"/>
  <c r="F2841" i="88"/>
  <c r="F2840" i="88"/>
  <c r="F2839" i="88"/>
  <c r="F2838" i="88"/>
  <c r="F2837" i="88"/>
  <c r="F2836" i="88"/>
  <c r="F2835" i="88"/>
  <c r="F2834" i="88"/>
  <c r="F2833" i="88"/>
  <c r="F2832" i="88"/>
  <c r="F2831" i="88"/>
  <c r="F2830" i="88"/>
  <c r="F2829" i="88"/>
  <c r="F2828" i="88"/>
  <c r="F2827" i="88"/>
  <c r="F2826" i="88"/>
  <c r="F2825" i="88"/>
  <c r="F2824" i="88"/>
  <c r="F2823" i="88"/>
  <c r="F2822" i="88"/>
  <c r="F2821" i="88"/>
  <c r="F2820" i="88"/>
  <c r="F2819" i="88"/>
  <c r="F2818" i="88"/>
  <c r="F2817" i="88"/>
  <c r="F2816" i="88"/>
  <c r="F2815" i="88"/>
  <c r="F2814" i="88"/>
  <c r="F2813" i="88"/>
  <c r="F2812" i="88"/>
  <c r="F2811" i="88"/>
  <c r="F2810" i="88"/>
  <c r="F2809" i="88"/>
  <c r="F2808" i="88"/>
  <c r="F2807" i="88"/>
  <c r="F2806" i="88"/>
  <c r="F2805" i="88"/>
  <c r="F2804" i="88"/>
  <c r="F2803" i="88"/>
  <c r="F2802" i="88"/>
  <c r="F2801" i="88"/>
  <c r="F2800" i="88"/>
  <c r="F2799" i="88"/>
  <c r="F2798" i="88"/>
  <c r="F2797" i="88"/>
  <c r="F2796" i="88"/>
  <c r="F2795" i="88"/>
  <c r="F2210" i="88"/>
  <c r="F2209" i="88"/>
  <c r="F2208" i="88"/>
  <c r="F2207" i="88"/>
  <c r="F2206" i="88"/>
  <c r="F2205" i="88"/>
  <c r="F2204" i="88"/>
  <c r="F2203" i="88"/>
  <c r="F2202" i="88"/>
  <c r="F2201" i="88"/>
  <c r="F2200" i="88"/>
  <c r="F2199" i="88"/>
  <c r="F2198" i="88"/>
  <c r="F2197" i="88"/>
  <c r="F2196" i="88"/>
  <c r="F2195" i="88"/>
  <c r="F2194" i="88"/>
  <c r="F2193" i="88"/>
  <c r="F1748" i="88"/>
  <c r="F1747" i="88"/>
  <c r="F885" i="88"/>
  <c r="F884" i="88"/>
  <c r="F135" i="86"/>
  <c r="E135" i="86"/>
  <c r="F134" i="86"/>
  <c r="E131" i="86"/>
  <c r="F130" i="86"/>
  <c r="E128" i="86"/>
  <c r="F127" i="86"/>
  <c r="E126" i="86"/>
  <c r="E125" i="86"/>
  <c r="E124" i="86"/>
  <c r="E123" i="86"/>
  <c r="E111" i="86"/>
  <c r="F110" i="86"/>
  <c r="E109" i="86"/>
  <c r="F108" i="86"/>
  <c r="F106" i="86"/>
  <c r="E106" i="86"/>
  <c r="F105" i="86"/>
  <c r="F91" i="86"/>
  <c r="F85" i="86"/>
  <c r="E85" i="86"/>
  <c r="F84" i="86"/>
  <c r="E73" i="86"/>
  <c r="F72" i="86"/>
  <c r="F70" i="86"/>
  <c r="E70" i="86"/>
  <c r="F69" i="86"/>
  <c r="E69" i="86"/>
  <c r="F68" i="86"/>
  <c r="E68" i="86"/>
  <c r="F67" i="86"/>
  <c r="F52" i="86"/>
  <c r="E50" i="86"/>
  <c r="F49" i="86"/>
  <c r="E48" i="86"/>
  <c r="F34" i="86"/>
  <c r="E34" i="86"/>
  <c r="F33" i="86"/>
  <c r="E32" i="86"/>
  <c r="F30" i="86"/>
  <c r="G12" i="98"/>
  <c r="G11" i="98"/>
  <c r="B11" i="91" s="1"/>
  <c r="D9" i="3"/>
  <c r="J23" i="68"/>
  <c r="I23" i="68"/>
  <c r="J22" i="68"/>
  <c r="I22" i="68"/>
  <c r="J21" i="68"/>
  <c r="I21" i="68"/>
  <c r="J20" i="68"/>
  <c r="I20" i="68"/>
  <c r="J19" i="68"/>
  <c r="I19" i="68"/>
  <c r="J18" i="68"/>
  <c r="I18" i="68"/>
  <c r="J17" i="68"/>
  <c r="I17" i="68"/>
  <c r="J16" i="68"/>
  <c r="I16" i="68"/>
  <c r="J15" i="68"/>
  <c r="I15" i="68"/>
  <c r="J14" i="68"/>
  <c r="I14" i="68"/>
  <c r="J13" i="68"/>
  <c r="I13" i="68"/>
  <c r="J12" i="68"/>
  <c r="I12" i="68"/>
  <c r="J11" i="68"/>
  <c r="I11" i="68"/>
  <c r="J10" i="68"/>
  <c r="I10" i="68"/>
  <c r="J9" i="68"/>
  <c r="I9" i="68"/>
  <c r="D36" i="64"/>
  <c r="J61" i="15"/>
  <c r="I61" i="15"/>
  <c r="J60" i="15"/>
  <c r="I60" i="15"/>
  <c r="J59" i="15"/>
  <c r="I59" i="15"/>
  <c r="J58" i="15"/>
  <c r="I58" i="15"/>
  <c r="J57" i="15"/>
  <c r="I57" i="15"/>
  <c r="J56" i="15"/>
  <c r="I56" i="15"/>
  <c r="J55" i="15"/>
  <c r="I55" i="15"/>
  <c r="J54" i="15"/>
  <c r="I54" i="15"/>
  <c r="J53" i="15"/>
  <c r="I53" i="15"/>
  <c r="J52" i="15"/>
  <c r="I52" i="15"/>
  <c r="J51" i="15"/>
  <c r="I51" i="15"/>
  <c r="J50" i="15"/>
  <c r="I50" i="15"/>
  <c r="J49" i="15"/>
  <c r="I49" i="15"/>
  <c r="J48" i="15"/>
  <c r="I48" i="15"/>
  <c r="J47" i="15"/>
  <c r="I47" i="15"/>
  <c r="J46" i="15"/>
  <c r="I46" i="15"/>
  <c r="J45" i="15"/>
  <c r="I45" i="15"/>
  <c r="J44" i="15"/>
  <c r="I44" i="15"/>
  <c r="J43" i="15"/>
  <c r="I43" i="15"/>
  <c r="J42" i="15"/>
  <c r="I42" i="15"/>
  <c r="J41" i="15"/>
  <c r="I41" i="15"/>
  <c r="J40" i="15"/>
  <c r="I40" i="15"/>
  <c r="J39" i="15"/>
  <c r="I39" i="15"/>
  <c r="J38" i="15"/>
  <c r="I38" i="15"/>
  <c r="J37" i="15"/>
  <c r="I37" i="15"/>
  <c r="J36" i="15"/>
  <c r="I36" i="15"/>
  <c r="J35" i="15"/>
  <c r="I35" i="15"/>
  <c r="J34" i="15"/>
  <c r="I34" i="15"/>
  <c r="J33" i="15"/>
  <c r="I33" i="15"/>
  <c r="J32" i="15"/>
  <c r="I32" i="15"/>
  <c r="J31" i="15"/>
  <c r="I31" i="15"/>
  <c r="J30" i="15"/>
  <c r="I30" i="15"/>
  <c r="J29" i="15"/>
  <c r="I29" i="15"/>
  <c r="J28" i="15"/>
  <c r="I28" i="15"/>
  <c r="J27" i="15"/>
  <c r="I27" i="15"/>
  <c r="J26" i="15"/>
  <c r="I26" i="15"/>
  <c r="J25" i="15"/>
  <c r="I25" i="15"/>
  <c r="J24" i="15"/>
  <c r="I24" i="15"/>
  <c r="J23" i="15"/>
  <c r="I23" i="15"/>
  <c r="J22" i="15"/>
  <c r="I22" i="15"/>
  <c r="J21" i="15"/>
  <c r="I21" i="15"/>
  <c r="J20" i="15"/>
  <c r="I20" i="15"/>
  <c r="J19" i="15"/>
  <c r="I19" i="15"/>
  <c r="J18" i="15"/>
  <c r="I18" i="15"/>
  <c r="J17" i="15"/>
  <c r="I17" i="15"/>
  <c r="J16" i="15"/>
  <c r="I16" i="15"/>
  <c r="J15" i="15"/>
  <c r="I15" i="15"/>
  <c r="J14" i="15"/>
  <c r="I14" i="15"/>
  <c r="J13" i="15"/>
  <c r="I13" i="15"/>
  <c r="J12" i="15"/>
  <c r="I12" i="15"/>
  <c r="J11" i="15"/>
  <c r="I11" i="15"/>
  <c r="J10" i="15"/>
  <c r="I10" i="15"/>
  <c r="J9" i="15"/>
  <c r="I9" i="15"/>
  <c r="Q20" i="8"/>
  <c r="J1" i="112"/>
  <c r="U5" i="7"/>
  <c r="Q23" i="7"/>
  <c r="N23" i="7"/>
  <c r="K23" i="7"/>
  <c r="Q20" i="7"/>
  <c r="C26" i="7"/>
  <c r="E23" i="7"/>
  <c r="C23" i="7"/>
  <c r="C20" i="7"/>
  <c r="Q17" i="7"/>
  <c r="K14" i="7"/>
  <c r="F17" i="7"/>
  <c r="C17" i="7"/>
  <c r="D14" i="7"/>
  <c r="C14" i="7"/>
  <c r="U12" i="7"/>
  <c r="H10" i="7"/>
  <c r="S8" i="7"/>
  <c r="N8" i="7"/>
  <c r="D31" i="3"/>
  <c r="E6" i="7" s="1"/>
  <c r="D30" i="3"/>
  <c r="E5" i="7" s="1"/>
  <c r="C28" i="3"/>
  <c r="D4" i="7" s="1"/>
  <c r="C26" i="3"/>
  <c r="I4" i="5" s="1"/>
  <c r="D22" i="3"/>
  <c r="C3" i="5" s="1"/>
  <c r="Q13" i="8"/>
  <c r="Q11" i="8"/>
  <c r="Q9" i="8"/>
  <c r="H26" i="77"/>
  <c r="G26" i="77"/>
  <c r="M76" i="72"/>
  <c r="M71" i="72"/>
  <c r="F74" i="72"/>
  <c r="F76" i="72" s="1"/>
  <c r="D74" i="72"/>
  <c r="D76" i="72" s="1"/>
  <c r="C74" i="72"/>
  <c r="C76" i="72" s="1"/>
  <c r="B74" i="72"/>
  <c r="B76" i="72" s="1"/>
  <c r="N65" i="72"/>
  <c r="M65" i="72"/>
  <c r="L65" i="72"/>
  <c r="K65" i="72"/>
  <c r="H12" i="71"/>
  <c r="G12" i="71"/>
  <c r="H28" i="70"/>
  <c r="G28" i="70"/>
  <c r="H23" i="70"/>
  <c r="G23" i="70"/>
  <c r="H15" i="70"/>
  <c r="G15" i="70"/>
  <c r="J274" i="69"/>
  <c r="H30" i="64"/>
  <c r="H23" i="64"/>
  <c r="K26" i="59"/>
  <c r="J26" i="59"/>
  <c r="I26" i="59"/>
  <c r="K23" i="59"/>
  <c r="J23" i="59"/>
  <c r="I23" i="59"/>
  <c r="H23" i="59"/>
  <c r="G23" i="59"/>
  <c r="K17" i="59"/>
  <c r="J17" i="59"/>
  <c r="I17" i="59"/>
  <c r="K10" i="59"/>
  <c r="J10" i="59"/>
  <c r="I10" i="59"/>
  <c r="H28" i="58"/>
  <c r="H27" i="58"/>
  <c r="H26" i="58"/>
  <c r="H25" i="58"/>
  <c r="H24" i="58"/>
  <c r="H23" i="58"/>
  <c r="H22" i="58"/>
  <c r="H21" i="58"/>
  <c r="H20" i="58"/>
  <c r="H17" i="58"/>
  <c r="H16" i="58"/>
  <c r="H15" i="58"/>
  <c r="H14" i="58"/>
  <c r="H13" i="58"/>
  <c r="H12" i="58"/>
  <c r="H11" i="58"/>
  <c r="H10" i="58"/>
  <c r="K28" i="55"/>
  <c r="K27" i="55"/>
  <c r="M26" i="55"/>
  <c r="L26" i="55"/>
  <c r="J26" i="55"/>
  <c r="I26" i="55"/>
  <c r="H26" i="55"/>
  <c r="G26" i="55"/>
  <c r="F26" i="55"/>
  <c r="E26" i="55"/>
  <c r="K25" i="55"/>
  <c r="K24" i="55"/>
  <c r="K23" i="55"/>
  <c r="K22" i="55"/>
  <c r="S18" i="55"/>
  <c r="K18" i="55"/>
  <c r="S17" i="55"/>
  <c r="K17" i="55"/>
  <c r="R16" i="55"/>
  <c r="Q16" i="55"/>
  <c r="P16" i="55"/>
  <c r="O16" i="55"/>
  <c r="M16" i="55"/>
  <c r="L16" i="55"/>
  <c r="J16" i="55"/>
  <c r="I16" i="55"/>
  <c r="H16" i="55"/>
  <c r="G16" i="55"/>
  <c r="F16" i="55"/>
  <c r="E16" i="55"/>
  <c r="S15" i="55"/>
  <c r="K15" i="55"/>
  <c r="S14" i="55"/>
  <c r="K14" i="55"/>
  <c r="S13" i="55"/>
  <c r="K13" i="55"/>
  <c r="S12" i="55"/>
  <c r="K12" i="55"/>
  <c r="H15" i="49"/>
  <c r="H10" i="49"/>
  <c r="G33" i="48"/>
  <c r="F33" i="48"/>
  <c r="H32" i="48"/>
  <c r="H31" i="48"/>
  <c r="H30" i="48"/>
  <c r="H28" i="48"/>
  <c r="H22" i="48"/>
  <c r="H16" i="48"/>
  <c r="H10" i="48"/>
  <c r="K27" i="46"/>
  <c r="J27" i="46"/>
  <c r="I27" i="46"/>
  <c r="K23" i="46"/>
  <c r="J23" i="46"/>
  <c r="K15" i="46"/>
  <c r="J15" i="46"/>
  <c r="K25" i="45"/>
  <c r="J25" i="45"/>
  <c r="K19" i="45"/>
  <c r="J19" i="45"/>
  <c r="I10" i="45"/>
  <c r="G10" i="45"/>
  <c r="K22" i="44"/>
  <c r="J22" i="44"/>
  <c r="I21" i="44"/>
  <c r="H21" i="44"/>
  <c r="K18" i="44"/>
  <c r="J18" i="44"/>
  <c r="I22" i="42"/>
  <c r="H22" i="42"/>
  <c r="G22" i="42"/>
  <c r="F22" i="42"/>
  <c r="J25" i="40"/>
  <c r="I25" i="40"/>
  <c r="J19" i="40"/>
  <c r="I19" i="40"/>
  <c r="H14" i="39"/>
  <c r="G14" i="39"/>
  <c r="J13" i="39"/>
  <c r="I13" i="39"/>
  <c r="J12" i="39"/>
  <c r="I12" i="39"/>
  <c r="I11" i="39"/>
  <c r="J10" i="39"/>
  <c r="I10" i="39"/>
  <c r="J9" i="39"/>
  <c r="I9" i="39"/>
  <c r="J25" i="38"/>
  <c r="I25" i="38"/>
  <c r="J17" i="38"/>
  <c r="I17" i="38"/>
  <c r="H14" i="31"/>
  <c r="H19" i="31" s="1"/>
  <c r="H14" i="30"/>
  <c r="H19" i="30" s="1"/>
  <c r="J43" i="29"/>
  <c r="J48" i="29" s="1"/>
  <c r="H43" i="29"/>
  <c r="H48" i="29" s="1"/>
  <c r="F43" i="29"/>
  <c r="F48" i="29" s="1"/>
  <c r="J19" i="28"/>
  <c r="I19" i="28"/>
  <c r="J23" i="27"/>
  <c r="I23" i="27"/>
  <c r="J17" i="27"/>
  <c r="I17" i="27"/>
  <c r="J18" i="24"/>
  <c r="I18" i="24"/>
  <c r="G23" i="22"/>
  <c r="G20" i="22"/>
  <c r="G14" i="22"/>
  <c r="L23" i="20"/>
  <c r="L15" i="20"/>
  <c r="I27" i="18"/>
  <c r="G27" i="18"/>
  <c r="F27" i="18"/>
  <c r="I24" i="18"/>
  <c r="G24" i="18"/>
  <c r="F24" i="18"/>
  <c r="I16" i="18"/>
  <c r="G16" i="18"/>
  <c r="F16" i="18"/>
  <c r="I11" i="18"/>
  <c r="G11" i="18"/>
  <c r="F11" i="18"/>
  <c r="F31" i="16"/>
  <c r="I45" i="16"/>
  <c r="H45" i="16"/>
  <c r="G45" i="16"/>
  <c r="F21" i="16"/>
  <c r="F15" i="16"/>
  <c r="G38" i="10"/>
  <c r="G38" i="11" s="1"/>
  <c r="N25" i="117"/>
  <c r="J25" i="117"/>
  <c r="E25" i="117"/>
  <c r="J24" i="117"/>
  <c r="E24" i="117"/>
  <c r="N23" i="117"/>
  <c r="J23" i="117"/>
  <c r="E23" i="117"/>
  <c r="N22" i="117"/>
  <c r="J22" i="117"/>
  <c r="E22" i="117"/>
  <c r="N21" i="117"/>
  <c r="J21" i="117"/>
  <c r="E21" i="117"/>
  <c r="N20" i="117"/>
  <c r="J20" i="117"/>
  <c r="E20" i="117"/>
  <c r="N19" i="117"/>
  <c r="J19" i="117"/>
  <c r="E19" i="117"/>
  <c r="N18" i="117"/>
  <c r="J18" i="117"/>
  <c r="E18" i="117"/>
  <c r="N17" i="117"/>
  <c r="J17" i="117"/>
  <c r="E17" i="117"/>
  <c r="N16" i="117"/>
  <c r="J16" i="117"/>
  <c r="E16" i="117"/>
  <c r="N15" i="117"/>
  <c r="J15" i="117"/>
  <c r="E15" i="117"/>
  <c r="N14" i="117"/>
  <c r="J14" i="117"/>
  <c r="E14" i="117"/>
  <c r="N13" i="117"/>
  <c r="J13" i="117"/>
  <c r="E13" i="117"/>
  <c r="N12" i="117"/>
  <c r="J12" i="117"/>
  <c r="E12" i="117"/>
  <c r="N11" i="117"/>
  <c r="J11" i="117"/>
  <c r="E11" i="117"/>
  <c r="N10" i="117"/>
  <c r="J10" i="117"/>
  <c r="E10" i="117"/>
  <c r="N9" i="117"/>
  <c r="J9" i="117"/>
  <c r="E9" i="117"/>
  <c r="N8" i="117"/>
  <c r="J8" i="117"/>
  <c r="E8" i="117"/>
  <c r="N7" i="117"/>
  <c r="J7" i="117"/>
  <c r="E7" i="117"/>
  <c r="N6" i="117"/>
  <c r="J6" i="117"/>
  <c r="E6" i="117"/>
  <c r="N5" i="117"/>
  <c r="J5" i="117"/>
  <c r="E5" i="117"/>
  <c r="N4" i="117"/>
  <c r="J4" i="117"/>
  <c r="CK9" i="113"/>
  <c r="CJ9" i="113"/>
  <c r="CI9" i="113"/>
  <c r="CH9" i="113"/>
  <c r="CG9" i="113"/>
  <c r="CF9" i="113"/>
  <c r="CE9" i="113"/>
  <c r="CD9" i="113"/>
  <c r="CC9" i="113"/>
  <c r="CB9" i="113"/>
  <c r="CA9" i="113"/>
  <c r="BZ9" i="113"/>
  <c r="BY9" i="113"/>
  <c r="BX9" i="113"/>
  <c r="BW9" i="113"/>
  <c r="BV9" i="113"/>
  <c r="BU9" i="113"/>
  <c r="BT9" i="113"/>
  <c r="BS9" i="113"/>
  <c r="BR9" i="113"/>
  <c r="BQ9" i="113"/>
  <c r="BP9" i="113"/>
  <c r="BO9" i="113"/>
  <c r="BN9" i="113"/>
  <c r="BM9" i="113"/>
  <c r="BL9" i="113"/>
  <c r="BK9" i="113"/>
  <c r="BJ9" i="113"/>
  <c r="BI9" i="113"/>
  <c r="BH9" i="113"/>
  <c r="BG9" i="113"/>
  <c r="BF9" i="113"/>
  <c r="BE9" i="113"/>
  <c r="BD9" i="113"/>
  <c r="BC9" i="113"/>
  <c r="BB9" i="113"/>
  <c r="BA9" i="113"/>
  <c r="AZ9" i="113"/>
  <c r="AY9" i="113"/>
  <c r="AX9" i="113"/>
  <c r="AW9" i="113"/>
  <c r="AV9" i="113"/>
  <c r="AU9" i="113"/>
  <c r="AT9" i="113"/>
  <c r="AS9" i="113"/>
  <c r="AR9" i="113"/>
  <c r="AQ9" i="113"/>
  <c r="AP9" i="113"/>
  <c r="AO9" i="113"/>
  <c r="AN9" i="113"/>
  <c r="AM9" i="113"/>
  <c r="AL9" i="113"/>
  <c r="AK9" i="113"/>
  <c r="AJ9" i="113"/>
  <c r="AI9" i="113"/>
  <c r="AH9" i="113"/>
  <c r="AG9" i="113"/>
  <c r="AF9" i="113"/>
  <c r="AE9" i="113"/>
  <c r="AD9" i="113"/>
  <c r="AC9" i="113"/>
  <c r="AB9" i="113"/>
  <c r="AA9" i="113"/>
  <c r="Z9" i="113"/>
  <c r="Y9" i="113"/>
  <c r="X9" i="113"/>
  <c r="W9" i="113"/>
  <c r="V9" i="113"/>
  <c r="U9" i="113"/>
  <c r="T9" i="113"/>
  <c r="S9" i="113"/>
  <c r="R9" i="113"/>
  <c r="Q9" i="113"/>
  <c r="P9" i="113"/>
  <c r="O9" i="113"/>
  <c r="N9" i="113"/>
  <c r="M9" i="113"/>
  <c r="L9" i="113"/>
  <c r="K9" i="113"/>
  <c r="J9" i="113"/>
  <c r="I9" i="113"/>
  <c r="H9" i="113"/>
  <c r="G9" i="113"/>
  <c r="F9" i="113"/>
  <c r="E9" i="113"/>
  <c r="D9" i="113"/>
  <c r="CK8" i="113"/>
  <c r="CJ8" i="113"/>
  <c r="CI8" i="113"/>
  <c r="CH8" i="113"/>
  <c r="CG8" i="113"/>
  <c r="CF8" i="113"/>
  <c r="CE8" i="113"/>
  <c r="CD8" i="113"/>
  <c r="CC8" i="113"/>
  <c r="CB8" i="113"/>
  <c r="CA8" i="113"/>
  <c r="BZ8" i="113"/>
  <c r="BY8" i="113"/>
  <c r="BX8" i="113"/>
  <c r="BW8" i="113"/>
  <c r="BV8" i="113"/>
  <c r="BU8" i="113"/>
  <c r="BT8" i="113"/>
  <c r="BS8" i="113"/>
  <c r="BR8" i="113"/>
  <c r="BQ8" i="113"/>
  <c r="BP8" i="113"/>
  <c r="BO8" i="113"/>
  <c r="BN8" i="113"/>
  <c r="BM8" i="113"/>
  <c r="BL8" i="113"/>
  <c r="BK8" i="113"/>
  <c r="BJ8" i="113"/>
  <c r="BI8" i="113"/>
  <c r="BH8" i="113"/>
  <c r="BG8" i="113"/>
  <c r="BF8" i="113"/>
  <c r="BE8" i="113"/>
  <c r="BD8" i="113"/>
  <c r="BC8" i="113"/>
  <c r="BB8" i="113"/>
  <c r="BA8" i="113"/>
  <c r="AZ8" i="113"/>
  <c r="AY8" i="113"/>
  <c r="AX8" i="113"/>
  <c r="AW8" i="113"/>
  <c r="AV8" i="113"/>
  <c r="AU8" i="113"/>
  <c r="AT8" i="113"/>
  <c r="AS8" i="113"/>
  <c r="AR8" i="113"/>
  <c r="AQ8" i="113"/>
  <c r="AP8" i="113"/>
  <c r="AO8" i="113"/>
  <c r="AN8" i="113"/>
  <c r="AM8" i="113"/>
  <c r="AL8" i="113"/>
  <c r="AK8" i="113"/>
  <c r="AJ8" i="113"/>
  <c r="AI8" i="113"/>
  <c r="AH8" i="113"/>
  <c r="AG8" i="113"/>
  <c r="AF8" i="113"/>
  <c r="AE8" i="113"/>
  <c r="AD8" i="113"/>
  <c r="AC8" i="113"/>
  <c r="AB8" i="113"/>
  <c r="AA8" i="113"/>
  <c r="Z8" i="113"/>
  <c r="Y8" i="113"/>
  <c r="X8" i="113"/>
  <c r="W8" i="113"/>
  <c r="V8" i="113"/>
  <c r="U8" i="113"/>
  <c r="T8" i="113"/>
  <c r="S8" i="113"/>
  <c r="R8" i="113"/>
  <c r="Q8" i="113"/>
  <c r="P8" i="113"/>
  <c r="O8" i="113"/>
  <c r="N8" i="113"/>
  <c r="M8" i="113"/>
  <c r="L8" i="113"/>
  <c r="K8" i="113"/>
  <c r="J8" i="113"/>
  <c r="I8" i="113"/>
  <c r="H8" i="113"/>
  <c r="G8" i="113"/>
  <c r="F8" i="113"/>
  <c r="E8" i="113"/>
  <c r="D8" i="113"/>
  <c r="CK7" i="113"/>
  <c r="CJ7" i="113"/>
  <c r="CI7" i="113"/>
  <c r="CH7" i="113"/>
  <c r="CG7" i="113"/>
  <c r="CF7" i="113"/>
  <c r="CE7" i="113"/>
  <c r="CD7" i="113"/>
  <c r="CC7" i="113"/>
  <c r="CB7" i="113"/>
  <c r="CA7" i="113"/>
  <c r="BZ7" i="113"/>
  <c r="BY7" i="113"/>
  <c r="BX7" i="113"/>
  <c r="BW7" i="113"/>
  <c r="BV7" i="113"/>
  <c r="BU7" i="113"/>
  <c r="BT7" i="113"/>
  <c r="BS7" i="113"/>
  <c r="BR7" i="113"/>
  <c r="BQ7" i="113"/>
  <c r="BP7" i="113"/>
  <c r="BO7" i="113"/>
  <c r="BN7" i="113"/>
  <c r="BM7" i="113"/>
  <c r="BL7" i="113"/>
  <c r="BK7" i="113"/>
  <c r="BJ7" i="113"/>
  <c r="BI7" i="113"/>
  <c r="BH7" i="113"/>
  <c r="BG7" i="113"/>
  <c r="BF7" i="113"/>
  <c r="BE7" i="113"/>
  <c r="BD7" i="113"/>
  <c r="BC7" i="113"/>
  <c r="BB7" i="113"/>
  <c r="BA7" i="113"/>
  <c r="AZ7" i="113"/>
  <c r="AY7" i="113"/>
  <c r="AX7" i="113"/>
  <c r="AW7" i="113"/>
  <c r="AV7" i="113"/>
  <c r="AU7" i="113"/>
  <c r="AT7" i="113"/>
  <c r="AS7" i="113"/>
  <c r="AR7" i="113"/>
  <c r="AQ7" i="113"/>
  <c r="AP7" i="113"/>
  <c r="AO7" i="113"/>
  <c r="AN7" i="113"/>
  <c r="AM7" i="113"/>
  <c r="AL7" i="113"/>
  <c r="AK7" i="113"/>
  <c r="AJ7" i="113"/>
  <c r="AI7" i="113"/>
  <c r="AH7" i="113"/>
  <c r="AG7" i="113"/>
  <c r="AF7" i="113"/>
  <c r="AE7" i="113"/>
  <c r="AD7" i="113"/>
  <c r="AC7" i="113"/>
  <c r="AB7" i="113"/>
  <c r="AA7" i="113"/>
  <c r="Z7" i="113"/>
  <c r="Y7" i="113"/>
  <c r="X7" i="113"/>
  <c r="W7" i="113"/>
  <c r="V7" i="113"/>
  <c r="U7" i="113"/>
  <c r="T7" i="113"/>
  <c r="S7" i="113"/>
  <c r="R7" i="113"/>
  <c r="Q7" i="113"/>
  <c r="P7" i="113"/>
  <c r="O7" i="113"/>
  <c r="N7" i="113"/>
  <c r="M7" i="113"/>
  <c r="L7" i="113"/>
  <c r="K7" i="113"/>
  <c r="J7" i="113"/>
  <c r="I7" i="113"/>
  <c r="H7" i="113"/>
  <c r="G7" i="113"/>
  <c r="F7" i="113"/>
  <c r="E7" i="113"/>
  <c r="D7" i="113"/>
  <c r="CK6" i="113"/>
  <c r="CJ6" i="113"/>
  <c r="CI6" i="113"/>
  <c r="CH6" i="113"/>
  <c r="CG6" i="113"/>
  <c r="CF6" i="113"/>
  <c r="CE6" i="113"/>
  <c r="CD6" i="113"/>
  <c r="CC6" i="113"/>
  <c r="CB6" i="113"/>
  <c r="CA6" i="113"/>
  <c r="BZ6" i="113"/>
  <c r="BY6" i="113"/>
  <c r="BX6" i="113"/>
  <c r="BW6" i="113"/>
  <c r="BV6" i="113"/>
  <c r="BU6" i="113"/>
  <c r="BT6" i="113"/>
  <c r="BS6" i="113"/>
  <c r="BR6" i="113"/>
  <c r="BQ6" i="113"/>
  <c r="BP6" i="113"/>
  <c r="BO6" i="113"/>
  <c r="BN6" i="113"/>
  <c r="BM6" i="113"/>
  <c r="BL6" i="113"/>
  <c r="BK6" i="113"/>
  <c r="BJ6" i="113"/>
  <c r="BI6" i="113"/>
  <c r="BH6" i="113"/>
  <c r="BG6" i="113"/>
  <c r="BF6" i="113"/>
  <c r="BE6" i="113"/>
  <c r="BD6" i="113"/>
  <c r="BC6" i="113"/>
  <c r="BB6" i="113"/>
  <c r="BA6" i="113"/>
  <c r="AZ6" i="113"/>
  <c r="AY6" i="113"/>
  <c r="AX6" i="113"/>
  <c r="AW6" i="113"/>
  <c r="AV6" i="113"/>
  <c r="AU6" i="113"/>
  <c r="AT6" i="113"/>
  <c r="AS6" i="113"/>
  <c r="AR6" i="113"/>
  <c r="AQ6" i="113"/>
  <c r="AP6" i="113"/>
  <c r="AO6" i="113"/>
  <c r="AN6" i="113"/>
  <c r="AM6" i="113"/>
  <c r="AL6" i="113"/>
  <c r="AK6" i="113"/>
  <c r="AJ6" i="113"/>
  <c r="AI6" i="113"/>
  <c r="AH6" i="113"/>
  <c r="AG6" i="113"/>
  <c r="AF6" i="113"/>
  <c r="AE6" i="113"/>
  <c r="AD6" i="113"/>
  <c r="AC6" i="113"/>
  <c r="AB6" i="113"/>
  <c r="AA6" i="113"/>
  <c r="Z6" i="113"/>
  <c r="Y6" i="113"/>
  <c r="X6" i="113"/>
  <c r="W6" i="113"/>
  <c r="V6" i="113"/>
  <c r="U6" i="113"/>
  <c r="T6" i="113"/>
  <c r="S6" i="113"/>
  <c r="R6" i="113"/>
  <c r="Q6" i="113"/>
  <c r="P6" i="113"/>
  <c r="O6" i="113"/>
  <c r="N6" i="113"/>
  <c r="M6" i="113"/>
  <c r="L6" i="113"/>
  <c r="K6" i="113"/>
  <c r="J6" i="113"/>
  <c r="I6" i="113"/>
  <c r="H6" i="113"/>
  <c r="G6" i="113"/>
  <c r="F6" i="113"/>
  <c r="E6" i="113"/>
  <c r="D6" i="113"/>
  <c r="CK5" i="113"/>
  <c r="CJ5" i="113"/>
  <c r="CI5" i="113"/>
  <c r="CH5" i="113"/>
  <c r="CG5" i="113"/>
  <c r="CF5" i="113"/>
  <c r="CE5" i="113"/>
  <c r="CD5" i="113"/>
  <c r="CC5" i="113"/>
  <c r="CB5" i="113"/>
  <c r="CA5" i="113"/>
  <c r="BZ5" i="113"/>
  <c r="BY5" i="113"/>
  <c r="BX5" i="113"/>
  <c r="BW5" i="113"/>
  <c r="BV5" i="113"/>
  <c r="BU5" i="113"/>
  <c r="BT5" i="113"/>
  <c r="BS5" i="113"/>
  <c r="BR5" i="113"/>
  <c r="BQ5" i="113"/>
  <c r="BP5" i="113"/>
  <c r="BO5" i="113"/>
  <c r="BN5" i="113"/>
  <c r="BM5" i="113"/>
  <c r="BL5" i="113"/>
  <c r="BK5" i="113"/>
  <c r="BJ5" i="113"/>
  <c r="BI5" i="113"/>
  <c r="BH5" i="113"/>
  <c r="BG5" i="113"/>
  <c r="BF5" i="113"/>
  <c r="BE5" i="113"/>
  <c r="BD5" i="113"/>
  <c r="BC5" i="113"/>
  <c r="BB5" i="113"/>
  <c r="BA5" i="113"/>
  <c r="AZ5" i="113"/>
  <c r="AY5" i="113"/>
  <c r="AX5" i="113"/>
  <c r="AW5" i="113"/>
  <c r="AV5" i="113"/>
  <c r="AU5" i="113"/>
  <c r="AT5" i="113"/>
  <c r="AS5" i="113"/>
  <c r="AR5" i="113"/>
  <c r="AQ5" i="113"/>
  <c r="AP5" i="113"/>
  <c r="AO5" i="113"/>
  <c r="AN5" i="113"/>
  <c r="AM5" i="113"/>
  <c r="AL5" i="113"/>
  <c r="AK5" i="113"/>
  <c r="AJ5" i="113"/>
  <c r="AI5" i="113"/>
  <c r="AH5" i="113"/>
  <c r="AG5" i="113"/>
  <c r="AF5" i="113"/>
  <c r="AE5" i="113"/>
  <c r="AD5" i="113"/>
  <c r="AC5" i="113"/>
  <c r="AB5" i="113"/>
  <c r="AA5" i="113"/>
  <c r="Z5" i="113"/>
  <c r="Y5" i="113"/>
  <c r="X5" i="113"/>
  <c r="W5" i="113"/>
  <c r="V5" i="113"/>
  <c r="U5" i="113"/>
  <c r="T5" i="113"/>
  <c r="S5" i="113"/>
  <c r="R5" i="113"/>
  <c r="Q5" i="113"/>
  <c r="P5" i="113"/>
  <c r="O5" i="113"/>
  <c r="N5" i="113"/>
  <c r="M5" i="113"/>
  <c r="L5" i="113"/>
  <c r="K5" i="113"/>
  <c r="J5" i="113"/>
  <c r="I5" i="113"/>
  <c r="H5" i="113"/>
  <c r="G5" i="113"/>
  <c r="F5" i="113"/>
  <c r="E5" i="113"/>
  <c r="D5" i="113"/>
  <c r="CK4" i="113"/>
  <c r="CJ4" i="113"/>
  <c r="CI4" i="113"/>
  <c r="CH4" i="113"/>
  <c r="CG4" i="113"/>
  <c r="CF4" i="113"/>
  <c r="CE4" i="113"/>
  <c r="CD4" i="113"/>
  <c r="CC4" i="113"/>
  <c r="CB4" i="113"/>
  <c r="CA4" i="113"/>
  <c r="BZ4" i="113"/>
  <c r="BY4" i="113"/>
  <c r="BX4" i="113"/>
  <c r="BW4" i="113"/>
  <c r="BV4" i="113"/>
  <c r="BU4" i="113"/>
  <c r="BT4" i="113"/>
  <c r="BS4" i="113"/>
  <c r="BR4" i="113"/>
  <c r="BQ4" i="113"/>
  <c r="BP4" i="113"/>
  <c r="BO4" i="113"/>
  <c r="BN4" i="113"/>
  <c r="BM4" i="113"/>
  <c r="BL4" i="113"/>
  <c r="BK4" i="113"/>
  <c r="BJ4" i="113"/>
  <c r="BI4" i="113"/>
  <c r="BH4" i="113"/>
  <c r="BG4" i="113"/>
  <c r="BF4" i="113"/>
  <c r="BE4" i="113"/>
  <c r="BD4" i="113"/>
  <c r="BC4" i="113"/>
  <c r="BB4" i="113"/>
  <c r="BA4" i="113"/>
  <c r="AZ4" i="113"/>
  <c r="AY4" i="113"/>
  <c r="AX4" i="113"/>
  <c r="AW4" i="113"/>
  <c r="AV4" i="113"/>
  <c r="AU4" i="113"/>
  <c r="AT4" i="113"/>
  <c r="AS4" i="113"/>
  <c r="AR4" i="113"/>
  <c r="AQ4" i="113"/>
  <c r="AP4" i="113"/>
  <c r="AO4" i="113"/>
  <c r="AN4" i="113"/>
  <c r="AM4" i="113"/>
  <c r="AL4" i="113"/>
  <c r="AK4" i="113"/>
  <c r="AJ4" i="113"/>
  <c r="AI4" i="113"/>
  <c r="AH4" i="113"/>
  <c r="AG4" i="113"/>
  <c r="AF4" i="113"/>
  <c r="AE4" i="113"/>
  <c r="AD4" i="113"/>
  <c r="AC4" i="113"/>
  <c r="AB4" i="113"/>
  <c r="AA4" i="113"/>
  <c r="Z4" i="113"/>
  <c r="Y4" i="113"/>
  <c r="X4" i="113"/>
  <c r="W4" i="113"/>
  <c r="V4" i="113"/>
  <c r="U4" i="113"/>
  <c r="T4" i="113"/>
  <c r="S4" i="113"/>
  <c r="R4" i="113"/>
  <c r="Q4" i="113"/>
  <c r="P4" i="113"/>
  <c r="O4" i="113"/>
  <c r="N4" i="113"/>
  <c r="M4" i="113"/>
  <c r="L4" i="113"/>
  <c r="K4" i="113"/>
  <c r="J4" i="113"/>
  <c r="I4" i="113"/>
  <c r="H4" i="113"/>
  <c r="G4" i="113"/>
  <c r="F4" i="113"/>
  <c r="E4" i="113"/>
  <c r="D4" i="113"/>
  <c r="CK3" i="113"/>
  <c r="CJ3" i="113"/>
  <c r="CI3" i="113"/>
  <c r="CH3" i="113"/>
  <c r="CG3" i="113"/>
  <c r="CF3" i="113"/>
  <c r="CE3" i="113"/>
  <c r="CD3" i="113"/>
  <c r="CC3" i="113"/>
  <c r="CB3" i="113"/>
  <c r="CA3" i="113"/>
  <c r="BZ3" i="113"/>
  <c r="BY3" i="113"/>
  <c r="BX3" i="113"/>
  <c r="BW3" i="113"/>
  <c r="BV3" i="113"/>
  <c r="BU3" i="113"/>
  <c r="BT3" i="113"/>
  <c r="BS3" i="113"/>
  <c r="BR3" i="113"/>
  <c r="BQ3" i="113"/>
  <c r="BP3" i="113"/>
  <c r="BO3" i="113"/>
  <c r="BN3" i="113"/>
  <c r="BM3" i="113"/>
  <c r="BL3" i="113"/>
  <c r="BK3" i="113"/>
  <c r="BJ3" i="113"/>
  <c r="BI3" i="113"/>
  <c r="BH3" i="113"/>
  <c r="BG3" i="113"/>
  <c r="BF3" i="113"/>
  <c r="BE3" i="113"/>
  <c r="BD3" i="113"/>
  <c r="BC3" i="113"/>
  <c r="BB3" i="113"/>
  <c r="BA3" i="113"/>
  <c r="AZ3" i="113"/>
  <c r="AY3" i="113"/>
  <c r="AX3" i="113"/>
  <c r="AW3" i="113"/>
  <c r="AV3" i="113"/>
  <c r="AU3" i="113"/>
  <c r="AT3" i="113"/>
  <c r="AS3" i="113"/>
  <c r="AR3" i="113"/>
  <c r="AQ3" i="113"/>
  <c r="AP3" i="113"/>
  <c r="AO3" i="113"/>
  <c r="AN3" i="113"/>
  <c r="AM3" i="113"/>
  <c r="AL3" i="113"/>
  <c r="AK3" i="113"/>
  <c r="AJ3" i="113"/>
  <c r="AI3" i="113"/>
  <c r="AH3" i="113"/>
  <c r="AG3" i="113"/>
  <c r="AF3" i="113"/>
  <c r="AE3" i="113"/>
  <c r="AD3" i="113"/>
  <c r="AC3" i="113"/>
  <c r="AB3" i="113"/>
  <c r="AA3" i="113"/>
  <c r="Z3" i="113"/>
  <c r="Y3" i="113"/>
  <c r="X3" i="113"/>
  <c r="W3" i="113"/>
  <c r="V3" i="113"/>
  <c r="U3" i="113"/>
  <c r="T3" i="113"/>
  <c r="S3" i="113"/>
  <c r="R3" i="113"/>
  <c r="Q3" i="113"/>
  <c r="P3" i="113"/>
  <c r="O3" i="113"/>
  <c r="N3" i="113"/>
  <c r="M3" i="113"/>
  <c r="L3" i="113"/>
  <c r="K3" i="113"/>
  <c r="J3" i="113"/>
  <c r="I3" i="113"/>
  <c r="H3" i="113"/>
  <c r="G3" i="113"/>
  <c r="F3" i="113"/>
  <c r="E3" i="113"/>
  <c r="D3" i="113"/>
  <c r="CJ2" i="113"/>
  <c r="CI2" i="113"/>
  <c r="CH2" i="113"/>
  <c r="CG2" i="113"/>
  <c r="CF2" i="113"/>
  <c r="CE2" i="113"/>
  <c r="CD2" i="113"/>
  <c r="CC2" i="113"/>
  <c r="CB2" i="113"/>
  <c r="CA2" i="113"/>
  <c r="BZ2" i="113"/>
  <c r="BY2" i="113"/>
  <c r="BX2" i="113"/>
  <c r="BW2" i="113"/>
  <c r="BV2" i="113"/>
  <c r="BU2" i="113"/>
  <c r="BT2" i="113"/>
  <c r="BS2" i="113"/>
  <c r="BR2" i="113"/>
  <c r="BQ2" i="113"/>
  <c r="BP2" i="113"/>
  <c r="BO2" i="113"/>
  <c r="BN2" i="113"/>
  <c r="BM2" i="113"/>
  <c r="BL2" i="113"/>
  <c r="BK2" i="113"/>
  <c r="BJ2" i="113"/>
  <c r="BI2" i="113"/>
  <c r="BH2" i="113"/>
  <c r="BG2" i="113"/>
  <c r="BF2" i="113"/>
  <c r="BE2" i="113"/>
  <c r="BD2" i="113"/>
  <c r="BC2" i="113"/>
  <c r="BB2" i="113"/>
  <c r="BA2" i="113"/>
  <c r="AZ2" i="113"/>
  <c r="AY2" i="113"/>
  <c r="AX2" i="113"/>
  <c r="AW2" i="113"/>
  <c r="AV2" i="113"/>
  <c r="AU2" i="113"/>
  <c r="AT2" i="113"/>
  <c r="AS2" i="113"/>
  <c r="AR2" i="113"/>
  <c r="AQ2" i="113"/>
  <c r="AP2" i="113"/>
  <c r="AO2" i="113"/>
  <c r="AN2" i="113"/>
  <c r="AM2" i="113"/>
  <c r="AL2" i="113"/>
  <c r="AK2" i="113"/>
  <c r="AJ2" i="113"/>
  <c r="AI2" i="113"/>
  <c r="AH2" i="113"/>
  <c r="AG2" i="113"/>
  <c r="AF2" i="113"/>
  <c r="AE2" i="113"/>
  <c r="AD2" i="113"/>
  <c r="AC2" i="113"/>
  <c r="AB2" i="113"/>
  <c r="AA2" i="113"/>
  <c r="Z2" i="113"/>
  <c r="Y2" i="113"/>
  <c r="X2" i="113"/>
  <c r="W2" i="113"/>
  <c r="V2" i="113"/>
  <c r="U2" i="113"/>
  <c r="T2" i="113"/>
  <c r="S2" i="113"/>
  <c r="R2" i="113"/>
  <c r="Q2" i="113"/>
  <c r="P2" i="113"/>
  <c r="O2" i="113"/>
  <c r="N2" i="113"/>
  <c r="M2" i="113"/>
  <c r="L2" i="113"/>
  <c r="K2" i="113"/>
  <c r="J2" i="113"/>
  <c r="I2" i="113"/>
  <c r="H2" i="113"/>
  <c r="G2" i="113"/>
  <c r="F2" i="113"/>
  <c r="E2" i="113"/>
  <c r="D2" i="113"/>
  <c r="K10" i="36"/>
  <c r="I11" i="35"/>
  <c r="A11" i="91"/>
  <c r="P15" i="76"/>
  <c r="L15" i="76"/>
  <c r="J15" i="76"/>
  <c r="H15" i="76"/>
  <c r="F15" i="76"/>
  <c r="D15" i="76"/>
  <c r="N14" i="76"/>
  <c r="N13" i="76"/>
  <c r="N12" i="76"/>
  <c r="N11" i="76"/>
  <c r="N10" i="76"/>
  <c r="N9" i="76"/>
  <c r="J10" i="75"/>
  <c r="K10" i="75" s="1"/>
  <c r="I20" i="35"/>
  <c r="I18" i="35"/>
  <c r="I13" i="35"/>
  <c r="K15" i="19"/>
  <c r="J15" i="19"/>
  <c r="I15" i="19"/>
  <c r="H15" i="19"/>
  <c r="G15" i="19"/>
  <c r="F15" i="19"/>
  <c r="L14" i="19"/>
  <c r="L13" i="19"/>
  <c r="L12" i="19"/>
  <c r="L11" i="19"/>
  <c r="G39" i="12"/>
  <c r="G38" i="12"/>
  <c r="G37" i="12"/>
  <c r="G36" i="12"/>
  <c r="G35" i="12"/>
  <c r="G33" i="12"/>
  <c r="G32" i="12"/>
  <c r="G31" i="12"/>
  <c r="G30" i="12"/>
  <c r="G29" i="12"/>
  <c r="G28" i="12"/>
  <c r="G27" i="12"/>
  <c r="G26" i="12"/>
  <c r="G25" i="12"/>
  <c r="G24" i="12"/>
  <c r="G23" i="12"/>
  <c r="G22" i="12"/>
  <c r="G21" i="12"/>
  <c r="G20" i="12"/>
  <c r="G19" i="12"/>
  <c r="G18" i="12"/>
  <c r="G17" i="12"/>
  <c r="G16" i="12"/>
  <c r="G15" i="12"/>
  <c r="G14" i="12"/>
  <c r="G13" i="12"/>
  <c r="G12" i="12"/>
  <c r="G11" i="12"/>
  <c r="E39" i="11"/>
  <c r="E38" i="11"/>
  <c r="E37" i="11"/>
  <c r="E36" i="11"/>
  <c r="E35" i="11"/>
  <c r="E34" i="11"/>
  <c r="E33" i="11"/>
  <c r="E32" i="11"/>
  <c r="E31" i="11"/>
  <c r="E30" i="11"/>
  <c r="E29" i="11"/>
  <c r="E28" i="11"/>
  <c r="E27" i="11"/>
  <c r="E25" i="11"/>
  <c r="E24" i="11"/>
  <c r="E23" i="11"/>
  <c r="E21" i="11"/>
  <c r="E20" i="11"/>
  <c r="E19" i="11"/>
  <c r="E16" i="11"/>
  <c r="E15" i="11"/>
  <c r="E14" i="11"/>
  <c r="E13" i="11"/>
  <c r="E12" i="11"/>
  <c r="E11" i="11"/>
  <c r="R6" i="112"/>
  <c r="F9" i="58"/>
  <c r="K12" i="36"/>
  <c r="L13" i="60"/>
  <c r="G10" i="73"/>
  <c r="I10" i="73"/>
  <c r="J14" i="61"/>
  <c r="J11" i="75"/>
  <c r="J13" i="60"/>
  <c r="F13" i="60"/>
  <c r="K11" i="75"/>
  <c r="I12" i="23"/>
  <c r="F14" i="61"/>
  <c r="P13" i="60"/>
  <c r="H12" i="23"/>
  <c r="H9" i="43"/>
  <c r="G13" i="60"/>
  <c r="G9" i="58"/>
  <c r="K14" i="61"/>
  <c r="O13" i="60"/>
  <c r="L11" i="75"/>
  <c r="F27" i="48"/>
  <c r="F12" i="23"/>
  <c r="H11" i="75"/>
  <c r="E13" i="60"/>
  <c r="G11" i="75"/>
  <c r="H13" i="60"/>
  <c r="H12" i="43"/>
  <c r="I11" i="75"/>
  <c r="H14" i="61"/>
  <c r="M13" i="60"/>
  <c r="K13" i="60"/>
  <c r="Y30" i="8"/>
  <c r="L14" i="61"/>
  <c r="G12" i="23"/>
  <c r="G9" i="43"/>
  <c r="G14" i="61"/>
  <c r="I14" i="61"/>
  <c r="I13" i="60"/>
  <c r="H10" i="73"/>
  <c r="G12" i="43"/>
  <c r="N13" i="60"/>
  <c r="G27" i="48"/>
  <c r="F19" i="58"/>
  <c r="G19" i="58"/>
  <c r="W105" i="118" l="1" a="1"/>
  <c r="W105" i="118" s="1"/>
  <c r="J152" i="118" a="1"/>
  <c r="J152" i="118" s="1"/>
  <c r="W137" i="118" a="1"/>
  <c r="W137" i="118" s="1"/>
  <c r="W121" i="118" a="1"/>
  <c r="W121" i="118" s="1"/>
  <c r="W73" i="118" a="1"/>
  <c r="W73" i="118" s="1"/>
  <c r="W89" i="118" a="1"/>
  <c r="W89" i="118" s="1"/>
  <c r="J168" i="118" a="1"/>
  <c r="J168" i="118" s="1"/>
  <c r="W153" i="118" a="1"/>
  <c r="W153" i="118" s="1"/>
  <c r="J165" i="118" a="1"/>
  <c r="J165" i="118" s="1"/>
  <c r="J101" i="118" a="1"/>
  <c r="J101" i="118" s="1"/>
  <c r="J21" i="118" a="1"/>
  <c r="J21" i="118" s="1"/>
  <c r="J108" i="118" a="1"/>
  <c r="J108" i="118" s="1"/>
  <c r="J104" i="118" a="1"/>
  <c r="J104" i="118" s="1"/>
  <c r="L104" i="118" s="1"/>
  <c r="J117" i="118" a="1"/>
  <c r="J117" i="118" s="1"/>
  <c r="J37" i="118" a="1"/>
  <c r="J37" i="118" s="1"/>
  <c r="J71" i="118" a="1"/>
  <c r="J71" i="118" s="1"/>
  <c r="J156" i="118" a="1"/>
  <c r="J156" i="118" s="1"/>
  <c r="J136" i="118" a="1"/>
  <c r="J136" i="118" s="1"/>
  <c r="J69" i="118" a="1"/>
  <c r="J69" i="118" s="1"/>
  <c r="J55" i="118" a="1"/>
  <c r="J55" i="118" s="1"/>
  <c r="J120" i="118" a="1"/>
  <c r="J120" i="118" s="1"/>
  <c r="J149" i="118" a="1"/>
  <c r="J149" i="118" s="1"/>
  <c r="J85" i="118" a="1"/>
  <c r="J85" i="118" s="1"/>
  <c r="J140" i="118" a="1"/>
  <c r="J140" i="118" s="1"/>
  <c r="J167" i="118" a="1"/>
  <c r="J167" i="118" s="1"/>
  <c r="J133" i="118" a="1"/>
  <c r="J133" i="118" s="1"/>
  <c r="J53" i="118" a="1"/>
  <c r="J53" i="118" s="1"/>
  <c r="J128" i="118" a="1"/>
  <c r="J128" i="118" s="1"/>
  <c r="J64" i="118" a="1"/>
  <c r="J64" i="118" s="1"/>
  <c r="K64" i="118" s="1"/>
  <c r="J48" i="118" a="1"/>
  <c r="J48" i="118" s="1"/>
  <c r="J32" i="118" a="1"/>
  <c r="J32" i="118" s="1"/>
  <c r="J16" i="118" a="1"/>
  <c r="J16" i="118" s="1"/>
  <c r="J160" i="118" a="1"/>
  <c r="J160" i="118" s="1"/>
  <c r="J112" i="118" a="1"/>
  <c r="J112" i="118" s="1"/>
  <c r="J127" i="118" a="1"/>
  <c r="J127" i="118" s="1"/>
  <c r="J79" i="118" a="1"/>
  <c r="J79" i="118" s="1"/>
  <c r="J31" i="118" a="1"/>
  <c r="J31" i="118" s="1"/>
  <c r="J15" i="118" a="1"/>
  <c r="J15" i="118" s="1"/>
  <c r="J80" i="118" a="1"/>
  <c r="J80" i="118" s="1"/>
  <c r="J143" i="118" a="1"/>
  <c r="J143" i="118" s="1"/>
  <c r="J95" i="118" a="1"/>
  <c r="J95" i="118" s="1"/>
  <c r="J47" i="118" a="1"/>
  <c r="J47" i="118" s="1"/>
  <c r="J23" i="118" a="1"/>
  <c r="J23" i="118" s="1"/>
  <c r="J144" i="118" a="1"/>
  <c r="J144" i="118" s="1"/>
  <c r="J96" i="118" a="1"/>
  <c r="J96" i="118" s="1"/>
  <c r="K96" i="118" s="1"/>
  <c r="J159" i="118" a="1"/>
  <c r="J159" i="118" s="1"/>
  <c r="J111" i="118" a="1"/>
  <c r="J111" i="118" s="1"/>
  <c r="J63" i="118" a="1"/>
  <c r="J63" i="118" s="1"/>
  <c r="J157" i="118" a="1"/>
  <c r="J157" i="118" s="1"/>
  <c r="J76" i="118" a="1"/>
  <c r="J76" i="118" s="1"/>
  <c r="J44" i="118" a="1"/>
  <c r="J44" i="118" s="1"/>
  <c r="J28" i="118" a="1"/>
  <c r="J28" i="118" s="1"/>
  <c r="J12" i="118" a="1"/>
  <c r="J12" i="118" s="1"/>
  <c r="J92" i="118" a="1"/>
  <c r="J92" i="118" s="1"/>
  <c r="J60" i="118" a="1"/>
  <c r="J60" i="118" s="1"/>
  <c r="W24" i="118" a="1"/>
  <c r="W24" i="118" s="1"/>
  <c r="Y24" i="118" s="1"/>
  <c r="W29" i="118" a="1"/>
  <c r="W29" i="118" s="1"/>
  <c r="W13" i="118" a="1"/>
  <c r="W13" i="118" s="1"/>
  <c r="J170" i="118" a="1"/>
  <c r="J170" i="118" s="1"/>
  <c r="J138" i="118" a="1"/>
  <c r="J138" i="118" s="1"/>
  <c r="J106" i="118" a="1"/>
  <c r="J106" i="118" s="1"/>
  <c r="L106" i="118" s="1"/>
  <c r="J74" i="118" a="1"/>
  <c r="J74" i="118" s="1"/>
  <c r="J42" i="118" a="1"/>
  <c r="J42" i="118" s="1"/>
  <c r="J10" i="118" a="1"/>
  <c r="J10" i="118" s="1"/>
  <c r="J154" i="118" a="1"/>
  <c r="J154" i="118" s="1"/>
  <c r="J122" i="118" a="1"/>
  <c r="J122" i="118" s="1"/>
  <c r="J90" i="118" a="1"/>
  <c r="J90" i="118" s="1"/>
  <c r="J58" i="118" a="1"/>
  <c r="J58" i="118" s="1"/>
  <c r="J26" i="118" a="1"/>
  <c r="J26" i="118" s="1"/>
  <c r="J124" i="118" a="1"/>
  <c r="J124" i="118" s="1"/>
  <c r="J88" i="118" a="1"/>
  <c r="J88" i="118" s="1"/>
  <c r="J72" i="118" a="1"/>
  <c r="J72" i="118" s="1"/>
  <c r="J56" i="118" a="1"/>
  <c r="J56" i="118" s="1"/>
  <c r="J40" i="118" a="1"/>
  <c r="J40" i="118" s="1"/>
  <c r="J24" i="118" a="1"/>
  <c r="J24" i="118" s="1"/>
  <c r="X24" i="118"/>
  <c r="J166" i="118" a="1"/>
  <c r="J166" i="118" s="1"/>
  <c r="J134" i="118" a="1"/>
  <c r="J134" i="118" s="1"/>
  <c r="J102" i="118" a="1"/>
  <c r="J102" i="118" s="1"/>
  <c r="J70" i="118" a="1"/>
  <c r="J70" i="118" s="1"/>
  <c r="J38" i="118" a="1"/>
  <c r="J38" i="118" s="1"/>
  <c r="W149" i="118" a="1"/>
  <c r="W149" i="118" s="1"/>
  <c r="W133" i="118" a="1"/>
  <c r="W133" i="118" s="1"/>
  <c r="W117" i="118" a="1"/>
  <c r="W117" i="118" s="1"/>
  <c r="W101" i="118" a="1"/>
  <c r="W101" i="118" s="1"/>
  <c r="W85" i="118" a="1"/>
  <c r="W85" i="118" s="1"/>
  <c r="W69" i="118" a="1"/>
  <c r="W69" i="118" s="1"/>
  <c r="W53" i="118" a="1"/>
  <c r="W53" i="118" s="1"/>
  <c r="W38" i="118" a="1"/>
  <c r="W38" i="118" s="1"/>
  <c r="X38" i="118" s="1"/>
  <c r="W23" i="118" a="1"/>
  <c r="W23" i="118" s="1"/>
  <c r="W57" i="118" a="1"/>
  <c r="W57" i="118" s="1"/>
  <c r="W41" i="118" a="1"/>
  <c r="W41" i="118" s="1"/>
  <c r="X41" i="118" s="1"/>
  <c r="W25" i="118" a="1"/>
  <c r="W25" i="118" s="1"/>
  <c r="J87" i="118" a="1"/>
  <c r="J87" i="118" s="1"/>
  <c r="J150" i="118" a="1"/>
  <c r="J150" i="118" s="1"/>
  <c r="J118" i="118" a="1"/>
  <c r="J118" i="118" s="1"/>
  <c r="J86" i="118" a="1"/>
  <c r="J86" i="118" s="1"/>
  <c r="J54" i="118" a="1"/>
  <c r="J54" i="118" s="1"/>
  <c r="J22" i="118" a="1"/>
  <c r="J22" i="118" s="1"/>
  <c r="W148" i="118" a="1"/>
  <c r="W148" i="118" s="1"/>
  <c r="W132" i="118" a="1"/>
  <c r="W132" i="118" s="1"/>
  <c r="W116" i="118" a="1"/>
  <c r="W116" i="118" s="1"/>
  <c r="W100" i="118" a="1"/>
  <c r="W100" i="118" s="1"/>
  <c r="W84" i="118" a="1"/>
  <c r="W84" i="118" s="1"/>
  <c r="W68" i="118" a="1"/>
  <c r="W68" i="118" s="1"/>
  <c r="Y68" i="118" s="1"/>
  <c r="W52" i="118" a="1"/>
  <c r="W52" i="118" s="1"/>
  <c r="W37" i="118" a="1"/>
  <c r="W37" i="118" s="1"/>
  <c r="W21" i="118" a="1"/>
  <c r="W21" i="118" s="1"/>
  <c r="X21" i="118" s="1"/>
  <c r="W115" i="118" a="1"/>
  <c r="W115" i="118" s="1"/>
  <c r="W99" i="118" a="1"/>
  <c r="W99" i="118" s="1"/>
  <c r="W83" i="118" a="1"/>
  <c r="W83" i="118" s="1"/>
  <c r="W67" i="118" a="1"/>
  <c r="W67" i="118" s="1"/>
  <c r="W51" i="118" a="1"/>
  <c r="W51" i="118" s="1"/>
  <c r="W36" i="118" a="1"/>
  <c r="W36" i="118" s="1"/>
  <c r="W20" i="118" a="1"/>
  <c r="W20" i="118" s="1"/>
  <c r="J84" i="118" a="1"/>
  <c r="J84" i="118" s="1"/>
  <c r="J83" i="118" a="1"/>
  <c r="J83" i="118" s="1"/>
  <c r="J67" i="118" a="1"/>
  <c r="J67" i="118" s="1"/>
  <c r="J51" i="118" a="1"/>
  <c r="J51" i="118" s="1"/>
  <c r="J35" i="118" a="1"/>
  <c r="J35" i="118" s="1"/>
  <c r="J19" i="118" a="1"/>
  <c r="J19" i="118" s="1"/>
  <c r="L19" i="118" s="1"/>
  <c r="W146" i="118" a="1"/>
  <c r="W146" i="118" s="1"/>
  <c r="W130" i="118" a="1"/>
  <c r="W130" i="118" s="1"/>
  <c r="W114" i="118" a="1"/>
  <c r="W114" i="118" s="1"/>
  <c r="X114" i="118" s="1"/>
  <c r="W98" i="118" a="1"/>
  <c r="W98" i="118" s="1"/>
  <c r="W82" i="118" a="1"/>
  <c r="W82" i="118" s="1"/>
  <c r="W66" i="118" a="1"/>
  <c r="W66" i="118" s="1"/>
  <c r="W50" i="118" a="1"/>
  <c r="W50" i="118" s="1"/>
  <c r="W35" i="118" a="1"/>
  <c r="W35" i="118" s="1"/>
  <c r="W19" i="118" a="1"/>
  <c r="W19" i="118" s="1"/>
  <c r="W22" i="118" a="1"/>
  <c r="W22" i="118" s="1"/>
  <c r="J100" i="118" a="1"/>
  <c r="J100" i="118" s="1"/>
  <c r="J115" i="118" a="1"/>
  <c r="J115" i="118" s="1"/>
  <c r="J130" i="118" a="1"/>
  <c r="J130" i="118" s="1"/>
  <c r="J66" i="118" a="1"/>
  <c r="J66" i="118" s="1"/>
  <c r="J50" i="118" a="1"/>
  <c r="J50" i="118" s="1"/>
  <c r="J34" i="118" a="1"/>
  <c r="J34" i="118" s="1"/>
  <c r="K34" i="118" s="1"/>
  <c r="J18" i="118" a="1"/>
  <c r="J18" i="118" s="1"/>
  <c r="W145" i="118" a="1"/>
  <c r="W145" i="118" s="1"/>
  <c r="W129" i="118" a="1"/>
  <c r="W129" i="118" s="1"/>
  <c r="X129" i="118" s="1"/>
  <c r="W113" i="118" a="1"/>
  <c r="W113" i="118" s="1"/>
  <c r="W97" i="118" a="1"/>
  <c r="W97" i="118" s="1"/>
  <c r="W81" i="118" a="1"/>
  <c r="W81" i="118" s="1"/>
  <c r="W65" i="118" a="1"/>
  <c r="W65" i="118" s="1"/>
  <c r="W49" i="118" a="1"/>
  <c r="W49" i="118" s="1"/>
  <c r="W34" i="118" a="1"/>
  <c r="W34" i="118" s="1"/>
  <c r="W18" i="118" a="1"/>
  <c r="W18" i="118" s="1"/>
  <c r="J103" i="118" a="1"/>
  <c r="J103" i="118" s="1"/>
  <c r="J20" i="118" a="1"/>
  <c r="J20" i="118" s="1"/>
  <c r="J146" i="118" a="1"/>
  <c r="J146" i="118" s="1"/>
  <c r="J98" i="118" a="1"/>
  <c r="J98" i="118" s="1"/>
  <c r="J129" i="118" a="1"/>
  <c r="J129" i="118" s="1"/>
  <c r="J81" i="118" a="1"/>
  <c r="J81" i="118" s="1"/>
  <c r="K81" i="118" s="1"/>
  <c r="J33" i="118" a="1"/>
  <c r="J33" i="118" s="1"/>
  <c r="W144" i="118" a="1"/>
  <c r="W144" i="118" s="1"/>
  <c r="W128" i="118" a="1"/>
  <c r="W128" i="118" s="1"/>
  <c r="X128" i="118" s="1"/>
  <c r="W112" i="118" a="1"/>
  <c r="W112" i="118" s="1"/>
  <c r="W96" i="118" a="1"/>
  <c r="W96" i="118" s="1"/>
  <c r="W80" i="118" a="1"/>
  <c r="W80" i="118" s="1"/>
  <c r="W64" i="118" a="1"/>
  <c r="W64" i="118" s="1"/>
  <c r="W33" i="118" a="1"/>
  <c r="W33" i="118" s="1"/>
  <c r="W17" i="118" a="1"/>
  <c r="W17" i="118" s="1"/>
  <c r="J148" i="118" a="1"/>
  <c r="J148" i="118" s="1"/>
  <c r="J99" i="118" a="1"/>
  <c r="J99" i="118" s="1"/>
  <c r="J82" i="118" a="1"/>
  <c r="J82" i="118" s="1"/>
  <c r="J145" i="118" a="1"/>
  <c r="J145" i="118" s="1"/>
  <c r="J97" i="118" a="1"/>
  <c r="J97" i="118" s="1"/>
  <c r="J49" i="118" a="1"/>
  <c r="J49" i="118" s="1"/>
  <c r="J17" i="118" a="1"/>
  <c r="J17" i="118" s="1"/>
  <c r="K17" i="118" s="1"/>
  <c r="W143" i="118" a="1"/>
  <c r="W143" i="118" s="1"/>
  <c r="W127" i="118" a="1"/>
  <c r="W127" i="118" s="1"/>
  <c r="W111" i="118" a="1"/>
  <c r="W111" i="118" s="1"/>
  <c r="Y111" i="118" s="1"/>
  <c r="W95" i="118" a="1"/>
  <c r="W95" i="118" s="1"/>
  <c r="W79" i="118" a="1"/>
  <c r="W79" i="118" s="1"/>
  <c r="W63" i="118" a="1"/>
  <c r="W63" i="118" s="1"/>
  <c r="W48" i="118" a="1"/>
  <c r="W48" i="118" s="1"/>
  <c r="J151" i="118" a="1"/>
  <c r="J151" i="118" s="1"/>
  <c r="W147" i="118" a="1"/>
  <c r="W147" i="118" s="1"/>
  <c r="J162" i="118" a="1"/>
  <c r="J162" i="118" s="1"/>
  <c r="J114" i="118" a="1"/>
  <c r="J114" i="118" s="1"/>
  <c r="J161" i="118" a="1"/>
  <c r="J161" i="118" s="1"/>
  <c r="J113" i="118" a="1"/>
  <c r="J113" i="118" s="1"/>
  <c r="J65" i="118" a="1"/>
  <c r="J65" i="118" s="1"/>
  <c r="W142" i="118" a="1"/>
  <c r="W142" i="118" s="1"/>
  <c r="W126" i="118" a="1"/>
  <c r="W126" i="118" s="1"/>
  <c r="Y126" i="118" s="1"/>
  <c r="W110" i="118" a="1"/>
  <c r="W110" i="118" s="1"/>
  <c r="W94" i="118" a="1"/>
  <c r="W94" i="118" s="1"/>
  <c r="W78" i="118" a="1"/>
  <c r="W78" i="118" s="1"/>
  <c r="X78" i="118" s="1"/>
  <c r="W62" i="118" a="1"/>
  <c r="W62" i="118" s="1"/>
  <c r="W47" i="118" a="1"/>
  <c r="W47" i="118" s="1"/>
  <c r="W32" i="118" a="1"/>
  <c r="W32" i="118" s="1"/>
  <c r="W16" i="118" a="1"/>
  <c r="W16" i="118" s="1"/>
  <c r="J164" i="118" a="1"/>
  <c r="J164" i="118" s="1"/>
  <c r="J163" i="118" a="1"/>
  <c r="J163" i="118" s="1"/>
  <c r="J94" i="118" a="1"/>
  <c r="J94" i="118" s="1"/>
  <c r="J14" i="118" a="1"/>
  <c r="J14" i="118" s="1"/>
  <c r="W141" i="118" a="1"/>
  <c r="W141" i="118" s="1"/>
  <c r="W125" i="118" a="1"/>
  <c r="W125" i="118" s="1"/>
  <c r="W109" i="118" a="1"/>
  <c r="W109" i="118" s="1"/>
  <c r="W93" i="118" a="1"/>
  <c r="W93" i="118" s="1"/>
  <c r="W77" i="118" a="1"/>
  <c r="W77" i="118" s="1"/>
  <c r="X77" i="118" s="1"/>
  <c r="W61" i="118" a="1"/>
  <c r="W61" i="118" s="1"/>
  <c r="W46" i="118" a="1"/>
  <c r="W46" i="118" s="1"/>
  <c r="W31" i="118" a="1"/>
  <c r="W31" i="118" s="1"/>
  <c r="X31" i="118" s="1"/>
  <c r="W15" i="118" a="1"/>
  <c r="W15" i="118" s="1"/>
  <c r="J119" i="118" a="1"/>
  <c r="J119" i="118" s="1"/>
  <c r="J68" i="118" a="1"/>
  <c r="J68" i="118" s="1"/>
  <c r="K68" i="118" s="1"/>
  <c r="J158" i="118" a="1"/>
  <c r="J158" i="118" s="1"/>
  <c r="J30" i="118" a="1"/>
  <c r="J30" i="118" s="1"/>
  <c r="J141" i="118" a="1"/>
  <c r="J141" i="118" s="1"/>
  <c r="J109" i="118" a="1"/>
  <c r="J109" i="118" s="1"/>
  <c r="J77" i="118" a="1"/>
  <c r="J77" i="118" s="1"/>
  <c r="J45" i="118" a="1"/>
  <c r="J45" i="118" s="1"/>
  <c r="J13" i="118" a="1"/>
  <c r="J13" i="118" s="1"/>
  <c r="W124" i="118" a="1"/>
  <c r="W124" i="118" s="1"/>
  <c r="W108" i="118" a="1"/>
  <c r="W108" i="118" s="1"/>
  <c r="W92" i="118" a="1"/>
  <c r="W92" i="118" s="1"/>
  <c r="X92" i="118" s="1"/>
  <c r="W76" i="118" a="1"/>
  <c r="W76" i="118" s="1"/>
  <c r="W60" i="118" a="1"/>
  <c r="W60" i="118" s="1"/>
  <c r="W45" i="118" a="1"/>
  <c r="W45" i="118" s="1"/>
  <c r="X45" i="118" s="1"/>
  <c r="W30" i="118" a="1"/>
  <c r="W30" i="118" s="1"/>
  <c r="W14" i="118" a="1"/>
  <c r="W14" i="118" s="1"/>
  <c r="J116" i="118" a="1"/>
  <c r="J116" i="118" s="1"/>
  <c r="K116" i="118" s="1"/>
  <c r="J147" i="118" a="1"/>
  <c r="J147" i="118" s="1"/>
  <c r="J78" i="118" a="1"/>
  <c r="J78" i="118" s="1"/>
  <c r="J125" i="118" a="1"/>
  <c r="J125" i="118" s="1"/>
  <c r="J93" i="118" a="1"/>
  <c r="J93" i="118" s="1"/>
  <c r="J61" i="118" a="1"/>
  <c r="J61" i="118" s="1"/>
  <c r="J29" i="118" a="1"/>
  <c r="J29" i="118" s="1"/>
  <c r="W140" i="118" a="1"/>
  <c r="W140" i="118" s="1"/>
  <c r="W155" i="118" a="1"/>
  <c r="W155" i="118" s="1"/>
  <c r="W139" i="118" a="1"/>
  <c r="W139" i="118" s="1"/>
  <c r="W123" i="118" a="1"/>
  <c r="W123" i="118" s="1"/>
  <c r="X123" i="118" s="1"/>
  <c r="W107" i="118" a="1"/>
  <c r="W107" i="118" s="1"/>
  <c r="W91" i="118" a="1"/>
  <c r="W91" i="118" s="1"/>
  <c r="W75" i="118" a="1"/>
  <c r="W75" i="118" s="1"/>
  <c r="Y75" i="118" s="1"/>
  <c r="W59" i="118" a="1"/>
  <c r="W59" i="118" s="1"/>
  <c r="W44" i="118" a="1"/>
  <c r="W44" i="118" s="1"/>
  <c r="J52" i="118" a="1"/>
  <c r="J52" i="118" s="1"/>
  <c r="J142" i="118" a="1"/>
  <c r="J142" i="118" s="1"/>
  <c r="J62" i="118" a="1"/>
  <c r="J62" i="118" s="1"/>
  <c r="J139" i="118" a="1"/>
  <c r="J139" i="118" s="1"/>
  <c r="J107" i="118" a="1"/>
  <c r="J107" i="118" s="1"/>
  <c r="J75" i="118" a="1"/>
  <c r="J75" i="118" s="1"/>
  <c r="J43" i="118" a="1"/>
  <c r="J43" i="118" s="1"/>
  <c r="J27" i="118" a="1"/>
  <c r="J27" i="118" s="1"/>
  <c r="W154" i="118" a="1"/>
  <c r="W154" i="118" s="1"/>
  <c r="W122" i="118" a="1"/>
  <c r="W122" i="118" s="1"/>
  <c r="W106" i="118" a="1"/>
  <c r="W106" i="118" s="1"/>
  <c r="X106" i="118" s="1"/>
  <c r="W90" i="118" a="1"/>
  <c r="W90" i="118" s="1"/>
  <c r="W74" i="118" a="1"/>
  <c r="W74" i="118" s="1"/>
  <c r="W58" i="118" a="1"/>
  <c r="W58" i="118" s="1"/>
  <c r="X58" i="118" s="1"/>
  <c r="W43" i="118" a="1"/>
  <c r="W43" i="118" s="1"/>
  <c r="W28" i="118" a="1"/>
  <c r="W28" i="118" s="1"/>
  <c r="W12" i="118" a="1"/>
  <c r="W12" i="118" s="1"/>
  <c r="X12" i="118" s="1"/>
  <c r="J132" i="118" a="1"/>
  <c r="J132" i="118" s="1"/>
  <c r="J131" i="118" a="1"/>
  <c r="J131" i="118" s="1"/>
  <c r="J46" i="118" a="1"/>
  <c r="J46" i="118" s="1"/>
  <c r="J155" i="118" a="1"/>
  <c r="J155" i="118" s="1"/>
  <c r="J123" i="118" a="1"/>
  <c r="J123" i="118" s="1"/>
  <c r="J91" i="118" a="1"/>
  <c r="J91" i="118" s="1"/>
  <c r="J59" i="118" a="1"/>
  <c r="J59" i="118" s="1"/>
  <c r="J11" i="118" a="1"/>
  <c r="J11" i="118" s="1"/>
  <c r="W138" i="118" a="1"/>
  <c r="W138" i="118" s="1"/>
  <c r="W42" i="118" a="1"/>
  <c r="W42" i="118" s="1"/>
  <c r="X42" i="118" s="1"/>
  <c r="W27" i="118" a="1"/>
  <c r="W27" i="118" s="1"/>
  <c r="W11" i="118" a="1"/>
  <c r="W11" i="118" s="1"/>
  <c r="J135" i="118" a="1"/>
  <c r="J135" i="118" s="1"/>
  <c r="K135" i="118" s="1"/>
  <c r="J36" i="118" a="1"/>
  <c r="J36" i="118" s="1"/>
  <c r="J126" i="118" a="1"/>
  <c r="J126" i="118" s="1"/>
  <c r="J169" i="118" a="1"/>
  <c r="J169" i="118" s="1"/>
  <c r="L169" i="118" s="1"/>
  <c r="J137" i="118" a="1"/>
  <c r="J137" i="118" s="1"/>
  <c r="J121" i="118" a="1"/>
  <c r="J121" i="118" s="1"/>
  <c r="J89" i="118" a="1"/>
  <c r="J89" i="118" s="1"/>
  <c r="K89" i="118" s="1"/>
  <c r="J57" i="118" a="1"/>
  <c r="J57" i="118" s="1"/>
  <c r="J25" i="118" a="1"/>
  <c r="J25" i="118" s="1"/>
  <c r="W152" i="118" a="1"/>
  <c r="W152" i="118" s="1"/>
  <c r="W136" i="118" a="1"/>
  <c r="W136" i="118" s="1"/>
  <c r="W120" i="118" a="1"/>
  <c r="W120" i="118" s="1"/>
  <c r="W104" i="118" a="1"/>
  <c r="W104" i="118" s="1"/>
  <c r="Y104" i="118" s="1"/>
  <c r="W88" i="118" a="1"/>
  <c r="W88" i="118" s="1"/>
  <c r="X88" i="118" s="1"/>
  <c r="W72" i="118" a="1"/>
  <c r="W72" i="118" s="1"/>
  <c r="X72" i="118" s="1"/>
  <c r="W56" i="118" a="1"/>
  <c r="W56" i="118" s="1"/>
  <c r="W26" i="118" a="1"/>
  <c r="W26" i="118" s="1"/>
  <c r="X26" i="118" s="1"/>
  <c r="W10" i="118" a="1"/>
  <c r="W10" i="118" s="1"/>
  <c r="Y10" i="118" s="1"/>
  <c r="W131" i="118" a="1"/>
  <c r="W131" i="118" s="1"/>
  <c r="Y131" i="118" s="1"/>
  <c r="J110" i="118" a="1"/>
  <c r="J110" i="118" s="1"/>
  <c r="K110" i="118" s="1"/>
  <c r="J153" i="118" a="1"/>
  <c r="J153" i="118" s="1"/>
  <c r="J105" i="118" a="1"/>
  <c r="J105" i="118" s="1"/>
  <c r="K105" i="118" s="1"/>
  <c r="J73" i="118" a="1"/>
  <c r="J73" i="118" s="1"/>
  <c r="L73" i="118" s="1"/>
  <c r="J41" i="118" a="1"/>
  <c r="J41" i="118" s="1"/>
  <c r="L41" i="118" s="1"/>
  <c r="W151" i="118" a="1"/>
  <c r="W151" i="118" s="1"/>
  <c r="Y151" i="118" s="1"/>
  <c r="W135" i="118" a="1"/>
  <c r="W135" i="118" s="1"/>
  <c r="Y135" i="118" s="1"/>
  <c r="W119" i="118" a="1"/>
  <c r="W119" i="118" s="1"/>
  <c r="X119" i="118" s="1"/>
  <c r="W103" i="118" a="1"/>
  <c r="W103" i="118" s="1"/>
  <c r="Y103" i="118" s="1"/>
  <c r="W87" i="118" a="1"/>
  <c r="W87" i="118" s="1"/>
  <c r="X87" i="118" s="1"/>
  <c r="W71" i="118" a="1"/>
  <c r="W71" i="118" s="1"/>
  <c r="X71" i="118" s="1"/>
  <c r="W55" i="118" a="1"/>
  <c r="W55" i="118" s="1"/>
  <c r="X55" i="118" s="1"/>
  <c r="W40" i="118" a="1"/>
  <c r="W40" i="118" s="1"/>
  <c r="J39" i="118" a="1"/>
  <c r="J39" i="118" s="1"/>
  <c r="L39" i="118" s="1"/>
  <c r="W150" i="118" a="1"/>
  <c r="W150" i="118" s="1"/>
  <c r="X150" i="118" s="1"/>
  <c r="W134" i="118" a="1"/>
  <c r="W134" i="118" s="1"/>
  <c r="X134" i="118" s="1"/>
  <c r="W118" i="118" a="1"/>
  <c r="W118" i="118" s="1"/>
  <c r="X118" i="118" s="1"/>
  <c r="W102" i="118" a="1"/>
  <c r="W102" i="118" s="1"/>
  <c r="X102" i="118" s="1"/>
  <c r="W86" i="118" a="1"/>
  <c r="W86" i="118" s="1"/>
  <c r="X86" i="118" s="1"/>
  <c r="W70" i="118" a="1"/>
  <c r="W70" i="118" s="1"/>
  <c r="X70" i="118" s="1"/>
  <c r="W54" i="118" a="1"/>
  <c r="W54" i="118" s="1"/>
  <c r="Y54" i="118" s="1"/>
  <c r="W39" i="118" a="1"/>
  <c r="W39" i="118" s="1"/>
  <c r="X39" i="118" s="1"/>
  <c r="X25" i="118"/>
  <c r="Y25" i="118"/>
  <c r="X57" i="118"/>
  <c r="Y57" i="118"/>
  <c r="Y148" i="118"/>
  <c r="X148" i="118"/>
  <c r="Y132" i="118"/>
  <c r="X132" i="118"/>
  <c r="Y116" i="118"/>
  <c r="X116" i="118"/>
  <c r="Y100" i="118"/>
  <c r="X100" i="118"/>
  <c r="Y84" i="118"/>
  <c r="X84" i="118"/>
  <c r="Y52" i="118"/>
  <c r="X52" i="118"/>
  <c r="X37" i="118"/>
  <c r="Y37" i="118"/>
  <c r="Y147" i="118"/>
  <c r="X147" i="118"/>
  <c r="Y115" i="118"/>
  <c r="X115" i="118"/>
  <c r="Y99" i="118"/>
  <c r="X99" i="118"/>
  <c r="Y83" i="118"/>
  <c r="X83" i="118"/>
  <c r="Y67" i="118"/>
  <c r="X67" i="118"/>
  <c r="Y51" i="118"/>
  <c r="X51" i="118"/>
  <c r="Y36" i="118"/>
  <c r="X36" i="118"/>
  <c r="Y20" i="118"/>
  <c r="X20" i="118"/>
  <c r="X22" i="118"/>
  <c r="Y22" i="118"/>
  <c r="X149" i="118"/>
  <c r="Y149" i="118"/>
  <c r="X130" i="118"/>
  <c r="Y130" i="118"/>
  <c r="X145" i="118"/>
  <c r="Y145" i="118"/>
  <c r="X113" i="118"/>
  <c r="Y113" i="118"/>
  <c r="X97" i="118"/>
  <c r="Y97" i="118"/>
  <c r="X81" i="118"/>
  <c r="Y81" i="118"/>
  <c r="X65" i="118"/>
  <c r="Y65" i="118"/>
  <c r="X49" i="118"/>
  <c r="Y49" i="118"/>
  <c r="X34" i="118"/>
  <c r="Y34" i="118"/>
  <c r="X18" i="118"/>
  <c r="Y18" i="118"/>
  <c r="X85" i="118"/>
  <c r="Y85" i="118"/>
  <c r="X50" i="118"/>
  <c r="Y50" i="118"/>
  <c r="X144" i="118"/>
  <c r="Y144" i="118"/>
  <c r="X112" i="118"/>
  <c r="Y112" i="118"/>
  <c r="X96" i="118"/>
  <c r="Y96" i="118"/>
  <c r="X80" i="118"/>
  <c r="Y80" i="118"/>
  <c r="X64" i="118"/>
  <c r="Y64" i="118"/>
  <c r="X33" i="118"/>
  <c r="Y33" i="118"/>
  <c r="X17" i="118"/>
  <c r="Y17" i="118"/>
  <c r="X23" i="118"/>
  <c r="Y23" i="118"/>
  <c r="X146" i="118"/>
  <c r="Y146" i="118"/>
  <c r="X143" i="118"/>
  <c r="Y143" i="118"/>
  <c r="X127" i="118"/>
  <c r="Y127" i="118"/>
  <c r="X95" i="118"/>
  <c r="Y95" i="118"/>
  <c r="X79" i="118"/>
  <c r="Y79" i="118"/>
  <c r="X63" i="118"/>
  <c r="Y63" i="118"/>
  <c r="X82" i="118"/>
  <c r="Y82" i="118"/>
  <c r="Y142" i="118"/>
  <c r="X142" i="118"/>
  <c r="Y110" i="118"/>
  <c r="X110" i="118"/>
  <c r="Y94" i="118"/>
  <c r="X94" i="118"/>
  <c r="Y62" i="118"/>
  <c r="X62" i="118"/>
  <c r="X47" i="118"/>
  <c r="Y47" i="118"/>
  <c r="X133" i="118"/>
  <c r="Y133" i="118"/>
  <c r="X101" i="118"/>
  <c r="Y101" i="118"/>
  <c r="X98" i="118"/>
  <c r="Y98" i="118"/>
  <c r="X141" i="118"/>
  <c r="Y141" i="118"/>
  <c r="X125" i="118"/>
  <c r="Y125" i="118"/>
  <c r="X109" i="118"/>
  <c r="Y109" i="118"/>
  <c r="X93" i="118"/>
  <c r="Y93" i="118"/>
  <c r="X61" i="118"/>
  <c r="Y61" i="118"/>
  <c r="Y46" i="118"/>
  <c r="X46" i="118"/>
  <c r="X15" i="118"/>
  <c r="Y15" i="118"/>
  <c r="X117" i="118"/>
  <c r="Y117" i="118"/>
  <c r="X140" i="118"/>
  <c r="Y140" i="118"/>
  <c r="X124" i="118"/>
  <c r="Y124" i="118"/>
  <c r="X108" i="118"/>
  <c r="Y108" i="118"/>
  <c r="X76" i="118"/>
  <c r="Y76" i="118"/>
  <c r="X60" i="118"/>
  <c r="Y60" i="118"/>
  <c r="Y30" i="118"/>
  <c r="X30" i="118"/>
  <c r="Y14" i="118"/>
  <c r="X14" i="118"/>
  <c r="X69" i="118"/>
  <c r="Y69" i="118"/>
  <c r="Y35" i="118"/>
  <c r="X35" i="118"/>
  <c r="X155" i="118"/>
  <c r="Y155" i="118"/>
  <c r="X139" i="118"/>
  <c r="Y139" i="118"/>
  <c r="X107" i="118"/>
  <c r="Y107" i="118"/>
  <c r="X91" i="118"/>
  <c r="Y91" i="118"/>
  <c r="X59" i="118"/>
  <c r="Y59" i="118"/>
  <c r="X44" i="118"/>
  <c r="Y44" i="118"/>
  <c r="X29" i="118"/>
  <c r="Y29" i="118"/>
  <c r="X13" i="118"/>
  <c r="Y13" i="118"/>
  <c r="X53" i="118"/>
  <c r="Y53" i="118"/>
  <c r="X154" i="118"/>
  <c r="Y154" i="118"/>
  <c r="X138" i="118"/>
  <c r="Y138" i="118"/>
  <c r="X122" i="118"/>
  <c r="Y122" i="118"/>
  <c r="X90" i="118"/>
  <c r="Y90" i="118"/>
  <c r="X74" i="118"/>
  <c r="Y74" i="118"/>
  <c r="X43" i="118"/>
  <c r="Y43" i="118"/>
  <c r="X28" i="118"/>
  <c r="Y28" i="118"/>
  <c r="X66" i="118"/>
  <c r="Y66" i="118"/>
  <c r="X153" i="118"/>
  <c r="Y153" i="118"/>
  <c r="X137" i="118"/>
  <c r="Y137" i="118"/>
  <c r="X121" i="118"/>
  <c r="Y121" i="118"/>
  <c r="X105" i="118"/>
  <c r="Y105" i="118"/>
  <c r="X89" i="118"/>
  <c r="Y89" i="118"/>
  <c r="X73" i="118"/>
  <c r="Y73" i="118"/>
  <c r="X27" i="118"/>
  <c r="Y27" i="118"/>
  <c r="X11" i="118"/>
  <c r="Y11" i="118"/>
  <c r="X152" i="118"/>
  <c r="Y152" i="118"/>
  <c r="X136" i="118"/>
  <c r="Y136" i="118"/>
  <c r="X120" i="118"/>
  <c r="Y120" i="118"/>
  <c r="Y72" i="118"/>
  <c r="X10" i="118"/>
  <c r="X135" i="118"/>
  <c r="Y119" i="118"/>
  <c r="Y19" i="118"/>
  <c r="X19" i="118"/>
  <c r="L168" i="118"/>
  <c r="K168" i="118"/>
  <c r="L152" i="118"/>
  <c r="K152" i="118"/>
  <c r="L136" i="118"/>
  <c r="K136" i="118"/>
  <c r="L120" i="118"/>
  <c r="K120" i="118"/>
  <c r="L88" i="118"/>
  <c r="K88" i="118"/>
  <c r="L72" i="118"/>
  <c r="K72" i="118"/>
  <c r="L56" i="118"/>
  <c r="K56" i="118"/>
  <c r="L40" i="118"/>
  <c r="K40" i="118"/>
  <c r="L24" i="118"/>
  <c r="K24" i="118"/>
  <c r="K71" i="118"/>
  <c r="L71" i="118"/>
  <c r="L102" i="118"/>
  <c r="K102" i="118"/>
  <c r="L165" i="118"/>
  <c r="K165" i="118"/>
  <c r="L149" i="118"/>
  <c r="K149" i="118"/>
  <c r="L133" i="118"/>
  <c r="K133" i="118"/>
  <c r="L117" i="118"/>
  <c r="K117" i="118"/>
  <c r="L101" i="118"/>
  <c r="K101" i="118"/>
  <c r="L85" i="118"/>
  <c r="K85" i="118"/>
  <c r="L69" i="118"/>
  <c r="K69" i="118"/>
  <c r="L53" i="118"/>
  <c r="K53" i="118"/>
  <c r="L37" i="118"/>
  <c r="K37" i="118"/>
  <c r="L21" i="118"/>
  <c r="K21" i="118"/>
  <c r="K167" i="118"/>
  <c r="L167" i="118"/>
  <c r="K87" i="118"/>
  <c r="L87" i="118"/>
  <c r="L54" i="118"/>
  <c r="K54" i="118"/>
  <c r="K164" i="118"/>
  <c r="L164" i="118"/>
  <c r="K148" i="118"/>
  <c r="L148" i="118"/>
  <c r="K132" i="118"/>
  <c r="L132" i="118"/>
  <c r="K100" i="118"/>
  <c r="L100" i="118"/>
  <c r="K84" i="118"/>
  <c r="L84" i="118"/>
  <c r="L68" i="118"/>
  <c r="K52" i="118"/>
  <c r="L52" i="118"/>
  <c r="K36" i="118"/>
  <c r="L36" i="118"/>
  <c r="K20" i="118"/>
  <c r="L20" i="118"/>
  <c r="K119" i="118"/>
  <c r="L119" i="118"/>
  <c r="L166" i="118"/>
  <c r="K166" i="118"/>
  <c r="L134" i="118"/>
  <c r="K134" i="118"/>
  <c r="L118" i="118"/>
  <c r="K118" i="118"/>
  <c r="L86" i="118"/>
  <c r="K86" i="118"/>
  <c r="L38" i="118"/>
  <c r="K38" i="118"/>
  <c r="L22" i="118"/>
  <c r="K22" i="118"/>
  <c r="L163" i="118"/>
  <c r="K163" i="118"/>
  <c r="L147" i="118"/>
  <c r="K147" i="118"/>
  <c r="L131" i="118"/>
  <c r="K131" i="118"/>
  <c r="L115" i="118"/>
  <c r="K115" i="118"/>
  <c r="L99" i="118"/>
  <c r="K99" i="118"/>
  <c r="L83" i="118"/>
  <c r="K83" i="118"/>
  <c r="L67" i="118"/>
  <c r="K67" i="118"/>
  <c r="L51" i="118"/>
  <c r="K51" i="118"/>
  <c r="L35" i="118"/>
  <c r="K35" i="118"/>
  <c r="K162" i="118"/>
  <c r="L162" i="118"/>
  <c r="K146" i="118"/>
  <c r="L146" i="118"/>
  <c r="K130" i="118"/>
  <c r="L130" i="118"/>
  <c r="K114" i="118"/>
  <c r="L114" i="118"/>
  <c r="K98" i="118"/>
  <c r="L98" i="118"/>
  <c r="K82" i="118"/>
  <c r="L82" i="118"/>
  <c r="K66" i="118"/>
  <c r="L66" i="118"/>
  <c r="K50" i="118"/>
  <c r="L50" i="118"/>
  <c r="K18" i="118"/>
  <c r="L18" i="118"/>
  <c r="K161" i="118"/>
  <c r="L161" i="118"/>
  <c r="K145" i="118"/>
  <c r="L145" i="118"/>
  <c r="K129" i="118"/>
  <c r="L129" i="118"/>
  <c r="K113" i="118"/>
  <c r="L113" i="118"/>
  <c r="K97" i="118"/>
  <c r="L97" i="118"/>
  <c r="K65" i="118"/>
  <c r="L65" i="118"/>
  <c r="K49" i="118"/>
  <c r="L49" i="118"/>
  <c r="K33" i="118"/>
  <c r="L33" i="118"/>
  <c r="L150" i="118"/>
  <c r="K150" i="118"/>
  <c r="L70" i="118"/>
  <c r="K70" i="118"/>
  <c r="K160" i="118"/>
  <c r="L160" i="118"/>
  <c r="K144" i="118"/>
  <c r="L144" i="118"/>
  <c r="K128" i="118"/>
  <c r="L128" i="118"/>
  <c r="K112" i="118"/>
  <c r="L112" i="118"/>
  <c r="K80" i="118"/>
  <c r="L80" i="118"/>
  <c r="K48" i="118"/>
  <c r="L48" i="118"/>
  <c r="K32" i="118"/>
  <c r="L32" i="118"/>
  <c r="K16" i="118"/>
  <c r="L16" i="118"/>
  <c r="K159" i="118"/>
  <c r="L159" i="118"/>
  <c r="K143" i="118"/>
  <c r="L143" i="118"/>
  <c r="K127" i="118"/>
  <c r="L127" i="118"/>
  <c r="K111" i="118"/>
  <c r="L111" i="118"/>
  <c r="K95" i="118"/>
  <c r="L95" i="118"/>
  <c r="K79" i="118"/>
  <c r="L79" i="118"/>
  <c r="K63" i="118"/>
  <c r="L63" i="118"/>
  <c r="K47" i="118"/>
  <c r="L47" i="118"/>
  <c r="K31" i="118"/>
  <c r="L31" i="118"/>
  <c r="K15" i="118"/>
  <c r="L15" i="118"/>
  <c r="K55" i="118"/>
  <c r="L55" i="118"/>
  <c r="K158" i="118"/>
  <c r="L158" i="118"/>
  <c r="K142" i="118"/>
  <c r="L142" i="118"/>
  <c r="K126" i="118"/>
  <c r="L126" i="118"/>
  <c r="K94" i="118"/>
  <c r="L94" i="118"/>
  <c r="K78" i="118"/>
  <c r="L78" i="118"/>
  <c r="K62" i="118"/>
  <c r="L62" i="118"/>
  <c r="K46" i="118"/>
  <c r="L46" i="118"/>
  <c r="K30" i="118"/>
  <c r="L30" i="118"/>
  <c r="K14" i="118"/>
  <c r="L14" i="118"/>
  <c r="K23" i="118"/>
  <c r="L23" i="118"/>
  <c r="K157" i="118"/>
  <c r="L157" i="118"/>
  <c r="K141" i="118"/>
  <c r="L141" i="118"/>
  <c r="K125" i="118"/>
  <c r="L125" i="118"/>
  <c r="K109" i="118"/>
  <c r="L109" i="118"/>
  <c r="K93" i="118"/>
  <c r="L93" i="118"/>
  <c r="K77" i="118"/>
  <c r="L77" i="118"/>
  <c r="K61" i="118"/>
  <c r="L61" i="118"/>
  <c r="K45" i="118"/>
  <c r="L45" i="118"/>
  <c r="K29" i="118"/>
  <c r="L29" i="118"/>
  <c r="K13" i="118"/>
  <c r="L13" i="118"/>
  <c r="K156" i="118"/>
  <c r="L156" i="118"/>
  <c r="K140" i="118"/>
  <c r="L140" i="118"/>
  <c r="K124" i="118"/>
  <c r="L124" i="118"/>
  <c r="K108" i="118"/>
  <c r="L108" i="118"/>
  <c r="K92" i="118"/>
  <c r="L92" i="118"/>
  <c r="K76" i="118"/>
  <c r="L76" i="118"/>
  <c r="K60" i="118"/>
  <c r="L60" i="118"/>
  <c r="K44" i="118"/>
  <c r="L44" i="118"/>
  <c r="K28" i="118"/>
  <c r="L28" i="118"/>
  <c r="K12" i="118"/>
  <c r="L12" i="118"/>
  <c r="K103" i="118"/>
  <c r="L103" i="118"/>
  <c r="K139" i="118"/>
  <c r="L139" i="118"/>
  <c r="K107" i="118"/>
  <c r="L107" i="118"/>
  <c r="K75" i="118"/>
  <c r="L75" i="118"/>
  <c r="K43" i="118"/>
  <c r="L43" i="118"/>
  <c r="K11" i="118"/>
  <c r="L11" i="118"/>
  <c r="L170" i="118"/>
  <c r="K170" i="118"/>
  <c r="L154" i="118"/>
  <c r="K154" i="118"/>
  <c r="L138" i="118"/>
  <c r="K138" i="118"/>
  <c r="L122" i="118"/>
  <c r="K122" i="118"/>
  <c r="L90" i="118"/>
  <c r="K90" i="118"/>
  <c r="L74" i="118"/>
  <c r="K74" i="118"/>
  <c r="L58" i="118"/>
  <c r="K58" i="118"/>
  <c r="L42" i="118"/>
  <c r="K42" i="118"/>
  <c r="L26" i="118"/>
  <c r="K26" i="118"/>
  <c r="L10" i="118"/>
  <c r="K10" i="118"/>
  <c r="K151" i="118"/>
  <c r="L151" i="118"/>
  <c r="K155" i="118"/>
  <c r="L155" i="118"/>
  <c r="K123" i="118"/>
  <c r="L123" i="118"/>
  <c r="K91" i="118"/>
  <c r="L91" i="118"/>
  <c r="K59" i="118"/>
  <c r="L59" i="118"/>
  <c r="K27" i="118"/>
  <c r="L27" i="118"/>
  <c r="K169" i="118"/>
  <c r="K153" i="118"/>
  <c r="L153" i="118"/>
  <c r="K137" i="118"/>
  <c r="L137" i="118"/>
  <c r="K121" i="118"/>
  <c r="L121" i="118"/>
  <c r="L105" i="118"/>
  <c r="L89" i="118"/>
  <c r="K73" i="118"/>
  <c r="K57" i="118"/>
  <c r="L57" i="118"/>
  <c r="K41" i="118"/>
  <c r="K25" i="118"/>
  <c r="L25" i="118"/>
  <c r="C6" i="5"/>
  <c r="J5" i="7"/>
  <c r="W5" i="8" s="1"/>
  <c r="G5" i="6"/>
  <c r="B4" i="5"/>
  <c r="Q11" i="98"/>
  <c r="J11" i="98" s="1"/>
  <c r="J14" i="39"/>
  <c r="E3" i="7"/>
  <c r="I3" i="8" s="1"/>
  <c r="C3" i="6"/>
  <c r="I29" i="55"/>
  <c r="B4" i="6"/>
  <c r="I14" i="39"/>
  <c r="E29" i="55"/>
  <c r="F29" i="55"/>
  <c r="C5" i="5"/>
  <c r="C5" i="6"/>
  <c r="C39" i="120"/>
  <c r="F30" i="10"/>
  <c r="F30" i="11" s="1"/>
  <c r="J9" i="118" a="1"/>
  <c r="J9" i="118" s="1"/>
  <c r="L9" i="118" s="1"/>
  <c r="P12" i="120"/>
  <c r="G259" i="69"/>
  <c r="F14" i="44"/>
  <c r="I14" i="44" s="1"/>
  <c r="G165" i="69"/>
  <c r="G145" i="69"/>
  <c r="M13" i="10"/>
  <c r="H13" i="12" s="1"/>
  <c r="D120" i="121"/>
  <c r="D121" i="121" s="1"/>
  <c r="F22" i="57"/>
  <c r="F34" i="10"/>
  <c r="F34" i="11" s="1"/>
  <c r="G29" i="69"/>
  <c r="E22" i="45"/>
  <c r="I22" i="45" s="1"/>
  <c r="D15" i="121"/>
  <c r="E12" i="40"/>
  <c r="E23" i="38"/>
  <c r="F15" i="37"/>
  <c r="G175" i="69"/>
  <c r="E32" i="40"/>
  <c r="D17" i="122"/>
  <c r="G193" i="69"/>
  <c r="C11" i="120"/>
  <c r="E21" i="56"/>
  <c r="E9" i="46"/>
  <c r="I9" i="46" s="1"/>
  <c r="D19" i="18"/>
  <c r="G97" i="69"/>
  <c r="F25" i="49"/>
  <c r="N17" i="10"/>
  <c r="I17" i="12" s="1"/>
  <c r="F15" i="45"/>
  <c r="H67" i="69"/>
  <c r="H87" i="69"/>
  <c r="G12" i="33"/>
  <c r="H103" i="69"/>
  <c r="F18" i="45"/>
  <c r="O10" i="120"/>
  <c r="G192" i="69"/>
  <c r="G12" i="10"/>
  <c r="G12" i="11" s="1"/>
  <c r="D124" i="121"/>
  <c r="E11" i="25"/>
  <c r="G21" i="10"/>
  <c r="G21" i="11" s="1"/>
  <c r="G111" i="69"/>
  <c r="F17" i="21"/>
  <c r="F12" i="50"/>
  <c r="E18" i="122"/>
  <c r="E21" i="18"/>
  <c r="E13" i="56"/>
  <c r="F12" i="24"/>
  <c r="K12" i="24" s="1"/>
  <c r="G141" i="69"/>
  <c r="F12" i="21"/>
  <c r="N22" i="10"/>
  <c r="I22" i="12" s="1"/>
  <c r="D21" i="121"/>
  <c r="M31" i="10"/>
  <c r="H31" i="12" s="1"/>
  <c r="F39" i="120"/>
  <c r="E14" i="26"/>
  <c r="F10" i="52"/>
  <c r="G257" i="69"/>
  <c r="F24" i="49"/>
  <c r="H14" i="21"/>
  <c r="G214" i="69"/>
  <c r="G52" i="69"/>
  <c r="G53" i="69" s="1"/>
  <c r="H186" i="69"/>
  <c r="D23" i="121"/>
  <c r="H21" i="122"/>
  <c r="G68" i="69"/>
  <c r="J27" i="56"/>
  <c r="F20" i="51"/>
  <c r="G118" i="69"/>
  <c r="F24" i="57"/>
  <c r="E9" i="34"/>
  <c r="E26" i="18"/>
  <c r="G120" i="69"/>
  <c r="F10" i="50"/>
  <c r="G72" i="69"/>
  <c r="H88" i="69"/>
  <c r="G24" i="56"/>
  <c r="F16" i="21"/>
  <c r="E11" i="26"/>
  <c r="E15" i="56"/>
  <c r="E36" i="40"/>
  <c r="G19" i="10"/>
  <c r="G19" i="11" s="1"/>
  <c r="E17" i="46"/>
  <c r="I17" i="46" s="1"/>
  <c r="F18" i="21"/>
  <c r="I28" i="10"/>
  <c r="I28" i="11" s="1"/>
  <c r="E42" i="120"/>
  <c r="E13" i="40"/>
  <c r="K13" i="40" s="1"/>
  <c r="E16" i="38"/>
  <c r="C18" i="10"/>
  <c r="C18" i="11" s="1"/>
  <c r="J22" i="56"/>
  <c r="D11" i="21"/>
  <c r="E24" i="45"/>
  <c r="I24" i="45" s="1"/>
  <c r="E13" i="28"/>
  <c r="F14" i="53"/>
  <c r="E11" i="28"/>
  <c r="H11" i="28" s="1"/>
  <c r="G11" i="69"/>
  <c r="E24" i="56"/>
  <c r="F28" i="62"/>
  <c r="G48" i="69"/>
  <c r="G177" i="69"/>
  <c r="K26" i="56"/>
  <c r="K28" i="56" s="1"/>
  <c r="F13" i="51"/>
  <c r="G220" i="69"/>
  <c r="F9" i="47"/>
  <c r="F20" i="24"/>
  <c r="F29" i="62"/>
  <c r="G19" i="44"/>
  <c r="E9" i="38"/>
  <c r="F11" i="50"/>
  <c r="F11" i="44"/>
  <c r="I11" i="44" s="1"/>
  <c r="I13" i="14"/>
  <c r="D32" i="121"/>
  <c r="D93" i="121"/>
  <c r="I28" i="13"/>
  <c r="N5" i="120"/>
  <c r="E13" i="46"/>
  <c r="I13" i="46" s="1"/>
  <c r="G22" i="69"/>
  <c r="G14" i="69"/>
  <c r="G21" i="59"/>
  <c r="G162" i="69"/>
  <c r="F12" i="56"/>
  <c r="G28" i="10"/>
  <c r="G28" i="11" s="1"/>
  <c r="F24" i="10"/>
  <c r="F24" i="11" s="1"/>
  <c r="G23" i="69"/>
  <c r="G18" i="51"/>
  <c r="G15" i="54"/>
  <c r="G35" i="69"/>
  <c r="H19" i="18"/>
  <c r="H19" i="21"/>
  <c r="F26" i="49"/>
  <c r="G219" i="69"/>
  <c r="F11" i="54"/>
  <c r="F27" i="62"/>
  <c r="E21" i="40"/>
  <c r="G54" i="69"/>
  <c r="E10" i="33"/>
  <c r="D14" i="18"/>
  <c r="F14" i="10"/>
  <c r="F14" i="11" s="1"/>
  <c r="F15" i="24"/>
  <c r="K15" i="24" s="1"/>
  <c r="F21" i="48"/>
  <c r="F19" i="10"/>
  <c r="G30" i="59"/>
  <c r="E10" i="34"/>
  <c r="G169" i="69"/>
  <c r="D28" i="18"/>
  <c r="E18" i="40"/>
  <c r="K18" i="40" s="1"/>
  <c r="H11" i="59"/>
  <c r="H10" i="59" s="1"/>
  <c r="G254" i="69"/>
  <c r="G11" i="24"/>
  <c r="F12" i="44"/>
  <c r="I12" i="44" s="1"/>
  <c r="I14" i="14"/>
  <c r="D34" i="121"/>
  <c r="D63" i="121"/>
  <c r="D94" i="121"/>
  <c r="I27" i="13"/>
  <c r="F6" i="120"/>
  <c r="F12" i="53"/>
  <c r="G11" i="59"/>
  <c r="G10" i="59" s="1"/>
  <c r="F27" i="57"/>
  <c r="E12" i="28"/>
  <c r="H12" i="28" s="1"/>
  <c r="F30" i="49"/>
  <c r="F18" i="48"/>
  <c r="F14" i="50"/>
  <c r="E15" i="32"/>
  <c r="G101" i="69"/>
  <c r="F22" i="20"/>
  <c r="D76" i="121"/>
  <c r="F22" i="21"/>
  <c r="E24" i="46"/>
  <c r="G70" i="69"/>
  <c r="D19" i="121"/>
  <c r="G17" i="10"/>
  <c r="G17" i="11" s="1"/>
  <c r="E24" i="25"/>
  <c r="E22" i="25" s="1"/>
  <c r="E17" i="32"/>
  <c r="F10" i="24"/>
  <c r="K10" i="24" s="1"/>
  <c r="G61" i="69"/>
  <c r="D135" i="121"/>
  <c r="G241" i="69"/>
  <c r="G140" i="69"/>
  <c r="G27" i="62"/>
  <c r="D136" i="121"/>
  <c r="H18" i="21"/>
  <c r="E22" i="27"/>
  <c r="H22" i="27" s="1"/>
  <c r="D21" i="20"/>
  <c r="G176" i="69"/>
  <c r="F20" i="57"/>
  <c r="F21" i="20"/>
  <c r="F9" i="50"/>
  <c r="F12" i="10"/>
  <c r="F12" i="11" s="1"/>
  <c r="H18" i="18"/>
  <c r="H26" i="56"/>
  <c r="G13" i="54"/>
  <c r="F10" i="46"/>
  <c r="I24" i="14"/>
  <c r="D64" i="121"/>
  <c r="I25" i="13"/>
  <c r="G103" i="69"/>
  <c r="F9" i="57"/>
  <c r="G129" i="69"/>
  <c r="F10" i="47"/>
  <c r="E9" i="28"/>
  <c r="H9" i="28" s="1"/>
  <c r="G105" i="69"/>
  <c r="E24" i="40"/>
  <c r="K24" i="40" s="1"/>
  <c r="G15" i="24"/>
  <c r="H218" i="69"/>
  <c r="I28" i="14"/>
  <c r="D100" i="121"/>
  <c r="F11" i="52"/>
  <c r="G69" i="69"/>
  <c r="M12" i="10"/>
  <c r="H12" i="12" s="1"/>
  <c r="E11" i="56"/>
  <c r="G33" i="69"/>
  <c r="I47" i="13"/>
  <c r="F16" i="49"/>
  <c r="E23" i="25"/>
  <c r="G116" i="69"/>
  <c r="E20" i="34"/>
  <c r="G20" i="34"/>
  <c r="H241" i="69"/>
  <c r="G268" i="69"/>
  <c r="F11" i="45"/>
  <c r="D42" i="121"/>
  <c r="D102" i="121"/>
  <c r="I40" i="13"/>
  <c r="N7" i="120"/>
  <c r="G271" i="69"/>
  <c r="I36" i="13"/>
  <c r="F12" i="52"/>
  <c r="G245" i="69"/>
  <c r="G21" i="56"/>
  <c r="E16" i="56"/>
  <c r="G15" i="32"/>
  <c r="E11" i="38"/>
  <c r="E12" i="34"/>
  <c r="D40" i="121"/>
  <c r="I41" i="13"/>
  <c r="D7" i="120"/>
  <c r="E15" i="18"/>
  <c r="F10" i="57"/>
  <c r="G20" i="69"/>
  <c r="F16" i="24"/>
  <c r="F13" i="48"/>
  <c r="G180" i="69"/>
  <c r="F13" i="54"/>
  <c r="G147" i="69"/>
  <c r="E18" i="46"/>
  <c r="I18" i="46" s="1"/>
  <c r="E11" i="46"/>
  <c r="I11" i="46" s="1"/>
  <c r="E12" i="18"/>
  <c r="F21" i="51"/>
  <c r="I30" i="14"/>
  <c r="G31" i="59"/>
  <c r="G16" i="69"/>
  <c r="G91" i="69"/>
  <c r="F11" i="37"/>
  <c r="E13" i="26"/>
  <c r="G115" i="69"/>
  <c r="E10" i="28"/>
  <c r="H10" i="28" s="1"/>
  <c r="E16" i="40"/>
  <c r="K16" i="40" s="1"/>
  <c r="F18" i="56"/>
  <c r="D86" i="121"/>
  <c r="F31" i="62"/>
  <c r="E19" i="34"/>
  <c r="F12" i="20"/>
  <c r="F18" i="51"/>
  <c r="G87" i="69"/>
  <c r="F13" i="21"/>
  <c r="D20" i="20"/>
  <c r="G109" i="69"/>
  <c r="F32" i="62"/>
  <c r="F20" i="10"/>
  <c r="F20" i="11" s="1"/>
  <c r="F19" i="24"/>
  <c r="F32" i="49"/>
  <c r="F14" i="24"/>
  <c r="K14" i="24" s="1"/>
  <c r="F28" i="57"/>
  <c r="G146" i="69"/>
  <c r="H21" i="20"/>
  <c r="E18" i="22" s="1"/>
  <c r="E16" i="34"/>
  <c r="F15" i="10"/>
  <c r="F15" i="11" s="1"/>
  <c r="F9" i="52"/>
  <c r="F18" i="10"/>
  <c r="F18" i="11" s="1"/>
  <c r="G212" i="69"/>
  <c r="H37" i="69"/>
  <c r="F13" i="45"/>
  <c r="E26" i="40"/>
  <c r="G23" i="57"/>
  <c r="I31" i="14"/>
  <c r="F36" i="62" s="1"/>
  <c r="D69" i="121"/>
  <c r="D103" i="121"/>
  <c r="I38" i="13"/>
  <c r="F8" i="120"/>
  <c r="E6" i="122"/>
  <c r="E10" i="38"/>
  <c r="E10" i="25"/>
  <c r="E19" i="18"/>
  <c r="G60" i="69"/>
  <c r="D16" i="20"/>
  <c r="G202" i="69"/>
  <c r="E29" i="18"/>
  <c r="D16" i="21"/>
  <c r="G27" i="56"/>
  <c r="E13" i="32"/>
  <c r="G233" i="69"/>
  <c r="E24" i="38"/>
  <c r="F15" i="56"/>
  <c r="E28" i="40"/>
  <c r="E14" i="34"/>
  <c r="G181" i="69"/>
  <c r="G240" i="69"/>
  <c r="E18" i="26"/>
  <c r="G64" i="69"/>
  <c r="G125" i="69"/>
  <c r="F18" i="38"/>
  <c r="H143" i="69"/>
  <c r="G19" i="48"/>
  <c r="F17" i="10"/>
  <c r="F17" i="11" s="1"/>
  <c r="I34" i="14"/>
  <c r="D104" i="121"/>
  <c r="I50" i="13"/>
  <c r="D13" i="121" s="1"/>
  <c r="G8" i="120"/>
  <c r="D10" i="122"/>
  <c r="F11" i="46"/>
  <c r="F14" i="54"/>
  <c r="H28" i="18"/>
  <c r="H23" i="18"/>
  <c r="D19" i="22" s="1"/>
  <c r="J23" i="56"/>
  <c r="E13" i="34"/>
  <c r="F16" i="56"/>
  <c r="E18" i="34"/>
  <c r="G239" i="69"/>
  <c r="E13" i="25"/>
  <c r="I12" i="56"/>
  <c r="G13" i="44"/>
  <c r="H134" i="69"/>
  <c r="G172" i="69"/>
  <c r="C17" i="10"/>
  <c r="C17" i="11" s="1"/>
  <c r="E38" i="40"/>
  <c r="I30" i="13"/>
  <c r="E4" i="120"/>
  <c r="H22" i="21"/>
  <c r="G106" i="69"/>
  <c r="F12" i="49"/>
  <c r="G255" i="69"/>
  <c r="F38" i="10"/>
  <c r="F38" i="11" s="1"/>
  <c r="E13" i="33"/>
  <c r="F22" i="37"/>
  <c r="D18" i="21"/>
  <c r="H22" i="20"/>
  <c r="E19" i="22" s="1"/>
  <c r="G237" i="69"/>
  <c r="G143" i="69"/>
  <c r="F10" i="37"/>
  <c r="G15" i="69"/>
  <c r="D38" i="121"/>
  <c r="D96" i="121"/>
  <c r="G6" i="120"/>
  <c r="Q15" i="20"/>
  <c r="G263" i="69"/>
  <c r="D19" i="21"/>
  <c r="F9" i="54"/>
  <c r="G24" i="10"/>
  <c r="G24" i="11" s="1"/>
  <c r="E29" i="46"/>
  <c r="M23" i="10"/>
  <c r="H23" i="12" s="1"/>
  <c r="D17" i="21"/>
  <c r="H163" i="69"/>
  <c r="F17" i="57"/>
  <c r="G23" i="56"/>
  <c r="G190" i="69"/>
  <c r="F34" i="62"/>
  <c r="F11" i="49"/>
  <c r="G46" i="69"/>
  <c r="E10" i="32"/>
  <c r="F19" i="51"/>
  <c r="E19" i="38"/>
  <c r="F14" i="21"/>
  <c r="G123" i="69"/>
  <c r="G27" i="69"/>
  <c r="G28" i="69" s="1"/>
  <c r="G252" i="69"/>
  <c r="F9" i="51"/>
  <c r="F29" i="49"/>
  <c r="G262" i="69"/>
  <c r="F20" i="20"/>
  <c r="E20" i="27"/>
  <c r="H20" i="27" s="1"/>
  <c r="E20" i="45"/>
  <c r="I20" i="45" s="1"/>
  <c r="G23" i="49"/>
  <c r="G10" i="51"/>
  <c r="H70" i="69"/>
  <c r="G20" i="51"/>
  <c r="H203" i="69"/>
  <c r="D6" i="121"/>
  <c r="D47" i="121"/>
  <c r="D115" i="121"/>
  <c r="J15" i="13"/>
  <c r="L8" i="120"/>
  <c r="E10" i="122"/>
  <c r="D19" i="20"/>
  <c r="D18" i="121"/>
  <c r="E17" i="122"/>
  <c r="F13" i="28"/>
  <c r="F33" i="62"/>
  <c r="F22" i="49"/>
  <c r="E10" i="27"/>
  <c r="H10" i="27" s="1"/>
  <c r="F16" i="44"/>
  <c r="F28" i="49"/>
  <c r="H11" i="120"/>
  <c r="G189" i="69"/>
  <c r="F23" i="51"/>
  <c r="D25" i="18"/>
  <c r="M11" i="10"/>
  <c r="H11" i="12" s="1"/>
  <c r="E34" i="40"/>
  <c r="E14" i="38"/>
  <c r="G26" i="62"/>
  <c r="M17" i="10"/>
  <c r="H17" i="12" s="1"/>
  <c r="D18" i="18"/>
  <c r="G236" i="69"/>
  <c r="E16" i="28"/>
  <c r="H16" i="28" s="1"/>
  <c r="E10" i="46"/>
  <c r="E14" i="45"/>
  <c r="I14" i="45" s="1"/>
  <c r="F31" i="49"/>
  <c r="D23" i="18"/>
  <c r="E11" i="45"/>
  <c r="I11" i="45" s="1"/>
  <c r="H12" i="20"/>
  <c r="E11" i="22" s="1"/>
  <c r="E16" i="26"/>
  <c r="G122" i="69"/>
  <c r="G188" i="69"/>
  <c r="D17" i="20"/>
  <c r="E21" i="45"/>
  <c r="I21" i="45" s="1"/>
  <c r="E12" i="27"/>
  <c r="H12" i="27" s="1"/>
  <c r="I25" i="56"/>
  <c r="G89" i="69"/>
  <c r="D21" i="18"/>
  <c r="G18" i="26"/>
  <c r="G12" i="24"/>
  <c r="F21" i="46"/>
  <c r="H16" i="21"/>
  <c r="H19" i="56"/>
  <c r="I46" i="13"/>
  <c r="D11" i="121" s="1"/>
  <c r="D118" i="121"/>
  <c r="F31" i="10"/>
  <c r="F31" i="11" s="1"/>
  <c r="C10" i="120"/>
  <c r="D13" i="122"/>
  <c r="G242" i="69"/>
  <c r="E35" i="40"/>
  <c r="I15" i="56"/>
  <c r="F17" i="20"/>
  <c r="G215" i="69"/>
  <c r="G124" i="69"/>
  <c r="E25" i="46"/>
  <c r="D11" i="120"/>
  <c r="F19" i="21"/>
  <c r="E19" i="56"/>
  <c r="G204" i="69"/>
  <c r="H207" i="69"/>
  <c r="D129" i="121"/>
  <c r="D12" i="18"/>
  <c r="E9" i="40"/>
  <c r="K9" i="40" s="1"/>
  <c r="E17" i="34"/>
  <c r="E37" i="40"/>
  <c r="G258" i="69"/>
  <c r="E12" i="46"/>
  <c r="G234" i="69"/>
  <c r="D20" i="122"/>
  <c r="H16" i="20"/>
  <c r="G269" i="69"/>
  <c r="F25" i="57"/>
  <c r="K11" i="56"/>
  <c r="K14" i="56" s="1"/>
  <c r="F23" i="49"/>
  <c r="F12" i="54"/>
  <c r="G248" i="69"/>
  <c r="G168" i="69"/>
  <c r="G200" i="69"/>
  <c r="C4" i="120"/>
  <c r="D39" i="120"/>
  <c r="H27" i="69"/>
  <c r="H28" i="69" s="1"/>
  <c r="G128" i="69"/>
  <c r="F18" i="57"/>
  <c r="F30" i="62"/>
  <c r="G92" i="69"/>
  <c r="H13" i="21"/>
  <c r="G199" i="69"/>
  <c r="G40" i="69"/>
  <c r="G13" i="69"/>
  <c r="G201" i="69"/>
  <c r="G29" i="49"/>
  <c r="D57" i="121"/>
  <c r="I16" i="13"/>
  <c r="D4" i="120"/>
  <c r="G27" i="122"/>
  <c r="F38" i="120"/>
  <c r="F18" i="37"/>
  <c r="E27" i="40"/>
  <c r="F9" i="24"/>
  <c r="K9" i="24" s="1"/>
  <c r="E10" i="40"/>
  <c r="K10" i="40" s="1"/>
  <c r="F13" i="44"/>
  <c r="I13" i="44" s="1"/>
  <c r="H11" i="21"/>
  <c r="G194" i="69"/>
  <c r="G112" i="69"/>
  <c r="G170" i="69"/>
  <c r="F16" i="57"/>
  <c r="F21" i="10"/>
  <c r="F21" i="11" s="1"/>
  <c r="E15" i="34"/>
  <c r="F12" i="51"/>
  <c r="G265" i="69"/>
  <c r="G266" i="69"/>
  <c r="D17" i="18"/>
  <c r="E14" i="32"/>
  <c r="J24" i="56"/>
  <c r="F17" i="49"/>
  <c r="G59" i="69"/>
  <c r="G217" i="69"/>
  <c r="G187" i="69"/>
  <c r="F17" i="53"/>
  <c r="F23" i="48"/>
  <c r="G29" i="59"/>
  <c r="G235" i="69"/>
  <c r="G37" i="69"/>
  <c r="G221" i="69"/>
  <c r="F36" i="10"/>
  <c r="F36" i="11" s="1"/>
  <c r="E12" i="32"/>
  <c r="G43" i="69"/>
  <c r="G31" i="69"/>
  <c r="F16" i="37"/>
  <c r="G186" i="69"/>
  <c r="I35" i="14"/>
  <c r="D65" i="121"/>
  <c r="D80" i="121"/>
  <c r="D105" i="121"/>
  <c r="I15" i="13"/>
  <c r="I51" i="13"/>
  <c r="D14" i="121" s="1"/>
  <c r="F4" i="120"/>
  <c r="N8" i="120"/>
  <c r="D21" i="122"/>
  <c r="M18" i="10"/>
  <c r="H18" i="12" s="1"/>
  <c r="G213" i="69"/>
  <c r="H15" i="18"/>
  <c r="D13" i="22" s="1"/>
  <c r="G148" i="69"/>
  <c r="D26" i="18"/>
  <c r="H25" i="18"/>
  <c r="F14" i="49"/>
  <c r="G34" i="10"/>
  <c r="F13" i="47"/>
  <c r="F11" i="21"/>
  <c r="G138" i="69"/>
  <c r="H13" i="18"/>
  <c r="D11" i="22" s="1"/>
  <c r="F10" i="51"/>
  <c r="G20" i="10"/>
  <c r="G20" i="11" s="1"/>
  <c r="F11" i="53"/>
  <c r="G102" i="69"/>
  <c r="G22" i="56"/>
  <c r="G95" i="69"/>
  <c r="D18" i="20"/>
  <c r="H17" i="20"/>
  <c r="D13" i="21"/>
  <c r="E9" i="32"/>
  <c r="F35" i="10"/>
  <c r="F35" i="11" s="1"/>
  <c r="H20" i="18"/>
  <c r="F19" i="49"/>
  <c r="E14" i="40"/>
  <c r="K14" i="40" s="1"/>
  <c r="F12" i="47"/>
  <c r="G117" i="69"/>
  <c r="G34" i="69"/>
  <c r="G100" i="69"/>
  <c r="F13" i="52"/>
  <c r="J21" i="56"/>
  <c r="D29" i="18"/>
  <c r="G90" i="69"/>
  <c r="F27" i="49"/>
  <c r="I36" i="14"/>
  <c r="D66" i="121"/>
  <c r="D81" i="121"/>
  <c r="D106" i="121"/>
  <c r="I11" i="13"/>
  <c r="J17" i="13"/>
  <c r="C5" i="120"/>
  <c r="C9" i="120"/>
  <c r="E21" i="122"/>
  <c r="M27" i="10"/>
  <c r="D50" i="121"/>
  <c r="D107" i="121"/>
  <c r="D9" i="120"/>
  <c r="E43" i="120"/>
  <c r="H9" i="120"/>
  <c r="D28" i="121"/>
  <c r="D83" i="121"/>
  <c r="I13" i="13"/>
  <c r="E14" i="28"/>
  <c r="H14" i="28" s="1"/>
  <c r="G127" i="69"/>
  <c r="G96" i="69"/>
  <c r="D13" i="20"/>
  <c r="G164" i="69"/>
  <c r="G132" i="69"/>
  <c r="E17" i="18"/>
  <c r="G208" i="69"/>
  <c r="F11" i="24"/>
  <c r="K11" i="24" s="1"/>
  <c r="E25" i="56"/>
  <c r="H11" i="56"/>
  <c r="H14" i="56" s="1"/>
  <c r="F25" i="10"/>
  <c r="F25" i="11" s="1"/>
  <c r="G171" i="69"/>
  <c r="F11" i="57"/>
  <c r="E13" i="38"/>
  <c r="G267" i="69"/>
  <c r="F19" i="37"/>
  <c r="F17" i="48"/>
  <c r="G136" i="69"/>
  <c r="F21" i="57"/>
  <c r="E16" i="27"/>
  <c r="H16" i="27" s="1"/>
  <c r="G256" i="69"/>
  <c r="G135" i="69"/>
  <c r="G13" i="10"/>
  <c r="G13" i="11" s="1"/>
  <c r="G250" i="69"/>
  <c r="G179" i="69"/>
  <c r="G161" i="69"/>
  <c r="E21" i="27"/>
  <c r="H21" i="27" s="1"/>
  <c r="E22" i="34"/>
  <c r="G207" i="69"/>
  <c r="F20" i="49"/>
  <c r="F13" i="37"/>
  <c r="G251" i="69"/>
  <c r="G195" i="69"/>
  <c r="E9" i="45"/>
  <c r="I9" i="45" s="1"/>
  <c r="M20" i="10"/>
  <c r="H20" i="12" s="1"/>
  <c r="E17" i="45"/>
  <c r="I17" i="45" s="1"/>
  <c r="E20" i="18"/>
  <c r="I27" i="10"/>
  <c r="G50" i="62" s="1" a="1"/>
  <c r="G50" i="62" s="1"/>
  <c r="D29" i="121"/>
  <c r="D51" i="121"/>
  <c r="D84" i="121"/>
  <c r="D113" i="121"/>
  <c r="I12" i="13"/>
  <c r="F32" i="10"/>
  <c r="F32" i="11" s="1"/>
  <c r="F5" i="120"/>
  <c r="F9" i="120"/>
  <c r="D24" i="122"/>
  <c r="D43" i="120"/>
  <c r="G43" i="120"/>
  <c r="D5" i="120"/>
  <c r="G67" i="69"/>
  <c r="F19" i="44"/>
  <c r="F16" i="20"/>
  <c r="G42" i="69"/>
  <c r="F9" i="44"/>
  <c r="I9" i="44" s="1"/>
  <c r="G24" i="69"/>
  <c r="E21" i="38"/>
  <c r="H12" i="21"/>
  <c r="E22" i="56"/>
  <c r="E11" i="33"/>
  <c r="F9" i="49"/>
  <c r="I19" i="56"/>
  <c r="D20" i="21"/>
  <c r="F20" i="44"/>
  <c r="I20" i="44" s="1"/>
  <c r="G71" i="69"/>
  <c r="G18" i="10"/>
  <c r="G18" i="11" s="1"/>
  <c r="F13" i="10"/>
  <c r="E14" i="33"/>
  <c r="E11" i="27"/>
  <c r="H11" i="27" s="1"/>
  <c r="G104" i="69"/>
  <c r="F16" i="47"/>
  <c r="F14" i="20"/>
  <c r="G56" i="69"/>
  <c r="D14" i="21"/>
  <c r="G160" i="69"/>
  <c r="G47" i="69"/>
  <c r="G121" i="69"/>
  <c r="E33" i="40"/>
  <c r="I42" i="13"/>
  <c r="D15" i="18"/>
  <c r="E14" i="27"/>
  <c r="H14" i="27" s="1"/>
  <c r="G107" i="69"/>
  <c r="D21" i="21"/>
  <c r="E12" i="33"/>
  <c r="G114" i="69"/>
  <c r="G27" i="10"/>
  <c r="G27" i="11" s="1"/>
  <c r="D31" i="121"/>
  <c r="D52" i="121"/>
  <c r="D68" i="121"/>
  <c r="D85" i="121"/>
  <c r="D114" i="121"/>
  <c r="I31" i="13"/>
  <c r="G31" i="10"/>
  <c r="G31" i="11" s="1"/>
  <c r="H5" i="120"/>
  <c r="G9" i="120"/>
  <c r="D5" i="122"/>
  <c r="D27" i="122"/>
  <c r="C43" i="120"/>
  <c r="F11" i="51"/>
  <c r="G197" i="69"/>
  <c r="G32" i="69"/>
  <c r="G57" i="69"/>
  <c r="E16" i="45"/>
  <c r="I16" i="45" s="1"/>
  <c r="G130" i="69"/>
  <c r="F14" i="47"/>
  <c r="H22" i="18"/>
  <c r="D18" i="22" s="1"/>
  <c r="G113" i="69"/>
  <c r="F11" i="20"/>
  <c r="E18" i="38"/>
  <c r="G58" i="69"/>
  <c r="F14" i="57"/>
  <c r="F18" i="20"/>
  <c r="G210" i="69"/>
  <c r="I45" i="13"/>
  <c r="G94" i="69"/>
  <c r="H14" i="18"/>
  <c r="D12" i="22" s="1"/>
  <c r="F15" i="48"/>
  <c r="F15" i="57"/>
  <c r="G203" i="69"/>
  <c r="H19" i="20"/>
  <c r="G55" i="69"/>
  <c r="F14" i="51"/>
  <c r="E30" i="40"/>
  <c r="G25" i="69"/>
  <c r="F23" i="57"/>
  <c r="E17" i="56"/>
  <c r="G272" i="69"/>
  <c r="G198" i="69"/>
  <c r="F15" i="47"/>
  <c r="G142" i="69"/>
  <c r="G44" i="69"/>
  <c r="E17" i="28"/>
  <c r="H17" i="28" s="1"/>
  <c r="I10" i="14"/>
  <c r="D7" i="121"/>
  <c r="D33" i="121"/>
  <c r="D87" i="121"/>
  <c r="D117" i="121"/>
  <c r="I29" i="13"/>
  <c r="G30" i="10"/>
  <c r="G30" i="11" s="1"/>
  <c r="E6" i="120"/>
  <c r="D7" i="122"/>
  <c r="D42" i="120"/>
  <c r="D40" i="120"/>
  <c r="I12" i="14"/>
  <c r="G63" i="69"/>
  <c r="F13" i="50"/>
  <c r="G93" i="69"/>
  <c r="M35" i="10"/>
  <c r="H35" i="12" s="1"/>
  <c r="E23" i="18"/>
  <c r="F20" i="21"/>
  <c r="G131" i="69"/>
  <c r="D12" i="20"/>
  <c r="F15" i="44"/>
  <c r="I15" i="44" s="1"/>
  <c r="F9" i="53"/>
  <c r="G119" i="69"/>
  <c r="F25" i="48"/>
  <c r="F16" i="53"/>
  <c r="F11" i="48"/>
  <c r="M16" i="10"/>
  <c r="H16" i="12" s="1"/>
  <c r="G163" i="69"/>
  <c r="E26" i="46"/>
  <c r="G178" i="69"/>
  <c r="E23" i="40"/>
  <c r="K23" i="40" s="1"/>
  <c r="D22" i="20"/>
  <c r="E23" i="56"/>
  <c r="H20" i="21"/>
  <c r="E15" i="40"/>
  <c r="K15" i="40" s="1"/>
  <c r="E29" i="40"/>
  <c r="E9" i="26"/>
  <c r="H26" i="18"/>
  <c r="E18" i="27"/>
  <c r="F13" i="56"/>
  <c r="E16" i="33"/>
  <c r="I17" i="56"/>
  <c r="H18" i="20"/>
  <c r="G15" i="10"/>
  <c r="G15" i="11" s="1"/>
  <c r="E18" i="28"/>
  <c r="H18" i="28" s="1"/>
  <c r="E10" i="26"/>
  <c r="G35" i="10"/>
  <c r="G35" i="11" s="1"/>
  <c r="I23" i="14"/>
  <c r="I48" i="13"/>
  <c r="D12" i="121" s="1"/>
  <c r="D39" i="121"/>
  <c r="D56" i="121"/>
  <c r="D95" i="121"/>
  <c r="D123" i="121"/>
  <c r="I26" i="13"/>
  <c r="F28" i="10"/>
  <c r="F28" i="11" s="1"/>
  <c r="C7" i="120"/>
  <c r="E11" i="120"/>
  <c r="E11" i="122"/>
  <c r="E39" i="120"/>
  <c r="I25" i="14"/>
  <c r="D16" i="121"/>
  <c r="D41" i="121"/>
  <c r="D58" i="121"/>
  <c r="D77" i="121"/>
  <c r="D99" i="121"/>
  <c r="D126" i="121"/>
  <c r="D127" i="121" s="1"/>
  <c r="I19" i="13"/>
  <c r="M32" i="10"/>
  <c r="H32" i="12" s="1"/>
  <c r="G7" i="120"/>
  <c r="E13" i="122"/>
  <c r="G11" i="37"/>
  <c r="H195" i="69"/>
  <c r="G14" i="33"/>
  <c r="G20" i="44"/>
  <c r="H116" i="69"/>
  <c r="G11" i="49"/>
  <c r="G26" i="49"/>
  <c r="F12" i="46"/>
  <c r="G17" i="24"/>
  <c r="H11" i="69"/>
  <c r="G13" i="37"/>
  <c r="J13" i="13"/>
  <c r="P8" i="120"/>
  <c r="L11" i="120"/>
  <c r="H14" i="122"/>
  <c r="N42" i="120"/>
  <c r="G19" i="51"/>
  <c r="F13" i="46"/>
  <c r="G13" i="46" s="1"/>
  <c r="F13" i="38"/>
  <c r="H256" i="69"/>
  <c r="G23" i="25"/>
  <c r="F30" i="40"/>
  <c r="G12" i="37"/>
  <c r="H233" i="69"/>
  <c r="H131" i="69"/>
  <c r="H188" i="69"/>
  <c r="H48" i="69"/>
  <c r="J31" i="13"/>
  <c r="N11" i="120"/>
  <c r="M37" i="120"/>
  <c r="G21" i="37"/>
  <c r="G17" i="34"/>
  <c r="H65" i="69"/>
  <c r="G13" i="25"/>
  <c r="H21" i="59"/>
  <c r="G14" i="44"/>
  <c r="H40" i="69"/>
  <c r="G16" i="24"/>
  <c r="J29" i="13"/>
  <c r="L6" i="120"/>
  <c r="P11" i="120"/>
  <c r="Q11" i="120"/>
  <c r="Q4" i="120"/>
  <c r="G10" i="26"/>
  <c r="F16" i="40"/>
  <c r="I22" i="10"/>
  <c r="I45" i="10" s="1"/>
  <c r="H71" i="69"/>
  <c r="H249" i="69"/>
  <c r="F15" i="40"/>
  <c r="H99" i="69"/>
  <c r="F12" i="45"/>
  <c r="F36" i="40"/>
  <c r="H220" i="69"/>
  <c r="G16" i="44"/>
  <c r="J25" i="13"/>
  <c r="N6" i="120"/>
  <c r="N35" i="10"/>
  <c r="I35" i="12" s="1"/>
  <c r="H17" i="122"/>
  <c r="G39" i="120"/>
  <c r="F42" i="120"/>
  <c r="D18" i="122"/>
  <c r="E9" i="122"/>
  <c r="F11" i="120"/>
  <c r="E9" i="120"/>
  <c r="E7" i="120"/>
  <c r="E5" i="120"/>
  <c r="I24" i="13"/>
  <c r="D137" i="121"/>
  <c r="D109" i="121"/>
  <c r="D90" i="121"/>
  <c r="D75" i="121"/>
  <c r="D48" i="121"/>
  <c r="D30" i="121"/>
  <c r="I29" i="14"/>
  <c r="D12" i="21"/>
  <c r="G88" i="69"/>
  <c r="E15" i="27"/>
  <c r="H15" i="27" s="1"/>
  <c r="E15" i="45"/>
  <c r="I15" i="45" s="1"/>
  <c r="G45" i="69"/>
  <c r="F19" i="48"/>
  <c r="G126" i="69"/>
  <c r="F19" i="20"/>
  <c r="G253" i="69"/>
  <c r="E31" i="40"/>
  <c r="E20" i="38"/>
  <c r="E17" i="40"/>
  <c r="K17" i="40" s="1"/>
  <c r="G244" i="69"/>
  <c r="E18" i="56"/>
  <c r="G36" i="69"/>
  <c r="G211" i="69"/>
  <c r="G65" i="69"/>
  <c r="G261" i="69"/>
  <c r="E15" i="26"/>
  <c r="G184" i="69"/>
  <c r="E11" i="34"/>
  <c r="F25" i="56"/>
  <c r="G167" i="69"/>
  <c r="F10" i="44"/>
  <c r="I10" i="44" s="1"/>
  <c r="H12" i="18"/>
  <c r="D10" i="22" s="1"/>
  <c r="F16" i="51"/>
  <c r="G133" i="69"/>
  <c r="E12" i="26"/>
  <c r="M15" i="10"/>
  <c r="H15" i="12" s="1"/>
  <c r="E11" i="40"/>
  <c r="K11" i="40" s="1"/>
  <c r="F13" i="24"/>
  <c r="K13" i="24" s="1"/>
  <c r="E14" i="46"/>
  <c r="I14" i="46" s="1"/>
  <c r="G36" i="10"/>
  <c r="G36" i="11" s="1"/>
  <c r="G173" i="69"/>
  <c r="G39" i="69"/>
  <c r="G206" i="69"/>
  <c r="E27" i="56"/>
  <c r="E12" i="38"/>
  <c r="H11" i="20"/>
  <c r="E10" i="22" s="1"/>
  <c r="G196" i="69"/>
  <c r="E9" i="27"/>
  <c r="H9" i="27" s="1"/>
  <c r="I16" i="56"/>
  <c r="G18" i="59"/>
  <c r="H21" i="21"/>
  <c r="E23" i="45"/>
  <c r="I23" i="45" s="1"/>
  <c r="G185" i="69"/>
  <c r="F22" i="10"/>
  <c r="F22" i="11" s="1"/>
  <c r="G41" i="69"/>
  <c r="M5" i="118"/>
  <c r="E26" i="122"/>
  <c r="E14" i="122"/>
  <c r="D6" i="122"/>
  <c r="F10" i="120"/>
  <c r="E8" i="120"/>
  <c r="D6" i="120"/>
  <c r="M28" i="10"/>
  <c r="H28" i="12" s="1"/>
  <c r="I20" i="13"/>
  <c r="I17" i="13"/>
  <c r="D112" i="121"/>
  <c r="D92" i="121"/>
  <c r="D73" i="121"/>
  <c r="D46" i="121"/>
  <c r="I22" i="14"/>
  <c r="E16" i="46"/>
  <c r="I16" i="46" s="1"/>
  <c r="F12" i="57"/>
  <c r="H21" i="18"/>
  <c r="D17" i="22" s="1"/>
  <c r="E14" i="18"/>
  <c r="F22" i="51"/>
  <c r="E20" i="28"/>
  <c r="G260" i="69"/>
  <c r="M22" i="10"/>
  <c r="H22" i="12" s="1"/>
  <c r="E19" i="46"/>
  <c r="I19" i="46" s="1"/>
  <c r="G137" i="69"/>
  <c r="E18" i="18"/>
  <c r="G38" i="69"/>
  <c r="G18" i="69"/>
  <c r="G19" i="69" s="1"/>
  <c r="G99" i="69"/>
  <c r="E21" i="46"/>
  <c r="D14" i="20"/>
  <c r="F15" i="54"/>
  <c r="G85" i="69"/>
  <c r="H13" i="20"/>
  <c r="G249" i="69"/>
  <c r="F13" i="57"/>
  <c r="F12" i="48"/>
  <c r="F22" i="62"/>
  <c r="M24" i="10"/>
  <c r="H24" i="12" s="1"/>
  <c r="H17" i="21"/>
  <c r="F9" i="48"/>
  <c r="G66" i="69"/>
  <c r="F26" i="62"/>
  <c r="G49" i="69"/>
  <c r="F10" i="53"/>
  <c r="H14" i="20"/>
  <c r="E13" i="22" s="1"/>
  <c r="G205" i="69"/>
  <c r="G182" i="69"/>
  <c r="H20" i="20"/>
  <c r="E17" i="22" s="1"/>
  <c r="E15" i="28"/>
  <c r="H15" i="28" s="1"/>
  <c r="D26" i="122"/>
  <c r="D14" i="122"/>
  <c r="E10" i="120"/>
  <c r="D8" i="120"/>
  <c r="C6" i="120"/>
  <c r="M29" i="10"/>
  <c r="H29" i="12" s="1"/>
  <c r="I21" i="13"/>
  <c r="I33" i="13"/>
  <c r="D110" i="121"/>
  <c r="D89" i="121"/>
  <c r="D72" i="121"/>
  <c r="D60" i="121"/>
  <c r="D45" i="121"/>
  <c r="D5" i="121"/>
  <c r="I21" i="14"/>
  <c r="G25" i="10"/>
  <c r="G25" i="11" s="1"/>
  <c r="E15" i="38"/>
  <c r="F17" i="56"/>
  <c r="I13" i="56"/>
  <c r="G216" i="69"/>
  <c r="E22" i="18"/>
  <c r="M19" i="10"/>
  <c r="H19" i="12" s="1"/>
  <c r="E20" i="56"/>
  <c r="E11" i="32"/>
  <c r="I35" i="13"/>
  <c r="F13" i="20"/>
  <c r="G247" i="69"/>
  <c r="D11" i="20"/>
  <c r="E20" i="46"/>
  <c r="I20" i="46" s="1"/>
  <c r="G110" i="69"/>
  <c r="E13" i="27"/>
  <c r="H13" i="27" s="1"/>
  <c r="H17" i="18"/>
  <c r="E13" i="45"/>
  <c r="M36" i="10"/>
  <c r="H36" i="12" s="1"/>
  <c r="F18" i="53"/>
  <c r="F21" i="37"/>
  <c r="G86" i="69"/>
  <c r="G218" i="69"/>
  <c r="E22" i="40"/>
  <c r="K22" i="40" s="1"/>
  <c r="E28" i="18"/>
  <c r="D20" i="18"/>
  <c r="J20" i="56"/>
  <c r="M38" i="10"/>
  <c r="H38" i="12" s="1"/>
  <c r="G183" i="69"/>
  <c r="E22" i="38"/>
  <c r="G139" i="69"/>
  <c r="F21" i="21"/>
  <c r="G166" i="69"/>
  <c r="G30" i="69"/>
  <c r="F9" i="37"/>
  <c r="E25" i="18"/>
  <c r="F15" i="50"/>
  <c r="M14" i="10"/>
  <c r="H14" i="12" s="1"/>
  <c r="E26" i="56"/>
  <c r="F17" i="51"/>
  <c r="D22" i="18"/>
  <c r="E5" i="122"/>
  <c r="D10" i="120"/>
  <c r="C8" i="120"/>
  <c r="M30" i="10"/>
  <c r="H30" i="12" s="1"/>
  <c r="I22" i="13"/>
  <c r="D108" i="121"/>
  <c r="D88" i="121"/>
  <c r="D59" i="121"/>
  <c r="D44" i="121"/>
  <c r="D24" i="121"/>
  <c r="F27" i="10"/>
  <c r="F27" i="11" s="1"/>
  <c r="I16" i="14"/>
  <c r="G22" i="10"/>
  <c r="G22" i="11" s="1"/>
  <c r="G21" i="69"/>
  <c r="F17" i="24"/>
  <c r="K17" i="24" s="1"/>
  <c r="G243" i="69"/>
  <c r="F17" i="37"/>
  <c r="G20" i="56"/>
  <c r="F15" i="51"/>
  <c r="G12" i="69"/>
  <c r="G209" i="69"/>
  <c r="E12" i="56"/>
  <c r="F15" i="53"/>
  <c r="G134" i="69"/>
  <c r="D22" i="21"/>
  <c r="G98" i="69"/>
  <c r="G14" i="10"/>
  <c r="G14" i="11" s="1"/>
  <c r="F17" i="44"/>
  <c r="I17" i="44" s="1"/>
  <c r="G50" i="69"/>
  <c r="E22" i="46"/>
  <c r="I22" i="46" s="1"/>
  <c r="F10" i="54"/>
  <c r="I18" i="56"/>
  <c r="E12" i="45"/>
  <c r="I12" i="45" s="1"/>
  <c r="E25" i="25"/>
  <c r="F13" i="53"/>
  <c r="F24" i="48"/>
  <c r="G108" i="69"/>
  <c r="F16" i="54"/>
  <c r="F21" i="49"/>
  <c r="H29" i="18"/>
  <c r="D22" i="22" s="1"/>
  <c r="G246" i="69"/>
  <c r="F25" i="62"/>
  <c r="F12" i="37"/>
  <c r="G73" i="69"/>
  <c r="F23" i="62"/>
  <c r="G20" i="59"/>
  <c r="F26" i="57"/>
  <c r="E18" i="45"/>
  <c r="D13" i="18"/>
  <c r="E9" i="33"/>
  <c r="I39" i="13"/>
  <c r="E20" i="40"/>
  <c r="K20" i="40" s="1"/>
  <c r="E13" i="18"/>
  <c r="E24" i="122"/>
  <c r="H138" i="69"/>
  <c r="G11" i="57"/>
  <c r="H250" i="69"/>
  <c r="F14" i="38"/>
  <c r="H211" i="69"/>
  <c r="H177" i="69"/>
  <c r="H268" i="69"/>
  <c r="G10" i="50"/>
  <c r="D18" i="10"/>
  <c r="D18" i="11" s="1"/>
  <c r="G11" i="25"/>
  <c r="F29" i="40"/>
  <c r="J23" i="13"/>
  <c r="Q6" i="120"/>
  <c r="J36" i="14"/>
  <c r="H6" i="122"/>
  <c r="Q42" i="120"/>
  <c r="P37" i="120"/>
  <c r="I31" i="10"/>
  <c r="I31" i="11" s="1"/>
  <c r="J27" i="13"/>
  <c r="E7" i="121"/>
  <c r="G32" i="49"/>
  <c r="H32" i="69"/>
  <c r="G14" i="49"/>
  <c r="G21" i="57"/>
  <c r="H181" i="69"/>
  <c r="G10" i="53"/>
  <c r="N19" i="10"/>
  <c r="I19" i="12" s="1"/>
  <c r="G9" i="50"/>
  <c r="N20" i="10"/>
  <c r="I20" i="12" s="1"/>
  <c r="H258" i="69"/>
  <c r="H39" i="69"/>
  <c r="F23" i="45"/>
  <c r="G13" i="52"/>
  <c r="J24" i="14"/>
  <c r="J40" i="13"/>
  <c r="E5" i="121"/>
  <c r="H133" i="69"/>
  <c r="H31" i="59"/>
  <c r="H44" i="69"/>
  <c r="G24" i="57"/>
  <c r="H61" i="69"/>
  <c r="G12" i="26"/>
  <c r="H42" i="69"/>
  <c r="G10" i="44"/>
  <c r="G15" i="51"/>
  <c r="H49" i="69"/>
  <c r="G22" i="57"/>
  <c r="F20" i="28"/>
  <c r="G24" i="48"/>
  <c r="H21" i="69"/>
  <c r="G10" i="24"/>
  <c r="F22" i="38"/>
  <c r="G17" i="49"/>
  <c r="H5" i="122"/>
  <c r="J28" i="14"/>
  <c r="J19" i="13"/>
  <c r="G10" i="57"/>
  <c r="F9" i="45"/>
  <c r="H9" i="45" s="1"/>
  <c r="G9" i="57"/>
  <c r="F16" i="45"/>
  <c r="H196" i="69"/>
  <c r="F10" i="38"/>
  <c r="G17" i="53"/>
  <c r="F11" i="27"/>
  <c r="G23" i="48"/>
  <c r="F28" i="40"/>
  <c r="H243" i="69"/>
  <c r="H182" i="69"/>
  <c r="G14" i="57"/>
  <c r="F10" i="40"/>
  <c r="H251" i="69"/>
  <c r="F21" i="45"/>
  <c r="H21" i="45" s="1"/>
  <c r="H24" i="122"/>
  <c r="H13" i="122"/>
  <c r="J30" i="14"/>
  <c r="P5" i="120"/>
  <c r="J21" i="13"/>
  <c r="J50" i="13"/>
  <c r="E13" i="121" s="1"/>
  <c r="G25" i="25"/>
  <c r="F11" i="38"/>
  <c r="G14" i="26"/>
  <c r="F12" i="40"/>
  <c r="G12" i="40" s="1"/>
  <c r="F13" i="27"/>
  <c r="F14" i="27"/>
  <c r="H34" i="69"/>
  <c r="H110" i="69"/>
  <c r="H255" i="69"/>
  <c r="F27" i="40"/>
  <c r="H91" i="69"/>
  <c r="H114" i="69"/>
  <c r="G18" i="34"/>
  <c r="F14" i="40"/>
  <c r="F21" i="27"/>
  <c r="G17" i="44"/>
  <c r="G9" i="44"/>
  <c r="H122" i="69"/>
  <c r="F16" i="28"/>
  <c r="H160" i="69"/>
  <c r="H184" i="69"/>
  <c r="G11" i="52"/>
  <c r="H204" i="69"/>
  <c r="D17" i="10"/>
  <c r="D17" i="11" s="1"/>
  <c r="G15" i="48"/>
  <c r="G22" i="62"/>
  <c r="H128" i="69"/>
  <c r="H72" i="69"/>
  <c r="H137" i="69"/>
  <c r="H136" i="69"/>
  <c r="N32" i="10"/>
  <c r="I32" i="12" s="1"/>
  <c r="M9" i="120"/>
  <c r="J34" i="14"/>
  <c r="H18" i="122"/>
  <c r="H111" i="69"/>
  <c r="G16" i="53"/>
  <c r="H22" i="69"/>
  <c r="G10" i="32"/>
  <c r="H189" i="69"/>
  <c r="H100" i="69"/>
  <c r="G10" i="34"/>
  <c r="H202" i="69"/>
  <c r="G12" i="57"/>
  <c r="H148" i="69"/>
  <c r="H168" i="69"/>
  <c r="N28" i="10"/>
  <c r="I28" i="12" s="1"/>
  <c r="L4" i="120"/>
  <c r="O9" i="120"/>
  <c r="J22" i="14"/>
  <c r="G7" i="122"/>
  <c r="F19" i="38"/>
  <c r="G11" i="33"/>
  <c r="G23" i="62"/>
  <c r="H170" i="69"/>
  <c r="G12" i="54"/>
  <c r="N23" i="10"/>
  <c r="I23" i="12" s="1"/>
  <c r="H242" i="69"/>
  <c r="G11" i="26"/>
  <c r="H60" i="69"/>
  <c r="H46" i="69"/>
  <c r="N16" i="10"/>
  <c r="I16" i="12" s="1"/>
  <c r="G13" i="51"/>
  <c r="H183" i="69"/>
  <c r="G22" i="37"/>
  <c r="H35" i="69"/>
  <c r="D22" i="121"/>
  <c r="D62" i="121"/>
  <c r="D101" i="121"/>
  <c r="D128" i="121"/>
  <c r="I23" i="13"/>
  <c r="G32" i="10"/>
  <c r="N4" i="120"/>
  <c r="F7" i="120"/>
  <c r="Q9" i="120"/>
  <c r="J16" i="14"/>
  <c r="D9" i="122"/>
  <c r="E20" i="122"/>
  <c r="H164" i="69"/>
  <c r="I25" i="10"/>
  <c r="I25" i="11" s="1"/>
  <c r="H263" i="69"/>
  <c r="H58" i="69"/>
  <c r="F21" i="40"/>
  <c r="G21" i="40" s="1"/>
  <c r="G11" i="53"/>
  <c r="G17" i="51"/>
  <c r="H262" i="69"/>
  <c r="H208" i="69"/>
  <c r="H167" i="69"/>
  <c r="G9" i="53"/>
  <c r="G15" i="57"/>
  <c r="N27" i="10"/>
  <c r="G51" i="62" s="1" a="1"/>
  <c r="G51" i="62" s="1"/>
  <c r="P4" i="120"/>
  <c r="J13" i="14"/>
  <c r="H9" i="122"/>
  <c r="H176" i="69"/>
  <c r="G14" i="51"/>
  <c r="G30" i="62"/>
  <c r="H254" i="69"/>
  <c r="H102" i="69"/>
  <c r="H271" i="69"/>
  <c r="G17" i="32"/>
  <c r="G14" i="54"/>
  <c r="H147" i="69"/>
  <c r="G9" i="54"/>
  <c r="J36" i="13"/>
  <c r="H139" i="69"/>
  <c r="L7" i="120"/>
  <c r="M10" i="120"/>
  <c r="G13" i="24"/>
  <c r="H29" i="59"/>
  <c r="H113" i="69"/>
  <c r="I24" i="10"/>
  <c r="I14" i="10"/>
  <c r="I14" i="11" s="1"/>
  <c r="G29" i="62"/>
  <c r="H119" i="69"/>
  <c r="G11" i="54"/>
  <c r="H11" i="54" s="1"/>
  <c r="G28" i="49"/>
  <c r="F23" i="38"/>
  <c r="H240" i="69"/>
  <c r="H141" i="69"/>
  <c r="H146" i="69"/>
  <c r="Q7" i="120"/>
  <c r="Q10" i="120"/>
  <c r="H10" i="122"/>
  <c r="F35" i="40"/>
  <c r="F19" i="46"/>
  <c r="H260" i="69"/>
  <c r="G14" i="50"/>
  <c r="H14" i="50" s="1"/>
  <c r="G14" i="24"/>
  <c r="H104" i="69"/>
  <c r="G12" i="52"/>
  <c r="F15" i="38"/>
  <c r="H20" i="69"/>
  <c r="H105" i="69"/>
  <c r="N24" i="10"/>
  <c r="I24" i="12" s="1"/>
  <c r="G34" i="62"/>
  <c r="H26" i="122"/>
  <c r="F14" i="28"/>
  <c r="H126" i="69"/>
  <c r="G13" i="50"/>
  <c r="F11" i="28"/>
  <c r="G21" i="51"/>
  <c r="G11" i="48"/>
  <c r="H253" i="69"/>
  <c r="F18" i="28"/>
  <c r="H145" i="69"/>
  <c r="F24" i="46"/>
  <c r="G12" i="32"/>
  <c r="H29" i="69"/>
  <c r="E6" i="121"/>
  <c r="L5" i="120"/>
  <c r="H11" i="122"/>
  <c r="J12" i="14"/>
  <c r="G26" i="122"/>
  <c r="G18" i="122"/>
  <c r="G5" i="122"/>
  <c r="J21" i="14"/>
  <c r="N36" i="10"/>
  <c r="I36" i="12" s="1"/>
  <c r="L10" i="120"/>
  <c r="Q8" i="120"/>
  <c r="O5" i="120"/>
  <c r="J24" i="13"/>
  <c r="E129" i="121"/>
  <c r="E115" i="121"/>
  <c r="E106" i="121"/>
  <c r="E96" i="121"/>
  <c r="E87" i="121"/>
  <c r="E69" i="121"/>
  <c r="E52" i="121"/>
  <c r="E44" i="121"/>
  <c r="E33" i="121"/>
  <c r="E23" i="121"/>
  <c r="J46" i="13"/>
  <c r="E11" i="121" s="1"/>
  <c r="G15" i="47"/>
  <c r="H54" i="69"/>
  <c r="F24" i="40"/>
  <c r="F17" i="46"/>
  <c r="F25" i="46"/>
  <c r="H261" i="69"/>
  <c r="J35" i="13"/>
  <c r="G14" i="53"/>
  <c r="N12" i="10"/>
  <c r="I12" i="12" s="1"/>
  <c r="H175" i="69"/>
  <c r="F15" i="28"/>
  <c r="G10" i="25"/>
  <c r="H24" i="69"/>
  <c r="G9" i="52"/>
  <c r="N18" i="10"/>
  <c r="I18" i="12" s="1"/>
  <c r="F33" i="40"/>
  <c r="G10" i="52"/>
  <c r="H95" i="69"/>
  <c r="G20" i="57"/>
  <c r="G9" i="49"/>
  <c r="H235" i="69"/>
  <c r="I18" i="10"/>
  <c r="I18" i="11" s="1"/>
  <c r="F26" i="40"/>
  <c r="I38" i="10"/>
  <c r="I38" i="11" s="1"/>
  <c r="G19" i="49"/>
  <c r="N15" i="10"/>
  <c r="I15" i="12" s="1"/>
  <c r="G19" i="34"/>
  <c r="H205" i="69"/>
  <c r="F22" i="45"/>
  <c r="H15" i="69"/>
  <c r="G21" i="49"/>
  <c r="L37" i="120"/>
  <c r="G10" i="122"/>
  <c r="J23" i="14"/>
  <c r="O11" i="120"/>
  <c r="O8" i="120"/>
  <c r="M5" i="120"/>
  <c r="J26" i="13"/>
  <c r="E128" i="121"/>
  <c r="E114" i="121"/>
  <c r="E105" i="121"/>
  <c r="E95" i="121"/>
  <c r="E86" i="121"/>
  <c r="E77" i="121"/>
  <c r="E68" i="121"/>
  <c r="E60" i="121"/>
  <c r="E51" i="121"/>
  <c r="E32" i="121"/>
  <c r="E22" i="121"/>
  <c r="H132" i="69"/>
  <c r="G11" i="32"/>
  <c r="H197" i="69"/>
  <c r="G9" i="47"/>
  <c r="G22" i="34"/>
  <c r="F15" i="27"/>
  <c r="F9" i="28"/>
  <c r="F22" i="27"/>
  <c r="G16" i="33"/>
  <c r="G13" i="53"/>
  <c r="H127" i="69"/>
  <c r="G9" i="51"/>
  <c r="H193" i="69"/>
  <c r="H69" i="69"/>
  <c r="F18" i="27"/>
  <c r="H212" i="69"/>
  <c r="G9" i="34"/>
  <c r="I9" i="34" s="1"/>
  <c r="G12" i="51"/>
  <c r="H43" i="69"/>
  <c r="H214" i="69"/>
  <c r="N38" i="10"/>
  <c r="I38" i="12" s="1"/>
  <c r="H247" i="69"/>
  <c r="G15" i="50"/>
  <c r="G18" i="53"/>
  <c r="I20" i="10"/>
  <c r="I20" i="11" s="1"/>
  <c r="G24" i="49"/>
  <c r="H97" i="69"/>
  <c r="G18" i="57"/>
  <c r="G22" i="49"/>
  <c r="H90" i="69"/>
  <c r="H179" i="69"/>
  <c r="H112" i="69"/>
  <c r="P41" i="120"/>
  <c r="W9" i="118" a="1"/>
  <c r="W9" i="118" s="1"/>
  <c r="X9" i="118" s="1"/>
  <c r="G24" i="122"/>
  <c r="G17" i="122"/>
  <c r="J25" i="14"/>
  <c r="M11" i="120"/>
  <c r="M8" i="120"/>
  <c r="N29" i="10"/>
  <c r="J28" i="13"/>
  <c r="E126" i="121"/>
  <c r="E127" i="121" s="1"/>
  <c r="E113" i="121"/>
  <c r="E104" i="121"/>
  <c r="E94" i="121"/>
  <c r="E85" i="121"/>
  <c r="E76" i="121"/>
  <c r="E59" i="121"/>
  <c r="E50" i="121"/>
  <c r="E42" i="121"/>
  <c r="E31" i="121"/>
  <c r="E21" i="121"/>
  <c r="H25" i="69"/>
  <c r="H266" i="69"/>
  <c r="H33" i="69"/>
  <c r="H166" i="69"/>
  <c r="H36" i="69"/>
  <c r="F9" i="27"/>
  <c r="G13" i="32"/>
  <c r="H171" i="69"/>
  <c r="G12" i="44"/>
  <c r="F18" i="46"/>
  <c r="H123" i="69"/>
  <c r="H85" i="69"/>
  <c r="H38" i="69"/>
  <c r="F12" i="38"/>
  <c r="G27" i="49"/>
  <c r="H239" i="69"/>
  <c r="G18" i="37"/>
  <c r="F13" i="40"/>
  <c r="I17" i="10"/>
  <c r="I17" i="11" s="1"/>
  <c r="G23" i="51"/>
  <c r="G9" i="32"/>
  <c r="H89" i="69"/>
  <c r="N13" i="10"/>
  <c r="I13" i="12" s="1"/>
  <c r="H245" i="69"/>
  <c r="G28" i="62"/>
  <c r="H246" i="69"/>
  <c r="F16" i="38"/>
  <c r="G13" i="26"/>
  <c r="H217" i="69"/>
  <c r="G11" i="44"/>
  <c r="G12" i="34"/>
  <c r="H169" i="69"/>
  <c r="G12" i="49"/>
  <c r="F16" i="27"/>
  <c r="M42" i="120"/>
  <c r="G9" i="122"/>
  <c r="J29" i="14"/>
  <c r="P9" i="120"/>
  <c r="O6" i="120"/>
  <c r="N31" i="10"/>
  <c r="I31" i="12" s="1"/>
  <c r="J30" i="13"/>
  <c r="E124" i="121"/>
  <c r="E112" i="121"/>
  <c r="E103" i="121"/>
  <c r="E93" i="121"/>
  <c r="E84" i="121"/>
  <c r="E75" i="121"/>
  <c r="E66" i="121"/>
  <c r="E58" i="121"/>
  <c r="E41" i="121"/>
  <c r="E30" i="121"/>
  <c r="E19" i="121"/>
  <c r="H30" i="69"/>
  <c r="F29" i="46"/>
  <c r="H94" i="69"/>
  <c r="H41" i="69"/>
  <c r="G12" i="48"/>
  <c r="N11" i="10"/>
  <c r="I11" i="12" s="1"/>
  <c r="F24" i="38"/>
  <c r="H187" i="69"/>
  <c r="H200" i="69"/>
  <c r="H180" i="69"/>
  <c r="F16" i="46"/>
  <c r="H12" i="69"/>
  <c r="H18" i="59"/>
  <c r="H265" i="69"/>
  <c r="H194" i="69"/>
  <c r="G13" i="48"/>
  <c r="H115" i="69"/>
  <c r="G15" i="37"/>
  <c r="H15" i="37" s="1"/>
  <c r="N14" i="10"/>
  <c r="I14" i="12" s="1"/>
  <c r="G20" i="49"/>
  <c r="H55" i="69"/>
  <c r="H185" i="69"/>
  <c r="H31" i="69"/>
  <c r="H210" i="69"/>
  <c r="G11" i="51"/>
  <c r="I19" i="10"/>
  <c r="I19" i="11" s="1"/>
  <c r="H121" i="69"/>
  <c r="J47" i="13"/>
  <c r="H92" i="69"/>
  <c r="J92" i="69" s="1"/>
  <c r="H108" i="69"/>
  <c r="H14" i="69"/>
  <c r="J14" i="69" s="1"/>
  <c r="G24" i="25"/>
  <c r="G22" i="25" s="1"/>
  <c r="G33" i="62"/>
  <c r="G32" i="62"/>
  <c r="F9" i="46"/>
  <c r="O42" i="120"/>
  <c r="G21" i="122"/>
  <c r="G14" i="122"/>
  <c r="J31" i="14"/>
  <c r="G36" i="62" s="1"/>
  <c r="N9" i="120"/>
  <c r="M6" i="120"/>
  <c r="I30" i="10"/>
  <c r="I30" i="11" s="1"/>
  <c r="J38" i="13"/>
  <c r="J12" i="13"/>
  <c r="J51" i="13"/>
  <c r="E14" i="121" s="1"/>
  <c r="E123" i="121"/>
  <c r="E110" i="121"/>
  <c r="E102" i="121"/>
  <c r="E92" i="121"/>
  <c r="E83" i="121"/>
  <c r="E73" i="121"/>
  <c r="E65" i="121"/>
  <c r="E57" i="121"/>
  <c r="E48" i="121"/>
  <c r="E40" i="121"/>
  <c r="E29" i="121"/>
  <c r="E18" i="121"/>
  <c r="G9" i="24"/>
  <c r="F17" i="28"/>
  <c r="G10" i="37"/>
  <c r="H96" i="69"/>
  <c r="H165" i="69"/>
  <c r="F20" i="45"/>
  <c r="G25" i="62"/>
  <c r="F22" i="46"/>
  <c r="G9" i="26"/>
  <c r="J45" i="13"/>
  <c r="G16" i="34"/>
  <c r="H267" i="69"/>
  <c r="H178" i="69"/>
  <c r="H50" i="69"/>
  <c r="F18" i="40"/>
  <c r="G12" i="50"/>
  <c r="G26" i="57"/>
  <c r="G14" i="47"/>
  <c r="F37" i="40"/>
  <c r="H118" i="69"/>
  <c r="H199" i="69"/>
  <c r="F20" i="27"/>
  <c r="H66" i="69"/>
  <c r="I15" i="10"/>
  <c r="I15" i="11" s="1"/>
  <c r="F14" i="46"/>
  <c r="H64" i="69"/>
  <c r="G14" i="32"/>
  <c r="G15" i="53"/>
  <c r="H117" i="69"/>
  <c r="G22" i="51"/>
  <c r="F26" i="46"/>
  <c r="G13" i="57"/>
  <c r="H107" i="69"/>
  <c r="J35" i="14"/>
  <c r="L9" i="120"/>
  <c r="O4" i="120"/>
  <c r="I32" i="10"/>
  <c r="I32" i="11" s="1"/>
  <c r="J41" i="13"/>
  <c r="J11" i="13"/>
  <c r="E137" i="121"/>
  <c r="E120" i="121"/>
  <c r="E121" i="121" s="1"/>
  <c r="E109" i="121"/>
  <c r="E101" i="121"/>
  <c r="E90" i="121"/>
  <c r="E81" i="121"/>
  <c r="E72" i="121"/>
  <c r="E64" i="121"/>
  <c r="E56" i="121"/>
  <c r="E47" i="121"/>
  <c r="E39" i="121"/>
  <c r="E28" i="121"/>
  <c r="E16" i="121"/>
  <c r="H23" i="69"/>
  <c r="F38" i="40"/>
  <c r="F12" i="27"/>
  <c r="H125" i="69"/>
  <c r="H172" i="69"/>
  <c r="H109" i="69"/>
  <c r="H13" i="69"/>
  <c r="H68" i="69"/>
  <c r="G16" i="47"/>
  <c r="H248" i="69"/>
  <c r="I248" i="69" s="1"/>
  <c r="G16" i="57"/>
  <c r="F17" i="45"/>
  <c r="G20" i="24"/>
  <c r="H106" i="69"/>
  <c r="G21" i="48"/>
  <c r="H206" i="69"/>
  <c r="F24" i="45"/>
  <c r="H201" i="69"/>
  <c r="H59" i="69"/>
  <c r="H272" i="69"/>
  <c r="H129" i="69"/>
  <c r="G30" i="49"/>
  <c r="H18" i="69"/>
  <c r="H19" i="69" s="1"/>
  <c r="H192" i="69"/>
  <c r="J192" i="69" s="1"/>
  <c r="G12" i="53"/>
  <c r="I21" i="10"/>
  <c r="I21" i="11" s="1"/>
  <c r="G27" i="57"/>
  <c r="H47" i="69"/>
  <c r="G14" i="34"/>
  <c r="F12" i="28"/>
  <c r="F10" i="28"/>
  <c r="G9" i="48"/>
  <c r="F20" i="46"/>
  <c r="G17" i="48"/>
  <c r="H124" i="69"/>
  <c r="G20" i="122"/>
  <c r="G13" i="122"/>
  <c r="G6" i="122"/>
  <c r="J10" i="14"/>
  <c r="I34" i="10"/>
  <c r="I34" i="11" s="1"/>
  <c r="P10" i="120"/>
  <c r="O7" i="120"/>
  <c r="M4" i="120"/>
  <c r="J20" i="13"/>
  <c r="J16" i="13"/>
  <c r="E136" i="121"/>
  <c r="E118" i="121"/>
  <c r="E108" i="121"/>
  <c r="E100" i="121"/>
  <c r="E89" i="121"/>
  <c r="E80" i="121"/>
  <c r="E63" i="121"/>
  <c r="E46" i="121"/>
  <c r="E38" i="121"/>
  <c r="E15" i="121"/>
  <c r="F20" i="38"/>
  <c r="F32" i="40"/>
  <c r="H32" i="40" s="1"/>
  <c r="G18" i="48"/>
  <c r="G13" i="47"/>
  <c r="H86" i="69"/>
  <c r="H16" i="69"/>
  <c r="G15" i="44"/>
  <c r="G16" i="51"/>
  <c r="H140" i="69"/>
  <c r="I140" i="69" s="1"/>
  <c r="G13" i="34"/>
  <c r="G10" i="47"/>
  <c r="G10" i="33"/>
  <c r="G11" i="34"/>
  <c r="H45" i="69"/>
  <c r="H244" i="69"/>
  <c r="G9" i="37"/>
  <c r="G17" i="57"/>
  <c r="F21" i="38"/>
  <c r="G10" i="54"/>
  <c r="G16" i="37"/>
  <c r="H56" i="69"/>
  <c r="I13" i="10"/>
  <c r="I13" i="11" s="1"/>
  <c r="H98" i="69"/>
  <c r="H269" i="69"/>
  <c r="H130" i="69"/>
  <c r="H219" i="69"/>
  <c r="G28" i="57"/>
  <c r="H215" i="69"/>
  <c r="H213" i="69"/>
  <c r="G17" i="37"/>
  <c r="G12" i="47"/>
  <c r="G31" i="62"/>
  <c r="F23" i="40"/>
  <c r="G25" i="57"/>
  <c r="H257" i="69"/>
  <c r="H93" i="69"/>
  <c r="J14" i="14"/>
  <c r="I36" i="10"/>
  <c r="I36" i="11" s="1"/>
  <c r="N10" i="120"/>
  <c r="M7" i="120"/>
  <c r="J22" i="13"/>
  <c r="J33" i="13"/>
  <c r="E135" i="121"/>
  <c r="E117" i="121"/>
  <c r="E107" i="121"/>
  <c r="E99" i="121"/>
  <c r="E88" i="121"/>
  <c r="E62" i="121"/>
  <c r="E45" i="121"/>
  <c r="E34" i="121"/>
  <c r="E24" i="121"/>
  <c r="J48" i="13"/>
  <c r="E12" i="121" s="1"/>
  <c r="H173" i="69"/>
  <c r="H216" i="69"/>
  <c r="H52" i="69"/>
  <c r="G31" i="49"/>
  <c r="F34" i="40"/>
  <c r="H20" i="59"/>
  <c r="G16" i="26"/>
  <c r="H142" i="69"/>
  <c r="H30" i="59"/>
  <c r="F9" i="38"/>
  <c r="G16" i="54"/>
  <c r="F11" i="40"/>
  <c r="H101" i="69"/>
  <c r="H221" i="69"/>
  <c r="G19" i="37"/>
  <c r="G25" i="49"/>
  <c r="H120" i="69"/>
  <c r="G25" i="48"/>
  <c r="I12" i="10"/>
  <c r="I12" i="11" s="1"/>
  <c r="F9" i="40"/>
  <c r="H190" i="69"/>
  <c r="H209" i="69"/>
  <c r="H259" i="69"/>
  <c r="I259" i="69" s="1"/>
  <c r="F14" i="45"/>
  <c r="F20" i="40"/>
  <c r="G11" i="50"/>
  <c r="J39" i="13"/>
  <c r="G15" i="26"/>
  <c r="G16" i="49"/>
  <c r="H63" i="69"/>
  <c r="F22" i="40"/>
  <c r="H237" i="69"/>
  <c r="G15" i="34"/>
  <c r="H73" i="69"/>
  <c r="H162" i="69"/>
  <c r="H234" i="69"/>
  <c r="G9" i="33"/>
  <c r="H57" i="69"/>
  <c r="H198" i="69"/>
  <c r="J198" i="69" s="1"/>
  <c r="F10" i="27"/>
  <c r="G19" i="24"/>
  <c r="J42" i="13"/>
  <c r="H135" i="69"/>
  <c r="G13" i="33"/>
  <c r="H236" i="69"/>
  <c r="F17" i="40"/>
  <c r="F31" i="40"/>
  <c r="H161" i="69"/>
  <c r="H252" i="69"/>
  <c r="N30" i="10"/>
  <c r="I30" i="12" s="1"/>
  <c r="I35" i="10"/>
  <c r="I35" i="11" s="1"/>
  <c r="H20" i="122"/>
  <c r="L42" i="120"/>
  <c r="Q5" i="120"/>
  <c r="B4" i="9"/>
  <c r="C4" i="10" s="1"/>
  <c r="C4" i="13" s="1"/>
  <c r="E4" i="8"/>
  <c r="J24" i="20"/>
  <c r="Q24" i="20" s="1"/>
  <c r="C42" i="120"/>
  <c r="E38" i="120"/>
  <c r="O41" i="120"/>
  <c r="K16" i="55"/>
  <c r="F41" i="120"/>
  <c r="D38" i="120"/>
  <c r="F36" i="120"/>
  <c r="N41" i="120"/>
  <c r="P7" i="120"/>
  <c r="E41" i="120"/>
  <c r="C38" i="120"/>
  <c r="H6" i="120"/>
  <c r="E36" i="120"/>
  <c r="L41" i="120"/>
  <c r="Q41" i="120"/>
  <c r="I30" i="18"/>
  <c r="J15" i="14"/>
  <c r="D41" i="120"/>
  <c r="F37" i="120"/>
  <c r="D36" i="120"/>
  <c r="Q40" i="120"/>
  <c r="C41" i="120"/>
  <c r="E37" i="120"/>
  <c r="H37" i="120"/>
  <c r="C36" i="120"/>
  <c r="O40" i="120"/>
  <c r="M25" i="10"/>
  <c r="M44" i="10" s="1"/>
  <c r="Z6" i="118"/>
  <c r="G40" i="120"/>
  <c r="D37" i="120"/>
  <c r="P43" i="120"/>
  <c r="N40" i="120"/>
  <c r="I4" i="6"/>
  <c r="Z5" i="118"/>
  <c r="F40" i="120"/>
  <c r="C37" i="120"/>
  <c r="O43" i="120"/>
  <c r="L40" i="120"/>
  <c r="S4" i="7"/>
  <c r="AI4" i="8" s="1"/>
  <c r="M6" i="118"/>
  <c r="E40" i="120"/>
  <c r="N43" i="120"/>
  <c r="P39" i="120"/>
  <c r="Q12" i="120"/>
  <c r="H43" i="120"/>
  <c r="M43" i="120"/>
  <c r="L39" i="120"/>
  <c r="G11" i="120"/>
  <c r="F43" i="120"/>
  <c r="C40" i="120"/>
  <c r="L43" i="120"/>
  <c r="M38" i="120"/>
  <c r="P42" i="120"/>
  <c r="N37" i="120"/>
  <c r="G24" i="22"/>
  <c r="G4" i="120"/>
  <c r="J28" i="46"/>
  <c r="G29" i="55"/>
  <c r="I15" i="14"/>
  <c r="K28" i="46"/>
  <c r="H29" i="55"/>
  <c r="K21" i="40"/>
  <c r="O7" i="118"/>
  <c r="P6" i="120"/>
  <c r="H40" i="120"/>
  <c r="J29" i="55"/>
  <c r="F30" i="18"/>
  <c r="H8" i="120"/>
  <c r="G38" i="120"/>
  <c r="B7" i="118"/>
  <c r="Q38" i="120"/>
  <c r="F32" i="16"/>
  <c r="H41" i="120"/>
  <c r="L24" i="20"/>
  <c r="K3" i="112"/>
  <c r="K4" i="112" s="1"/>
  <c r="I26" i="38"/>
  <c r="K26" i="45"/>
  <c r="K26" i="55"/>
  <c r="Q43" i="120"/>
  <c r="J26" i="45"/>
  <c r="H33" i="48"/>
  <c r="N10" i="75"/>
  <c r="M10" i="75"/>
  <c r="I5" i="8"/>
  <c r="C5" i="9"/>
  <c r="C5" i="10" s="1"/>
  <c r="C5" i="14" s="1"/>
  <c r="C5" i="15" s="1"/>
  <c r="C5" i="16" s="1"/>
  <c r="C6" i="9"/>
  <c r="C6" i="10" s="1"/>
  <c r="C6" i="12" s="1"/>
  <c r="C6" i="13"/>
  <c r="I6" i="8"/>
  <c r="Q39" i="120"/>
  <c r="P36" i="120"/>
  <c r="O39" i="120"/>
  <c r="G34" i="11"/>
  <c r="H38" i="120"/>
  <c r="N39" i="120"/>
  <c r="M39" i="120"/>
  <c r="G41" i="120"/>
  <c r="G36" i="120"/>
  <c r="C6" i="6"/>
  <c r="O37" i="120"/>
  <c r="J26" i="38"/>
  <c r="P40" i="120"/>
  <c r="Q37" i="120"/>
  <c r="S16" i="55"/>
  <c r="R25" i="55" s="1"/>
  <c r="M40" i="120"/>
  <c r="G5" i="120"/>
  <c r="T22" i="117"/>
  <c r="G29" i="58"/>
  <c r="H19" i="58"/>
  <c r="H27" i="48"/>
  <c r="J28" i="48"/>
  <c r="G18" i="58"/>
  <c r="H9" i="58"/>
  <c r="AH28" i="8"/>
  <c r="F18" i="58"/>
  <c r="J27" i="48"/>
  <c r="F29" i="58"/>
  <c r="K12" i="40"/>
  <c r="L15" i="19"/>
  <c r="N15" i="76"/>
  <c r="G10" i="120"/>
  <c r="G42" i="120"/>
  <c r="H39" i="120"/>
  <c r="H7" i="120"/>
  <c r="I16" i="44"/>
  <c r="H16" i="44"/>
  <c r="G37" i="120"/>
  <c r="H10" i="120"/>
  <c r="H42" i="120"/>
  <c r="G12" i="120"/>
  <c r="H12" i="120"/>
  <c r="H4" i="120"/>
  <c r="H36" i="120"/>
  <c r="C11" i="91"/>
  <c r="Q12" i="98"/>
  <c r="J12" i="98" s="1"/>
  <c r="G30" i="18"/>
  <c r="I5" i="6"/>
  <c r="I5" i="5"/>
  <c r="AI5" i="8"/>
  <c r="J5" i="9"/>
  <c r="N5" i="10" s="1"/>
  <c r="F5" i="9"/>
  <c r="K5" i="10" s="1"/>
  <c r="O36" i="120"/>
  <c r="N36" i="120"/>
  <c r="M36" i="120"/>
  <c r="L36" i="120"/>
  <c r="Q36" i="120"/>
  <c r="M41" i="120"/>
  <c r="P38" i="120"/>
  <c r="O38" i="120"/>
  <c r="N38" i="120"/>
  <c r="L38" i="120"/>
  <c r="N11" i="75"/>
  <c r="AH30" i="8"/>
  <c r="M11" i="75"/>
  <c r="Y87" i="118" l="1"/>
  <c r="X103" i="118"/>
  <c r="I103" i="69"/>
  <c r="K39" i="118"/>
  <c r="X104" i="118"/>
  <c r="Y78" i="118"/>
  <c r="X111" i="118"/>
  <c r="Y114" i="118"/>
  <c r="X75" i="118"/>
  <c r="K104" i="118"/>
  <c r="Y45" i="118"/>
  <c r="Y128" i="118"/>
  <c r="Y41" i="118"/>
  <c r="L64" i="118"/>
  <c r="Y31" i="118"/>
  <c r="Y21" i="118"/>
  <c r="K106" i="118"/>
  <c r="L135" i="118"/>
  <c r="X151" i="118"/>
  <c r="L96" i="118"/>
  <c r="Y129" i="118"/>
  <c r="Y26" i="118"/>
  <c r="Y58" i="118"/>
  <c r="I27" i="11"/>
  <c r="L110" i="118"/>
  <c r="X54" i="118"/>
  <c r="Y118" i="118"/>
  <c r="Y12" i="118"/>
  <c r="L116" i="118"/>
  <c r="Y150" i="118"/>
  <c r="Y55" i="118"/>
  <c r="L34" i="118"/>
  <c r="Y106" i="118"/>
  <c r="Y77" i="118"/>
  <c r="I214" i="69"/>
  <c r="L81" i="118"/>
  <c r="K19" i="118"/>
  <c r="Y70" i="118"/>
  <c r="Y71" i="118"/>
  <c r="Y86" i="118"/>
  <c r="Y42" i="118"/>
  <c r="Y102" i="118"/>
  <c r="Y88" i="118"/>
  <c r="X68" i="118"/>
  <c r="Y123" i="118"/>
  <c r="L17" i="118"/>
  <c r="Y134" i="118"/>
  <c r="X126" i="118"/>
  <c r="X131" i="118"/>
  <c r="X16" i="118"/>
  <c r="Y16" i="118"/>
  <c r="Y48" i="118"/>
  <c r="X48" i="118"/>
  <c r="X32" i="118"/>
  <c r="Y32" i="118"/>
  <c r="Y92" i="118"/>
  <c r="H11" i="50"/>
  <c r="Y39" i="118"/>
  <c r="Y38" i="118"/>
  <c r="X40" i="118"/>
  <c r="Y40" i="118"/>
  <c r="Y56" i="118"/>
  <c r="X56" i="118"/>
  <c r="J201" i="69"/>
  <c r="H13" i="44"/>
  <c r="H14" i="47"/>
  <c r="H16" i="57"/>
  <c r="I23" i="25"/>
  <c r="I96" i="69"/>
  <c r="H12" i="50"/>
  <c r="I118" i="69"/>
  <c r="I145" i="69"/>
  <c r="I29" i="69"/>
  <c r="G36" i="40"/>
  <c r="H9" i="50"/>
  <c r="I42" i="69"/>
  <c r="H13" i="28"/>
  <c r="H19" i="28" s="1"/>
  <c r="G13" i="28"/>
  <c r="H20" i="51"/>
  <c r="D20" i="121"/>
  <c r="G18" i="38"/>
  <c r="J134" i="69"/>
  <c r="H14" i="24"/>
  <c r="H18" i="45"/>
  <c r="I11" i="25"/>
  <c r="H14" i="49"/>
  <c r="J181" i="69"/>
  <c r="H15" i="51"/>
  <c r="J146" i="69"/>
  <c r="J147" i="69"/>
  <c r="H14" i="53"/>
  <c r="I10" i="25"/>
  <c r="H10" i="52"/>
  <c r="H28" i="57"/>
  <c r="H27" i="49"/>
  <c r="I245" i="69"/>
  <c r="I12" i="34"/>
  <c r="J180" i="69"/>
  <c r="I16" i="34"/>
  <c r="H31" i="49"/>
  <c r="I16" i="26"/>
  <c r="J101" i="69"/>
  <c r="J221" i="69"/>
  <c r="H16" i="24"/>
  <c r="K16" i="24"/>
  <c r="E21" i="22"/>
  <c r="D21" i="22"/>
  <c r="I10" i="46"/>
  <c r="G10" i="46"/>
  <c r="H32" i="10"/>
  <c r="H32" i="11" s="1"/>
  <c r="G21" i="45"/>
  <c r="H27" i="57"/>
  <c r="G24" i="38"/>
  <c r="J18" i="26"/>
  <c r="J12" i="26"/>
  <c r="H19" i="24"/>
  <c r="I141" i="69"/>
  <c r="H12" i="38"/>
  <c r="H14" i="51"/>
  <c r="G18" i="40"/>
  <c r="I68" i="69"/>
  <c r="L26" i="56"/>
  <c r="F19" i="22"/>
  <c r="H19" i="22" s="1"/>
  <c r="J100" i="69"/>
  <c r="I131" i="69"/>
  <c r="J129" i="69"/>
  <c r="H36" i="40"/>
  <c r="J19" i="18"/>
  <c r="K19" i="18" s="1"/>
  <c r="I162" i="69"/>
  <c r="I25" i="25"/>
  <c r="I125" i="69"/>
  <c r="J220" i="69"/>
  <c r="H10" i="47"/>
  <c r="H20" i="24"/>
  <c r="H33" i="40"/>
  <c r="H11" i="48"/>
  <c r="H20" i="49"/>
  <c r="I58" i="69"/>
  <c r="I11" i="34"/>
  <c r="H10" i="51"/>
  <c r="G14" i="28"/>
  <c r="I25" i="69"/>
  <c r="I22" i="34"/>
  <c r="H15" i="40"/>
  <c r="H21" i="40"/>
  <c r="H22" i="57"/>
  <c r="I19" i="34"/>
  <c r="G10" i="27"/>
  <c r="J115" i="69"/>
  <c r="J168" i="69"/>
  <c r="H9" i="57"/>
  <c r="J141" i="69"/>
  <c r="G12" i="28"/>
  <c r="G9" i="46"/>
  <c r="J20" i="69"/>
  <c r="H32" i="49"/>
  <c r="H16" i="51"/>
  <c r="I106" i="69"/>
  <c r="H11" i="52"/>
  <c r="H34" i="10"/>
  <c r="H34" i="11" s="1"/>
  <c r="J14" i="21"/>
  <c r="G9" i="45"/>
  <c r="D19" i="122"/>
  <c r="C3" i="9"/>
  <c r="C3" i="10" s="1"/>
  <c r="C3" i="12" s="1"/>
  <c r="I88" i="69"/>
  <c r="J10" i="26"/>
  <c r="I186" i="69"/>
  <c r="C4" i="14"/>
  <c r="B4" i="15" s="1"/>
  <c r="B4" i="16" s="1"/>
  <c r="H15" i="54"/>
  <c r="E15" i="22"/>
  <c r="I255" i="69"/>
  <c r="G28" i="56"/>
  <c r="G29" i="56" s="1"/>
  <c r="H15" i="24"/>
  <c r="H19" i="38"/>
  <c r="H15" i="21"/>
  <c r="G12" i="27"/>
  <c r="J9" i="26"/>
  <c r="L25" i="56"/>
  <c r="I37" i="69"/>
  <c r="J241" i="69"/>
  <c r="H15" i="50"/>
  <c r="I165" i="69"/>
  <c r="J218" i="69"/>
  <c r="H19" i="48"/>
  <c r="J167" i="69"/>
  <c r="G26" i="59"/>
  <c r="J43" i="69"/>
  <c r="J55" i="69"/>
  <c r="H14" i="54"/>
  <c r="J262" i="69"/>
  <c r="H13" i="45"/>
  <c r="J255" i="69"/>
  <c r="D125" i="121"/>
  <c r="H22" i="45"/>
  <c r="I271" i="69"/>
  <c r="I14" i="26"/>
  <c r="K9" i="118"/>
  <c r="I122" i="69"/>
  <c r="L12" i="56"/>
  <c r="F18" i="49"/>
  <c r="I87" i="69"/>
  <c r="I20" i="34"/>
  <c r="I72" i="69"/>
  <c r="I64" i="69"/>
  <c r="I175" i="69"/>
  <c r="G273" i="69"/>
  <c r="H24" i="18"/>
  <c r="H29" i="46"/>
  <c r="H18" i="51"/>
  <c r="N21" i="20"/>
  <c r="P21" i="20" s="1"/>
  <c r="F16" i="50"/>
  <c r="F17" i="50" s="1"/>
  <c r="H17" i="10"/>
  <c r="H17" i="11" s="1"/>
  <c r="J37" i="69"/>
  <c r="H16" i="49"/>
  <c r="I59" i="69"/>
  <c r="H13" i="48"/>
  <c r="H19" i="49"/>
  <c r="I263" i="69"/>
  <c r="H10" i="38"/>
  <c r="I219" i="69"/>
  <c r="I13" i="34"/>
  <c r="I23" i="69"/>
  <c r="H26" i="40"/>
  <c r="H13" i="51"/>
  <c r="D97" i="121"/>
  <c r="H11" i="49"/>
  <c r="H9" i="40"/>
  <c r="H9" i="47"/>
  <c r="I14" i="34"/>
  <c r="H12" i="51"/>
  <c r="H24" i="40"/>
  <c r="H24" i="57"/>
  <c r="G26" i="69"/>
  <c r="F14" i="52"/>
  <c r="F15" i="52" s="1"/>
  <c r="H11" i="53"/>
  <c r="H19" i="51"/>
  <c r="I170" i="69"/>
  <c r="K29" i="56"/>
  <c r="F13" i="49"/>
  <c r="K29" i="55"/>
  <c r="J240" i="69"/>
  <c r="H9" i="53"/>
  <c r="H10" i="40"/>
  <c r="I234" i="69"/>
  <c r="H18" i="48"/>
  <c r="I123" i="69"/>
  <c r="J179" i="69"/>
  <c r="H12" i="52"/>
  <c r="H9" i="54"/>
  <c r="H12" i="54"/>
  <c r="I14" i="56"/>
  <c r="N14" i="56" s="1"/>
  <c r="H9" i="49"/>
  <c r="H13" i="47"/>
  <c r="H30" i="10"/>
  <c r="H30" i="11" s="1"/>
  <c r="G18" i="46"/>
  <c r="H28" i="49"/>
  <c r="I10" i="32"/>
  <c r="H37" i="40"/>
  <c r="J239" i="69"/>
  <c r="H26" i="49"/>
  <c r="H18" i="38"/>
  <c r="J148" i="69"/>
  <c r="F14" i="56"/>
  <c r="M14" i="56" s="1"/>
  <c r="D25" i="122"/>
  <c r="D28" i="122" s="1"/>
  <c r="I18" i="34"/>
  <c r="H29" i="40"/>
  <c r="J116" i="69"/>
  <c r="D138" i="121"/>
  <c r="H16" i="37"/>
  <c r="J212" i="69"/>
  <c r="H24" i="46"/>
  <c r="D119" i="121"/>
  <c r="I257" i="69"/>
  <c r="J4" i="9"/>
  <c r="N4" i="10" s="1"/>
  <c r="J4" i="14" s="1"/>
  <c r="I4" i="15" s="1"/>
  <c r="I4" i="16" s="1"/>
  <c r="J4" i="28" s="1"/>
  <c r="I252" i="69"/>
  <c r="J19" i="69"/>
  <c r="I13" i="69"/>
  <c r="I14" i="32"/>
  <c r="J171" i="69"/>
  <c r="J170" i="69"/>
  <c r="I189" i="69"/>
  <c r="J23" i="18"/>
  <c r="K23" i="18" s="1"/>
  <c r="J242" i="69"/>
  <c r="H30" i="49"/>
  <c r="J260" i="69"/>
  <c r="D130" i="121"/>
  <c r="H10" i="50"/>
  <c r="I193" i="69"/>
  <c r="L11" i="56"/>
  <c r="C5" i="12"/>
  <c r="C5" i="13" s="1"/>
  <c r="G16" i="10"/>
  <c r="G16" i="11" s="1"/>
  <c r="J186" i="69"/>
  <c r="H21" i="10"/>
  <c r="H21" i="11" s="1"/>
  <c r="G29" i="46"/>
  <c r="I102" i="69"/>
  <c r="I22" i="69"/>
  <c r="H10" i="24"/>
  <c r="J250" i="69"/>
  <c r="J22" i="21"/>
  <c r="J14" i="18"/>
  <c r="K14" i="18" s="1"/>
  <c r="G16" i="40"/>
  <c r="A3" i="118"/>
  <c r="C5" i="11"/>
  <c r="I11" i="33"/>
  <c r="H14" i="44"/>
  <c r="I13" i="33"/>
  <c r="H14" i="45"/>
  <c r="I126" i="69"/>
  <c r="G19" i="38"/>
  <c r="H13" i="52"/>
  <c r="J21" i="21"/>
  <c r="J12" i="21"/>
  <c r="J18" i="21"/>
  <c r="J28" i="56"/>
  <c r="J29" i="56" s="1"/>
  <c r="H27" i="40"/>
  <c r="H34" i="40"/>
  <c r="J130" i="69"/>
  <c r="H18" i="37"/>
  <c r="G15" i="40"/>
  <c r="F26" i="48"/>
  <c r="I26" i="48" s="1"/>
  <c r="N11" i="20"/>
  <c r="P11" i="20" s="1"/>
  <c r="F13" i="22"/>
  <c r="H13" i="22" s="1"/>
  <c r="H21" i="46"/>
  <c r="F28" i="56"/>
  <c r="F15" i="20"/>
  <c r="P15" i="20" s="1"/>
  <c r="L16" i="56"/>
  <c r="I129" i="69"/>
  <c r="J87" i="69"/>
  <c r="J120" i="69"/>
  <c r="J31" i="69"/>
  <c r="I60" i="69"/>
  <c r="J72" i="69"/>
  <c r="I148" i="69"/>
  <c r="J42" i="69"/>
  <c r="I128" i="69"/>
  <c r="L20" i="56"/>
  <c r="F10" i="22"/>
  <c r="H10" i="22" s="1"/>
  <c r="G13" i="38"/>
  <c r="L22" i="56"/>
  <c r="E12" i="25"/>
  <c r="E14" i="25" s="1"/>
  <c r="C4" i="12"/>
  <c r="N12" i="20"/>
  <c r="P12" i="20" s="1"/>
  <c r="G20" i="38"/>
  <c r="J267" i="69"/>
  <c r="H9" i="52"/>
  <c r="J202" i="69"/>
  <c r="G27" i="40"/>
  <c r="C4" i="11"/>
  <c r="N17" i="20"/>
  <c r="P17" i="20" s="1"/>
  <c r="H23" i="45"/>
  <c r="H9" i="51"/>
  <c r="H38" i="10"/>
  <c r="H38" i="11" s="1"/>
  <c r="G11" i="46"/>
  <c r="J244" i="69"/>
  <c r="H21" i="51"/>
  <c r="I17" i="34"/>
  <c r="J97" i="69"/>
  <c r="G29" i="40"/>
  <c r="H24" i="49"/>
  <c r="H14" i="57"/>
  <c r="I133" i="69"/>
  <c r="I9" i="32"/>
  <c r="I16" i="33"/>
  <c r="H35" i="40"/>
  <c r="G22" i="27"/>
  <c r="E17" i="38"/>
  <c r="D15" i="122"/>
  <c r="J272" i="69"/>
  <c r="G23" i="45"/>
  <c r="G9" i="28"/>
  <c r="H16" i="53"/>
  <c r="H11" i="57"/>
  <c r="D82" i="121"/>
  <c r="D23" i="20"/>
  <c r="I111" i="69"/>
  <c r="F11" i="10"/>
  <c r="F11" i="11" s="1"/>
  <c r="I27" i="69"/>
  <c r="J188" i="69"/>
  <c r="I176" i="69"/>
  <c r="H22" i="37"/>
  <c r="J258" i="69"/>
  <c r="H19" i="10"/>
  <c r="H19" i="11" s="1"/>
  <c r="J214" i="69"/>
  <c r="J39" i="69"/>
  <c r="I256" i="69"/>
  <c r="G13" i="49"/>
  <c r="H13" i="50"/>
  <c r="I136" i="69"/>
  <c r="D10" i="121"/>
  <c r="G12" i="46"/>
  <c r="H29" i="49"/>
  <c r="J133" i="69"/>
  <c r="I43" i="69"/>
  <c r="H17" i="51"/>
  <c r="I137" i="69"/>
  <c r="I18" i="26"/>
  <c r="J40" i="69"/>
  <c r="L24" i="56"/>
  <c r="J107" i="69"/>
  <c r="F19" i="11"/>
  <c r="I16" i="69"/>
  <c r="I217" i="69"/>
  <c r="J52" i="69"/>
  <c r="J35" i="69"/>
  <c r="I11" i="26"/>
  <c r="J91" i="69"/>
  <c r="J237" i="69"/>
  <c r="H17" i="57"/>
  <c r="J268" i="69"/>
  <c r="H12" i="53"/>
  <c r="J109" i="69"/>
  <c r="J269" i="69"/>
  <c r="G11" i="28"/>
  <c r="H14" i="46"/>
  <c r="F23" i="10"/>
  <c r="F23" i="11" s="1"/>
  <c r="J216" i="69"/>
  <c r="F29" i="10"/>
  <c r="H11" i="24"/>
  <c r="F22" i="44"/>
  <c r="H20" i="44"/>
  <c r="H25" i="48"/>
  <c r="H20" i="57"/>
  <c r="J105" i="69"/>
  <c r="H24" i="10"/>
  <c r="H24" i="11" s="1"/>
  <c r="D24" i="18"/>
  <c r="H25" i="49"/>
  <c r="E27" i="18"/>
  <c r="H19" i="37"/>
  <c r="H12" i="46"/>
  <c r="J17" i="21"/>
  <c r="I13" i="25"/>
  <c r="I28" i="56"/>
  <c r="I12" i="46"/>
  <c r="H18" i="57"/>
  <c r="I251" i="69"/>
  <c r="H17" i="49"/>
  <c r="J70" i="69"/>
  <c r="E15" i="33"/>
  <c r="E17" i="33" s="1"/>
  <c r="D16" i="22"/>
  <c r="J16" i="21"/>
  <c r="N19" i="20"/>
  <c r="P19" i="20" s="1"/>
  <c r="I9" i="33"/>
  <c r="D22" i="122"/>
  <c r="E15" i="46"/>
  <c r="F11" i="22"/>
  <c r="H11" i="22" s="1"/>
  <c r="B9" i="120"/>
  <c r="B6" i="120"/>
  <c r="I47" i="69"/>
  <c r="I12" i="32"/>
  <c r="D91" i="121"/>
  <c r="H13" i="37"/>
  <c r="H16" i="46"/>
  <c r="J197" i="69"/>
  <c r="G14" i="46"/>
  <c r="I169" i="69"/>
  <c r="F18" i="24"/>
  <c r="I86" i="69"/>
  <c r="H12" i="24"/>
  <c r="I13" i="26"/>
  <c r="I112" i="69"/>
  <c r="J136" i="69"/>
  <c r="F33" i="49"/>
  <c r="J256" i="69"/>
  <c r="I40" i="69"/>
  <c r="J178" i="69"/>
  <c r="F17" i="54"/>
  <c r="F18" i="54" s="1"/>
  <c r="I9" i="26"/>
  <c r="I236" i="69"/>
  <c r="H22" i="49"/>
  <c r="L17" i="56"/>
  <c r="J20" i="21"/>
  <c r="E17" i="26"/>
  <c r="E19" i="26" s="1"/>
  <c r="L23" i="56"/>
  <c r="I114" i="69"/>
  <c r="J166" i="69"/>
  <c r="I164" i="69"/>
  <c r="I172" i="69"/>
  <c r="J233" i="69"/>
  <c r="I10" i="34"/>
  <c r="J11" i="69"/>
  <c r="J44" i="69"/>
  <c r="J128" i="69"/>
  <c r="J26" i="18"/>
  <c r="K26" i="18" s="1"/>
  <c r="I91" i="69"/>
  <c r="H17" i="37"/>
  <c r="I220" i="69"/>
  <c r="I181" i="69"/>
  <c r="I202" i="69"/>
  <c r="G22" i="45"/>
  <c r="D27" i="18"/>
  <c r="D27" i="121"/>
  <c r="D55" i="121"/>
  <c r="J25" i="18"/>
  <c r="K25" i="18" s="1"/>
  <c r="J13" i="21"/>
  <c r="N16" i="20"/>
  <c r="P16" i="20" s="1"/>
  <c r="N13" i="20"/>
  <c r="P13" i="20" s="1"/>
  <c r="F17" i="22"/>
  <c r="H17" i="22" s="1"/>
  <c r="H12" i="10"/>
  <c r="H12" i="11" s="1"/>
  <c r="D15" i="21"/>
  <c r="H14" i="40"/>
  <c r="I93" i="69"/>
  <c r="J187" i="69"/>
  <c r="B5" i="120"/>
  <c r="F13" i="11"/>
  <c r="G14" i="40"/>
  <c r="D16" i="18"/>
  <c r="H23" i="27"/>
  <c r="I13" i="32"/>
  <c r="J124" i="69"/>
  <c r="I14" i="13"/>
  <c r="F12" i="62" s="1"/>
  <c r="G14" i="27"/>
  <c r="F17" i="47"/>
  <c r="H13" i="24"/>
  <c r="I63" i="69"/>
  <c r="H26" i="46"/>
  <c r="I210" i="69"/>
  <c r="G18" i="28"/>
  <c r="J20" i="18"/>
  <c r="K20" i="18" s="1"/>
  <c r="I127" i="69"/>
  <c r="I36" i="69"/>
  <c r="H17" i="48"/>
  <c r="E14" i="56"/>
  <c r="I50" i="69"/>
  <c r="F15" i="21"/>
  <c r="L15" i="21" s="1"/>
  <c r="J19" i="21"/>
  <c r="J205" i="69"/>
  <c r="H28" i="10"/>
  <c r="H28" i="11" s="1"/>
  <c r="H9" i="48"/>
  <c r="E27" i="46"/>
  <c r="J15" i="18"/>
  <c r="K15" i="18" s="1"/>
  <c r="D35" i="121"/>
  <c r="L15" i="56"/>
  <c r="I160" i="69"/>
  <c r="I200" i="69"/>
  <c r="J95" i="69"/>
  <c r="H10" i="54"/>
  <c r="G18" i="27"/>
  <c r="J90" i="69"/>
  <c r="G21" i="27"/>
  <c r="J253" i="69"/>
  <c r="E23" i="27"/>
  <c r="E16" i="32"/>
  <c r="E18" i="32" s="1"/>
  <c r="E39" i="40"/>
  <c r="H31" i="10"/>
  <c r="H31" i="11" s="1"/>
  <c r="I213" i="69"/>
  <c r="H23" i="51"/>
  <c r="L21" i="56"/>
  <c r="J113" i="69"/>
  <c r="I11" i="69"/>
  <c r="I233" i="69"/>
  <c r="J190" i="69"/>
  <c r="F19" i="57"/>
  <c r="D8" i="121"/>
  <c r="F19" i="53"/>
  <c r="F20" i="53" s="1"/>
  <c r="H20" i="10"/>
  <c r="H20" i="11" s="1"/>
  <c r="G16" i="28"/>
  <c r="G17" i="28"/>
  <c r="G17" i="45"/>
  <c r="H11" i="51"/>
  <c r="I132" i="69"/>
  <c r="J164" i="69"/>
  <c r="I32" i="14"/>
  <c r="H17" i="53"/>
  <c r="I19" i="44"/>
  <c r="I22" i="44" s="1"/>
  <c r="J138" i="69"/>
  <c r="H25" i="57"/>
  <c r="I117" i="69"/>
  <c r="H23" i="40"/>
  <c r="H23" i="38"/>
  <c r="G17" i="69"/>
  <c r="J18" i="18"/>
  <c r="K18" i="18" s="1"/>
  <c r="I18" i="13"/>
  <c r="F11" i="62" s="1"/>
  <c r="H36" i="62"/>
  <c r="H12" i="47"/>
  <c r="J114" i="69"/>
  <c r="F23" i="20"/>
  <c r="P23" i="20" s="1"/>
  <c r="J172" i="69"/>
  <c r="F29" i="57"/>
  <c r="I17" i="32"/>
  <c r="H21" i="57"/>
  <c r="I94" i="69"/>
  <c r="F16" i="10"/>
  <c r="F16" i="11" s="1"/>
  <c r="I44" i="69"/>
  <c r="H11" i="37"/>
  <c r="E25" i="45"/>
  <c r="G20" i="45"/>
  <c r="I194" i="69"/>
  <c r="J32" i="69"/>
  <c r="I25" i="45"/>
  <c r="J199" i="69"/>
  <c r="G16" i="27"/>
  <c r="H16" i="18"/>
  <c r="H11" i="18"/>
  <c r="G191" i="69"/>
  <c r="J12" i="18"/>
  <c r="K12" i="18" s="1"/>
  <c r="I135" i="69"/>
  <c r="D8" i="122"/>
  <c r="J57" i="69"/>
  <c r="J38" i="69"/>
  <c r="G11" i="27"/>
  <c r="J13" i="18"/>
  <c r="K13" i="18" s="1"/>
  <c r="D11" i="18"/>
  <c r="I39" i="69"/>
  <c r="J28" i="18"/>
  <c r="K28" i="18" s="1"/>
  <c r="E11" i="18"/>
  <c r="C18" i="14"/>
  <c r="L18" i="56"/>
  <c r="F20" i="37"/>
  <c r="G11" i="40"/>
  <c r="J22" i="18"/>
  <c r="K22" i="18" s="1"/>
  <c r="E23" i="46"/>
  <c r="E25" i="40"/>
  <c r="H13" i="54"/>
  <c r="I21" i="46"/>
  <c r="I23" i="46" s="1"/>
  <c r="I49" i="13"/>
  <c r="F18" i="62" s="1"/>
  <c r="I218" i="69"/>
  <c r="H22" i="10"/>
  <c r="H22" i="11" s="1"/>
  <c r="I185" i="69"/>
  <c r="I139" i="69"/>
  <c r="J15" i="26"/>
  <c r="I18" i="45"/>
  <c r="E19" i="40"/>
  <c r="E16" i="18"/>
  <c r="G18" i="45"/>
  <c r="H12" i="45"/>
  <c r="G13" i="45"/>
  <c r="I13" i="45"/>
  <c r="N14" i="20"/>
  <c r="P14" i="20" s="1"/>
  <c r="M33" i="10"/>
  <c r="M45" i="10" s="1"/>
  <c r="H15" i="48"/>
  <c r="G21" i="46"/>
  <c r="I108" i="69"/>
  <c r="G15" i="27"/>
  <c r="G264" i="69"/>
  <c r="I26" i="14"/>
  <c r="F58" i="62" s="1"/>
  <c r="J183" i="69"/>
  <c r="J246" i="69"/>
  <c r="H15" i="38"/>
  <c r="I104" i="69"/>
  <c r="H13" i="53"/>
  <c r="G24" i="40"/>
  <c r="D23" i="21"/>
  <c r="H15" i="57"/>
  <c r="J137" i="69"/>
  <c r="G9" i="27"/>
  <c r="G144" i="69"/>
  <c r="D111" i="121"/>
  <c r="J34" i="69"/>
  <c r="F23" i="21"/>
  <c r="L23" i="21" s="1"/>
  <c r="J173" i="69"/>
  <c r="J88" i="69"/>
  <c r="H36" i="10"/>
  <c r="H36" i="11" s="1"/>
  <c r="N22" i="20"/>
  <c r="P22" i="20" s="1"/>
  <c r="J17" i="18"/>
  <c r="K17" i="18" s="1"/>
  <c r="M37" i="10"/>
  <c r="H37" i="12" s="1"/>
  <c r="I85" i="69"/>
  <c r="H25" i="10"/>
  <c r="H25" i="11" s="1"/>
  <c r="G13" i="27"/>
  <c r="E17" i="27"/>
  <c r="E19" i="27" s="1"/>
  <c r="N20" i="20"/>
  <c r="P20" i="20" s="1"/>
  <c r="H15" i="53"/>
  <c r="H21" i="49"/>
  <c r="J131" i="69"/>
  <c r="F18" i="44"/>
  <c r="H15" i="20"/>
  <c r="G15" i="28"/>
  <c r="E19" i="28"/>
  <c r="E21" i="28" s="1"/>
  <c r="E12" i="22"/>
  <c r="E14" i="22" s="1"/>
  <c r="H17" i="44"/>
  <c r="B7" i="120"/>
  <c r="H20" i="40"/>
  <c r="I30" i="69"/>
  <c r="J119" i="69"/>
  <c r="H27" i="18"/>
  <c r="D15" i="22"/>
  <c r="I18" i="44"/>
  <c r="F48" i="62" a="1"/>
  <c r="F48" i="62" s="1"/>
  <c r="I66" i="69"/>
  <c r="I166" i="69"/>
  <c r="G23" i="10"/>
  <c r="G23" i="11" s="1"/>
  <c r="I73" i="69"/>
  <c r="H23" i="20"/>
  <c r="I12" i="69"/>
  <c r="H26" i="57"/>
  <c r="I11" i="32"/>
  <c r="F24" i="51"/>
  <c r="F25" i="51" s="1"/>
  <c r="D12" i="122"/>
  <c r="B8" i="120"/>
  <c r="I69" i="69"/>
  <c r="J184" i="69"/>
  <c r="G15" i="45"/>
  <c r="G28" i="40"/>
  <c r="H9" i="37"/>
  <c r="J48" i="69"/>
  <c r="I46" i="69"/>
  <c r="H9" i="44"/>
  <c r="H23" i="21"/>
  <c r="J208" i="69"/>
  <c r="I206" i="69"/>
  <c r="J235" i="69"/>
  <c r="H13" i="38"/>
  <c r="I98" i="69"/>
  <c r="G17" i="46"/>
  <c r="I100" i="69"/>
  <c r="H13" i="57"/>
  <c r="L27" i="56"/>
  <c r="B4" i="120"/>
  <c r="I15" i="32"/>
  <c r="I249" i="69"/>
  <c r="I207" i="69"/>
  <c r="G10" i="40"/>
  <c r="J189" i="69"/>
  <c r="J58" i="69"/>
  <c r="J217" i="69"/>
  <c r="J132" i="69"/>
  <c r="I95" i="69"/>
  <c r="J29" i="69"/>
  <c r="I32" i="69"/>
  <c r="H26" i="59"/>
  <c r="J200" i="69"/>
  <c r="J176" i="69"/>
  <c r="J47" i="69"/>
  <c r="J263" i="69"/>
  <c r="I34" i="69"/>
  <c r="I147" i="69"/>
  <c r="J182" i="69"/>
  <c r="H10" i="53"/>
  <c r="J99" i="69"/>
  <c r="J110" i="69"/>
  <c r="F20" i="48"/>
  <c r="I20" i="48" s="1"/>
  <c r="I195" i="69"/>
  <c r="I211" i="69"/>
  <c r="F14" i="48"/>
  <c r="I14" i="48" s="1"/>
  <c r="E21" i="34"/>
  <c r="E23" i="34" s="1"/>
  <c r="H21" i="37"/>
  <c r="H11" i="46"/>
  <c r="I49" i="69"/>
  <c r="J103" i="69"/>
  <c r="I241" i="69"/>
  <c r="J67" i="69"/>
  <c r="J27" i="69"/>
  <c r="I105" i="69"/>
  <c r="N37" i="10"/>
  <c r="N46" i="10" s="1"/>
  <c r="J163" i="69"/>
  <c r="J210" i="69"/>
  <c r="I187" i="69"/>
  <c r="J13" i="26"/>
  <c r="I212" i="69"/>
  <c r="I138" i="69"/>
  <c r="I70" i="69"/>
  <c r="J111" i="69"/>
  <c r="I183" i="69"/>
  <c r="I48" i="69"/>
  <c r="G23" i="38"/>
  <c r="I253" i="69"/>
  <c r="J22" i="69"/>
  <c r="I179" i="69"/>
  <c r="G45" i="10"/>
  <c r="I146" i="69"/>
  <c r="G24" i="46"/>
  <c r="I35" i="69"/>
  <c r="I205" i="69"/>
  <c r="J85" i="69"/>
  <c r="I22" i="11"/>
  <c r="I197" i="69"/>
  <c r="H53" i="69"/>
  <c r="J53" i="69" s="1"/>
  <c r="I246" i="69"/>
  <c r="J98" i="69"/>
  <c r="G16" i="46"/>
  <c r="I239" i="69"/>
  <c r="I203" i="69"/>
  <c r="I67" i="69"/>
  <c r="J106" i="69"/>
  <c r="H17" i="46"/>
  <c r="I21" i="69"/>
  <c r="J14" i="13"/>
  <c r="G12" i="62" s="1"/>
  <c r="H19" i="46"/>
  <c r="H17" i="27"/>
  <c r="F37" i="10"/>
  <c r="F37" i="11" s="1"/>
  <c r="J243" i="69"/>
  <c r="J68" i="69"/>
  <c r="I38" i="69"/>
  <c r="I243" i="69"/>
  <c r="E10" i="121"/>
  <c r="I184" i="69"/>
  <c r="I12" i="33"/>
  <c r="G18" i="24"/>
  <c r="I267" i="69"/>
  <c r="I55" i="69"/>
  <c r="J196" i="69"/>
  <c r="L19" i="56"/>
  <c r="B42" i="120"/>
  <c r="I12" i="26"/>
  <c r="H23" i="49"/>
  <c r="H18" i="10"/>
  <c r="H18" i="11" s="1"/>
  <c r="H23" i="57"/>
  <c r="I143" i="69"/>
  <c r="H19" i="44"/>
  <c r="I97" i="69"/>
  <c r="I134" i="69"/>
  <c r="J207" i="69"/>
  <c r="J245" i="69"/>
  <c r="J123" i="69"/>
  <c r="I23" i="10"/>
  <c r="G46" i="10" s="1"/>
  <c r="I240" i="69"/>
  <c r="I19" i="69"/>
  <c r="I25" i="12"/>
  <c r="I31" i="69"/>
  <c r="J193" i="69"/>
  <c r="I171" i="69"/>
  <c r="J139" i="69"/>
  <c r="J49" i="69"/>
  <c r="J50" i="69"/>
  <c r="J143" i="69"/>
  <c r="G10" i="38"/>
  <c r="I192" i="69"/>
  <c r="J37" i="14"/>
  <c r="G33" i="40"/>
  <c r="I52" i="69"/>
  <c r="I262" i="69"/>
  <c r="H24" i="38"/>
  <c r="G22" i="44"/>
  <c r="J122" i="69"/>
  <c r="J251" i="69"/>
  <c r="I168" i="69"/>
  <c r="I188" i="69"/>
  <c r="I20" i="69"/>
  <c r="I242" i="69"/>
  <c r="J271" i="69"/>
  <c r="N25" i="10"/>
  <c r="G43" i="62" s="1"/>
  <c r="I258" i="69"/>
  <c r="I268" i="69"/>
  <c r="G19" i="46"/>
  <c r="H23" i="48"/>
  <c r="G11" i="45"/>
  <c r="J59" i="69"/>
  <c r="I24" i="25"/>
  <c r="H25" i="12"/>
  <c r="B40" i="120"/>
  <c r="B43" i="120"/>
  <c r="I90" i="69"/>
  <c r="I101" i="69"/>
  <c r="D15" i="20"/>
  <c r="H10" i="46"/>
  <c r="I43" i="13"/>
  <c r="F16" i="62" s="1"/>
  <c r="H12" i="57"/>
  <c r="F11" i="47"/>
  <c r="H15" i="47"/>
  <c r="H10" i="57"/>
  <c r="G270" i="69"/>
  <c r="G238" i="69"/>
  <c r="D74" i="121"/>
  <c r="G62" i="69"/>
  <c r="E25" i="38"/>
  <c r="D116" i="121"/>
  <c r="G174" i="69"/>
  <c r="K25" i="40"/>
  <c r="G32" i="40"/>
  <c r="J69" i="69"/>
  <c r="G15" i="38"/>
  <c r="H28" i="56"/>
  <c r="H20" i="38"/>
  <c r="G52" i="62"/>
  <c r="H22" i="38"/>
  <c r="E8" i="121"/>
  <c r="F14" i="37"/>
  <c r="H18" i="53"/>
  <c r="G51" i="69"/>
  <c r="I71" i="69"/>
  <c r="J203" i="69"/>
  <c r="J211" i="69"/>
  <c r="I27" i="12"/>
  <c r="B39" i="120"/>
  <c r="I115" i="69"/>
  <c r="K8" i="120"/>
  <c r="H35" i="10"/>
  <c r="H35" i="11" s="1"/>
  <c r="I14" i="33"/>
  <c r="J266" i="69"/>
  <c r="F51" i="62" a="1"/>
  <c r="F51" i="62" s="1"/>
  <c r="H51" i="62" s="1"/>
  <c r="H27" i="12"/>
  <c r="E28" i="56"/>
  <c r="H15" i="10"/>
  <c r="H15" i="11" s="1"/>
  <c r="I163" i="69"/>
  <c r="G22" i="38"/>
  <c r="F25" i="38"/>
  <c r="H13" i="46"/>
  <c r="B37" i="120"/>
  <c r="L13" i="56"/>
  <c r="I182" i="69"/>
  <c r="E24" i="18"/>
  <c r="I260" i="69"/>
  <c r="H13" i="10"/>
  <c r="H13" i="11" s="1"/>
  <c r="E19" i="45"/>
  <c r="H14" i="10"/>
  <c r="H14" i="11" s="1"/>
  <c r="G16" i="45"/>
  <c r="I119" i="69"/>
  <c r="G11" i="10"/>
  <c r="I37" i="14"/>
  <c r="G20" i="40"/>
  <c r="H12" i="37"/>
  <c r="B36" i="120"/>
  <c r="J175" i="69"/>
  <c r="G23" i="40"/>
  <c r="I161" i="69"/>
  <c r="H21" i="38"/>
  <c r="H27" i="10"/>
  <c r="H27" i="11" s="1"/>
  <c r="I116" i="69"/>
  <c r="H12" i="48"/>
  <c r="N18" i="20"/>
  <c r="P18" i="20" s="1"/>
  <c r="J36" i="69"/>
  <c r="M21" i="10"/>
  <c r="M26" i="10" s="1"/>
  <c r="B11" i="120"/>
  <c r="J249" i="69"/>
  <c r="E16" i="22"/>
  <c r="J86" i="69"/>
  <c r="J102" i="69"/>
  <c r="H18" i="46"/>
  <c r="G18" i="44"/>
  <c r="J12" i="69"/>
  <c r="H18" i="40"/>
  <c r="J30" i="69"/>
  <c r="G26" i="25"/>
  <c r="G14" i="52"/>
  <c r="G15" i="52" s="1"/>
  <c r="I173" i="69"/>
  <c r="J195" i="69"/>
  <c r="J127" i="69"/>
  <c r="J60" i="69"/>
  <c r="J13" i="69"/>
  <c r="J18" i="69"/>
  <c r="J32" i="14"/>
  <c r="I10" i="26"/>
  <c r="J248" i="69"/>
  <c r="J14" i="26"/>
  <c r="I208" i="69"/>
  <c r="G16" i="32"/>
  <c r="J19" i="14"/>
  <c r="G57" i="62" s="1"/>
  <c r="I65" i="69"/>
  <c r="I24" i="11"/>
  <c r="I167" i="69"/>
  <c r="G26" i="46"/>
  <c r="H51" i="69"/>
  <c r="F25" i="45"/>
  <c r="J26" i="14"/>
  <c r="G58" i="62" s="1"/>
  <c r="I250" i="69"/>
  <c r="I33" i="69"/>
  <c r="J21" i="69"/>
  <c r="H28" i="40"/>
  <c r="J33" i="69"/>
  <c r="J160" i="69"/>
  <c r="H12" i="40"/>
  <c r="I109" i="69"/>
  <c r="H20" i="45"/>
  <c r="G16" i="50"/>
  <c r="G17" i="50" s="1"/>
  <c r="H16" i="40"/>
  <c r="J46" i="69"/>
  <c r="G35" i="40"/>
  <c r="G17" i="54"/>
  <c r="I14" i="69"/>
  <c r="J194" i="69"/>
  <c r="J126" i="69"/>
  <c r="E119" i="121"/>
  <c r="J73" i="69"/>
  <c r="K10" i="120"/>
  <c r="H9" i="46"/>
  <c r="H11" i="40"/>
  <c r="J162" i="69"/>
  <c r="I57" i="69"/>
  <c r="I120" i="69"/>
  <c r="J71" i="69"/>
  <c r="J63" i="69"/>
  <c r="A5" i="118"/>
  <c r="E27" i="121"/>
  <c r="J125" i="69"/>
  <c r="J259" i="69"/>
  <c r="G21" i="38"/>
  <c r="J145" i="69"/>
  <c r="G12" i="25"/>
  <c r="G14" i="25" s="1"/>
  <c r="J185" i="69"/>
  <c r="I18" i="69"/>
  <c r="I178" i="69"/>
  <c r="G20" i="48"/>
  <c r="J20" i="48" s="1"/>
  <c r="K6" i="120"/>
  <c r="G26" i="40"/>
  <c r="K4" i="120"/>
  <c r="F19" i="28"/>
  <c r="F21" i="28" s="1"/>
  <c r="E35" i="121"/>
  <c r="K9" i="120"/>
  <c r="J236" i="69"/>
  <c r="I221" i="69"/>
  <c r="E91" i="121"/>
  <c r="J117" i="69"/>
  <c r="J257" i="69"/>
  <c r="I201" i="69"/>
  <c r="E138" i="121"/>
  <c r="J16" i="26"/>
  <c r="K7" i="120"/>
  <c r="G14" i="37"/>
  <c r="H24" i="45"/>
  <c r="J64" i="69"/>
  <c r="G19" i="57"/>
  <c r="I15" i="26"/>
  <c r="H264" i="69"/>
  <c r="K41" i="120"/>
  <c r="I272" i="69"/>
  <c r="J94" i="69"/>
  <c r="K11" i="120"/>
  <c r="H9" i="24"/>
  <c r="E18" i="14"/>
  <c r="G17" i="26"/>
  <c r="J93" i="69"/>
  <c r="J213" i="69"/>
  <c r="I113" i="69"/>
  <c r="I254" i="69"/>
  <c r="J254" i="69"/>
  <c r="G11" i="38"/>
  <c r="H11" i="38"/>
  <c r="J65" i="69"/>
  <c r="J104" i="69"/>
  <c r="E22" i="22"/>
  <c r="J29" i="18"/>
  <c r="K29" i="18" s="1"/>
  <c r="G32" i="11"/>
  <c r="G29" i="10"/>
  <c r="H17" i="24"/>
  <c r="I216" i="69"/>
  <c r="I110" i="69"/>
  <c r="J252" i="69"/>
  <c r="F15" i="46"/>
  <c r="B41" i="120"/>
  <c r="H24" i="48"/>
  <c r="B38" i="120"/>
  <c r="H273" i="69"/>
  <c r="G21" i="34"/>
  <c r="G23" i="34" s="1"/>
  <c r="I61" i="69"/>
  <c r="J61" i="69"/>
  <c r="G37" i="10"/>
  <c r="G37" i="11" s="1"/>
  <c r="J43" i="13"/>
  <c r="G16" i="62" s="1"/>
  <c r="K42" i="120"/>
  <c r="J135" i="69"/>
  <c r="G15" i="33"/>
  <c r="G17" i="33" s="1"/>
  <c r="E82" i="121"/>
  <c r="F17" i="27"/>
  <c r="F19" i="27" s="1"/>
  <c r="J18" i="13"/>
  <c r="G11" i="62" s="1"/>
  <c r="H144" i="69"/>
  <c r="E20" i="121"/>
  <c r="G19" i="53"/>
  <c r="G20" i="53" s="1"/>
  <c r="E97" i="121"/>
  <c r="G12" i="45"/>
  <c r="H17" i="69"/>
  <c r="J16" i="69"/>
  <c r="J204" i="69"/>
  <c r="I204" i="69"/>
  <c r="J177" i="69"/>
  <c r="I177" i="69"/>
  <c r="I196" i="69"/>
  <c r="I99" i="69"/>
  <c r="J21" i="18"/>
  <c r="K21" i="18" s="1"/>
  <c r="F43" i="62"/>
  <c r="E111" i="121"/>
  <c r="E125" i="121"/>
  <c r="E55" i="121"/>
  <c r="E116" i="121"/>
  <c r="E74" i="121"/>
  <c r="G20" i="37"/>
  <c r="H14" i="38"/>
  <c r="G14" i="38"/>
  <c r="G26" i="48"/>
  <c r="J26" i="48" s="1"/>
  <c r="K5" i="120"/>
  <c r="G20" i="28"/>
  <c r="H30" i="40"/>
  <c r="G30" i="40"/>
  <c r="J142" i="69"/>
  <c r="I142" i="69"/>
  <c r="I215" i="69"/>
  <c r="J215" i="69"/>
  <c r="I29" i="12"/>
  <c r="N33" i="10"/>
  <c r="H62" i="69"/>
  <c r="G10" i="28"/>
  <c r="H191" i="69"/>
  <c r="H174" i="69"/>
  <c r="J165" i="69"/>
  <c r="G14" i="48"/>
  <c r="F25" i="40"/>
  <c r="H16" i="54"/>
  <c r="J23" i="69"/>
  <c r="G38" i="40"/>
  <c r="H38" i="40"/>
  <c r="F23" i="27"/>
  <c r="G20" i="27"/>
  <c r="I265" i="69"/>
  <c r="J265" i="69"/>
  <c r="G22" i="40"/>
  <c r="H22" i="40"/>
  <c r="H25" i="46"/>
  <c r="G25" i="46"/>
  <c r="Y9" i="118"/>
  <c r="H21" i="48"/>
  <c r="H12" i="49"/>
  <c r="G37" i="40"/>
  <c r="J66" i="69"/>
  <c r="G33" i="49"/>
  <c r="I124" i="69"/>
  <c r="J140" i="69"/>
  <c r="G24" i="45"/>
  <c r="I235" i="69"/>
  <c r="G14" i="45"/>
  <c r="I244" i="69"/>
  <c r="J118" i="69"/>
  <c r="G17" i="40"/>
  <c r="H17" i="40"/>
  <c r="I130" i="69"/>
  <c r="J121" i="69"/>
  <c r="I121" i="69"/>
  <c r="J209" i="69"/>
  <c r="I209" i="69"/>
  <c r="I261" i="69"/>
  <c r="J261" i="69"/>
  <c r="J219" i="69"/>
  <c r="F19" i="40"/>
  <c r="I237" i="69"/>
  <c r="I37" i="10"/>
  <c r="I37" i="11" s="1"/>
  <c r="F19" i="45"/>
  <c r="H26" i="69"/>
  <c r="I190" i="69"/>
  <c r="I199" i="69"/>
  <c r="I56" i="69"/>
  <c r="J56" i="69"/>
  <c r="I54" i="69"/>
  <c r="J54" i="69"/>
  <c r="H20" i="46"/>
  <c r="G20" i="46"/>
  <c r="I16" i="10"/>
  <c r="G44" i="10" s="1"/>
  <c r="G31" i="40"/>
  <c r="H31" i="40"/>
  <c r="H10" i="37"/>
  <c r="J25" i="69"/>
  <c r="J161" i="69"/>
  <c r="G11" i="47"/>
  <c r="G9" i="40"/>
  <c r="G48" i="62" a="1"/>
  <c r="G48" i="62" s="1"/>
  <c r="G34" i="40"/>
  <c r="F27" i="46"/>
  <c r="I10" i="33"/>
  <c r="G16" i="38"/>
  <c r="H16" i="38"/>
  <c r="F39" i="40"/>
  <c r="I29" i="10"/>
  <c r="G47" i="62" s="1" a="1"/>
  <c r="G47" i="62" s="1"/>
  <c r="I266" i="69"/>
  <c r="I107" i="69"/>
  <c r="I180" i="69"/>
  <c r="J206" i="69"/>
  <c r="I11" i="10"/>
  <c r="G43" i="10" s="1"/>
  <c r="I269" i="69"/>
  <c r="H270" i="69"/>
  <c r="F17" i="38"/>
  <c r="I198" i="69"/>
  <c r="J15" i="69"/>
  <c r="I15" i="69"/>
  <c r="G13" i="40"/>
  <c r="H13" i="40"/>
  <c r="H238" i="69"/>
  <c r="G24" i="51"/>
  <c r="G17" i="47"/>
  <c r="J234" i="69"/>
  <c r="I41" i="69"/>
  <c r="J41" i="69"/>
  <c r="I24" i="69"/>
  <c r="J24" i="69"/>
  <c r="E130" i="121"/>
  <c r="J108" i="69"/>
  <c r="F23" i="46"/>
  <c r="J169" i="69"/>
  <c r="J49" i="13"/>
  <c r="G18" i="62" s="1"/>
  <c r="N3" i="118"/>
  <c r="K43" i="120"/>
  <c r="G12" i="38"/>
  <c r="G9" i="38"/>
  <c r="H9" i="38"/>
  <c r="I45" i="69"/>
  <c r="J45" i="69"/>
  <c r="I89" i="69"/>
  <c r="J89" i="69"/>
  <c r="J247" i="69"/>
  <c r="I247" i="69"/>
  <c r="I92" i="69"/>
  <c r="I15" i="34"/>
  <c r="N21" i="10"/>
  <c r="N43" i="10" s="1"/>
  <c r="G18" i="49"/>
  <c r="J96" i="69"/>
  <c r="G29" i="57"/>
  <c r="G22" i="46"/>
  <c r="H22" i="46"/>
  <c r="K39" i="120"/>
  <c r="A1" i="4"/>
  <c r="K40" i="120"/>
  <c r="C6" i="14"/>
  <c r="C6" i="15" s="1"/>
  <c r="C6" i="16" s="1"/>
  <c r="C6" i="21" s="1"/>
  <c r="C6" i="11"/>
  <c r="K19" i="40"/>
  <c r="K37" i="120"/>
  <c r="I19" i="14"/>
  <c r="F57" i="62" s="1"/>
  <c r="I28" i="69"/>
  <c r="J28" i="69"/>
  <c r="K18" i="24"/>
  <c r="B10" i="120"/>
  <c r="H18" i="58"/>
  <c r="H29" i="58"/>
  <c r="D14" i="22"/>
  <c r="C5" i="26"/>
  <c r="C5" i="24"/>
  <c r="C5" i="29"/>
  <c r="C5" i="28"/>
  <c r="C5" i="18"/>
  <c r="C5" i="17"/>
  <c r="C5" i="21"/>
  <c r="C5" i="25"/>
  <c r="C5" i="33"/>
  <c r="C5" i="34" s="1"/>
  <c r="C5" i="31"/>
  <c r="C5" i="22"/>
  <c r="C5" i="20"/>
  <c r="C5" i="19"/>
  <c r="C5" i="30"/>
  <c r="C5" i="27"/>
  <c r="C5" i="23"/>
  <c r="C5" i="32"/>
  <c r="F5" i="14"/>
  <c r="F5" i="15" s="1"/>
  <c r="G5" i="16" s="1"/>
  <c r="G5" i="11"/>
  <c r="F5" i="13"/>
  <c r="F5" i="12"/>
  <c r="F33" i="10"/>
  <c r="F33" i="11" s="1"/>
  <c r="F29" i="11"/>
  <c r="F18" i="22"/>
  <c r="E26" i="25"/>
  <c r="I22" i="25"/>
  <c r="K36" i="120"/>
  <c r="K38" i="120"/>
  <c r="I5" i="11"/>
  <c r="I5" i="12"/>
  <c r="J5" i="14"/>
  <c r="I5" i="15" s="1"/>
  <c r="I5" i="16" s="1"/>
  <c r="J5" i="13"/>
  <c r="B4" i="20"/>
  <c r="B4" i="32"/>
  <c r="B4" i="29"/>
  <c r="B4" i="28"/>
  <c r="B4" i="18"/>
  <c r="B4" i="21"/>
  <c r="B4" i="17"/>
  <c r="B4" i="31"/>
  <c r="B4" i="22"/>
  <c r="B4" i="24"/>
  <c r="B4" i="27"/>
  <c r="B4" i="26"/>
  <c r="B4" i="33"/>
  <c r="B4" i="34" s="1"/>
  <c r="B4" i="19"/>
  <c r="B4" i="23"/>
  <c r="K5" i="112"/>
  <c r="A1" i="5"/>
  <c r="A4" i="118" l="1"/>
  <c r="I273" i="69"/>
  <c r="I15" i="46"/>
  <c r="I28" i="46" s="1"/>
  <c r="D23" i="22"/>
  <c r="F21" i="22"/>
  <c r="H21" i="22" s="1"/>
  <c r="M28" i="56"/>
  <c r="F21" i="24"/>
  <c r="L21" i="24" s="1"/>
  <c r="L18" i="24"/>
  <c r="C3" i="13"/>
  <c r="C3" i="14"/>
  <c r="C3" i="15" s="1"/>
  <c r="C3" i="16" s="1"/>
  <c r="B4" i="30"/>
  <c r="B4" i="25"/>
  <c r="F16" i="22"/>
  <c r="H16" i="22" s="1"/>
  <c r="H17" i="38"/>
  <c r="I4" i="12"/>
  <c r="I4" i="11"/>
  <c r="G21" i="24"/>
  <c r="H18" i="24"/>
  <c r="F15" i="22"/>
  <c r="N28" i="56"/>
  <c r="I17" i="69"/>
  <c r="I29" i="56"/>
  <c r="H17" i="47"/>
  <c r="H13" i="49"/>
  <c r="F34" i="49"/>
  <c r="H39" i="40"/>
  <c r="H24" i="21"/>
  <c r="E26" i="38"/>
  <c r="D131" i="121"/>
  <c r="G15" i="46"/>
  <c r="D24" i="20"/>
  <c r="H33" i="12"/>
  <c r="J15" i="21"/>
  <c r="H22" i="44"/>
  <c r="J23" i="21"/>
  <c r="D30" i="18"/>
  <c r="H15" i="46"/>
  <c r="D20" i="22"/>
  <c r="H33" i="49"/>
  <c r="N4" i="118"/>
  <c r="L14" i="56"/>
  <c r="I4" i="31"/>
  <c r="J4" i="26"/>
  <c r="I4" i="17"/>
  <c r="C3" i="11"/>
  <c r="L4" i="19"/>
  <c r="J4" i="18"/>
  <c r="D24" i="21"/>
  <c r="H29" i="10"/>
  <c r="H29" i="11" s="1"/>
  <c r="J4" i="27"/>
  <c r="F29" i="56"/>
  <c r="C6" i="24"/>
  <c r="J26" i="69"/>
  <c r="C6" i="18"/>
  <c r="C6" i="17"/>
  <c r="C6" i="31"/>
  <c r="J4" i="13"/>
  <c r="C6" i="23"/>
  <c r="C6" i="20"/>
  <c r="C6" i="22"/>
  <c r="C6" i="25"/>
  <c r="C6" i="19"/>
  <c r="C6" i="30"/>
  <c r="C6" i="26"/>
  <c r="C6" i="29"/>
  <c r="C6" i="28"/>
  <c r="C6" i="27"/>
  <c r="C6" i="33"/>
  <c r="C6" i="34" s="1"/>
  <c r="C6" i="40" s="1"/>
  <c r="C6" i="32"/>
  <c r="I4" i="30"/>
  <c r="I4" i="33"/>
  <c r="I4" i="34" s="1"/>
  <c r="I4" i="42" s="1"/>
  <c r="I4" i="25"/>
  <c r="N4" i="20"/>
  <c r="J4" i="29"/>
  <c r="I4" i="32"/>
  <c r="J4" i="24"/>
  <c r="H4" i="22"/>
  <c r="K4" i="21"/>
  <c r="I4" i="23"/>
  <c r="H19" i="57"/>
  <c r="H17" i="54"/>
  <c r="I14" i="25"/>
  <c r="I17" i="33"/>
  <c r="E28" i="46"/>
  <c r="H20" i="37"/>
  <c r="F18" i="47"/>
  <c r="F24" i="20"/>
  <c r="G25" i="45"/>
  <c r="G23" i="27"/>
  <c r="J17" i="26"/>
  <c r="D36" i="121"/>
  <c r="F26" i="10"/>
  <c r="F39" i="10" s="1"/>
  <c r="F39" i="11" s="1"/>
  <c r="H24" i="51"/>
  <c r="I238" i="69"/>
  <c r="J264" i="69"/>
  <c r="J144" i="69"/>
  <c r="D98" i="121"/>
  <c r="N15" i="20"/>
  <c r="I32" i="13"/>
  <c r="F13" i="62" s="1"/>
  <c r="H27" i="46"/>
  <c r="I16" i="32"/>
  <c r="E29" i="56"/>
  <c r="J191" i="69"/>
  <c r="J16" i="18"/>
  <c r="H18" i="62"/>
  <c r="H11" i="62"/>
  <c r="H12" i="62"/>
  <c r="J11" i="18"/>
  <c r="H25" i="45"/>
  <c r="E26" i="45"/>
  <c r="F12" i="22"/>
  <c r="H12" i="22" s="1"/>
  <c r="H14" i="22" s="1"/>
  <c r="G19" i="27"/>
  <c r="I38" i="14"/>
  <c r="F59" i="62" s="1"/>
  <c r="F60" i="62" s="1"/>
  <c r="I23" i="34"/>
  <c r="I19" i="45"/>
  <c r="I26" i="45" s="1"/>
  <c r="H19" i="40"/>
  <c r="H30" i="18"/>
  <c r="F30" i="57"/>
  <c r="M46" i="10"/>
  <c r="K46" i="10" s="1"/>
  <c r="H23" i="46"/>
  <c r="J27" i="18"/>
  <c r="H23" i="10"/>
  <c r="H23" i="11" s="1"/>
  <c r="F24" i="21"/>
  <c r="H25" i="40"/>
  <c r="F62" i="62"/>
  <c r="E30" i="18"/>
  <c r="F29" i="48"/>
  <c r="F34" i="48" s="1"/>
  <c r="F45" i="10"/>
  <c r="H45" i="10" s="1"/>
  <c r="H24" i="20"/>
  <c r="H18" i="44"/>
  <c r="H48" i="62"/>
  <c r="D122" i="121"/>
  <c r="H16" i="10"/>
  <c r="F44" i="10" s="1"/>
  <c r="H44" i="10" s="1"/>
  <c r="J24" i="18"/>
  <c r="I270" i="69"/>
  <c r="H14" i="37"/>
  <c r="I46" i="10"/>
  <c r="G62" i="62"/>
  <c r="I37" i="12"/>
  <c r="I23" i="11"/>
  <c r="H16" i="62"/>
  <c r="N44" i="10"/>
  <c r="K44" i="10" s="1"/>
  <c r="H11" i="47"/>
  <c r="H19" i="45"/>
  <c r="H25" i="38"/>
  <c r="I174" i="69"/>
  <c r="I62" i="69"/>
  <c r="I53" i="69"/>
  <c r="G25" i="38"/>
  <c r="I26" i="25"/>
  <c r="F50" i="62" a="1"/>
  <c r="F50" i="62" s="1"/>
  <c r="H50" i="62" s="1"/>
  <c r="G18" i="54"/>
  <c r="J38" i="14"/>
  <c r="G59" i="62" s="1"/>
  <c r="G275" i="69"/>
  <c r="G276" i="69" s="1"/>
  <c r="H16" i="50"/>
  <c r="L28" i="56"/>
  <c r="H29" i="56"/>
  <c r="I51" i="69"/>
  <c r="H26" i="12"/>
  <c r="M39" i="10"/>
  <c r="H39" i="12" s="1"/>
  <c r="H20" i="48"/>
  <c r="H43" i="62"/>
  <c r="A6" i="118"/>
  <c r="H14" i="52"/>
  <c r="G18" i="32"/>
  <c r="I18" i="32" s="1"/>
  <c r="N23" i="20"/>
  <c r="H37" i="10"/>
  <c r="F55" i="62" s="1"/>
  <c r="E20" i="22"/>
  <c r="H11" i="10"/>
  <c r="M43" i="10"/>
  <c r="K43" i="10" s="1"/>
  <c r="F42" i="62"/>
  <c r="F44" i="62" s="1"/>
  <c r="H21" i="12"/>
  <c r="G11" i="11"/>
  <c r="G26" i="10"/>
  <c r="G26" i="11" s="1"/>
  <c r="G19" i="40"/>
  <c r="I44" i="10"/>
  <c r="J51" i="69"/>
  <c r="G19" i="45"/>
  <c r="I48" i="10"/>
  <c r="H26" i="48"/>
  <c r="I144" i="69"/>
  <c r="G17" i="27"/>
  <c r="G27" i="46"/>
  <c r="I29" i="11"/>
  <c r="G34" i="49"/>
  <c r="E36" i="121"/>
  <c r="I16" i="11"/>
  <c r="G21" i="28"/>
  <c r="G48" i="10"/>
  <c r="G63" i="62"/>
  <c r="J62" i="69"/>
  <c r="G19" i="28"/>
  <c r="F26" i="45"/>
  <c r="G19" i="26"/>
  <c r="I19" i="26" s="1"/>
  <c r="I264" i="69"/>
  <c r="J32" i="13"/>
  <c r="J34" i="13" s="1"/>
  <c r="E9" i="121" s="1"/>
  <c r="E17" i="121" s="1"/>
  <c r="E122" i="121"/>
  <c r="J17" i="69"/>
  <c r="I26" i="69"/>
  <c r="J270" i="69"/>
  <c r="I12" i="25"/>
  <c r="I17" i="26"/>
  <c r="H275" i="69"/>
  <c r="G25" i="51"/>
  <c r="G55" i="62"/>
  <c r="I26" i="10"/>
  <c r="G45" i="62" s="1"/>
  <c r="I33" i="10"/>
  <c r="I33" i="11" s="1"/>
  <c r="I43" i="10"/>
  <c r="G39" i="40"/>
  <c r="H19" i="53"/>
  <c r="E98" i="121"/>
  <c r="J273" i="69"/>
  <c r="G18" i="47"/>
  <c r="I191" i="69"/>
  <c r="I21" i="34"/>
  <c r="F28" i="46"/>
  <c r="G23" i="46"/>
  <c r="E131" i="121"/>
  <c r="J238" i="69"/>
  <c r="G29" i="11"/>
  <c r="G33" i="10"/>
  <c r="H18" i="49"/>
  <c r="I11" i="11"/>
  <c r="I15" i="33"/>
  <c r="E23" i="22"/>
  <c r="F22" i="22"/>
  <c r="H22" i="22" s="1"/>
  <c r="I21" i="12"/>
  <c r="G42" i="62"/>
  <c r="N26" i="10"/>
  <c r="J14" i="48"/>
  <c r="H14" i="48"/>
  <c r="J174" i="69"/>
  <c r="F26" i="38"/>
  <c r="G17" i="38"/>
  <c r="N45" i="10"/>
  <c r="K45" i="10" s="1"/>
  <c r="I33" i="12"/>
  <c r="H29" i="57"/>
  <c r="G30" i="57"/>
  <c r="G49" i="62"/>
  <c r="G53" i="62" s="1"/>
  <c r="G29" i="48"/>
  <c r="G34" i="48" s="1"/>
  <c r="G25" i="40"/>
  <c r="H58" i="62"/>
  <c r="N6" i="118"/>
  <c r="J5" i="27"/>
  <c r="I5" i="25"/>
  <c r="K5" i="21"/>
  <c r="N5" i="20"/>
  <c r="J5" i="29"/>
  <c r="I5" i="33"/>
  <c r="I5" i="34" s="1"/>
  <c r="I5" i="23"/>
  <c r="J5" i="18"/>
  <c r="J5" i="24"/>
  <c r="L5" i="19"/>
  <c r="H5" i="22"/>
  <c r="I5" i="30"/>
  <c r="J5" i="26"/>
  <c r="J5" i="28"/>
  <c r="I5" i="17"/>
  <c r="I5" i="32"/>
  <c r="I5" i="31"/>
  <c r="H57" i="62"/>
  <c r="C5" i="44"/>
  <c r="C5" i="47"/>
  <c r="C5" i="48" s="1"/>
  <c r="C5" i="45"/>
  <c r="C5" i="36"/>
  <c r="C5" i="39"/>
  <c r="C5" i="42"/>
  <c r="C5" i="40"/>
  <c r="C5" i="41"/>
  <c r="C5" i="35"/>
  <c r="C5" i="38"/>
  <c r="C5" i="37"/>
  <c r="C5" i="43"/>
  <c r="C5" i="46"/>
  <c r="F5" i="25"/>
  <c r="G5" i="27"/>
  <c r="G5" i="18"/>
  <c r="F5" i="31"/>
  <c r="F5" i="30"/>
  <c r="G5" i="28"/>
  <c r="F5" i="33"/>
  <c r="F5" i="34" s="1"/>
  <c r="G5" i="17"/>
  <c r="I5" i="19"/>
  <c r="G5" i="29"/>
  <c r="E5" i="22"/>
  <c r="F5" i="26"/>
  <c r="F5" i="23"/>
  <c r="G5" i="24"/>
  <c r="F5" i="32"/>
  <c r="J5" i="20"/>
  <c r="G5" i="21"/>
  <c r="H18" i="22"/>
  <c r="K6" i="112"/>
  <c r="A1" i="6"/>
  <c r="B4" i="35"/>
  <c r="B4" i="43"/>
  <c r="B4" i="41"/>
  <c r="B4" i="39"/>
  <c r="B4" i="37"/>
  <c r="B4" i="40"/>
  <c r="B4" i="38"/>
  <c r="B4" i="45"/>
  <c r="B4" i="44"/>
  <c r="B4" i="42"/>
  <c r="B4" i="46"/>
  <c r="B4" i="36"/>
  <c r="B4" i="47"/>
  <c r="B4" i="48" s="1"/>
  <c r="M1" i="118" l="1"/>
  <c r="H21" i="24"/>
  <c r="D24" i="22"/>
  <c r="G26" i="38"/>
  <c r="C3" i="30"/>
  <c r="C3" i="18"/>
  <c r="C3" i="24"/>
  <c r="C3" i="28"/>
  <c r="C3" i="29"/>
  <c r="C3" i="21"/>
  <c r="C3" i="31"/>
  <c r="C3" i="19"/>
  <c r="C3" i="32"/>
  <c r="C3" i="20"/>
  <c r="C3" i="23"/>
  <c r="C3" i="33"/>
  <c r="C3" i="34" s="1"/>
  <c r="C3" i="27"/>
  <c r="C3" i="26"/>
  <c r="C3" i="22"/>
  <c r="C3" i="17"/>
  <c r="C3" i="25"/>
  <c r="H15" i="22"/>
  <c r="H20" i="22" s="1"/>
  <c r="F20" i="22"/>
  <c r="I20" i="22" s="1"/>
  <c r="I4" i="41"/>
  <c r="D132" i="121"/>
  <c r="K4" i="39"/>
  <c r="K4" i="40"/>
  <c r="K4" i="46"/>
  <c r="I4" i="35"/>
  <c r="H4" i="37"/>
  <c r="L4" i="36"/>
  <c r="H4" i="47"/>
  <c r="H4" i="48" s="1"/>
  <c r="K4" i="44"/>
  <c r="K4" i="45"/>
  <c r="F47" i="62"/>
  <c r="H47" i="62" s="1"/>
  <c r="J24" i="21"/>
  <c r="H33" i="10"/>
  <c r="F47" i="10" s="1"/>
  <c r="C6" i="44"/>
  <c r="C6" i="43"/>
  <c r="C6" i="35"/>
  <c r="C6" i="42"/>
  <c r="C6" i="47"/>
  <c r="C6" i="48" s="1"/>
  <c r="C6" i="41"/>
  <c r="C6" i="37"/>
  <c r="C6" i="45"/>
  <c r="C6" i="38"/>
  <c r="C6" i="36"/>
  <c r="C6" i="39"/>
  <c r="C6" i="46"/>
  <c r="J4" i="38"/>
  <c r="H4" i="43"/>
  <c r="H28" i="46"/>
  <c r="H18" i="47"/>
  <c r="G26" i="45"/>
  <c r="F26" i="11"/>
  <c r="I34" i="13"/>
  <c r="I37" i="13" s="1"/>
  <c r="I44" i="13" s="1"/>
  <c r="N24" i="20"/>
  <c r="F14" i="22"/>
  <c r="I14" i="22" s="1"/>
  <c r="L29" i="56"/>
  <c r="H26" i="45"/>
  <c r="I39" i="14"/>
  <c r="I40" i="14" s="1"/>
  <c r="I41" i="14" s="1"/>
  <c r="I42" i="14" s="1"/>
  <c r="H59" i="62"/>
  <c r="H16" i="11"/>
  <c r="H26" i="10"/>
  <c r="H26" i="11" s="1"/>
  <c r="H30" i="57"/>
  <c r="F46" i="10"/>
  <c r="H46" i="10" s="1"/>
  <c r="J30" i="18"/>
  <c r="H34" i="48"/>
  <c r="H62" i="62"/>
  <c r="G64" i="62"/>
  <c r="F52" i="62"/>
  <c r="H52" i="62" s="1"/>
  <c r="G60" i="62"/>
  <c r="H60" i="62" s="1"/>
  <c r="J275" i="69"/>
  <c r="H23" i="22"/>
  <c r="J39" i="14"/>
  <c r="J40" i="14" s="1"/>
  <c r="J41" i="14" s="1"/>
  <c r="J42" i="14" s="1"/>
  <c r="E24" i="22"/>
  <c r="F48" i="10"/>
  <c r="H48" i="10" s="1"/>
  <c r="H37" i="11"/>
  <c r="H55" i="62"/>
  <c r="H42" i="62"/>
  <c r="F43" i="10"/>
  <c r="H43" i="10" s="1"/>
  <c r="H11" i="11"/>
  <c r="F63" i="62"/>
  <c r="F64" i="62" s="1"/>
  <c r="F23" i="22"/>
  <c r="I23" i="22" s="1"/>
  <c r="J37" i="13"/>
  <c r="G15" i="62" s="1"/>
  <c r="G14" i="62"/>
  <c r="H276" i="69"/>
  <c r="E37" i="121"/>
  <c r="J19" i="26"/>
  <c r="G28" i="46"/>
  <c r="I275" i="69"/>
  <c r="I47" i="10"/>
  <c r="I42" i="10" s="1"/>
  <c r="E132" i="121"/>
  <c r="G13" i="62"/>
  <c r="H13" i="62" s="1"/>
  <c r="G47" i="10"/>
  <c r="I26" i="11"/>
  <c r="I39" i="10"/>
  <c r="I39" i="11" s="1"/>
  <c r="H29" i="48"/>
  <c r="G33" i="11"/>
  <c r="G39" i="10"/>
  <c r="G39" i="11" s="1"/>
  <c r="G44" i="62"/>
  <c r="H44" i="62" s="1"/>
  <c r="H26" i="38"/>
  <c r="N39" i="10"/>
  <c r="I39" i="12" s="1"/>
  <c r="I26" i="12"/>
  <c r="J5" i="36"/>
  <c r="I5" i="46"/>
  <c r="G5" i="41"/>
  <c r="H5" i="39"/>
  <c r="I5" i="40"/>
  <c r="G5" i="35"/>
  <c r="G5" i="38"/>
  <c r="F5" i="37"/>
  <c r="H5" i="45"/>
  <c r="F5" i="47"/>
  <c r="F5" i="48" s="1"/>
  <c r="G5" i="44"/>
  <c r="F5" i="43"/>
  <c r="G5" i="42"/>
  <c r="C5" i="54"/>
  <c r="C5" i="49"/>
  <c r="C5" i="57"/>
  <c r="C5" i="53"/>
  <c r="C5" i="51"/>
  <c r="C5" i="52"/>
  <c r="C5" i="56"/>
  <c r="C5" i="50"/>
  <c r="C5" i="58"/>
  <c r="C5" i="59" s="1"/>
  <c r="D5" i="55"/>
  <c r="H5" i="37"/>
  <c r="H5" i="47"/>
  <c r="H5" i="48" s="1"/>
  <c r="K5" i="40"/>
  <c r="I5" i="41"/>
  <c r="K5" i="39"/>
  <c r="J5" i="38"/>
  <c r="K5" i="44"/>
  <c r="I5" i="35"/>
  <c r="H5" i="43"/>
  <c r="K5" i="46"/>
  <c r="I5" i="42"/>
  <c r="K5" i="45"/>
  <c r="L5" i="36"/>
  <c r="K7" i="112"/>
  <c r="A1" i="7"/>
  <c r="B4" i="54"/>
  <c r="B4" i="58"/>
  <c r="B4" i="59" s="1"/>
  <c r="B4" i="53"/>
  <c r="B4" i="57"/>
  <c r="B4" i="56"/>
  <c r="C4" i="55"/>
  <c r="B4" i="51"/>
  <c r="B4" i="49"/>
  <c r="B4" i="52"/>
  <c r="B4" i="50"/>
  <c r="C3" i="39" l="1"/>
  <c r="C3" i="47"/>
  <c r="C3" i="45"/>
  <c r="C3" i="44"/>
  <c r="C3" i="40"/>
  <c r="C3" i="36"/>
  <c r="C3" i="37"/>
  <c r="C3" i="38"/>
  <c r="C3" i="42"/>
  <c r="C3" i="43"/>
  <c r="C3" i="46"/>
  <c r="C3" i="41"/>
  <c r="C3" i="35"/>
  <c r="C6" i="56"/>
  <c r="D6" i="55"/>
  <c r="H24" i="22"/>
  <c r="H4" i="58"/>
  <c r="K4" i="59" s="1"/>
  <c r="H4" i="49"/>
  <c r="H4" i="53"/>
  <c r="C6" i="58"/>
  <c r="C6" i="59" s="1"/>
  <c r="C6" i="62" s="1"/>
  <c r="C6" i="57"/>
  <c r="C6" i="50"/>
  <c r="C6" i="49"/>
  <c r="H4" i="57"/>
  <c r="C6" i="52"/>
  <c r="R4" i="55"/>
  <c r="C6" i="51"/>
  <c r="C6" i="53"/>
  <c r="H4" i="54"/>
  <c r="C6" i="54"/>
  <c r="K4" i="56"/>
  <c r="H4" i="50"/>
  <c r="H4" i="52"/>
  <c r="H4" i="51"/>
  <c r="F49" i="62"/>
  <c r="F53" i="62" s="1"/>
  <c r="H33" i="11"/>
  <c r="F39" i="62"/>
  <c r="F14" i="62"/>
  <c r="F21" i="62" s="1"/>
  <c r="F24" i="62" s="1"/>
  <c r="F35" i="62" s="1"/>
  <c r="F37" i="62" s="1"/>
  <c r="F15" i="62"/>
  <c r="H15" i="62" s="1"/>
  <c r="D9" i="121"/>
  <c r="D17" i="121" s="1"/>
  <c r="D37" i="121" s="1"/>
  <c r="D133" i="121" s="1"/>
  <c r="D134" i="121" s="1"/>
  <c r="D139" i="121" s="1"/>
  <c r="H39" i="10"/>
  <c r="H41" i="10" s="1"/>
  <c r="F45" i="62"/>
  <c r="F46" i="62" s="1"/>
  <c r="H64" i="62"/>
  <c r="H63" i="62"/>
  <c r="F24" i="22"/>
  <c r="G39" i="62"/>
  <c r="J44" i="13"/>
  <c r="J52" i="13" s="1"/>
  <c r="G21" i="62"/>
  <c r="G24" i="62" s="1"/>
  <c r="E133" i="121"/>
  <c r="E134" i="121" s="1"/>
  <c r="E139" i="121" s="1"/>
  <c r="H47" i="10"/>
  <c r="I41" i="10"/>
  <c r="G46" i="62"/>
  <c r="G54" i="62" s="1"/>
  <c r="K8" i="112"/>
  <c r="A1" i="8"/>
  <c r="C5" i="66"/>
  <c r="C5" i="68" s="1"/>
  <c r="C5" i="60"/>
  <c r="C5" i="65"/>
  <c r="C5" i="61"/>
  <c r="C5" i="62"/>
  <c r="C5" i="63"/>
  <c r="C5" i="64"/>
  <c r="F17" i="62"/>
  <c r="I52" i="13"/>
  <c r="G19" i="59"/>
  <c r="F5" i="58"/>
  <c r="H5" i="59" s="1"/>
  <c r="F5" i="51"/>
  <c r="F5" i="50"/>
  <c r="O5" i="55"/>
  <c r="F5" i="52"/>
  <c r="F5" i="54"/>
  <c r="F5" i="53"/>
  <c r="F5" i="49"/>
  <c r="H5" i="56"/>
  <c r="F5" i="57"/>
  <c r="B4" i="61"/>
  <c r="B4" i="66"/>
  <c r="B4" i="68" s="1"/>
  <c r="B4" i="60"/>
  <c r="B4" i="65"/>
  <c r="B4" i="63"/>
  <c r="B4" i="64"/>
  <c r="B4" i="62"/>
  <c r="H5" i="54"/>
  <c r="H5" i="51"/>
  <c r="H5" i="49"/>
  <c r="H5" i="50"/>
  <c r="H5" i="58"/>
  <c r="K5" i="59" s="1"/>
  <c r="K5" i="56"/>
  <c r="S5" i="55"/>
  <c r="H5" i="53"/>
  <c r="H5" i="52"/>
  <c r="H5" i="57"/>
  <c r="C3" i="48" l="1"/>
  <c r="C3" i="54"/>
  <c r="G4" i="62"/>
  <c r="I4" i="63"/>
  <c r="O4" i="60"/>
  <c r="I4" i="65"/>
  <c r="K4" i="61"/>
  <c r="H4" i="64"/>
  <c r="I4" i="66"/>
  <c r="I4" i="68" s="1"/>
  <c r="H3" i="71" s="1"/>
  <c r="C6" i="64"/>
  <c r="C6" i="66"/>
  <c r="C6" i="68" s="1"/>
  <c r="C6" i="75" s="1"/>
  <c r="C6" i="65"/>
  <c r="C6" i="60"/>
  <c r="C6" i="63"/>
  <c r="H49" i="62"/>
  <c r="C6" i="61"/>
  <c r="H39" i="11"/>
  <c r="H39" i="62"/>
  <c r="H14" i="62"/>
  <c r="H24" i="62"/>
  <c r="H45" i="62"/>
  <c r="G17" i="62"/>
  <c r="H17" i="62" s="1"/>
  <c r="H19" i="59"/>
  <c r="G35" i="62"/>
  <c r="G37" i="62" s="1"/>
  <c r="H37" i="62" s="1"/>
  <c r="H46" i="62"/>
  <c r="F54" i="62"/>
  <c r="H54" i="62" s="1"/>
  <c r="H53" i="62"/>
  <c r="K5" i="61"/>
  <c r="I5" i="63"/>
  <c r="O5" i="60"/>
  <c r="I5" i="66"/>
  <c r="I5" i="68" s="1"/>
  <c r="I5" i="65"/>
  <c r="H5" i="62"/>
  <c r="H5" i="64"/>
  <c r="C4" i="70"/>
  <c r="C4" i="69"/>
  <c r="C5" i="76"/>
  <c r="C5" i="77"/>
  <c r="C5" i="73"/>
  <c r="C5" i="75"/>
  <c r="C5" i="74"/>
  <c r="C4" i="71"/>
  <c r="B5" i="72"/>
  <c r="C5" i="78"/>
  <c r="C4" i="85" s="1"/>
  <c r="C19" i="85" s="1"/>
  <c r="C35" i="85" s="1"/>
  <c r="C48" i="85" s="1"/>
  <c r="C64" i="85" s="1"/>
  <c r="C80" i="85" s="1"/>
  <c r="C96" i="85" s="1"/>
  <c r="C111" i="85" s="1"/>
  <c r="C126" i="85" s="1"/>
  <c r="K9" i="112"/>
  <c r="A1" i="9"/>
  <c r="B3" i="70"/>
  <c r="B4" i="72"/>
  <c r="B4" i="76"/>
  <c r="B4" i="73"/>
  <c r="B4" i="77"/>
  <c r="B3" i="71"/>
  <c r="B3" i="69"/>
  <c r="B4" i="74"/>
  <c r="B4" i="75"/>
  <c r="B4" i="78"/>
  <c r="B3" i="85" s="1"/>
  <c r="B18" i="85" s="1"/>
  <c r="B34" i="85" s="1"/>
  <c r="B47" i="85" s="1"/>
  <c r="B63" i="85" s="1"/>
  <c r="B79" i="85" s="1"/>
  <c r="B95" i="85" s="1"/>
  <c r="B110" i="85" s="1"/>
  <c r="B125" i="85" s="1"/>
  <c r="F5" i="66"/>
  <c r="F5" i="68" s="1"/>
  <c r="F5" i="65"/>
  <c r="G5" i="63"/>
  <c r="J5" i="60"/>
  <c r="G5" i="61"/>
  <c r="F5" i="64"/>
  <c r="F5" i="62"/>
  <c r="F19" i="62"/>
  <c r="F40" i="62" s="1"/>
  <c r="G22" i="59"/>
  <c r="G17" i="59" s="1"/>
  <c r="H9" i="64"/>
  <c r="H31" i="64" s="1"/>
  <c r="H35" i="64" s="1"/>
  <c r="H36" i="64" s="1"/>
  <c r="H22" i="59"/>
  <c r="G19" i="62"/>
  <c r="J3" i="69" l="1"/>
  <c r="J225" i="69" s="1"/>
  <c r="H3" i="70"/>
  <c r="I4" i="78"/>
  <c r="G3" i="85" s="1"/>
  <c r="G18" i="85" s="1"/>
  <c r="G34" i="85" s="1"/>
  <c r="G47" i="85" s="1"/>
  <c r="G63" i="85" s="1"/>
  <c r="G79" i="85" s="1"/>
  <c r="G95" i="85" s="1"/>
  <c r="G110" i="85" s="1"/>
  <c r="G125" i="85" s="1"/>
  <c r="J4" i="73"/>
  <c r="K4" i="74"/>
  <c r="M4" i="72"/>
  <c r="P4" i="76"/>
  <c r="H4" i="77"/>
  <c r="M4" i="75"/>
  <c r="C3" i="50"/>
  <c r="C3" i="58"/>
  <c r="C3" i="59" s="1"/>
  <c r="C3" i="53"/>
  <c r="D3" i="55"/>
  <c r="C3" i="52"/>
  <c r="C3" i="57"/>
  <c r="D3" i="56"/>
  <c r="C3" i="49"/>
  <c r="C3" i="51"/>
  <c r="C5" i="69"/>
  <c r="C6" i="78"/>
  <c r="C5" i="85" s="1"/>
  <c r="C20" i="85" s="1"/>
  <c r="C36" i="85" s="1"/>
  <c r="C49" i="85" s="1"/>
  <c r="C65" i="85" s="1"/>
  <c r="C81" i="85" s="1"/>
  <c r="C97" i="85" s="1"/>
  <c r="C112" i="85" s="1"/>
  <c r="C127" i="85" s="1"/>
  <c r="B6" i="72"/>
  <c r="C5" i="71"/>
  <c r="C6" i="77"/>
  <c r="C6" i="73"/>
  <c r="C6" i="74"/>
  <c r="C6" i="76"/>
  <c r="C5" i="70"/>
  <c r="H35" i="62"/>
  <c r="H17" i="59"/>
  <c r="H4" i="69"/>
  <c r="F4" i="70"/>
  <c r="H5" i="74"/>
  <c r="F5" i="77"/>
  <c r="F4" i="71"/>
  <c r="H5" i="73"/>
  <c r="K5" i="76"/>
  <c r="I5" i="75"/>
  <c r="F5" i="78"/>
  <c r="F4" i="85" s="1"/>
  <c r="F19" i="85" s="1"/>
  <c r="F35" i="85" s="1"/>
  <c r="F48" i="85" s="1"/>
  <c r="F64" i="85" s="1"/>
  <c r="F80" i="85" s="1"/>
  <c r="F96" i="85" s="1"/>
  <c r="F111" i="85" s="1"/>
  <c r="F126" i="85" s="1"/>
  <c r="J5" i="72"/>
  <c r="J4" i="69"/>
  <c r="K5" i="74"/>
  <c r="J5" i="73"/>
  <c r="N5" i="72"/>
  <c r="P5" i="76"/>
  <c r="H4" i="70"/>
  <c r="M5" i="75"/>
  <c r="I5" i="78"/>
  <c r="H4" i="85" s="1"/>
  <c r="H19" i="85" s="1"/>
  <c r="H35" i="85" s="1"/>
  <c r="H48" i="85" s="1"/>
  <c r="H64" i="85" s="1"/>
  <c r="H80" i="85" s="1"/>
  <c r="H96" i="85" s="1"/>
  <c r="H111" i="85" s="1"/>
  <c r="H126" i="85" s="1"/>
  <c r="H4" i="71"/>
  <c r="H5" i="77"/>
  <c r="G40" i="62"/>
  <c r="H40" i="62" s="1"/>
  <c r="H19" i="62"/>
  <c r="K10" i="112"/>
  <c r="A1" i="10"/>
  <c r="C153" i="69"/>
  <c r="C226" i="69"/>
  <c r="C78" i="69"/>
  <c r="B152" i="69"/>
  <c r="B77" i="69"/>
  <c r="B225" i="69"/>
  <c r="J152" i="69" l="1"/>
  <c r="J77" i="69"/>
  <c r="C3" i="64"/>
  <c r="C3" i="62"/>
  <c r="C3" i="63"/>
  <c r="C3" i="60"/>
  <c r="C3" i="66"/>
  <c r="C3" i="68" s="1"/>
  <c r="C3" i="65"/>
  <c r="C3" i="61"/>
  <c r="C79" i="69"/>
  <c r="C154" i="69"/>
  <c r="C227" i="69"/>
  <c r="H78" i="69"/>
  <c r="H153" i="69"/>
  <c r="H226" i="69"/>
  <c r="J226" i="69"/>
  <c r="J78" i="69"/>
  <c r="J153" i="69"/>
  <c r="K11" i="112"/>
  <c r="A1" i="11"/>
  <c r="B3" i="72" l="1"/>
  <c r="C2" i="69"/>
  <c r="C2" i="71"/>
  <c r="C3" i="73"/>
  <c r="C3" i="76"/>
  <c r="C3" i="77"/>
  <c r="C3" i="74"/>
  <c r="C3" i="78"/>
  <c r="C2" i="85" s="1"/>
  <c r="C17" i="85" s="1"/>
  <c r="C33" i="85" s="1"/>
  <c r="C46" i="85" s="1"/>
  <c r="C62" i="85" s="1"/>
  <c r="C78" i="85" s="1"/>
  <c r="C94" i="85" s="1"/>
  <c r="C109" i="85" s="1"/>
  <c r="C124" i="85" s="1"/>
  <c r="C3" i="75"/>
  <c r="C2" i="70"/>
  <c r="K12" i="112"/>
  <c r="A1" i="12"/>
  <c r="C76" i="69" l="1"/>
  <c r="C224" i="69"/>
  <c r="C151" i="69"/>
  <c r="K13" i="112"/>
  <c r="A1" i="13"/>
  <c r="K14" i="112" l="1"/>
  <c r="A1" i="14"/>
  <c r="K15" i="112" l="1"/>
  <c r="A1" i="15"/>
  <c r="K16" i="112" l="1"/>
  <c r="A1" i="16"/>
  <c r="K17" i="112" l="1"/>
  <c r="A1" i="17"/>
  <c r="K18" i="112" l="1"/>
  <c r="A1" i="18"/>
  <c r="K19" i="112" l="1"/>
  <c r="A1" i="19"/>
  <c r="K20" i="112" l="1"/>
  <c r="A1" i="20"/>
  <c r="K21" i="112" l="1"/>
  <c r="A1" i="21"/>
  <c r="K22" i="112" l="1"/>
  <c r="A1" i="22"/>
  <c r="K23" i="112" l="1"/>
  <c r="A1" i="23"/>
  <c r="K24" i="112" l="1"/>
  <c r="A1" i="24"/>
  <c r="K25" i="112" l="1"/>
  <c r="A1" i="25"/>
  <c r="K26" i="112" l="1"/>
  <c r="A1" i="26"/>
  <c r="K27" i="112" l="1"/>
  <c r="A1" i="27"/>
  <c r="K28" i="112" l="1"/>
  <c r="A1" i="28"/>
  <c r="K29" i="112" l="1"/>
  <c r="A1" i="29"/>
  <c r="K30" i="112" l="1"/>
  <c r="A1" i="30"/>
  <c r="K31" i="112" l="1"/>
  <c r="A1" i="31"/>
  <c r="K32" i="112" l="1"/>
  <c r="A1" i="32"/>
  <c r="K33" i="112" l="1"/>
  <c r="A1" i="33"/>
  <c r="K34" i="112" l="1"/>
  <c r="A1" i="34"/>
  <c r="K35" i="112" l="1"/>
  <c r="A1" i="35"/>
  <c r="K36" i="112" l="1"/>
  <c r="A1" i="36"/>
  <c r="K37" i="112" l="1"/>
  <c r="A1" i="37"/>
  <c r="K38" i="112" l="1"/>
  <c r="A1" i="38"/>
  <c r="K39" i="112" l="1"/>
  <c r="A1" i="39"/>
  <c r="K40" i="112" l="1"/>
  <c r="A1" i="40"/>
  <c r="K41" i="112" l="1"/>
  <c r="A1" i="41"/>
  <c r="K42" i="112" l="1"/>
  <c r="A1" i="42"/>
  <c r="K43" i="112" l="1"/>
  <c r="A1" i="43"/>
  <c r="K44" i="112" l="1"/>
  <c r="A1" i="44"/>
  <c r="K45" i="112" l="1"/>
  <c r="A1" i="45"/>
  <c r="K46" i="112" l="1"/>
  <c r="A1" i="46"/>
  <c r="K47" i="112" l="1"/>
  <c r="A1" i="47"/>
  <c r="K48" i="112" l="1"/>
  <c r="A1" i="48"/>
  <c r="K49" i="112" l="1"/>
  <c r="A1" i="49"/>
  <c r="K50" i="112" l="1"/>
  <c r="A1" i="50"/>
  <c r="K51" i="112" l="1"/>
  <c r="A1" i="51"/>
  <c r="K52" i="112" l="1"/>
  <c r="A1" i="52"/>
  <c r="K53" i="112" l="1"/>
  <c r="A1" i="53"/>
  <c r="K54" i="112" l="1"/>
  <c r="A1" i="54"/>
  <c r="K55" i="112" l="1"/>
  <c r="A1" i="55"/>
  <c r="K56" i="112" l="1"/>
  <c r="A1" i="56"/>
  <c r="K57" i="112" l="1"/>
  <c r="A1" i="57"/>
  <c r="K58" i="112" l="1"/>
  <c r="A1" i="58"/>
  <c r="K59" i="112" l="1"/>
  <c r="A1" i="59"/>
  <c r="K60" i="112" l="1"/>
  <c r="A1" i="60"/>
  <c r="K61" i="112" l="1"/>
  <c r="A1" i="61"/>
  <c r="K62" i="112" l="1"/>
  <c r="A1" i="62"/>
  <c r="K63" i="112" l="1"/>
  <c r="A1" i="63"/>
  <c r="K64" i="112" l="1"/>
  <c r="A1" i="64"/>
  <c r="K65" i="112" l="1"/>
  <c r="A1" i="65"/>
  <c r="K66" i="112" l="1"/>
  <c r="K67" i="112" s="1"/>
  <c r="A1" i="66"/>
  <c r="K68" i="112" l="1"/>
  <c r="A1" i="68"/>
  <c r="K69" i="112" l="1"/>
  <c r="D223" i="69"/>
  <c r="D150" i="69"/>
  <c r="D75" i="69"/>
  <c r="D1" i="69"/>
  <c r="E1" i="70" l="1"/>
  <c r="K70" i="112"/>
  <c r="K71" i="112" l="1"/>
  <c r="E1" i="71"/>
  <c r="K72" i="112" l="1"/>
  <c r="A1" i="72"/>
  <c r="K73" i="112" l="1"/>
  <c r="A1" i="73"/>
  <c r="K74" i="112" l="1"/>
  <c r="A1" i="74"/>
  <c r="K75" i="112" l="1"/>
  <c r="A1" i="75"/>
  <c r="K76" i="112" l="1"/>
  <c r="A1" i="76"/>
  <c r="K77" i="112" l="1"/>
  <c r="A1" i="77"/>
  <c r="K78" i="112" l="1"/>
  <c r="F44" i="3" s="1"/>
  <c r="A1" i="7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Barnard Herbert Gérald N'DIA</author>
  </authors>
  <commentList>
    <comment ref="D45" authorId="0" shapeId="0" xr:uid="{C408781A-5DE9-4A08-B1DB-D539C44466B5}">
      <text>
        <r>
          <rPr>
            <b/>
            <sz val="9"/>
            <color indexed="81"/>
            <rFont val="Tahoma"/>
            <family val="2"/>
          </rPr>
          <t>Veuillez mettre un espace entre avant la lettre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<sst xmlns="http://schemas.openxmlformats.org/spreadsheetml/2006/main" count="38324" uniqueCount="11948">
  <si>
    <t xml:space="preserve"> </t>
  </si>
  <si>
    <t xml:space="preserve">   MINISTERE EN CHARGE DES FINANCES</t>
  </si>
  <si>
    <t>DIRECTION GENERALE DES IMPOTS</t>
  </si>
  <si>
    <t>LIASSE SYSTEME NORMAL</t>
  </si>
  <si>
    <t>REPUBLIQUE</t>
  </si>
  <si>
    <t>MINISTERE</t>
  </si>
  <si>
    <t>DIRECTION</t>
  </si>
  <si>
    <t>CENTRE DE DEPOT DE</t>
  </si>
  <si>
    <t>ETATS FINANCIERS NORMALISES
SYSTEME COMPTABLE OHADA (SYSCOHADA)</t>
  </si>
  <si>
    <t>EXERCICE CLOS LE</t>
  </si>
  <si>
    <t>DESIGNATION DE L'ENTITE</t>
  </si>
  <si>
    <t>DENOMINATION SOCIALE :</t>
  </si>
  <si>
    <t>(ou nom et prénoms de l'exploitant)</t>
  </si>
  <si>
    <t>SIGLE USUEL :</t>
  </si>
  <si>
    <t>ADRESSE COMPLETE :</t>
  </si>
  <si>
    <t>N° COMPTE CONTRIBUABLE (NCC) :</t>
  </si>
  <si>
    <t>N° DE TELEDECLARANT (NTD):</t>
  </si>
  <si>
    <t>SYSTEME NORMAL</t>
  </si>
  <si>
    <t>Documents déposés</t>
  </si>
  <si>
    <t>Réservé à la Direction Générale des Impôts</t>
  </si>
  <si>
    <t>Fiche d'identification et renseignements divers</t>
  </si>
  <si>
    <t>X</t>
  </si>
  <si>
    <t>Date de dépôt</t>
  </si>
  <si>
    <t>Bilan</t>
  </si>
  <si>
    <t>Compte de résultat</t>
  </si>
  <si>
    <t>Tableau des flux de trésorerie</t>
  </si>
  <si>
    <t>Notes annexes</t>
  </si>
  <si>
    <t>Nom de l'agent de la DGI ayant réceptionné le dépôt</t>
  </si>
  <si>
    <t>Etats supplémentaires DGI</t>
  </si>
  <si>
    <t>Nombre de pages déposées par exemplaire :</t>
  </si>
  <si>
    <t>Signature de l'agent et cachet du service</t>
  </si>
  <si>
    <t>Nombre d'exemplaires déposés :</t>
  </si>
  <si>
    <t>CONDITIONS DE RECEVABILITE</t>
  </si>
  <si>
    <t>Entités utilisant des imprimés</t>
  </si>
  <si>
    <t>• N'utiliser que des imprimés normalisés.</t>
  </si>
  <si>
    <t>• Remplir chaque page de façon parfaitement lisible sans décalage de lignes.</t>
  </si>
  <si>
    <t>• Ne créer aucune rubrique.</t>
  </si>
  <si>
    <t>• Eviter toute surcharge et donner les explications sur une feuille séparée.</t>
  </si>
  <si>
    <t>• N'utiliser que les codes indiqués dans les tables.</t>
  </si>
  <si>
    <t>• N'utiliser que des imprimés en noir et blanc.</t>
  </si>
  <si>
    <t>Entités produisant les états financiers à l'aide de l'outil informatique</t>
  </si>
  <si>
    <t>• Reproduire à l'identique la contexture des imprimés normalisés.</t>
  </si>
  <si>
    <t>• Fournir une liasse comprenant à la fois : la fiche d'identification et renseignements 
  divers et les états financiers correspondant au système comptable.</t>
  </si>
  <si>
    <t>Etats financiers</t>
  </si>
  <si>
    <t>• Les rubriques et les postes du Bilan, du Compte de résultat et du Tableau des flux de trésorerie non chiffrés ne doivent pas être supprimés.</t>
  </si>
  <si>
    <t>• Les Notes annexes non chiffrées doivent être supprimées.  Cependant elles devront</t>
  </si>
  <si>
    <t>être indiquées dans la Fiche Récapitulative des Notes Annexes (Fiche R4)</t>
  </si>
  <si>
    <t>• Les états financiers devront être accompagnés d'une attestation de visa ou d'une</t>
  </si>
  <si>
    <t>attestation d'exécution de la mission de commissariat aux comptes.</t>
  </si>
  <si>
    <t>NOTE 36
SYSTEME NORMAL</t>
  </si>
  <si>
    <t>Dénomination sociale de l'entité :</t>
  </si>
  <si>
    <t>Adresse :</t>
  </si>
  <si>
    <t>Sigle usuel:</t>
  </si>
  <si>
    <t>N° de compte contribuable (NCC) :</t>
  </si>
  <si>
    <t>Exercice clos le :</t>
  </si>
  <si>
    <t>Durée (en mois) :</t>
  </si>
  <si>
    <t xml:space="preserve">N° de télédéclarant (NTD): </t>
  </si>
  <si>
    <t>NOTE 36 : TABLE DES CODES</t>
  </si>
  <si>
    <r>
      <t>1- Code forme juridique</t>
    </r>
    <r>
      <rPr>
        <b/>
        <vertAlign val="superscript"/>
        <sz val="10"/>
        <rFont val="Arial"/>
        <family val="2"/>
      </rPr>
      <t xml:space="preserve"> (1)</t>
    </r>
  </si>
  <si>
    <t>3- Code pays du siège social</t>
  </si>
  <si>
    <t xml:space="preserve"> Société Anonyme (SA) à participation publique</t>
  </si>
  <si>
    <t>0</t>
  </si>
  <si>
    <r>
      <t xml:space="preserve"> Pays UEMOA (</t>
    </r>
    <r>
      <rPr>
        <vertAlign val="superscript"/>
        <sz val="9"/>
        <rFont val="Arial"/>
        <family val="2"/>
      </rPr>
      <t>2</t>
    </r>
    <r>
      <rPr>
        <sz val="9"/>
        <rFont val="Arial"/>
        <family val="2"/>
      </rPr>
      <t>)</t>
    </r>
  </si>
  <si>
    <t xml:space="preserve"> Société Anonyme (SA)</t>
  </si>
  <si>
    <t>1</t>
  </si>
  <si>
    <r>
      <t xml:space="preserve"> Pays CEMAC (</t>
    </r>
    <r>
      <rPr>
        <vertAlign val="superscript"/>
        <sz val="9"/>
        <rFont val="Arial"/>
        <family val="2"/>
      </rPr>
      <t>3</t>
    </r>
    <r>
      <rPr>
        <sz val="9"/>
        <rFont val="Arial"/>
        <family val="2"/>
      </rPr>
      <t>)</t>
    </r>
  </si>
  <si>
    <t>Société par Actions Simplifiée (SAS)</t>
  </si>
  <si>
    <t>2</t>
  </si>
  <si>
    <r>
      <t xml:space="preserve"> Autres pays OHADA (</t>
    </r>
    <r>
      <rPr>
        <vertAlign val="superscript"/>
        <sz val="9"/>
        <rFont val="Arial"/>
        <family val="2"/>
      </rPr>
      <t>4</t>
    </r>
    <r>
      <rPr>
        <sz val="9"/>
        <rFont val="Arial"/>
        <family val="2"/>
      </rPr>
      <t>)</t>
    </r>
  </si>
  <si>
    <t xml:space="preserve"> Société à Responsabilité Limitée (SARL)</t>
  </si>
  <si>
    <t>3</t>
  </si>
  <si>
    <t xml:space="preserve"> Afrique du Sud</t>
  </si>
  <si>
    <t xml:space="preserve"> Autres pays africains</t>
  </si>
  <si>
    <t xml:space="preserve"> Société en Commandite Simple (SCS)</t>
  </si>
  <si>
    <t>4</t>
  </si>
  <si>
    <t xml:space="preserve"> Suisse</t>
  </si>
  <si>
    <t xml:space="preserve"> Société en Nom Collectif (SNC)</t>
  </si>
  <si>
    <t>5</t>
  </si>
  <si>
    <t xml:space="preserve"> France</t>
  </si>
  <si>
    <t xml:space="preserve"> Société en Participation (SP)</t>
  </si>
  <si>
    <t>6</t>
  </si>
  <si>
    <t xml:space="preserve"> Autres pays de l'Union Européenne</t>
  </si>
  <si>
    <t>9</t>
  </si>
  <si>
    <t xml:space="preserve"> Groupement d'Intérêt Economique (GIE)</t>
  </si>
  <si>
    <t>7</t>
  </si>
  <si>
    <t xml:space="preserve"> U.S.A.</t>
  </si>
  <si>
    <t xml:space="preserve"> Association</t>
  </si>
  <si>
    <t>8</t>
  </si>
  <si>
    <t xml:space="preserve"> Canada</t>
  </si>
  <si>
    <t xml:space="preserve"> Autre forme juridique (à préciser)</t>
  </si>
  <si>
    <t xml:space="preserve"> Brésil</t>
  </si>
  <si>
    <t xml:space="preserve"> Autres pays américains</t>
  </si>
  <si>
    <t xml:space="preserve"> 2 - Code régime fiscal</t>
  </si>
  <si>
    <t xml:space="preserve"> Chine</t>
  </si>
  <si>
    <t xml:space="preserve"> Réel normal</t>
  </si>
  <si>
    <t xml:space="preserve"> Inde</t>
  </si>
  <si>
    <t xml:space="preserve"> Liban</t>
  </si>
  <si>
    <t xml:space="preserve"> Réel simplifié</t>
  </si>
  <si>
    <t xml:space="preserve"> Autres pays asiatiques</t>
  </si>
  <si>
    <t xml:space="preserve"> Russie</t>
  </si>
  <si>
    <t xml:space="preserve"> Synthétique</t>
  </si>
  <si>
    <t xml:space="preserve"> Autres pays</t>
  </si>
  <si>
    <t xml:space="preserve"> Forfait</t>
  </si>
  <si>
    <t xml:space="preserve"> (Zone monétaire = Zone franc CFA)</t>
  </si>
  <si>
    <r>
      <t>(</t>
    </r>
    <r>
      <rPr>
        <vertAlign val="superscript"/>
        <sz val="9"/>
        <rFont val="Arial"/>
        <family val="2"/>
      </rPr>
      <t>1</t>
    </r>
    <r>
      <rPr>
        <sz val="9"/>
        <rFont val="Arial"/>
        <family val="2"/>
      </rPr>
      <t>) Remplacer le premier 0 par 1 si l'entreprise bénéficie d'un agrément prioritaire</t>
    </r>
  </si>
  <si>
    <r>
      <t>(</t>
    </r>
    <r>
      <rPr>
        <vertAlign val="superscript"/>
        <sz val="9"/>
        <rFont val="Arial"/>
        <family val="2"/>
      </rPr>
      <t>2</t>
    </r>
    <r>
      <rPr>
        <sz val="9"/>
        <rFont val="Arial"/>
        <family val="2"/>
      </rPr>
      <t>) Bénin = 01 ; Burkina = 02 ; Côte d'Ivoire = 03 ; Guinée Bissau = 04 ; Mali = 05 ; Niger = 06 ; Sénégal = 07 ; Togo = 08</t>
    </r>
  </si>
  <si>
    <r>
      <t>(</t>
    </r>
    <r>
      <rPr>
        <vertAlign val="superscript"/>
        <sz val="9"/>
        <rFont val="Arial"/>
        <family val="2"/>
      </rPr>
      <t>3</t>
    </r>
    <r>
      <rPr>
        <sz val="9"/>
        <rFont val="Arial"/>
        <family val="2"/>
      </rPr>
      <t xml:space="preserve">) Cameroun = 09 ; Centrafrique = 10 ; Congo = 11 ; Gabon = 12 ; Guinée Equatoriale = 13 ; Tchad = 14 </t>
    </r>
  </si>
  <si>
    <r>
      <t>(</t>
    </r>
    <r>
      <rPr>
        <vertAlign val="superscript"/>
        <sz val="9"/>
        <rFont val="Arial"/>
        <family val="2"/>
      </rPr>
      <t>4</t>
    </r>
    <r>
      <rPr>
        <sz val="9"/>
        <rFont val="Arial"/>
        <family val="2"/>
      </rPr>
      <t xml:space="preserve">) Comores = 15 ; Guinée Conakry = 16 </t>
    </r>
  </si>
  <si>
    <t>NOTE 36 (suite)
SYSTEME NORMAL</t>
  </si>
  <si>
    <t>NOTE 36 SUITE : CLASSIFICATION IVOIRIENNE DES ACTIVITES ET DES PRODUITS (CIAP)
CODES ACTIVITES ECONOMIQUES</t>
  </si>
  <si>
    <t>Sélectionner la ou les codes activités selon le découpage de votre chiffre d'affaires pour le renseignement de la fiche R2
dans le tableau "activité de l'entreprise"</t>
  </si>
  <si>
    <t>Toutes les pages de la nomenclature CIAP ci-dessous ne sont pas à joindre à la liasse fiscale mais seulement celle(s) où figurent les codes activités sélectionnés.</t>
  </si>
  <si>
    <t>NOMENCLATURE CIAP</t>
  </si>
  <si>
    <t>Code Activité</t>
  </si>
  <si>
    <t>Activités</t>
  </si>
  <si>
    <t>A0101</t>
  </si>
  <si>
    <t>AGRICULTURE VIVRIERE</t>
  </si>
  <si>
    <t>F4300</t>
  </si>
  <si>
    <t>ACTIVITÉS SPECIALISEES DE CONSTRUCTION</t>
  </si>
  <si>
    <t>A010101</t>
  </si>
  <si>
    <t>Culture de céréales</t>
  </si>
  <si>
    <t>F430001</t>
  </si>
  <si>
    <t>Démolition et préparation des sites</t>
  </si>
  <si>
    <t>A010102</t>
  </si>
  <si>
    <t xml:space="preserve">Culture de tubercules </t>
  </si>
  <si>
    <t>F430002</t>
  </si>
  <si>
    <t>Travaux d'installation</t>
  </si>
  <si>
    <t>A010103</t>
  </si>
  <si>
    <t xml:space="preserve">Culture de fruits </t>
  </si>
  <si>
    <t>F430003</t>
  </si>
  <si>
    <t>Travaux de finition</t>
  </si>
  <si>
    <t>A010104</t>
  </si>
  <si>
    <t>Culture de légumes et plantes à épices et aromatiques</t>
  </si>
  <si>
    <t>F430004</t>
  </si>
  <si>
    <t>Autres travaux spécialisés de construction</t>
  </si>
  <si>
    <t>A0102</t>
  </si>
  <si>
    <t>AGRICULTURE DESTINEE A L'INDUSTRIE OU A L'EXPORTATION</t>
  </si>
  <si>
    <t>G4501</t>
  </si>
  <si>
    <t>COMMERCE DE VÉHICULES AUTOMOBILES</t>
  </si>
  <si>
    <t>A010201</t>
  </si>
  <si>
    <t>Culture du  cacao</t>
  </si>
  <si>
    <t>G450100</t>
  </si>
  <si>
    <t>Commerce de véhicules automobiles</t>
  </si>
  <si>
    <t>A010202</t>
  </si>
  <si>
    <t>Culture du café</t>
  </si>
  <si>
    <t>G4502</t>
  </si>
  <si>
    <t>ENTRETIEN ET REPARATION DE VEHICULES AUTOMOBILES</t>
  </si>
  <si>
    <t>A010203</t>
  </si>
  <si>
    <t>Hévéaculture</t>
  </si>
  <si>
    <t>G450200</t>
  </si>
  <si>
    <t>Entretien et réparation de véhicules automobiles</t>
  </si>
  <si>
    <t>A010204</t>
  </si>
  <si>
    <t>Culture du coton</t>
  </si>
  <si>
    <t>G4503</t>
  </si>
  <si>
    <t>COMMERCE DE PIECES DETACHEES ET D'ACCESSOIRES AUTOMOBILES</t>
  </si>
  <si>
    <t>A010205</t>
  </si>
  <si>
    <t>Culture de la banane douce , de l'ananas et la mangue</t>
  </si>
  <si>
    <t>G450300</t>
  </si>
  <si>
    <t>Commerce de pièces détachées et d'accessoires automobiles</t>
  </si>
  <si>
    <t>A010206</t>
  </si>
  <si>
    <t>Culture de l'anacarde</t>
  </si>
  <si>
    <t>G4504</t>
  </si>
  <si>
    <t>COMMERCE ET RÉPARATION DE MOTOCYCLES</t>
  </si>
  <si>
    <t>A010207</t>
  </si>
  <si>
    <t>Culture de la canne a sucre</t>
  </si>
  <si>
    <t>G450400</t>
  </si>
  <si>
    <t>Commerce et réparation de motocycles</t>
  </si>
  <si>
    <t>A010208</t>
  </si>
  <si>
    <t>Culture de graines et fruits oléagineux</t>
  </si>
  <si>
    <t>G4601</t>
  </si>
  <si>
    <t>ACTIVITES DES INTERMEDIAIRES DU COMMERCE DE GROS</t>
  </si>
  <si>
    <t>A010209</t>
  </si>
  <si>
    <t>Horticulture et Reproduction des plantes</t>
  </si>
  <si>
    <t>G460100</t>
  </si>
  <si>
    <t>Activités des Intermédiaires du commerce de gros</t>
  </si>
  <si>
    <t>A010210</t>
  </si>
  <si>
    <t>Culture d'autres produits destinés à l'industrie ou à l'exportation</t>
  </si>
  <si>
    <t>G4602</t>
  </si>
  <si>
    <t>COMMERCE DE GROS DE PRODUITS AGRICOLES BRUTS, D'ANIMAUX VIVANTS, PRODUITS ALIMENTAIRES, BOISSONS ET TABAC</t>
  </si>
  <si>
    <t>A0103</t>
  </si>
  <si>
    <t>ELEVAGE ET CHASSE</t>
  </si>
  <si>
    <t>G460201</t>
  </si>
  <si>
    <t>Commerce de gros de produits agricoles bruts et d'aliments pour animaux</t>
  </si>
  <si>
    <t>A010301</t>
  </si>
  <si>
    <t>Elevage</t>
  </si>
  <si>
    <t>G460202</t>
  </si>
  <si>
    <t>Commerce de gros d'animaux vivants, de peaux et cuirs</t>
  </si>
  <si>
    <t>A010302</t>
  </si>
  <si>
    <t>Chasse</t>
  </si>
  <si>
    <t>G460203</t>
  </si>
  <si>
    <t>Commerce de gros de produits alimentaires, boissons et tabacs manufacturés</t>
  </si>
  <si>
    <t>A0104</t>
  </si>
  <si>
    <t>ACTIVITES ANNEXES A L'AGRICULTURE, L'ELEVAGE ET LA CHASSE</t>
  </si>
  <si>
    <t>G4603</t>
  </si>
  <si>
    <t>COMMERCE DE GROS DE BIENS DE CONSOMMATION NON ALIMENTAIRES</t>
  </si>
  <si>
    <t>A010401</t>
  </si>
  <si>
    <t>Activités de soutien à l'agriculture</t>
  </si>
  <si>
    <t>G460301</t>
  </si>
  <si>
    <t>Commerce de gros de textiles, habillement et chaussures</t>
  </si>
  <si>
    <t>A010402</t>
  </si>
  <si>
    <t>Activités de soutien à l'élevage</t>
  </si>
  <si>
    <t>G460302</t>
  </si>
  <si>
    <t>Commerce de gros de produits pharmaceutiques et médicaux</t>
  </si>
  <si>
    <t>A010403</t>
  </si>
  <si>
    <t>Activités de soutien à la chasse</t>
  </si>
  <si>
    <t>G460303</t>
  </si>
  <si>
    <t>Commerce de gros de biens de consommation non alimentaires divers</t>
  </si>
  <si>
    <t>A0201</t>
  </si>
  <si>
    <t xml:space="preserve">SYLVICULTURE ET EXPLOITATION FORESTIERE </t>
  </si>
  <si>
    <t>G4604</t>
  </si>
  <si>
    <t>COMMERCE DE GROS DE PRODUITS INTERMEDIAIRES NON AGRICOLES</t>
  </si>
  <si>
    <t>A020101</t>
  </si>
  <si>
    <t>Sylviculture</t>
  </si>
  <si>
    <t>G460401</t>
  </si>
  <si>
    <t>Commerce de gros de carburants et combustibles</t>
  </si>
  <si>
    <t>A020102</t>
  </si>
  <si>
    <t>Exploitation Forestière</t>
  </si>
  <si>
    <t>G460402</t>
  </si>
  <si>
    <t>Commerce de gros de bois</t>
  </si>
  <si>
    <t>A020103</t>
  </si>
  <si>
    <t xml:space="preserve"> Production de charbon de bois</t>
  </si>
  <si>
    <t>G460403</t>
  </si>
  <si>
    <t>Commerce de gros de matériaux de construction, quincaillerie et fournitures pour plomberie</t>
  </si>
  <si>
    <t>A020200</t>
  </si>
  <si>
    <t>Cueillettes, récolte de produits forestiers non ligneux</t>
  </si>
  <si>
    <t>G460404</t>
  </si>
  <si>
    <t>Commerce de gros d’autres produits intermédiaires non agricoles</t>
  </si>
  <si>
    <t>A0203</t>
  </si>
  <si>
    <t>ACTIVITES DE SOUTIEN A LA SYLVICULTURE ET A L'EXPLOITATION FORESTIERE</t>
  </si>
  <si>
    <t>G4605</t>
  </si>
  <si>
    <t>COMMERCE DE GROS DE MACHINES, D'EQUIPEMENTS ET FOURNITURES</t>
  </si>
  <si>
    <t>A020300</t>
  </si>
  <si>
    <t xml:space="preserve"> Activités de soutien à la sylviculture et à l'exploitation forestière</t>
  </si>
  <si>
    <t>G460501</t>
  </si>
  <si>
    <t>Commerce de gros de machines, d'équipements et fournitures</t>
  </si>
  <si>
    <t>A0301</t>
  </si>
  <si>
    <t xml:space="preserve">PECHE </t>
  </si>
  <si>
    <t>G460502</t>
  </si>
  <si>
    <t>Commerce de gros d'autres équipements industriels et fournitures diverses</t>
  </si>
  <si>
    <t>A030101</t>
  </si>
  <si>
    <t>Pêche maritime</t>
  </si>
  <si>
    <t>G4606</t>
  </si>
  <si>
    <t>COMMERCE DE GROS NON SPÉCIALISÉ</t>
  </si>
  <si>
    <t>A030102</t>
  </si>
  <si>
    <t>Pêche en eau douce</t>
  </si>
  <si>
    <t>G460600</t>
  </si>
  <si>
    <t>Commerce de gros non spécialisé</t>
  </si>
  <si>
    <t>A0302</t>
  </si>
  <si>
    <t>AQUACULTURE, PISCICULTURE</t>
  </si>
  <si>
    <t>G4701</t>
  </si>
  <si>
    <t>COMMERCE DE DETAIL EN MAGASIN NON SPECIALISE</t>
  </si>
  <si>
    <t>A030201</t>
  </si>
  <si>
    <t xml:space="preserve">Pisciculture </t>
  </si>
  <si>
    <t>G470100</t>
  </si>
  <si>
    <t>Commerce de détail en magasin non spécialisé</t>
  </si>
  <si>
    <t>A030202</t>
  </si>
  <si>
    <t xml:space="preserve">Aquaculture </t>
  </si>
  <si>
    <t>G4702</t>
  </si>
  <si>
    <t>COMMERCE DE DETAIL EN MAGASIN SPECIALISE</t>
  </si>
  <si>
    <t>B0500</t>
  </si>
  <si>
    <t>EXTRACTION DE CHARBON ET DE LIGNITE</t>
  </si>
  <si>
    <t>G470201</t>
  </si>
  <si>
    <t>Commerce de détail en magasin spécialisé de produits alimentaires, boissons et tabacs manufacturés</t>
  </si>
  <si>
    <t>B050000</t>
  </si>
  <si>
    <t>Extraction de charbon et de lignite</t>
  </si>
  <si>
    <t>G470202</t>
  </si>
  <si>
    <t>Commerce de détail en magasin spécialisé de produits pharmaceutiques et médicaux, de parfumerie et de produits de beauté</t>
  </si>
  <si>
    <t>B06</t>
  </si>
  <si>
    <t>EXTRACTION D'HYDROCARBURES</t>
  </si>
  <si>
    <t>G470203</t>
  </si>
  <si>
    <t>Commerce de détail en magasin spécialisé de textiles, habillement, chaussures et articles en cuir</t>
  </si>
  <si>
    <t>B0600</t>
  </si>
  <si>
    <t>G470204</t>
  </si>
  <si>
    <t>Commerce de détail en magasin spécialisé d'articles et appareils d'équipement domestique</t>
  </si>
  <si>
    <t>B060001</t>
  </si>
  <si>
    <t>Extraction de pétrole brut</t>
  </si>
  <si>
    <t>G470205</t>
  </si>
  <si>
    <t>Commerce de détail en magasin spécialisé de quincaillerie, peintures, verre, tapis et revêtement de sols et murs</t>
  </si>
  <si>
    <t>B060002</t>
  </si>
  <si>
    <t>Extraction de gaz naturel</t>
  </si>
  <si>
    <t>G470206</t>
  </si>
  <si>
    <t>Commerce de détail en magasin spécialisé de livres, journaux et articles de sport et de loisirs</t>
  </si>
  <si>
    <t>B07</t>
  </si>
  <si>
    <t>EXTRACTION DE MINERAIS MÉTALLIQUES</t>
  </si>
  <si>
    <t>G470207</t>
  </si>
  <si>
    <t>Commerce de détail en magasin spécialisé d'équipements informatiques et de matériels de télécommunication, audio ou vidéo</t>
  </si>
  <si>
    <t>B0701</t>
  </si>
  <si>
    <t>EXTRACTION DE MINERAIS DE FER</t>
  </si>
  <si>
    <t>G470208</t>
  </si>
  <si>
    <t>Commerce de détail en magasin spécialisé de carburants automobiles</t>
  </si>
  <si>
    <t>B070100</t>
  </si>
  <si>
    <t>Extraction de minerais de fer</t>
  </si>
  <si>
    <t>G470209</t>
  </si>
  <si>
    <t>Commerce de détail en magasin spécialisé d'autres produits n.c.a.</t>
  </si>
  <si>
    <t>B0702</t>
  </si>
  <si>
    <t>EXTRACTION DE MINERAIS DE METAUX NON FERREUX</t>
  </si>
  <si>
    <t>G4703</t>
  </si>
  <si>
    <t>COMMERCE DE DÉTAIL HORS MAGASIN</t>
  </si>
  <si>
    <t>B070201</t>
  </si>
  <si>
    <t>Extraction de minerais de métaux précieux</t>
  </si>
  <si>
    <t>G470301</t>
  </si>
  <si>
    <t>Commerce de détail sur éventaires et marchés de viandes et poissons</t>
  </si>
  <si>
    <t>B070202</t>
  </si>
  <si>
    <t>Extraction d'autres minerais de métaux non ferreux</t>
  </si>
  <si>
    <t>G470302</t>
  </si>
  <si>
    <t>Commerce de détail sur éventaires et marchés de fruits et légumes frais</t>
  </si>
  <si>
    <t>B0801</t>
  </si>
  <si>
    <t>EXTRACTION DE PIERRES, DE SABLES ET D'ARGILES</t>
  </si>
  <si>
    <t>G470303</t>
  </si>
  <si>
    <t>Commerce de détail sur éventaires et marchés de céréales, tubercules et d'autres produits alimentaires, boissons et tabacs manufacturés</t>
  </si>
  <si>
    <t>B080100</t>
  </si>
  <si>
    <t>Extraction de pierres, de sables et d'argiles</t>
  </si>
  <si>
    <t>G470304</t>
  </si>
  <si>
    <t>Commerce de détail sur éventaires et marchés de textiles, habillement, chaussures et articles en cuir</t>
  </si>
  <si>
    <t>B0802</t>
  </si>
  <si>
    <t>ACTIVITES EXTRACTIVES N.C.A.</t>
  </si>
  <si>
    <t>G470305</t>
  </si>
  <si>
    <t>Commerce de détail sur éventaires et marchés d'articles non alimentaires divers</t>
  </si>
  <si>
    <t>B080201</t>
  </si>
  <si>
    <t>Extraction de phosphates et de sels de potassium, naturels</t>
  </si>
  <si>
    <t>G470306</t>
  </si>
  <si>
    <t>Autres commerces de détail hors magasin</t>
  </si>
  <si>
    <t>B080202</t>
  </si>
  <si>
    <t>Extractions de minéraux pour l'industrie chimique</t>
  </si>
  <si>
    <t>H4901</t>
  </si>
  <si>
    <t>TRANSPORTS FERROVIAIRES</t>
  </si>
  <si>
    <t>B080203</t>
  </si>
  <si>
    <t>Extraction ou production de sel et de natron</t>
  </si>
  <si>
    <t>H490100</t>
  </si>
  <si>
    <t>Transports ferroviaires</t>
  </si>
  <si>
    <t>B080204</t>
  </si>
  <si>
    <t>Extraction de pierres précieuses et semi-précieuses</t>
  </si>
  <si>
    <t>H4902</t>
  </si>
  <si>
    <t>TRANSPORTS ROUTIERS</t>
  </si>
  <si>
    <t>B080205</t>
  </si>
  <si>
    <t>Autres extractions</t>
  </si>
  <si>
    <t>H490201</t>
  </si>
  <si>
    <t>Transports routiers de passagers</t>
  </si>
  <si>
    <t>B0901</t>
  </si>
  <si>
    <t>ACTIVITES DE SOUTIEN A L’EXTRACTION D’HYDROCARBURES</t>
  </si>
  <si>
    <t>H490202</t>
  </si>
  <si>
    <t>Transports routiers de marchandises</t>
  </si>
  <si>
    <t>B090100</t>
  </si>
  <si>
    <t>Activités de soutien à l’extraction d’hydrocarbures</t>
  </si>
  <si>
    <t>H4903</t>
  </si>
  <si>
    <t>TRANSPORTS PAR CONDUITES</t>
  </si>
  <si>
    <t>B0902</t>
  </si>
  <si>
    <t>ACTIVITES DE SOUTIEN AUX AUTRES INDUSTRIES EXTRACTIVES</t>
  </si>
  <si>
    <t>H490300</t>
  </si>
  <si>
    <t>Transports par conduites</t>
  </si>
  <si>
    <t>B090200</t>
  </si>
  <si>
    <t>Activités de soutien aux autres industries extractives</t>
  </si>
  <si>
    <t>H50</t>
  </si>
  <si>
    <t>TRANSPORT PAR EAU</t>
  </si>
  <si>
    <t>C1001</t>
  </si>
  <si>
    <t>ABATTAGE, TRANSFORMATION ET CONSERVATION DE LA VIANDE ET PREPARATION DE PRODUITS A BASE DE VIANDE</t>
  </si>
  <si>
    <t>H5001</t>
  </si>
  <si>
    <t>TRANSPORTS MARITIMES ET CÔTIERS</t>
  </si>
  <si>
    <t>C100101</t>
  </si>
  <si>
    <t xml:space="preserve">Abattage, Transformation et conservation de la viande </t>
  </si>
  <si>
    <t>H500100</t>
  </si>
  <si>
    <t>Transports maritimes et côtiers</t>
  </si>
  <si>
    <t>C100102</t>
  </si>
  <si>
    <t>Préparation de produits à base de viande</t>
  </si>
  <si>
    <t>H5002</t>
  </si>
  <si>
    <t>TRANSPORTS FLUVIAUX</t>
  </si>
  <si>
    <t>C1002</t>
  </si>
  <si>
    <t>TRANSFORMATION ET CONSERVATION DE POISSONS, CRUSTACES ET MOLLUSQUES</t>
  </si>
  <si>
    <t>H500200</t>
  </si>
  <si>
    <t>Transports fluviaux</t>
  </si>
  <si>
    <t>C100201</t>
  </si>
  <si>
    <t>Congélation de poissons, crustacés et mollusques</t>
  </si>
  <si>
    <t>H51</t>
  </si>
  <si>
    <t>TRANSPORTS AÉRIENS</t>
  </si>
  <si>
    <t>C100202</t>
  </si>
  <si>
    <t>Séchage, salage ou fumage du poisson</t>
  </si>
  <si>
    <t>H5100</t>
  </si>
  <si>
    <t>C100203</t>
  </si>
  <si>
    <t>Autres transformation et conservation des poissons, crustacés et mollusques</t>
  </si>
  <si>
    <t>H510001</t>
  </si>
  <si>
    <t>Transports aériens de passagers</t>
  </si>
  <si>
    <t>C1003</t>
  </si>
  <si>
    <t>TRANSFORMATION ET CONSERVATION DE FRUITS ET LEGUMES</t>
  </si>
  <si>
    <t>H510002</t>
  </si>
  <si>
    <t>Transports aériens de fret et transports spatiaux</t>
  </si>
  <si>
    <t>C100300</t>
  </si>
  <si>
    <t>Transformation et conservation de fruits et légumes</t>
  </si>
  <si>
    <t>H5201</t>
  </si>
  <si>
    <t>ENTREPOSAGE</t>
  </si>
  <si>
    <t>C1004</t>
  </si>
  <si>
    <t>FABRICATION DE CORPS GRAS D'ORIGINE ANIMALE ET VEGETALE</t>
  </si>
  <si>
    <t>H520100</t>
  </si>
  <si>
    <t>Entreposage</t>
  </si>
  <si>
    <t>C100400</t>
  </si>
  <si>
    <t>Fabrication de corps gras d'origine animale et végétale</t>
  </si>
  <si>
    <t>H5202</t>
  </si>
  <si>
    <t>ACTIVITÉS AUXILIAIRES DES TRANSPORTS</t>
  </si>
  <si>
    <t>C1005</t>
  </si>
  <si>
    <t>TRAVAIL DES GRAINS ; FABRICATION DE PRODUITS AMYLACES</t>
  </si>
  <si>
    <t>H520201</t>
  </si>
  <si>
    <t>Manutention</t>
  </si>
  <si>
    <t>C100501</t>
  </si>
  <si>
    <t>Travail des grains</t>
  </si>
  <si>
    <t>H520202</t>
  </si>
  <si>
    <t>Exploitation d'infrastructures de transport</t>
  </si>
  <si>
    <t>C100502</t>
  </si>
  <si>
    <t>Transformation du manioc et fabrication de produits amylacés</t>
  </si>
  <si>
    <t>H520203</t>
  </si>
  <si>
    <t>Organisation du transport de fret</t>
  </si>
  <si>
    <t>C1006</t>
  </si>
  <si>
    <t>FABRICATION DE PRODUITS ALIMENTAIRES A BASE DE CEREALES N.C.A.</t>
  </si>
  <si>
    <t>H5300</t>
  </si>
  <si>
    <t>ACTIVITES DE POSTE ET DE COURRIER</t>
  </si>
  <si>
    <t>C100601</t>
  </si>
  <si>
    <t>Fabrication de pain et de pâtisseries fraîches</t>
  </si>
  <si>
    <t>H530001</t>
  </si>
  <si>
    <t>Activités de service postal universel</t>
  </si>
  <si>
    <t>C100602</t>
  </si>
  <si>
    <t>Biscuiterie et pâtisserie de conservation</t>
  </si>
  <si>
    <t>H530002</t>
  </si>
  <si>
    <t>Autres activités de courrier et de distribution</t>
  </si>
  <si>
    <t>C100603</t>
  </si>
  <si>
    <t>Fabrication de pâtes alimentaires, de semoules et de produits farineux similaires</t>
  </si>
  <si>
    <t>I5500</t>
  </si>
  <si>
    <t>HEBERGEMENT</t>
  </si>
  <si>
    <t>C1007</t>
  </si>
  <si>
    <t xml:space="preserve">TRANSFORMATION DU CACAO ET DU CAFÉ </t>
  </si>
  <si>
    <t>I550000</t>
  </si>
  <si>
    <t>Hébergement</t>
  </si>
  <si>
    <t>C100701</t>
  </si>
  <si>
    <t>Transformation du cacao</t>
  </si>
  <si>
    <t>I5601</t>
  </si>
  <si>
    <t>RESTAURATION</t>
  </si>
  <si>
    <t>C100702</t>
  </si>
  <si>
    <t xml:space="preserve">Transformation du café </t>
  </si>
  <si>
    <t>I560100</t>
  </si>
  <si>
    <t>Restauration</t>
  </si>
  <si>
    <t>C1008</t>
  </si>
  <si>
    <t>FABRICATION D’AUTRES PRODUITS ALIMENTAIRES</t>
  </si>
  <si>
    <t>I5602</t>
  </si>
  <si>
    <t>ACTIVITÉS DES DÉBITS DE BOISSONS</t>
  </si>
  <si>
    <t>C100801</t>
  </si>
  <si>
    <t>Fabrication de produits laitiers et de glaces</t>
  </si>
  <si>
    <t>I560200</t>
  </si>
  <si>
    <t>Activités des débits de boissons</t>
  </si>
  <si>
    <t>C100802</t>
  </si>
  <si>
    <t>Fabrication de sucre et de confiserie</t>
  </si>
  <si>
    <t>J5801</t>
  </si>
  <si>
    <t>ÉDITION DE LIVRES ET PERIODIQUES ET AUTRES ACTIVITES D'EDITION</t>
  </si>
  <si>
    <t>C100803</t>
  </si>
  <si>
    <t xml:space="preserve">Fabrication de thé </t>
  </si>
  <si>
    <t>J580100</t>
  </si>
  <si>
    <t>Édition de livres et périodiques</t>
  </si>
  <si>
    <t>C100804</t>
  </si>
  <si>
    <t>Fabrication de condiments et assaisonnements</t>
  </si>
  <si>
    <t>J5802</t>
  </si>
  <si>
    <t>ÉDITION DE LOGICIELS</t>
  </si>
  <si>
    <t>C100805</t>
  </si>
  <si>
    <t>Fabrication d’aliments pour animaux</t>
  </si>
  <si>
    <t>J580200</t>
  </si>
  <si>
    <t>Édition de logiciels</t>
  </si>
  <si>
    <t>C100806</t>
  </si>
  <si>
    <t>Fabrication de denrées diverses n.c.a.</t>
  </si>
  <si>
    <t>J5901</t>
  </si>
  <si>
    <t xml:space="preserve"> PRODUCTION VIDÉO : CINÉMA ET TÉLÉVISION</t>
  </si>
  <si>
    <t>C1101</t>
  </si>
  <si>
    <t>FABRICATION DE BOISSONS ALCOOLISÉES</t>
  </si>
  <si>
    <t>J590100</t>
  </si>
  <si>
    <t>Production vidéo : cinéma et télévision</t>
  </si>
  <si>
    <t>C110101</t>
  </si>
  <si>
    <t xml:space="preserve">Fabrication de malt et de  bière </t>
  </si>
  <si>
    <t>J5902</t>
  </si>
  <si>
    <t>PRODUCTION AUDIO ET ÉDITION MUSICALE</t>
  </si>
  <si>
    <t>C110102</t>
  </si>
  <si>
    <t>Fabrication d'autres boissons alcoolisées</t>
  </si>
  <si>
    <t>J590200</t>
  </si>
  <si>
    <t>Production audio et édition musicale</t>
  </si>
  <si>
    <t>C1102</t>
  </si>
  <si>
    <t>FABRICATION DE BOISSONS NON ALCOOLISES ET D'EAUX MINERALES</t>
  </si>
  <si>
    <t>J6000</t>
  </si>
  <si>
    <t>PROGRAMMATION TÉLÉVISUELLE ; RADIODIFFUSION</t>
  </si>
  <si>
    <t>C110200</t>
  </si>
  <si>
    <t>Fabrication de boissons non alcoolises et d'eaux minérales</t>
  </si>
  <si>
    <t>J600001</t>
  </si>
  <si>
    <t>Édition et diffusion de programmes radio</t>
  </si>
  <si>
    <t>C1200</t>
  </si>
  <si>
    <t>FABRICATION DE PRODUITS A BASE DE TABAC</t>
  </si>
  <si>
    <t>J600002</t>
  </si>
  <si>
    <t>Programmation télévisuelle; Télédiffusion</t>
  </si>
  <si>
    <t>C120000</t>
  </si>
  <si>
    <t>Fabrication de produits à base de tabac</t>
  </si>
  <si>
    <t>J6100</t>
  </si>
  <si>
    <t>TÉLÉCOMMUNICATIONS</t>
  </si>
  <si>
    <t>C1301</t>
  </si>
  <si>
    <t>FILATURE, TISSAGE ET ENNOBLISSEMENT DE TEXTILE</t>
  </si>
  <si>
    <t>J610000</t>
  </si>
  <si>
    <t>Télécommunications</t>
  </si>
  <si>
    <t>C130101</t>
  </si>
  <si>
    <t>Filature de textile</t>
  </si>
  <si>
    <t>J6200</t>
  </si>
  <si>
    <t>ACTIVITÉS INFORMATIQUES : CONSEIL, PROGRAMMATION</t>
  </si>
  <si>
    <t>C130102</t>
  </si>
  <si>
    <t>Tissage de textile</t>
  </si>
  <si>
    <t>J620001</t>
  </si>
  <si>
    <t>Programmation informatique</t>
  </si>
  <si>
    <t>C130103</t>
  </si>
  <si>
    <t>Ennoblissement de textile</t>
  </si>
  <si>
    <t>J620002</t>
  </si>
  <si>
    <t>Conseil et autres activités informatiques</t>
  </si>
  <si>
    <t>C1302</t>
  </si>
  <si>
    <t>FABRICATION D'AUTRES ARTICLES TEXTILES</t>
  </si>
  <si>
    <t>J6300</t>
  </si>
  <si>
    <t>ACTIVITÉS DE FOURNITURE D'INFORMATION</t>
  </si>
  <si>
    <t>C130201</t>
  </si>
  <si>
    <t>Fabrication de tapis et moquettes</t>
  </si>
  <si>
    <t>J630001</t>
  </si>
  <si>
    <t>Traitement de données, hébergement et activités connexes ; Création de portails Internet</t>
  </si>
  <si>
    <t>C130202</t>
  </si>
  <si>
    <t>Fabrication d'étoffes à mailles et d'articles textiles non vestimentaires</t>
  </si>
  <si>
    <t>J630002</t>
  </si>
  <si>
    <t>Autres activités liées à l'information</t>
  </si>
  <si>
    <t>C1401</t>
  </si>
  <si>
    <t>FABRICATION DE VETEMENTS</t>
  </si>
  <si>
    <t>K6401</t>
  </si>
  <si>
    <t>INTERMÉDIATION MONÉTAIRE</t>
  </si>
  <si>
    <t>C140100</t>
  </si>
  <si>
    <t>Fabrication de vêtements</t>
  </si>
  <si>
    <t>K640101</t>
  </si>
  <si>
    <t>Activités de banque centrale</t>
  </si>
  <si>
    <t>C1402</t>
  </si>
  <si>
    <t>SERVICE DE COUTURE  SUR MESURE</t>
  </si>
  <si>
    <t>K640102</t>
  </si>
  <si>
    <t>Autres intermédiations monétaires (Banques commerciales)</t>
  </si>
  <si>
    <t>C140200</t>
  </si>
  <si>
    <t>Service de couture sur mesure</t>
  </si>
  <si>
    <t>K6402</t>
  </si>
  <si>
    <t>ACTIVITES DES FONDS DE PLACEMENTS, HOLDINGS ET SIMILAIRES</t>
  </si>
  <si>
    <t>C1501</t>
  </si>
  <si>
    <t>TRAVAIL DU CUIR; FABRICATION D'ARTICLES DE VOYAGE</t>
  </si>
  <si>
    <t>K640200</t>
  </si>
  <si>
    <t>Activités des fonds de placements, holdings et similaires</t>
  </si>
  <si>
    <t>C150101</t>
  </si>
  <si>
    <t>Apprêt, tannage des cuirs et fourrures</t>
  </si>
  <si>
    <t>K6403</t>
  </si>
  <si>
    <t>ACTIVITES DE CREDITS ET AUTRES INTERMEDIATIONS NON MONETAIRES</t>
  </si>
  <si>
    <t>C150102</t>
  </si>
  <si>
    <t>Fabrication d'articles de voyage, de maroquinerie et de sellerie</t>
  </si>
  <si>
    <t>K640301</t>
  </si>
  <si>
    <t>Activités de micro finance</t>
  </si>
  <si>
    <t>C1502</t>
  </si>
  <si>
    <t>FABRICATION DE CHAUSSURES ET ARTICLES CHAUSSANTS</t>
  </si>
  <si>
    <t>K640302</t>
  </si>
  <si>
    <t>Autres activités de crédits et autres intermédiations non monétaires</t>
  </si>
  <si>
    <t>C150200</t>
  </si>
  <si>
    <t>Fabrication de chaussures et articles chaussants</t>
  </si>
  <si>
    <t>K6500</t>
  </si>
  <si>
    <t>ASSURANCE</t>
  </si>
  <si>
    <t>C1601</t>
  </si>
  <si>
    <t>TRAVAIL DU BOIS</t>
  </si>
  <si>
    <t>K650001</t>
  </si>
  <si>
    <t>Assurance vie et caisses de retraite</t>
  </si>
  <si>
    <t>C160100</t>
  </si>
  <si>
    <t>Sciage, Rabotage</t>
  </si>
  <si>
    <t>K650002</t>
  </si>
  <si>
    <t>Assurance dommage et réassurance</t>
  </si>
  <si>
    <t>C1602</t>
  </si>
  <si>
    <t>FABRICATION D'ARTICLES EN BOIS, LIEGE, VANNERIE ET SPARTERIE</t>
  </si>
  <si>
    <t>K66</t>
  </si>
  <si>
    <t>ACTIVITÉS D'AUXILIAIRES FINANCIERS ET D'ASSURANCE</t>
  </si>
  <si>
    <t>C160201</t>
  </si>
  <si>
    <t>Fabrication de feuilles de placage, de contreplaques et de panneaux</t>
  </si>
  <si>
    <t>K6600</t>
  </si>
  <si>
    <t>C160202</t>
  </si>
  <si>
    <t>Fabrication d'ouvrages de charpente,  de menuiseries et d'emballages en bois</t>
  </si>
  <si>
    <t>K660001</t>
  </si>
  <si>
    <t>Gestion de Fonds pour tiers</t>
  </si>
  <si>
    <t>C160203</t>
  </si>
  <si>
    <t>Fabrication d'articles divers en bois ou liège, vannerie et sparterie</t>
  </si>
  <si>
    <t>K660002</t>
  </si>
  <si>
    <t> Activités de transfert  de fonds et d’auxiliaires financiers</t>
  </si>
  <si>
    <t>C17</t>
  </si>
  <si>
    <t>FABRICATION DE PAPIER, CARTONS ET D’ARTICLES EN PAPIER OU EN CARTON</t>
  </si>
  <si>
    <t>K660003</t>
  </si>
  <si>
    <t>Activités d'auxiliaires d'assurance</t>
  </si>
  <si>
    <t>C1700</t>
  </si>
  <si>
    <t>L6801</t>
  </si>
  <si>
    <t>LOCATION IMMOBILIERE ET ACTIVITES SUR BIENS PROPRES</t>
  </si>
  <si>
    <t>C170001</t>
  </si>
  <si>
    <t>Fabrication de pâte a papier, de papier et de carton</t>
  </si>
  <si>
    <t>L680100</t>
  </si>
  <si>
    <t>Location immobilière et activités sur biens propres</t>
  </si>
  <si>
    <t>C170002</t>
  </si>
  <si>
    <t>Fabrication de carton ondulé et emballages en papier ou en carton</t>
  </si>
  <si>
    <t>L6802</t>
  </si>
  <si>
    <t>ACTIVITÉS DES AGENCES IMMOBILIÈRES</t>
  </si>
  <si>
    <t>C170003</t>
  </si>
  <si>
    <t>Fabrication d'articles en papier ou en carton</t>
  </si>
  <si>
    <t>L680200</t>
  </si>
  <si>
    <t>Activités des agences immobilières</t>
  </si>
  <si>
    <t>C1801</t>
  </si>
  <si>
    <t>IMPRIMERIE ET ACTIVITES CONNEXES</t>
  </si>
  <si>
    <t>M6901</t>
  </si>
  <si>
    <t>ACTIVITÉS JURIDIQUES</t>
  </si>
  <si>
    <t>C180100</t>
  </si>
  <si>
    <t>Imprimerie et activités connexes</t>
  </si>
  <si>
    <t>M690100</t>
  </si>
  <si>
    <t>Activités juridiques</t>
  </si>
  <si>
    <t>C1802</t>
  </si>
  <si>
    <t>REPRODUCTION D'ENREGISTREMENTS</t>
  </si>
  <si>
    <t>M6902</t>
  </si>
  <si>
    <t>ACTIVITÉS COMPTABLES</t>
  </si>
  <si>
    <t>C180200</t>
  </si>
  <si>
    <t>Reproduction d'enregistrement</t>
  </si>
  <si>
    <t>M690200</t>
  </si>
  <si>
    <t>Activités comptables</t>
  </si>
  <si>
    <t>C1901</t>
  </si>
  <si>
    <t>RAFFINAGE DU PETROLE</t>
  </si>
  <si>
    <t>M7000</t>
  </si>
  <si>
    <t>ACTIVITÉS DES SIEGES SOCIAUX; CONSEIL EN GESTION</t>
  </si>
  <si>
    <t>C190100</t>
  </si>
  <si>
    <t xml:space="preserve">Raffinage du pétrole </t>
  </si>
  <si>
    <t>M700001</t>
  </si>
  <si>
    <t>Activités des sièges sociaux</t>
  </si>
  <si>
    <t>C1902</t>
  </si>
  <si>
    <t>COKEFACTION</t>
  </si>
  <si>
    <t>M700002</t>
  </si>
  <si>
    <t>Conseil de gestion</t>
  </si>
  <si>
    <t>C190200</t>
  </si>
  <si>
    <t>Cokéfaction</t>
  </si>
  <si>
    <t>M7100</t>
  </si>
  <si>
    <t>ACTIVITÉS D'ARCHITECTURE, D'INGENIERIE ET TECHNIQUES</t>
  </si>
  <si>
    <t>C2001</t>
  </si>
  <si>
    <t xml:space="preserve">FABRICATION DE PRODUITS CHIMIQUES DE BASE </t>
  </si>
  <si>
    <t>M710001</t>
  </si>
  <si>
    <t>Activités d’architecture et d'ingénierie</t>
  </si>
  <si>
    <t>C200101</t>
  </si>
  <si>
    <t>Fabrication de produits azotés et d'engrais</t>
  </si>
  <si>
    <t>M710002</t>
  </si>
  <si>
    <t>Activités de contrôle et analyses techniques</t>
  </si>
  <si>
    <t>C200102</t>
  </si>
  <si>
    <t>Fabrication d'autres produits chimiques  de base</t>
  </si>
  <si>
    <t>M7201</t>
  </si>
  <si>
    <t xml:space="preserve"> RECHERCHE-DEVELOPPEMENT EN SCIENCES PHYSIQUES ET NATURELLES</t>
  </si>
  <si>
    <t>C2002</t>
  </si>
  <si>
    <t>FABRICATION DE PRODUITS CHIMIQUES FONCTIONNELS</t>
  </si>
  <si>
    <t>M720100</t>
  </si>
  <si>
    <t>Recherche-développement en sciences physiques et naturelles</t>
  </si>
  <si>
    <t>C200201</t>
  </si>
  <si>
    <t>Fabrication de savons, détergents et produits d'entretien</t>
  </si>
  <si>
    <t>M7202</t>
  </si>
  <si>
    <t>RECHERCHE-DEVELOPPEMENT EN SCIENCES HUMAINES ET SOCIALES</t>
  </si>
  <si>
    <t>C200202</t>
  </si>
  <si>
    <t>Fabrication de parfums et de produits de toilette</t>
  </si>
  <si>
    <t>M720200</t>
  </si>
  <si>
    <t>Recherche-développement en sciences humaines et sociales</t>
  </si>
  <si>
    <t>C200203</t>
  </si>
  <si>
    <t>Fabrication de produits agrochimiques</t>
  </si>
  <si>
    <t>M7300</t>
  </si>
  <si>
    <t>PUBLICITE ET ETUDES DE MARCHES</t>
  </si>
  <si>
    <t>C200204</t>
  </si>
  <si>
    <t>Fabrication de peintures et vernis, adjuvants et encres d'imprimerie</t>
  </si>
  <si>
    <t>M730001</t>
  </si>
  <si>
    <t>Publicité</t>
  </si>
  <si>
    <t>C200205</t>
  </si>
  <si>
    <t>Fabrication de fibres artificielles ou synthétiques</t>
  </si>
  <si>
    <t>M730002</t>
  </si>
  <si>
    <t>Études de marché et sondages</t>
  </si>
  <si>
    <t>C200206</t>
  </si>
  <si>
    <t>Fabrication d'autres produits chimiques</t>
  </si>
  <si>
    <t>M74</t>
  </si>
  <si>
    <t>AUTRES ACTIVITÉS PROFESSIONNELLES DE SERVICES SPECIALISES</t>
  </si>
  <si>
    <t>C2100</t>
  </si>
  <si>
    <t>FABRICATION DE PRODUITS PHARMACEUTIQUES</t>
  </si>
  <si>
    <t>M7400</t>
  </si>
  <si>
    <t>AUTRES ACTIVITES SPECIALISEES SCIENTIFIQUES ET TECHNIQUES</t>
  </si>
  <si>
    <t>C210001</t>
  </si>
  <si>
    <t>Industrie pharmaceutique</t>
  </si>
  <si>
    <t>M740001</t>
  </si>
  <si>
    <t>Activités spécialisées de design</t>
  </si>
  <si>
    <t>C210002</t>
  </si>
  <si>
    <t>Fabrication de médicaments traditionnels</t>
  </si>
  <si>
    <t>M740002</t>
  </si>
  <si>
    <t>Activités photographiques</t>
  </si>
  <si>
    <t>C2201</t>
  </si>
  <si>
    <t>TRAVAIL DU CAOUTCHOUC</t>
  </si>
  <si>
    <t>M740003</t>
  </si>
  <si>
    <t>Autres activités spécialisées, scientifiques et techniques n.c.a.</t>
  </si>
  <si>
    <t>C220101</t>
  </si>
  <si>
    <t>Fabrication et rechapage de pneumatiques</t>
  </si>
  <si>
    <t>M75</t>
  </si>
  <si>
    <t>ACTIVITÉS VETERINAIRES</t>
  </si>
  <si>
    <t>C220102</t>
  </si>
  <si>
    <t>Fabrication d'autres articles en caoutchouc</t>
  </si>
  <si>
    <t>M7500</t>
  </si>
  <si>
    <t>C2202</t>
  </si>
  <si>
    <t>TRAVAIL DU PLASTIQUE</t>
  </si>
  <si>
    <t>M750000</t>
  </si>
  <si>
    <t>Activités vétérinaires</t>
  </si>
  <si>
    <t>C220200</t>
  </si>
  <si>
    <t>Fabrication d'articles en plastique</t>
  </si>
  <si>
    <t>N7700</t>
  </si>
  <si>
    <t>LOCATION ET LOCATION-BAIL</t>
  </si>
  <si>
    <t>C2301</t>
  </si>
  <si>
    <t>FABRICATION DE VERRE ET D'ARTICLES EN VERRE</t>
  </si>
  <si>
    <t>N770001</t>
  </si>
  <si>
    <t>Location de véhicules automobiles</t>
  </si>
  <si>
    <t>C230100</t>
  </si>
  <si>
    <t>Fabrication de verre et d'articles en verre</t>
  </si>
  <si>
    <t>N770002</t>
  </si>
  <si>
    <t>Location de machines et d'équipements n.c.a.</t>
  </si>
  <si>
    <t>C2302</t>
  </si>
  <si>
    <t xml:space="preserve">FABRICATION DE PRODUITS CÉRAMIQUES </t>
  </si>
  <si>
    <t>N770003</t>
  </si>
  <si>
    <t>Location d'articles personnels et domestiques n.c.a.</t>
  </si>
  <si>
    <t>C230201</t>
  </si>
  <si>
    <t>Fabrication de carreaux en céramique</t>
  </si>
  <si>
    <t>N770004</t>
  </si>
  <si>
    <t>Gestion des droits de propriété industrielle</t>
  </si>
  <si>
    <t>C230202</t>
  </si>
  <si>
    <t>Fabrication de tuiles et briques</t>
  </si>
  <si>
    <t>N7800</t>
  </si>
  <si>
    <t>ACTIVITES LIEES AUX RESSOURCES HUMAINES</t>
  </si>
  <si>
    <t>C230203</t>
  </si>
  <si>
    <t>Fabrication d'autres produits céramiques</t>
  </si>
  <si>
    <t>N780000</t>
  </si>
  <si>
    <t>Activités liées aux ressources humaines</t>
  </si>
  <si>
    <t>C2303</t>
  </si>
  <si>
    <t>FABRICATION DE CIMENTS ET AUTRES PRODUITS MINERAUX</t>
  </si>
  <si>
    <t>N7900</t>
  </si>
  <si>
    <t>ACTIVITÉS DES AGENCES DE RESERVATION ET VOYAGISTES</t>
  </si>
  <si>
    <t>C230301</t>
  </si>
  <si>
    <t xml:space="preserve">Fabrication de ciment, chaux et plâtre </t>
  </si>
  <si>
    <t>N790000</t>
  </si>
  <si>
    <t>Activités des agences de réservation et voyagistes</t>
  </si>
  <si>
    <t>C230302</t>
  </si>
  <si>
    <t>Fabrication de matériaux et d'ouvrages en ciment, en béton ou en plâtre ;  Travail de  la  pierre</t>
  </si>
  <si>
    <t>N8000</t>
  </si>
  <si>
    <t>ENQUETES ET SECURITE</t>
  </si>
  <si>
    <t>C230303</t>
  </si>
  <si>
    <t xml:space="preserve">Fabrication de produits minéraux non métalliques n.c.a. </t>
  </si>
  <si>
    <t>N800000</t>
  </si>
  <si>
    <t>Enquêtes et sécurité</t>
  </si>
  <si>
    <t>C2401</t>
  </si>
  <si>
    <t>SIDERURGIE ET PREMIERE TRANSFORMATION DE L'ACIER</t>
  </si>
  <si>
    <t>N8100</t>
  </si>
  <si>
    <t>SOUTIEN AUX BATIMENTS ; AMENAGEMENT PAYSAGER</t>
  </si>
  <si>
    <t>C240100</t>
  </si>
  <si>
    <t>Sidérurgie et première transformation de l'acier</t>
  </si>
  <si>
    <t>N810001</t>
  </si>
  <si>
    <t>Activités combinées de soutien aux bâtiments</t>
  </si>
  <si>
    <t>C2402</t>
  </si>
  <si>
    <t>METALLURGIE ET PREMIERE TRANSFORMATION DES METAUX NON FERREUX</t>
  </si>
  <si>
    <t>N810002</t>
  </si>
  <si>
    <t>Activités de nettoyage</t>
  </si>
  <si>
    <t>C240200</t>
  </si>
  <si>
    <t>Métallurgie et première transformation des métaux non ferreux</t>
  </si>
  <si>
    <t>N810003</t>
  </si>
  <si>
    <t>Aménagement paysager</t>
  </si>
  <si>
    <t>C2403</t>
  </si>
  <si>
    <t>FONDERIE</t>
  </si>
  <si>
    <t>N8200</t>
  </si>
  <si>
    <t>ACTIVITES DE SOUTIEN AUX ENTREPRISES ; ACTIVITES DE BUREAU</t>
  </si>
  <si>
    <t>C240300</t>
  </si>
  <si>
    <t>Fonderie</t>
  </si>
  <si>
    <t>N820001</t>
  </si>
  <si>
    <t>Activités de bureau, routage et centres d'appels</t>
  </si>
  <si>
    <t>C2501</t>
  </si>
  <si>
    <t>FABRICATION DE STRUCTURES METALLIQUES, CITERNES ET OUVRAGES CHAUDRONNES</t>
  </si>
  <si>
    <t>N820002</t>
  </si>
  <si>
    <t>Organisation de foires, salons et congrès</t>
  </si>
  <si>
    <t>C250100</t>
  </si>
  <si>
    <t>Fabrication de structures métalliques, citernes et ouvrages chaudronnés</t>
  </si>
  <si>
    <t>N820003</t>
  </si>
  <si>
    <t>Activités de soutien aux entreprises n.c.a.</t>
  </si>
  <si>
    <t>C2502</t>
  </si>
  <si>
    <t>FABRICATION D'AUTRES OUVRAGES EN METAUX; TRAVAIL DES METAUX</t>
  </si>
  <si>
    <t>O8401</t>
  </si>
  <si>
    <t>ACTIVITES D'ADMINISTRATION GENERALE, ECONOMIQUE ET SOCIALE</t>
  </si>
  <si>
    <t>C250200</t>
  </si>
  <si>
    <t>Fabrication d'autres ouvrages en métaux; travail des métaux</t>
  </si>
  <si>
    <t>O840100</t>
  </si>
  <si>
    <t>Activités d'administration générale, économique et sociale</t>
  </si>
  <si>
    <t>C2601</t>
  </si>
  <si>
    <t>FABRICATION DE COMPOSANTS ELECTRONIQUE, D'ORDINATEURS ET DE PERIPHERIQUES</t>
  </si>
  <si>
    <t>O8402</t>
  </si>
  <si>
    <t>ACTIVITÉS DE PRÉROGATIVE PUBLIQUE</t>
  </si>
  <si>
    <t>C260101</t>
  </si>
  <si>
    <t>Fabrication de composants, cartes électroniques et supports magnétiques</t>
  </si>
  <si>
    <t>O840200</t>
  </si>
  <si>
    <t>Activités de prérogative publique</t>
  </si>
  <si>
    <t>C260102</t>
  </si>
  <si>
    <t>Fabrication d'ordinateurs et d'équipements périphériques</t>
  </si>
  <si>
    <t>O8403</t>
  </si>
  <si>
    <t>ACTIVITÉS DE SÉCURITÉ SOCIALE OBLIGATOIRE</t>
  </si>
  <si>
    <t>C2602</t>
  </si>
  <si>
    <t xml:space="preserve">FABRICATION D'EQUIPEMENTS DE COMMUNICATION ET DE PRODUITS ELECTRONIQUES GRAND PUBLICS </t>
  </si>
  <si>
    <t>O840300</t>
  </si>
  <si>
    <t>Activités de sécurité sociale obligatoire</t>
  </si>
  <si>
    <t>C260201</t>
  </si>
  <si>
    <t>Fabrication d'équipements de communication</t>
  </si>
  <si>
    <t>P8501</t>
  </si>
  <si>
    <t>ENSEIGNEMENT PRÉ-PRIMAIRE ET PRIMAIRE</t>
  </si>
  <si>
    <t>C260202</t>
  </si>
  <si>
    <t>Fabrication de produits électroniques grand public</t>
  </si>
  <si>
    <t>P850100</t>
  </si>
  <si>
    <t>Enseignement pré-primaire et primaire</t>
  </si>
  <si>
    <t>C2603</t>
  </si>
  <si>
    <t>FABRICATION D'EQUIPEMENTS D'IMAGERIE MEDICALE, DE PRECISION, D'OPTIQUE ET D'HORLOGERIE</t>
  </si>
  <si>
    <t>P8502</t>
  </si>
  <si>
    <t>ENSEIGNEMENT SECONDAIRE</t>
  </si>
  <si>
    <t>C260300</t>
  </si>
  <si>
    <t>Fabrication d'équipements d'imagerie médicale, de précision, d'optique et d'horlogerie</t>
  </si>
  <si>
    <t>P850201</t>
  </si>
  <si>
    <t>Enseignement secondaire général</t>
  </si>
  <si>
    <t>C2701</t>
  </si>
  <si>
    <t>FABRICATION DE MACHINES ET MATERIELS ELECTROTECHNIQUES</t>
  </si>
  <si>
    <t>P850202</t>
  </si>
  <si>
    <t>Enseignement secondaire technique ou professionnel</t>
  </si>
  <si>
    <t>C270100</t>
  </si>
  <si>
    <t>Fabrication de machines et matériels électrotechniques</t>
  </si>
  <si>
    <t>P8503</t>
  </si>
  <si>
    <t>ENSEIGNEMENT SUPERIEUR ET POST-SECONDAIRE NON SUPERIEUR</t>
  </si>
  <si>
    <t>C2702</t>
  </si>
  <si>
    <t>FABRICATION D'APPAREILS DOMESTIQUES</t>
  </si>
  <si>
    <t>P850301</t>
  </si>
  <si>
    <t xml:space="preserve">Enseignement supérieur </t>
  </si>
  <si>
    <t>C270200</t>
  </si>
  <si>
    <t>Fabrication d'appareils domestiques</t>
  </si>
  <si>
    <t>P850302</t>
  </si>
  <si>
    <t>Enseignement post-secondaire non supérieur</t>
  </si>
  <si>
    <t>C2703</t>
  </si>
  <si>
    <t>FABRICATION D’AUTRES MATERIELS ELECTRIQUES</t>
  </si>
  <si>
    <t>P8504</t>
  </si>
  <si>
    <t>AUTRES ACTIVITÉS D'ENSEIGNEMENT</t>
  </si>
  <si>
    <t>C270300</t>
  </si>
  <si>
    <t>Fabrication d’autres matériels électriques</t>
  </si>
  <si>
    <t>P850400</t>
  </si>
  <si>
    <t>Autres activités d'enseignement</t>
  </si>
  <si>
    <t>C2801</t>
  </si>
  <si>
    <t>FABRICATION DE MACHINES D'USAGE GÉNÉRAL</t>
  </si>
  <si>
    <t>Q8601</t>
  </si>
  <si>
    <t>ACTIVITÉS HOSPITALIÈRES</t>
  </si>
  <si>
    <t>C280100</t>
  </si>
  <si>
    <t>Fabrication de machines d'usage général</t>
  </si>
  <si>
    <t>Q860100</t>
  </si>
  <si>
    <t>Activités hospitalières</t>
  </si>
  <si>
    <t>C2802</t>
  </si>
  <si>
    <t>FABRICATION DE MACHINES D'USAGE SPÉCIFIQUE</t>
  </si>
  <si>
    <t>Q8602</t>
  </si>
  <si>
    <t>ACTIVITE DES MEDECINS ET DES DENTISTES</t>
  </si>
  <si>
    <t>C280200</t>
  </si>
  <si>
    <t>Fabrication de machines d'usage spécifique</t>
  </si>
  <si>
    <t>Q860200</t>
  </si>
  <si>
    <t>Activité des médecins et des dentistes</t>
  </si>
  <si>
    <t>C2900</t>
  </si>
  <si>
    <t>CONSTRUCTION DE VÉHICULES AUTOMOBILES</t>
  </si>
  <si>
    <t>Q8603</t>
  </si>
  <si>
    <t>ACTIVITÉS PARAMÉDICALES ET DE SOUTIEN</t>
  </si>
  <si>
    <t>C290000</t>
  </si>
  <si>
    <t>Construction de véhicules automobiles</t>
  </si>
  <si>
    <t>Q860301</t>
  </si>
  <si>
    <t>Activités des tradipraticiens</t>
  </si>
  <si>
    <t>C3001</t>
  </si>
  <si>
    <t>CONSTRUCTION NAVALE, AÉRONAUTIQUE ET FERROVIAIRE</t>
  </si>
  <si>
    <t>Q860302</t>
  </si>
  <si>
    <t>Autres activités pour la santé humaine</t>
  </si>
  <si>
    <t>C300101</t>
  </si>
  <si>
    <t>construction navale</t>
  </si>
  <si>
    <t>Q8700</t>
  </si>
  <si>
    <t>ACTIVITES D'HEBERGEMENT MEDICO-SOCIAL ET SOCIAL</t>
  </si>
  <si>
    <t>C300102</t>
  </si>
  <si>
    <t>Construction aéronautique</t>
  </si>
  <si>
    <t>Q870000</t>
  </si>
  <si>
    <t>Activités d'Hébergement médico-social et social</t>
  </si>
  <si>
    <t>C300103</t>
  </si>
  <si>
    <t>Construction ferroviaire</t>
  </si>
  <si>
    <t>Q8800</t>
  </si>
  <si>
    <t>ACTION SOCIALE SANS HEBERGEMENT</t>
  </si>
  <si>
    <t>C300104</t>
  </si>
  <si>
    <t>Construction de véhicules militaires de combat</t>
  </si>
  <si>
    <t>Q880000</t>
  </si>
  <si>
    <t>Action sociale sans hébergement</t>
  </si>
  <si>
    <t>C3002</t>
  </si>
  <si>
    <t>FABRICATION D'AUTRES EQUIPEMENTS DE TRANSPORT</t>
  </si>
  <si>
    <t>R9000</t>
  </si>
  <si>
    <t>ACTIVITES CREATIVES, ARTISTIQUES ET DE SPECTACLE</t>
  </si>
  <si>
    <t>C300200</t>
  </si>
  <si>
    <t>Fabrication d'autres équipements de transport</t>
  </si>
  <si>
    <t>R900000</t>
  </si>
  <si>
    <t>Activités créatives, artistiques et de spectacle</t>
  </si>
  <si>
    <t>C3100</t>
  </si>
  <si>
    <t>FABRICATION DE MEUBLES ET MATELAS</t>
  </si>
  <si>
    <t>R9100</t>
  </si>
  <si>
    <t>CONSERVATION ET VALORISATION DU PATRIMOINE</t>
  </si>
  <si>
    <t>C310001</t>
  </si>
  <si>
    <t>Fabrication de matelas et sommiers</t>
  </si>
  <si>
    <t>R910000</t>
  </si>
  <si>
    <t>Conservation et valorisation du patrimoine</t>
  </si>
  <si>
    <t>C310002</t>
  </si>
  <si>
    <t xml:space="preserve">Fabrication de meubles </t>
  </si>
  <si>
    <t>R9200</t>
  </si>
  <si>
    <t>ORGANISATION DE JEUX DE HASARD ET D'ARGENT</t>
  </si>
  <si>
    <t>C3200</t>
  </si>
  <si>
    <t>AUTRES INDUSTRIES</t>
  </si>
  <si>
    <t>R920000</t>
  </si>
  <si>
    <t>Organisation de jeux de hasard et d'argent</t>
  </si>
  <si>
    <t>C320001</t>
  </si>
  <si>
    <t>Fabrication de bijoux</t>
  </si>
  <si>
    <t>R9301</t>
  </si>
  <si>
    <t>ACTIVITÉS LIÉES AU SPORT</t>
  </si>
  <si>
    <t>C320002</t>
  </si>
  <si>
    <t>Fabrication d'instruments de musique</t>
  </si>
  <si>
    <t>R930100</t>
  </si>
  <si>
    <t>Activités liées au sport</t>
  </si>
  <si>
    <t>C320003</t>
  </si>
  <si>
    <t>Activités manufacturières n.c.a</t>
  </si>
  <si>
    <t>R9302</t>
  </si>
  <si>
    <t>ACTIVITÉS RÉCRÉATIVES ET DE LOISIRS</t>
  </si>
  <si>
    <t>C3301</t>
  </si>
  <si>
    <t>REPARATION DE MACHINES ET D'EQUIPEMENTS PROFESSIONNELS</t>
  </si>
  <si>
    <t>R930200</t>
  </si>
  <si>
    <t>Activités récréatives et de loisirs</t>
  </si>
  <si>
    <t>C330100</t>
  </si>
  <si>
    <t>Réparation de machines et d'équipements professionnels</t>
  </si>
  <si>
    <t>S9401</t>
  </si>
  <si>
    <t>ACTIVITES DES ORGANISATIONS ECONOMIQUES, PATRONALES ET PROFESSIONNELLES</t>
  </si>
  <si>
    <t>C3302</t>
  </si>
  <si>
    <t>INSTALLATION DE MACHINES ET D'EQUIPEMENTS PROFESSIONNELS</t>
  </si>
  <si>
    <t>S940100</t>
  </si>
  <si>
    <t>Activités des organisations économiques, patronales et professionnelles</t>
  </si>
  <si>
    <t>C330200</t>
  </si>
  <si>
    <t>Installation de machines et d'équipements professionnels</t>
  </si>
  <si>
    <t>S9402</t>
  </si>
  <si>
    <t>ACTIVITÉS DES SYNDICATS DES TRAVAILLEURS</t>
  </si>
  <si>
    <t>D3501</t>
  </si>
  <si>
    <t>PRODUCTION, TRANSPORT ET DISTRIBUTION D'ÉLECTRICITÉ</t>
  </si>
  <si>
    <t>S940200</t>
  </si>
  <si>
    <t>Activités des syndicats des travailleurs</t>
  </si>
  <si>
    <t>D350100</t>
  </si>
  <si>
    <t>Production, transport et distribution d'électricité</t>
  </si>
  <si>
    <t>S9403</t>
  </si>
  <si>
    <t>ACTIVITÉS DES AUTRES ORGANISATIONS ASSOCIATIVES</t>
  </si>
  <si>
    <t>D3502</t>
  </si>
  <si>
    <t>PRODUCTION ET DISTRIBUTION DE COMBUSTIBLES GAZEUX ET DE GLACE</t>
  </si>
  <si>
    <t>S940301</t>
  </si>
  <si>
    <t>Activités des organisations religieuses</t>
  </si>
  <si>
    <t>D350200</t>
  </si>
  <si>
    <t>Production et distribution de combustibles gazeux et de glace</t>
  </si>
  <si>
    <t>S940302</t>
  </si>
  <si>
    <t>Activités des organisations politiques</t>
  </si>
  <si>
    <t>E3600</t>
  </si>
  <si>
    <t>CAPTAGE, TRAITEMENT ET DISTRIBUTION D'EAU</t>
  </si>
  <si>
    <t>S940303</t>
  </si>
  <si>
    <t>Activités des autres organisations associatives</t>
  </si>
  <si>
    <t>E360000</t>
  </si>
  <si>
    <t>Captage, traitement et distribution d'eau</t>
  </si>
  <si>
    <t>S9501</t>
  </si>
  <si>
    <t>REPARATION D'ORDINATEURS ET D'EQUIPEMENTS DE COMMUNICATION</t>
  </si>
  <si>
    <t>E3700</t>
  </si>
  <si>
    <t>COLLECTE ET TRAITEMENT DES EAUX USEES</t>
  </si>
  <si>
    <t>S950101</t>
  </si>
  <si>
    <t>Réparation d'ordinateurs et d'équipements périphériques</t>
  </si>
  <si>
    <t>E370000</t>
  </si>
  <si>
    <t>Collecte et traitement des eaux usées</t>
  </si>
  <si>
    <t>S950102</t>
  </si>
  <si>
    <t>Réparation d'équipements de communication</t>
  </si>
  <si>
    <t>E3800</t>
  </si>
  <si>
    <t>COLLECTE, TRAITEMENT ET ELIMINATION DES DECHETS ; RECUPERATION</t>
  </si>
  <si>
    <t>S9502</t>
  </si>
  <si>
    <t>REPARATION DE BIENS PERSONNELS ET DOMESTIQUES</t>
  </si>
  <si>
    <t>E380001</t>
  </si>
  <si>
    <t>Collecte, traitement et élimination des déchets</t>
  </si>
  <si>
    <t>S950200</t>
  </si>
  <si>
    <t>Réparation de biens personnels et domestiques</t>
  </si>
  <si>
    <t>E380002</t>
  </si>
  <si>
    <t>Récupération</t>
  </si>
  <si>
    <t>S9600</t>
  </si>
  <si>
    <t>FOURNITURE D'AUTRES SERVICES PERSONNELS</t>
  </si>
  <si>
    <t>E3900</t>
  </si>
  <si>
    <t>DEPOLLUTION ET GESTION DES DECHETS</t>
  </si>
  <si>
    <t>S960001</t>
  </si>
  <si>
    <t>Lavage et nettoyage de textiles</t>
  </si>
  <si>
    <t>E390000</t>
  </si>
  <si>
    <t>Dépollution et gestion des déchets</t>
  </si>
  <si>
    <t>S960002</t>
  </si>
  <si>
    <t>Coiffure et soins de beauté</t>
  </si>
  <si>
    <t>F4101</t>
  </si>
  <si>
    <t>PROMOTION IMMOBILIÈRE</t>
  </si>
  <si>
    <t>S960003</t>
  </si>
  <si>
    <t>Services funéraires</t>
  </si>
  <si>
    <t>F410100</t>
  </si>
  <si>
    <t>Promotion immobilière</t>
  </si>
  <si>
    <t>S960004</t>
  </si>
  <si>
    <t>Autres services personnels n.c.a</t>
  </si>
  <si>
    <t>F4102</t>
  </si>
  <si>
    <t>CONSTRUCTION DE BÂTIMENTS COMPLETS</t>
  </si>
  <si>
    <t>T9700</t>
  </si>
  <si>
    <t xml:space="preserve"> ACTIVITÉS DES MÉNAGES EN TANT QU’EMPLOYEURS DE PERSONNEL DOMESTIQUE</t>
  </si>
  <si>
    <t>F410200</t>
  </si>
  <si>
    <t>Construction de bâtiments complets</t>
  </si>
  <si>
    <t>T970000</t>
  </si>
  <si>
    <t>Activités des ménages en tant qu'employeurs de personnel domestique</t>
  </si>
  <si>
    <t>F4200</t>
  </si>
  <si>
    <t xml:space="preserve"> GENIE CIVIL</t>
  </si>
  <si>
    <t>T9800</t>
  </si>
  <si>
    <t>ACTIVITÉS INDIFFERENCIEES AUTOPRODUITES DES MÉNAGES</t>
  </si>
  <si>
    <t>F420001</t>
  </si>
  <si>
    <t>Construction de routes et de voies ferrées</t>
  </si>
  <si>
    <t>T980001</t>
  </si>
  <si>
    <t>Activités indifférenciées des ménages en tant que producteurs de biens pour usage propre</t>
  </si>
  <si>
    <t>F420002</t>
  </si>
  <si>
    <t>Construction de réseaux et de lignes</t>
  </si>
  <si>
    <t>T980002</t>
  </si>
  <si>
    <t>Activités indifférenciées des ménages en tant que producteurs de services pour usage propre</t>
  </si>
  <si>
    <t>F420003</t>
  </si>
  <si>
    <t>Construction d’autres ouvrages de génie civil</t>
  </si>
  <si>
    <t>U9900</t>
  </si>
  <si>
    <t>ACTIVITÉS DES ORGANISATIONS EXTRATERRITORIALES</t>
  </si>
  <si>
    <t>U990000</t>
  </si>
  <si>
    <t>Activités des organisations extraterritoriales</t>
  </si>
  <si>
    <t>FICHE R1</t>
  </si>
  <si>
    <t>Sigle usuel :</t>
  </si>
  <si>
    <t>N° de télédéclarant (NTD) :</t>
  </si>
  <si>
    <t>ZA</t>
  </si>
  <si>
    <t>EXERCICE COMPTABLE :</t>
  </si>
  <si>
    <t>DU:</t>
  </si>
  <si>
    <t>AU:</t>
  </si>
  <si>
    <t>ZB</t>
  </si>
  <si>
    <t>DATE D'ARRETE EFFECTIF DES COMPTES :</t>
  </si>
  <si>
    <t>ZD</t>
  </si>
  <si>
    <t>ZC</t>
  </si>
  <si>
    <t>EXERCICE PRECEDENT CLOS LE :</t>
  </si>
  <si>
    <t>DUREE EXERCICE PRECEDENT EN MOIS :</t>
  </si>
  <si>
    <t>ZE</t>
  </si>
  <si>
    <t>ZF</t>
  </si>
  <si>
    <t>Greffe</t>
  </si>
  <si>
    <t>N°Registre du Commerce</t>
  </si>
  <si>
    <t>N° Répertoire des entités</t>
  </si>
  <si>
    <t>ZG</t>
  </si>
  <si>
    <t>ZH</t>
  </si>
  <si>
    <t>ZI</t>
  </si>
  <si>
    <t>N° de caisse sociale</t>
  </si>
  <si>
    <t>N° Code Importateur</t>
  </si>
  <si>
    <t>Code activité principale</t>
  </si>
  <si>
    <t>ZJ</t>
  </si>
  <si>
    <t>Désignation de l'entité</t>
  </si>
  <si>
    <t>Sigle</t>
  </si>
  <si>
    <t>ZK</t>
  </si>
  <si>
    <t>N° de téléphone</t>
  </si>
  <si>
    <t>Adresse e-mail</t>
  </si>
  <si>
    <t>Code</t>
  </si>
  <si>
    <t>Boîte Postale</t>
  </si>
  <si>
    <t>Ville</t>
  </si>
  <si>
    <t>ZL</t>
  </si>
  <si>
    <t>Adresse géographique complète (Immeuble, rue, quartier, ville, pays)</t>
  </si>
  <si>
    <t>ZN</t>
  </si>
  <si>
    <t>ZM</t>
  </si>
  <si>
    <t>Désignation précise de l'activité principale exercée par l'entité</t>
  </si>
  <si>
    <t>% Capacité production utile</t>
  </si>
  <si>
    <t>ZO</t>
  </si>
  <si>
    <t>ZP</t>
  </si>
  <si>
    <t>ZQ</t>
  </si>
  <si>
    <t>Nom, adresse, téléphone, e-mail et numéro d'inscription à l'Ordre des Experts-comptables</t>
  </si>
  <si>
    <t xml:space="preserve">de l'Expert comptable ayant délivré l'attestation de visa </t>
  </si>
  <si>
    <t>ZR</t>
  </si>
  <si>
    <t>de l'Expert comptablble ayant délivré l'attestation d'exécution de la mission du commissariat aux comptes</t>
  </si>
  <si>
    <t>ZS</t>
  </si>
  <si>
    <t>Non</t>
  </si>
  <si>
    <t>Oui</t>
  </si>
  <si>
    <t>ZW</t>
  </si>
  <si>
    <t>ZT</t>
  </si>
  <si>
    <t>Domiciliations bancaires</t>
  </si>
  <si>
    <t>Nom du signataire des états financiers</t>
  </si>
  <si>
    <t>Banque</t>
  </si>
  <si>
    <t>Numéro de compte</t>
  </si>
  <si>
    <t>ZU</t>
  </si>
  <si>
    <t>Qualité du signataire des états financiers</t>
  </si>
  <si>
    <t>ZV</t>
  </si>
  <si>
    <t>Date de signature</t>
  </si>
  <si>
    <t>Signature</t>
  </si>
  <si>
    <t>FICHE R2</t>
  </si>
  <si>
    <t>FICHE  R2 : FICHE D'IDENTIFICATION ET RENSEIGNEMENTS DIVERS 2</t>
  </si>
  <si>
    <t>ZX</t>
  </si>
  <si>
    <t>ZY</t>
  </si>
  <si>
    <t>ZZ1</t>
  </si>
  <si>
    <t>ZZ2</t>
  </si>
  <si>
    <t>Nombre d'établissements dans le pays :</t>
  </si>
  <si>
    <t>ZZ3</t>
  </si>
  <si>
    <t xml:space="preserve">Nombre d'établissements hors du pays pour </t>
  </si>
  <si>
    <t>lesquels une comptabilité distincte est tenue :</t>
  </si>
  <si>
    <t>ZZ4</t>
  </si>
  <si>
    <t>Première année d'exercice dans le pays :</t>
  </si>
  <si>
    <t>% activité
dans le CA HT ou la VA</t>
  </si>
  <si>
    <t xml:space="preserve"> TOTAL  </t>
  </si>
  <si>
    <r>
      <t>(</t>
    </r>
    <r>
      <rPr>
        <vertAlign val="superscript"/>
        <sz val="8"/>
        <rFont val="Arial"/>
        <family val="2"/>
      </rPr>
      <t>4</t>
    </r>
    <r>
      <rPr>
        <sz val="8"/>
        <rFont val="Arial"/>
        <family val="2"/>
      </rPr>
      <t>) Indiquer dans la note annexe n°21 "Chiffre d'affaires et autres produits", la liste détaillée des activités classées dans la rubrique "Divers"</t>
    </r>
  </si>
  <si>
    <t>FICHE R3</t>
  </si>
  <si>
    <t>FICHE  R3 : FICHE D'IDENTIFICATION ET RENSEIGNEMENTS DIVERS 3</t>
  </si>
  <si>
    <r>
      <t>DIRIGEANTS (</t>
    </r>
    <r>
      <rPr>
        <b/>
        <vertAlign val="superscript"/>
        <sz val="10"/>
        <rFont val="Arial"/>
        <family val="2"/>
      </rPr>
      <t>1</t>
    </r>
    <r>
      <rPr>
        <b/>
        <sz val="10"/>
        <rFont val="Arial"/>
        <family val="2"/>
      </rPr>
      <t>)</t>
    </r>
  </si>
  <si>
    <t>Nom et Prénoms</t>
  </si>
  <si>
    <t>Nationalité</t>
  </si>
  <si>
    <r>
      <t>Autres
nationalités
(à préciser) (</t>
    </r>
    <r>
      <rPr>
        <vertAlign val="superscript"/>
        <sz val="8"/>
        <rFont val="Arial"/>
        <family val="2"/>
      </rPr>
      <t>2</t>
    </r>
    <r>
      <rPr>
        <sz val="8"/>
        <rFont val="Arial"/>
        <family val="2"/>
      </rPr>
      <t>)</t>
    </r>
  </si>
  <si>
    <t>Qualité</t>
  </si>
  <si>
    <t>N°
d'identification
fiscale</t>
  </si>
  <si>
    <t>Adresse (BP, ville, pays, adresse géographique et adresse email)</t>
  </si>
  <si>
    <t>(1) Dirigeants = Président Directeur Général, Directeur Général, Administrateur Général, Gérant, Autres.</t>
  </si>
  <si>
    <t>(2) En cas de double nationalité</t>
  </si>
  <si>
    <t>MEMBRES DU CONSEIL D'ADMINISTRATION</t>
  </si>
  <si>
    <t>Structure représentée</t>
  </si>
  <si>
    <t>Adresse (BP, ville, pays, adresse
géographique et adresse email)</t>
  </si>
  <si>
    <t>BILAN SYSTEME NORMAL
PAGE 1/1</t>
  </si>
  <si>
    <t>BILAN</t>
  </si>
  <si>
    <t>REF</t>
  </si>
  <si>
    <t>ACTIF</t>
  </si>
  <si>
    <t>NOTE</t>
  </si>
  <si>
    <t>EXERCICE au 31/12/ N</t>
  </si>
  <si>
    <t>EXERCICE AU 31/12/N-1</t>
  </si>
  <si>
    <t>PASSIF</t>
  </si>
  <si>
    <t>EXERCICE AU 31/12/N</t>
  </si>
  <si>
    <t>EXERCICE AU  31/12/N-1</t>
  </si>
  <si>
    <t>BRUT</t>
  </si>
  <si>
    <t>AMORT et 
DEPREC.</t>
  </si>
  <si>
    <t>NET</t>
  </si>
  <si>
    <t>AD</t>
  </si>
  <si>
    <t>IMMOBILISATIONS  INCORPORELLES</t>
  </si>
  <si>
    <t>CA</t>
  </si>
  <si>
    <t>Capital</t>
  </si>
  <si>
    <t>AE</t>
  </si>
  <si>
    <t>Frais de développement et de prospection</t>
  </si>
  <si>
    <t>CB</t>
  </si>
  <si>
    <t>Apporteurs capital non appelé (-)</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</si>
  <si>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</si>
  <si>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</si>
  <si>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</si>
  <si>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</si>
  <si>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</si>
  <si>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</si>
  <si>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</si>
  <si>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</si>
  <si>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</si>
  <si>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</si>
  <si>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</si>
  <si>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</si>
  <si>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</si>
  <si>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</si>
  <si>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</si>
  <si>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</si>
  <si>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</si>
  <si>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</si>
  <si>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</si>
  <si>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 (+ ou -)</t>
  </si>
  <si>
    <t>AK</t>
  </si>
  <si>
    <t>CJ</t>
  </si>
  <si>
    <t>Résultat net de l'exercice (bénéfice + ou perte -)</t>
  </si>
  <si>
    <t>AL</t>
  </si>
  <si>
    <t>Aménagements,  agencements  et installations</t>
  </si>
  <si>
    <t>CL</t>
  </si>
  <si>
    <t>Subventions  d'investissement</t>
  </si>
  <si>
    <t>AM</t>
  </si>
  <si>
    <t>Matériel, mobilier et actifs biologiques</t>
  </si>
  <si>
    <t>CM</t>
  </si>
  <si>
    <t>Provisions  réglementées</t>
  </si>
  <si>
    <t>AN</t>
  </si>
  <si>
    <t>Matériel de transport</t>
  </si>
  <si>
    <t>CP</t>
  </si>
  <si>
    <t>TOTAL  CAPITAUX PROPRES ET  RESSOURCES ASSIMILEES</t>
  </si>
  <si>
    <t>AP</t>
  </si>
  <si>
    <t>AVANCES ET ACOMPTES VERSES SUR IMMOBILISATIONS</t>
  </si>
  <si>
    <t>DA</t>
  </si>
  <si>
    <t>Emprunts et dettes financières diverses</t>
  </si>
  <si>
    <t>AQ</t>
  </si>
  <si>
    <t>IMMOBILISATIONS  FINANCIERES</t>
  </si>
  <si>
    <t>DB</t>
  </si>
  <si>
    <t>Dettes de location-acquisition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</si>
  <si>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</si>
  <si>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</si>
  <si>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</si>
  <si>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</si>
  <si>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</si>
  <si>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</si>
  <si>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</si>
  <si>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</si>
  <si>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</si>
  <si>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</si>
  <si>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</si>
  <si>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</si>
  <si>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</si>
  <si>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</si>
  <si>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</si>
  <si>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</si>
  <si>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</si>
  <si>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STOCKS ET ENCOURS</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</si>
  <si>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</si>
  <si>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</si>
  <si>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</si>
  <si>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</si>
  <si>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</si>
  <si>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</si>
  <si>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</si>
  <si>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</si>
  <si>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</si>
  <si>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</si>
  <si>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</si>
  <si>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</si>
  <si>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</si>
  <si>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</si>
  <si>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</si>
  <si>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</si>
  <si>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</si>
  <si>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et charges à court terme</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</si>
  <si>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</si>
  <si>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</si>
  <si>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</si>
  <si>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</si>
  <si>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</si>
  <si>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</si>
  <si>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</si>
  <si>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</si>
  <si>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</si>
  <si>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</si>
  <si>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</si>
  <si>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</si>
  <si>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</si>
  <si>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</si>
  <si>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</si>
  <si>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TRESORERIE-ACTIF</t>
  </si>
  <si>
    <t>DT</t>
  </si>
  <si>
    <t>TOTAL   TRESORERIE-PASSIF</t>
  </si>
  <si>
    <t>BU</t>
  </si>
  <si>
    <t>Ecart de conversion-Actif</t>
  </si>
  <si>
    <t>DV</t>
  </si>
  <si>
    <t>Ecart de conversion-Passif</t>
  </si>
  <si>
    <t>BZ</t>
  </si>
  <si>
    <t>TOTAL GENERAL</t>
  </si>
  <si>
    <t>DZ</t>
  </si>
  <si>
    <t>BILAN SYSTEME NORMAL
PAGE 1/2</t>
  </si>
  <si>
    <t>AMORT et DEPREC.</t>
  </si>
  <si>
    <t>IMMOBILISATIONS INCORPORELLES</t>
  </si>
  <si>
    <t>Brevets, licences, logiciels, et  droits similaires</t>
  </si>
  <si>
    <t>Autres immobilisations incorporelles</t>
  </si>
  <si>
    <t>IMMOBILISATIONS CORPORELLES</t>
  </si>
  <si>
    <t>Aménagements, agencements et installations</t>
  </si>
  <si>
    <t>IMMOBILISATIONS FINANCIERES</t>
  </si>
  <si>
    <t>Autres immobilisations financières</t>
  </si>
  <si>
    <t>TOTAL ACTIF IMMOBILISE</t>
  </si>
  <si>
    <t>ACTIF CIRCULANT HAO</t>
  </si>
  <si>
    <t>CREANCES ET EMPLOIS ASSIMILES</t>
  </si>
  <si>
    <t>Autres créances</t>
  </si>
  <si>
    <t>TOTAL ACTIF CIRCULANT</t>
  </si>
  <si>
    <t>TOTAL TRESORERIE-ACTIF</t>
  </si>
  <si>
    <r>
      <t xml:space="preserve">Ecart de </t>
    </r>
    <r>
      <rPr>
        <sz val="9"/>
        <color rgb="FF0D0D0D"/>
        <rFont val="Arial"/>
        <family val="2"/>
      </rPr>
      <t>conversion-Actif</t>
    </r>
  </si>
  <si>
    <t>BILAN SYSTEME NORMAL 
PAGE 2/2</t>
  </si>
  <si>
    <t>Banques, établissements financiers et crédits de trésorerie</t>
  </si>
  <si>
    <t>COMPTE DE RESULTAT SYSTEME NORMAL 
PAGE 1/1</t>
  </si>
  <si>
    <t>COMPTE DE RESULTAT</t>
  </si>
  <si>
    <t>LIBELLES</t>
  </si>
  <si>
    <t>(2)</t>
  </si>
  <si>
    <t>EXERCICE AU
31/12/N</t>
  </si>
  <si>
    <t>EXERCICE AU
31/12/N-1</t>
  </si>
  <si>
    <t>NET (1)</t>
  </si>
  <si>
    <t>TA</t>
  </si>
  <si>
    <t>Ventes de marchandises</t>
  </si>
  <si>
    <t>A</t>
  </si>
  <si>
    <t>+</t>
  </si>
  <si>
    <t>RA</t>
  </si>
  <si>
    <t>Achats de marchandises</t>
  </si>
  <si>
    <t>-</t>
  </si>
  <si>
    <t>RB</t>
  </si>
  <si>
    <t>Variation de stocks de marchandises</t>
  </si>
  <si>
    <t>-/+</t>
  </si>
  <si>
    <t>XA</t>
  </si>
  <si>
    <t>MARGE  COMMERCIALE  (Somme TA à RB)</t>
  </si>
  <si>
    <t>TB</t>
  </si>
  <si>
    <t>Ventes de produits fabriqués</t>
  </si>
  <si>
    <t>B</t>
  </si>
  <si>
    <t>TC</t>
  </si>
  <si>
    <t>Travaux, services vendus</t>
  </si>
  <si>
    <t>C</t>
  </si>
  <si>
    <t>TD</t>
  </si>
  <si>
    <t>Produits accessoires</t>
  </si>
  <si>
    <t>D</t>
  </si>
  <si>
    <t>XB</t>
  </si>
  <si>
    <t>CHIFFRE D'AFFAIRES (A + B + C + D)</t>
  </si>
  <si>
    <t>TE</t>
  </si>
  <si>
    <t>Production stockée (ou déstockage)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</si>
  <si>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</si>
  <si>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</si>
  <si>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</si>
  <si>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</si>
  <si>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</si>
  <si>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</si>
  <si>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</si>
  <si>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</si>
  <si>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</si>
  <si>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</si>
  <si>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</si>
  <si>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</si>
  <si>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</si>
  <si>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</si>
  <si>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</si>
  <si>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</si>
  <si>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</si>
  <si>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</si>
  <si>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</si>
  <si>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</si>
  <si>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</si>
  <si>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</si>
  <si>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</si>
  <si>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</si>
  <si>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</si>
  <si>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+RA+RB) + (somme TE à RJ)</t>
  </si>
  <si>
    <t>RK</t>
  </si>
  <si>
    <t>Charges de personnel</t>
  </si>
  <si>
    <t>XD</t>
  </si>
  <si>
    <t>EXCEDENT BRUT D'EXPLOITATION (XC+RK)</t>
  </si>
  <si>
    <t>TJ</t>
  </si>
  <si>
    <t>Reprises d’amortissements, provisions et dépréciations</t>
  </si>
  <si>
    <t>RL</t>
  </si>
  <si>
    <t>Dotations aux amortissements, aux provisions et dépréciations</t>
  </si>
  <si>
    <t>3C&amp;28</t>
  </si>
  <si>
    <t>XE</t>
  </si>
  <si>
    <t>RESULTAT D'EXPLOITATION (XD+TJ+ RL)</t>
  </si>
  <si>
    <t>TK</t>
  </si>
  <si>
    <t>Revenus financiers et assimilés</t>
  </si>
  <si>
    <t>TL</t>
  </si>
  <si>
    <t>Reprises de provisions  et dépréciations financières</t>
  </si>
  <si>
    <t>TM</t>
  </si>
  <si>
    <t>Transferts de charges financières</t>
  </si>
  <si>
    <t>RM</t>
  </si>
  <si>
    <t>Frais financiers et charges assimilées</t>
  </si>
  <si>
    <t>RN</t>
  </si>
  <si>
    <t>Dotations aux provisions et aux dépréciations financières</t>
  </si>
  <si>
    <t>XF</t>
  </si>
  <si>
    <t>RESULTAT  FINANCIER  (somme TK à RN)</t>
  </si>
  <si>
    <t>XG</t>
  </si>
  <si>
    <t>RESULTAT  DES ACTIVITES ORDINAIRES (XE+XF)</t>
  </si>
  <si>
    <t>TN</t>
  </si>
  <si>
    <t>Produits des cessions d'immobilisations</t>
  </si>
  <si>
    <t>3D</t>
  </si>
  <si>
    <t>TO</t>
  </si>
  <si>
    <t>Autres Produits HAO</t>
  </si>
  <si>
    <t>RO</t>
  </si>
  <si>
    <t>Valeurs comptables des cessions d'immobilisations</t>
  </si>
  <si>
    <t>RP</t>
  </si>
  <si>
    <t>Autres Charges HAO</t>
  </si>
  <si>
    <t>XH</t>
  </si>
  <si>
    <t>RESULTAT HORS ACTIVITES ORDINAIRES (somme TN à RP)</t>
  </si>
  <si>
    <t>RQ</t>
  </si>
  <si>
    <t>Participation des travailleurs</t>
  </si>
  <si>
    <t>RS</t>
  </si>
  <si>
    <t>Impôts sur le résultat</t>
  </si>
  <si>
    <t>XI</t>
  </si>
  <si>
    <t>RESULTAT NET (XG+XH+RQ+RS)</t>
  </si>
  <si>
    <t>(1):</t>
  </si>
  <si>
    <t>Les montants seront précédés de signes (+) ou (-) en fonction de leurs soldes dans la balance générale:</t>
  </si>
  <si>
    <t>(+/-) : Solde débiteur "(-)", solde créditeur "(+)"</t>
  </si>
  <si>
    <t>(2):</t>
  </si>
  <si>
    <t>Les signes de cette colonne sont indicateurs du sens structurel des soldes,</t>
  </si>
  <si>
    <t>ils ne jouent pas le rôle de signes opérateurs.</t>
  </si>
  <si>
    <t>FLUX DE TRESORERIE SYSTEME NORMAL 
PAGE 1/1</t>
  </si>
  <si>
    <t>TABLEAU DES FLUX DE TRESORERIE</t>
  </si>
  <si>
    <t>EXERCICE</t>
  </si>
  <si>
    <t>N</t>
  </si>
  <si>
    <t>N-1</t>
  </si>
  <si>
    <r>
      <t xml:space="preserve">Trésorerie nette au 1er janvier
</t>
    </r>
    <r>
      <rPr>
        <sz val="9"/>
        <color theme="1"/>
        <rFont val="Arial"/>
        <family val="2"/>
      </rPr>
      <t>(Trésorerie actif N-1 - Trésorerie passif N-1)</t>
    </r>
  </si>
  <si>
    <t>Flux de trésorerie provenant des activités opérationnelles</t>
  </si>
  <si>
    <t>FA</t>
  </si>
  <si>
    <t>Capacité d'Autofinancement Globale (CAFG)</t>
  </si>
  <si>
    <t>FB</t>
  </si>
  <si>
    <t>- Variation d'actif circulant HAO (1)</t>
  </si>
  <si>
    <t>FC</t>
  </si>
  <si>
    <t>- Variation des stocks</t>
  </si>
  <si>
    <t>FD</t>
  </si>
  <si>
    <t>-  Variation des créances</t>
  </si>
  <si>
    <t>FE</t>
  </si>
  <si>
    <t>+ Variation du passif circulant (1)</t>
  </si>
  <si>
    <t>Variation du BF lié aux activités opérationnelles</t>
  </si>
  <si>
    <t>FB+FC+FD+FE :</t>
  </si>
  <si>
    <t>Flux de trésorerie provenant des activités opérationnelles  (Somme FA à FE)</t>
  </si>
  <si>
    <t>Flux de trésorerie provenant des activités d’investissements</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</si>
  <si>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</si>
  <si>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</si>
  <si>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</si>
  <si>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</si>
  <si>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</si>
  <si>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</si>
  <si>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</si>
  <si>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</si>
  <si>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</si>
  <si>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</si>
  <si>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</si>
  <si>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Flux de trésorerie provenant du financement par les capitaux propres</t>
  </si>
  <si>
    <t>FK</t>
  </si>
  <si>
    <t>+ Augmentations de capital par apports nouveaux</t>
  </si>
  <si>
    <t>FL</t>
  </si>
  <si>
    <t>+ Subventions d'investissement reçues</t>
  </si>
  <si>
    <t>FM</t>
  </si>
  <si>
    <t>- Prélèvements sur le capital</t>
  </si>
  <si>
    <t>FN</t>
  </si>
  <si>
    <t>- Dividendes versés</t>
  </si>
  <si>
    <t>Flux de trésorerie provenant des capitaux propres (somme FK à FN)</t>
  </si>
  <si>
    <t>Trésorerie provenant du financement par les capitaux étrangers</t>
  </si>
  <si>
    <t>FO</t>
  </si>
  <si>
    <t>+ Emprunts (2)</t>
  </si>
  <si>
    <t>FP</t>
  </si>
  <si>
    <t>+ Autres dettes financières diverses (3)</t>
  </si>
  <si>
    <t>FQ</t>
  </si>
  <si>
    <t>- Remboursements des emprunts et autres dettes financières</t>
  </si>
  <si>
    <t>Flux de trésorerie provenant des capitaux étrangers (somme FO à FQ)</t>
  </si>
  <si>
    <t>E</t>
  </si>
  <si>
    <t>Flux de trésorerie provenant des activités de financement (D+E)</t>
  </si>
  <si>
    <t>F</t>
  </si>
  <si>
    <t>VARIATION DE LA TRÉSORERIE NETTE DE LA PÉRIODE (B+C+F)</t>
  </si>
  <si>
    <t>G</t>
  </si>
  <si>
    <t>Trésorerie nette au 31 Décembre (G+A)</t>
  </si>
  <si>
    <t>H</t>
  </si>
  <si>
    <t>Contrôle : Trésorerie actif N - Trésorerie passif N</t>
  </si>
  <si>
    <t>(1)</t>
  </si>
  <si>
    <t xml:space="preserve">A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</si>
  <si>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Comptes 161,  162, 1661, 1662</t>
  </si>
  <si>
    <t>(3)</t>
  </si>
  <si>
    <t>Comptes 16 sauf Comptes (161,  162, 1661, 1662) et comptes 18</t>
  </si>
  <si>
    <t>FICHE R4</t>
  </si>
  <si>
    <r>
      <t xml:space="preserve">FICHE R4  : FICHE RECAPITULATIVE DES NOTES ANNEXES PRESENTEES </t>
    </r>
    <r>
      <rPr>
        <b/>
        <vertAlign val="superscript"/>
        <sz val="11"/>
        <color rgb="FF006600"/>
        <rFont val="Arial"/>
        <family val="2"/>
      </rPr>
      <t>(1)</t>
    </r>
  </si>
  <si>
    <t>NOTES</t>
  </si>
  <si>
    <t>INTITULES</t>
  </si>
  <si>
    <t>N/A</t>
  </si>
  <si>
    <t>NOTE 1</t>
  </si>
  <si>
    <t>DETTES GARANTIES PAR DES SURETES REELLES ET LES ENGAGEMENTS FINANCIERS</t>
  </si>
  <si>
    <t>NOTE 2</t>
  </si>
  <si>
    <t>INFORMATIONS OBLIGATOIRES</t>
  </si>
  <si>
    <t>NOTE 3A</t>
  </si>
  <si>
    <t>IMMOBILISATIONS BRUTES</t>
  </si>
  <si>
    <t>NOTE 3B</t>
  </si>
  <si>
    <t>BIENS PRIS EN LOCATION-ACQUISITION</t>
  </si>
  <si>
    <t>NOTE 3C</t>
  </si>
  <si>
    <t>IMMOBILISATIONS : AMORTISSEMENTS</t>
  </si>
  <si>
    <t>NOTE 3C bis</t>
  </si>
  <si>
    <t>IMMOBILISATIONS : DEPRECIATIONS</t>
  </si>
  <si>
    <t>NOTE 3D</t>
  </si>
  <si>
    <t>IMMOBILISATIONS : PLUS-VALUES ET MOINS VALUE DE CESSION</t>
  </si>
  <si>
    <t>NOTE 3E</t>
  </si>
  <si>
    <t>INFORMATIONS SUR LES REEVALUATIONS EFFECTUEES PAR L'ENTITE</t>
  </si>
  <si>
    <t>NOTE 4</t>
  </si>
  <si>
    <t>NOTE 5</t>
  </si>
  <si>
    <t>ACTIF CIRCULANT  ET DETTES CIRCULANTES HAO</t>
  </si>
  <si>
    <t>NOTE 6</t>
  </si>
  <si>
    <t>NOTE 7</t>
  </si>
  <si>
    <t>CLIENTS</t>
  </si>
  <si>
    <t>NOTE 8</t>
  </si>
  <si>
    <t>AUTRES CREANCES</t>
  </si>
  <si>
    <t>NOTE 8A</t>
  </si>
  <si>
    <t>TABLEAU D’ETALEMENT DES CHARGES IMMOBILISEES</t>
  </si>
  <si>
    <t>NOTE 8B</t>
  </si>
  <si>
    <t>TABLEAU D’ETALEMENT DES PROVISIONS POUR CHARGES A REPARTIR</t>
  </si>
  <si>
    <t>NOTE 8C</t>
  </si>
  <si>
    <t>TABLEAU D'ETALEMENT DES PROVISIONS POUR ENGAGEMENT DE RETRAITE</t>
  </si>
  <si>
    <t>NOTE 9</t>
  </si>
  <si>
    <t>TITRES DE PLACEMENT</t>
  </si>
  <si>
    <t>NOTE 10</t>
  </si>
  <si>
    <t>VALEURS A ENCAISSER</t>
  </si>
  <si>
    <t>NOTE 11</t>
  </si>
  <si>
    <t>DISPONIBILITES</t>
  </si>
  <si>
    <t>NOTE 12</t>
  </si>
  <si>
    <t>ECARTS DE CONVERSION ET TRANSFERT DE CHARGES</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</si>
  <si>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</si>
  <si>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</si>
  <si>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</si>
  <si>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</si>
  <si>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</si>
  <si>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</si>
  <si>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</si>
  <si>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</si>
  <si>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</si>
  <si>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</si>
  <si>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</si>
  <si>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 (METHODE ACTUARIELLE)</t>
  </si>
  <si>
    <t>NOTE 16B bis</t>
  </si>
  <si>
    <t>ENGAGEMENTS DE RETRAITE ET AVANTAGES ASSIMILES : (METHODE ACTUARIELLE SUITE)</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</si>
  <si>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</si>
  <si>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</si>
  <si>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</si>
  <si>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</si>
  <si>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</si>
  <si>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</si>
  <si>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</si>
  <si>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</si>
  <si>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</si>
  <si>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DE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</si>
  <si>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</si>
  <si>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</si>
  <si>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</si>
  <si>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</si>
  <si>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</si>
  <si>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</si>
  <si>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</si>
  <si>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</si>
  <si>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</si>
  <si>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</si>
  <si>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</si>
  <si>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</si>
  <si>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</si>
  <si>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</si>
  <si>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</si>
  <si>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</si>
  <si>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</si>
  <si>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DOTATIONS ET CHARGES POUR PROVISIONS ET DEPRECIATIONS</t>
  </si>
  <si>
    <t>NOTE 29</t>
  </si>
  <si>
    <t>CHARGES ET REVENUS FINANCIERS</t>
  </si>
  <si>
    <t>NOTE 30</t>
  </si>
  <si>
    <t>AUTRES  CHARGES ET PRODUITS HAO</t>
  </si>
  <si>
    <t>NOTE 31</t>
  </si>
  <si>
    <t>REPARTITION DU RESULTAT ET AUTRES ELEMENTS CARACTERISTIQUES DES CINQ DERNIERS EXERCICES</t>
  </si>
  <si>
    <t>NOTE 32</t>
  </si>
  <si>
    <t>PRODUCTION DE L'EXERCICE</t>
  </si>
  <si>
    <t>NOTE 33</t>
  </si>
  <si>
    <t>ACHATS DESTINES A LA PRODUCTION</t>
  </si>
  <si>
    <t>NOTE 34</t>
  </si>
  <si>
    <t>FICHE DE SYNTHESE DES PRINCIPAUX INDICATEURS FINANCIERS</t>
  </si>
  <si>
    <t>NOTE 35</t>
  </si>
  <si>
    <t>LISTE DES INFORMATIONS SOCIALES, ENVIRONNEMENTALES ET SOCIETALES A FOURNIR</t>
  </si>
  <si>
    <t>NOTE 36</t>
  </si>
  <si>
    <t>TABLES DES CODES</t>
  </si>
  <si>
    <t>NOTE 37</t>
  </si>
  <si>
    <t>DETERMINATION IMPOT SUR RESULTAT</t>
  </si>
  <si>
    <t>NOTE 38</t>
  </si>
  <si>
    <t xml:space="preserve">EVENEMENTS POSTERIEURS A LA CLOTURE DE L'EXERCICE </t>
  </si>
  <si>
    <t>NOTE 39</t>
  </si>
  <si>
    <t xml:space="preserve">CHANGEMENTS DE METHODES COMPTABLES, D’ESTIMATIONS ET CORRECTIONS D’ERREURS </t>
  </si>
  <si>
    <t>NOTES DGI &amp; INS</t>
  </si>
  <si>
    <t>ETATS SUPPLEMENTAIRES  DGI et INS</t>
  </si>
  <si>
    <t>(2) A : Applicable    A/N : Non applicable.</t>
  </si>
  <si>
    <t>Par exemple pour une entité qui n'a pas de stocks et en-cours, elle doit cocher à l'intersection ('ligne NOTE 6' &amp; 'colonne N/A')</t>
  </si>
  <si>
    <t>NOTE 1
SYSTEME NORMAL</t>
  </si>
  <si>
    <t>N° de télédéclarant (NTD):</t>
  </si>
  <si>
    <t>NOTE 1: DETTES GARANTIES PAR DES SURETES REELLES ET LES ENGAGEMENTS FINANCIERS</t>
  </si>
  <si>
    <t>Note</t>
  </si>
  <si>
    <r>
      <t>Montant
brut (</t>
    </r>
    <r>
      <rPr>
        <vertAlign val="superscript"/>
        <sz val="9"/>
        <color theme="1"/>
        <rFont val="Arial"/>
        <family val="2"/>
      </rPr>
      <t>1</t>
    </r>
    <r>
      <rPr>
        <sz val="9"/>
        <color theme="1"/>
        <rFont val="Arial"/>
        <family val="2"/>
      </rPr>
      <t>)</t>
    </r>
  </si>
  <si>
    <r>
      <t>SURETES REELLES (</t>
    </r>
    <r>
      <rPr>
        <vertAlign val="superscript"/>
        <sz val="9"/>
        <color theme="1"/>
        <rFont val="Arial"/>
        <family val="2"/>
      </rPr>
      <t>2</t>
    </r>
    <r>
      <rPr>
        <sz val="9"/>
        <color theme="1"/>
        <rFont val="Arial"/>
        <family val="2"/>
      </rPr>
      <t>)</t>
    </r>
  </si>
  <si>
    <t>Hypothèques</t>
  </si>
  <si>
    <t>Nantissements</t>
  </si>
  <si>
    <t>Gages/autres</t>
  </si>
  <si>
    <t>Emprunts et dettes financières diverses :</t>
  </si>
  <si>
    <t>Emprunts obligataires convertibles</t>
  </si>
  <si>
    <t>Autres emprunts obligataires</t>
  </si>
  <si>
    <t>Emprunts et dettes des établissements de crédit</t>
  </si>
  <si>
    <t>Autres dettes financières</t>
  </si>
  <si>
    <t>SOUS TOTAL (1)</t>
  </si>
  <si>
    <r>
      <t xml:space="preserve">Dettes de location-acquisition </t>
    </r>
    <r>
      <rPr>
        <b/>
        <sz val="9"/>
        <color theme="1"/>
        <rFont val="Arial"/>
        <family val="2"/>
      </rPr>
      <t>:</t>
    </r>
  </si>
  <si>
    <t>Dettes de crédit-bail immobilier</t>
  </si>
  <si>
    <t>Dettes de crédit-bail mobilier</t>
  </si>
  <si>
    <t>Dettes sur contrats de location-vente</t>
  </si>
  <si>
    <t>Autres dettes sur contrats de location-acquisition</t>
  </si>
  <si>
    <t>SOUS TOTAL (2)</t>
  </si>
  <si>
    <r>
      <t xml:space="preserve">Dettes du passif circulant </t>
    </r>
    <r>
      <rPr>
        <b/>
        <sz val="9"/>
        <color theme="1"/>
        <rFont val="Arial"/>
        <family val="2"/>
      </rPr>
      <t>:</t>
    </r>
  </si>
  <si>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</si>
  <si>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</si>
  <si>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</si>
  <si>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</si>
  <si>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</si>
  <si>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</si>
  <si>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</si>
  <si>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</si>
  <si>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</si>
  <si>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</si>
  <si>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réciproques</t>
  </si>
  <si>
    <t>Engagements donnés</t>
  </si>
  <si>
    <t>Engagements reçus</t>
  </si>
  <si>
    <t>Engagements consentis à des entités liées</t>
  </si>
  <si>
    <t>Primes de remboursement des obligations non échues</t>
  </si>
  <si>
    <t>Avals, cautions, garanties</t>
  </si>
  <si>
    <t>Hypothèques, nantissements, gages, autres</t>
  </si>
  <si>
    <t>Effets escomptés non échus</t>
  </si>
  <si>
    <t>Créances commerciales et professionnelles cédées</t>
  </si>
  <si>
    <t>Abandons de créances conditionnels</t>
  </si>
  <si>
    <t>Achats de marchandises à terme</t>
  </si>
  <si>
    <t>Achats à terme de devises non couverts</t>
  </si>
  <si>
    <t>Commandes fermes des clients</t>
  </si>
  <si>
    <t>Autres engagements réciproques</t>
  </si>
  <si>
    <t>TOTAL</t>
  </si>
  <si>
    <t>(1) indiquer le montant de la garantie</t>
  </si>
  <si>
    <t xml:space="preserve">(2) indiquer les références de la sûreté </t>
  </si>
  <si>
    <r>
      <rPr>
        <b/>
        <sz val="8"/>
        <rFont val="Times New Roman"/>
        <family val="1"/>
      </rPr>
      <t>Commentaire :</t>
    </r>
    <r>
      <rPr>
        <sz val="8"/>
        <rFont val="Times New Roman"/>
        <family val="1"/>
      </rPr>
      <t xml:space="preserve">  </t>
    </r>
  </si>
  <si>
    <t>●  Indiquer la raison d'être des suretés.</t>
  </si>
  <si>
    <t>●  Pour les actifs et  passifs externes frappés de  réserve de propriété(R/P), indiquer les informations prévues dans le chapitre Opérations et problèmes spécifiques.</t>
  </si>
  <si>
    <t>●  Pour les transactions entre les parties liées, indiquer :</t>
  </si>
  <si>
    <t xml:space="preserve">          - la nature et le montant des transactions effectuées avec chaque partie liée (entité mère,autres filiales du groupe,etc.)</t>
  </si>
  <si>
    <t xml:space="preserve">          - les transactions avec les principaux dirigeants (prêts aux dirigeants,salaires bruts et avantages en nature,atribution gratuite d'actions etc.).</t>
  </si>
  <si>
    <t>NOTE 2
SYSTEME NORMAL</t>
  </si>
  <si>
    <t>NOTE 2: INFORMATIONS OBLIGATOIRES</t>
  </si>
  <si>
    <t>A - DECLARATION DE CONFORMITE AU SYSCOHADA ET FAITS MARQUANTS DE L'EXERCICE</t>
  </si>
  <si>
    <t>B - REGLES ET METHODES COMPTABLES</t>
  </si>
  <si>
    <t>C- DEROGATION AUX POSTULATS ET CONVENTIONS COMPTABLES</t>
  </si>
  <si>
    <t xml:space="preserve">Commentaire :  </t>
  </si>
  <si>
    <t xml:space="preserve">●  Mentionner les faits marquants après la déclaration de conformité. </t>
  </si>
  <si>
    <t>Seuls les éléments ayant une incidence comptable significative ou qui misent à la comparabilité des exercices doivent être mentionnés. Par exemple, le lancement d'un produit sur le marché, ou la perte du principal client de l'entité.</t>
  </si>
  <si>
    <t>●  Décrire les régles et méthodes utilisées pour l'établissement des états financiers et celles utilisées  dans le  cas de contrat pluri- exercices, de contrats de concession, de l'établissement de comptes intermédiaires, de fusion et opérations assimilées comme indiquées dans les opérations et problèmes spécifiques.</t>
  </si>
  <si>
    <t>NOTE 3A
SYSTEME NORMAL</t>
  </si>
  <si>
    <t>N° d'identification fiscale :</t>
  </si>
  <si>
    <t>NOTE 3A : IMMOBILISATIONS (BRUTES)</t>
  </si>
  <si>
    <t>SITUATIONS ET MOUVEMENTS</t>
  </si>
  <si>
    <r>
      <t xml:space="preserve">AUGMENTATIONS </t>
    </r>
    <r>
      <rPr>
        <b/>
        <sz val="8"/>
        <color theme="1"/>
        <rFont val="Arial"/>
        <family val="2"/>
      </rPr>
      <t>B</t>
    </r>
  </si>
  <si>
    <r>
      <t xml:space="preserve">DIMINUTIONS </t>
    </r>
    <r>
      <rPr>
        <b/>
        <sz val="8"/>
        <color theme="1"/>
        <rFont val="Arial"/>
        <family val="2"/>
      </rPr>
      <t>C</t>
    </r>
  </si>
  <si>
    <t>D = A + B - C</t>
  </si>
  <si>
    <t>MONTANT BRUT
A L'OUVERTURE
DE L'EXERCICE</t>
  </si>
  <si>
    <t>Acquisitions
Apports
Créations</t>
  </si>
  <si>
    <t>Virements
de poste à poste</t>
  </si>
  <si>
    <t>Suite à une
réévaluation
pratiquée au cours
de l'exercice</t>
  </si>
  <si>
    <t>Cessions
Scissions Hors
service</t>
  </si>
  <si>
    <t>MONTANT BRUT
A LA CLOTURE
DE L'EXERCICE</t>
  </si>
  <si>
    <t>RUBRIQUES</t>
  </si>
  <si>
    <t xml:space="preserve">Frais de développement et de prospection </t>
  </si>
  <si>
    <t xml:space="preserve">Brevets, licences, logiciels, et droits similaires </t>
  </si>
  <si>
    <t>Terrains hors immeuble de placement</t>
  </si>
  <si>
    <t>Terrains - immeuble de placement</t>
  </si>
  <si>
    <t>Bâtiments hors immeuble de placement</t>
  </si>
  <si>
    <t>Bâtiments - immeuble de placement</t>
  </si>
  <si>
    <t>Avances et acomptes sur immobilisations incorporelles</t>
  </si>
  <si>
    <t>Avances et acomptes sur immobilisations corporelles</t>
  </si>
  <si>
    <t>Commentaire :</t>
  </si>
  <si>
    <t>●   Toute variation significative doit être commentée.</t>
  </si>
  <si>
    <t>●   Indiquer les créances du groupe avec nature et date d'échéance.</t>
  </si>
  <si>
    <t>●   Détailler les éléments constitutifs du fonds commercial et indiquer la date d'acquisition.</t>
  </si>
  <si>
    <t>●   Pour les banques, DAT indiquer le nom de la banque le montant et la date d'échéance.</t>
  </si>
  <si>
    <t>●   Pour l'immobilisation incorporelle relative à la concession faire un descriptif de l'accord.</t>
  </si>
  <si>
    <t>●  Pour les frais de développement, donner toutes les informations mentionnées dans la partie Opérations et problèmes spécifiques.</t>
  </si>
  <si>
    <t>●   Indiquer :</t>
  </si>
  <si>
    <t>●  Donner le détail des produits et charges liés aux immeubles de placement.</t>
  </si>
  <si>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</si>
  <si>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</si>
  <si>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</si>
  <si>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t>NOTE 3B
SYSTEME NORMAL</t>
  </si>
  <si>
    <t>NOTE 3B : BIENS PRIS EN LOCATION ACQUISITION</t>
  </si>
  <si>
    <t>AUGMENTATIONS B</t>
  </si>
  <si>
    <t>DIMINUTIONS C</t>
  </si>
  <si>
    <t>NATURE 
DU 
CONTRAT
(I ; M ; A)
[1]</t>
  </si>
  <si>
    <t>Acquisitions
Apports Créations</t>
  </si>
  <si>
    <t>Virements de
poste à poste</t>
  </si>
  <si>
    <t>Suite à une
réévaluation
pratiquée au
cours de
l'exercice</t>
  </si>
  <si>
    <t xml:space="preserve">Terrains </t>
  </si>
  <si>
    <t>Bâtiments</t>
  </si>
  <si>
    <t>Matériel, mobilier</t>
  </si>
  <si>
    <t>TOTAL  IMMOBILISATIONS EN LOCATION-ACQUISITION</t>
  </si>
  <si>
    <t xml:space="preserve">[1] I : Crédit-bail immobilier ; M : Crédit-bail mobilier ; A : Autres contrats (dédoubler le poste si montants </t>
  </si>
  <si>
    <t xml:space="preserve">Commentaire: </t>
  </si>
  <si>
    <r>
      <rPr>
        <sz val="8"/>
        <color theme="1"/>
        <rFont val="Calibri"/>
        <family val="2"/>
      </rPr>
      <t xml:space="preserve">●   </t>
    </r>
    <r>
      <rPr>
        <i/>
        <sz val="8"/>
        <color theme="1"/>
        <rFont val="Times New Roman"/>
        <family val="1"/>
      </rPr>
      <t>Indiquer la nature du bien, le nom du bailleur et la durée du bail.</t>
    </r>
  </si>
  <si>
    <t>NOTE 3C
SYSTEME NORMAL</t>
  </si>
  <si>
    <t>NOTE 3C : IMMOBILISATIONS (AMORTISSEMENTS)</t>
  </si>
  <si>
    <t>E = A + B - C - D</t>
  </si>
  <si>
    <t>AMORTISSEMENTS
CUMULES
A L'OUVERTURE
DE L'EXERCICE</t>
  </si>
  <si>
    <t>AUGMENTATIONS:</t>
  </si>
  <si>
    <t>DIMINUTIONS :</t>
  </si>
  <si>
    <t>CUMUL DES
AMORTISSEMENTS
A LA CLOTURE
DE L'EXERCICE</t>
  </si>
  <si>
    <t>DOTATIONS 
DE L'EXERCICE</t>
  </si>
  <si>
    <t>Amortissements
relatifs aux éléments
sortis de l'actif</t>
  </si>
  <si>
    <t>Reprises d'amortissements</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</si>
  <si>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</si>
  <si>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</si>
  <si>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</si>
  <si>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</si>
  <si>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</si>
  <si>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Aménagements, agencements et installations </t>
  </si>
  <si>
    <t>●   Indiquer</t>
  </si>
  <si>
    <t>-   les modes d'amortissement utilisés ;</t>
  </si>
  <si>
    <t>-   la durée d'utilité ou les taux d'amortissements utilisés.</t>
  </si>
  <si>
    <t>NOTE 3C BIS
SYSTEME NORMAL</t>
  </si>
  <si>
    <t>Durée (mois) :</t>
  </si>
  <si>
    <t>NOTE 3C BIS : IMMOBILISATIONS (DEPRECIATIONS)</t>
  </si>
  <si>
    <t>DEPRECIATIONS
CUMULES
A L'OUVERTURE
DE L'EXERCICE</t>
  </si>
  <si>
    <t>AUGMENTATIONS:
DOTATIONS 
DE L'EXERCICE</t>
  </si>
  <si>
    <t>DIMINUTIONS :
REPRISES
DE L'EXERCICE</t>
  </si>
  <si>
    <t>CUMUL DES
DEPRECIATIONS
A LA CLOTURE
DE L'EXERCICE</t>
  </si>
  <si>
    <t>●   Indiquer les événements et circonstances qui ont conduit à la dépréciation et à la reprise.</t>
  </si>
  <si>
    <t>NOTE 3D
SYSTEME NORMAL</t>
  </si>
  <si>
    <t>NOTE 3D : IMMOBILISATIONS (PLUS-VALUES ET MOINS- VALUES DE CESSION)</t>
  </si>
  <si>
    <t>MONTANT BRUT</t>
  </si>
  <si>
    <t>AMORTISSEMENTS
PRATIQUES</t>
  </si>
  <si>
    <t>VALEUR
COMPTABLE
NETTE</t>
  </si>
  <si>
    <t>PRIX DE CESSION</t>
  </si>
  <si>
    <t>PLUS-VALUE OU
MOINS-VALUE</t>
  </si>
  <si>
    <t>C = A - B</t>
  </si>
  <si>
    <t>E = D - C</t>
  </si>
  <si>
    <t>Titres de participations</t>
  </si>
  <si>
    <t>●   Mentionner la justification de la cession ainsi que la date d'acquisition et la date de sortie.</t>
  </si>
  <si>
    <t>NOTE 3E
SYSTEME NORMAL</t>
  </si>
  <si>
    <t>NOTE 3E : INFORMATIONS SUR LES REEVALUATIONS EFFECTUEES PAR L'ENTITE</t>
  </si>
  <si>
    <t>Eléments réévalués par postes du bilan</t>
  </si>
  <si>
    <t>Montants en
coûts
historiques</t>
  </si>
  <si>
    <t>Montant réévalués</t>
  </si>
  <si>
    <t>Amortissements
supplémentaires</t>
  </si>
  <si>
    <t>Montant de l'écart incorporé au capital :</t>
  </si>
  <si>
    <t>NOTE 4
SYSTEME NORMAL</t>
  </si>
  <si>
    <t>NOTE 4 : IMMOBILISATIONS FINANCIERES</t>
  </si>
  <si>
    <t>Libellés</t>
  </si>
  <si>
    <t>Année N</t>
  </si>
  <si>
    <t>Année N-1</t>
  </si>
  <si>
    <t>Variation en %</t>
  </si>
  <si>
    <t>Créances 
à un an au plus</t>
  </si>
  <si>
    <t>Créances
à plus d'un an et
à deux ans
au plus</t>
  </si>
  <si>
    <t>Créances
à plus de deux
ans</t>
  </si>
  <si>
    <t>Prêts et créances</t>
  </si>
  <si>
    <t>Prêt au personnel</t>
  </si>
  <si>
    <t>Créances sur l'état</t>
  </si>
  <si>
    <t>Titres immobilisés</t>
  </si>
  <si>
    <t>Dépôts et cautionnements</t>
  </si>
  <si>
    <t>Intérêts courus</t>
  </si>
  <si>
    <t>Créances rattachées à des avances et participations à des GIE</t>
  </si>
  <si>
    <t>Immobilisations financières diverses</t>
  </si>
  <si>
    <t>TOTAL BRUT</t>
  </si>
  <si>
    <t>Dépréciations des titres de participation</t>
  </si>
  <si>
    <t>Dépréciations des autres immobilisations financières</t>
  </si>
  <si>
    <t>TOTAL NET DE DEPRECIATION</t>
  </si>
  <si>
    <t>Liste des filiales et participations :</t>
  </si>
  <si>
    <t>Dénomination sociale</t>
  </si>
  <si>
    <t>Localisation
(ville / pays)</t>
  </si>
  <si>
    <t>Valeur
d'acquisition</t>
  </si>
  <si>
    <t>% Détenu</t>
  </si>
  <si>
    <t>Montant des
capitaux propres
filiale</t>
  </si>
  <si>
    <t>Résultat dernier exercice filiale
(1)</t>
  </si>
  <si>
    <t>Part de bénéfice reçue de la filiale (2)</t>
  </si>
  <si>
    <t>(2): S'il s'agit du résultat de l'exercice n-1, renseigner la colonne "part du bénéfice reçue de la filiale"</t>
  </si>
  <si>
    <t>●   Justifier toute variation significative.</t>
  </si>
  <si>
    <t>●   Indiquer le nombre et la date d'acquisition des actions ou parts propres.</t>
  </si>
  <si>
    <t>●   Commenter toutes les créances anciennes.</t>
  </si>
  <si>
    <t>●   Dépréciation : indiquer les évènements et les circonstances qui ont motivé la dépréciation ou la reprise.</t>
  </si>
  <si>
    <t>●   Pour les créances relatives à la concession, faire un descriptif de l'accord.</t>
  </si>
  <si>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</si>
  <si>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</si>
  <si>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</si>
  <si>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t>NOTE 5
SYSTEME NORMAL</t>
  </si>
  <si>
    <t xml:space="preserve"> NOTE 5 : ACTIF CIRCULANT ET DETTES CIRCULANTES  HAO</t>
  </si>
  <si>
    <t xml:space="preserve"> ACTIF CIRCULANT HAO</t>
  </si>
  <si>
    <t>Variation
en %</t>
  </si>
  <si>
    <t>Créances sur cessions d'immobilisations</t>
  </si>
  <si>
    <t>Autres créances hors activités ordinaires</t>
  </si>
  <si>
    <t>Dépréciations des créances HAO</t>
  </si>
  <si>
    <t>TOTAL NET DE DEPRECIATIONS</t>
  </si>
  <si>
    <r>
      <t>Commentaire</t>
    </r>
    <r>
      <rPr>
        <sz val="9"/>
        <color indexed="8"/>
        <rFont val="Times New Roman"/>
        <family val="1"/>
      </rPr>
      <t>:</t>
    </r>
  </si>
  <si>
    <t>•     Commenter toute variation significative.</t>
  </si>
  <si>
    <t>•     Dépréciation : indiquer les évènements et les circonstances qui ont motivé la dépréciation ou la reprise.</t>
  </si>
  <si>
    <t>DETTES  CIRCULANTES HAO</t>
  </si>
  <si>
    <t>Fournisseurs d'investissements</t>
  </si>
  <si>
    <t>Fournisseurs d'investissements effets à payer</t>
  </si>
  <si>
    <t>Versements restant à effectuer sur titres de
participation et titres immobilisés non libérés</t>
  </si>
  <si>
    <t>Autres dettes hors activités ordinaires</t>
  </si>
  <si>
    <r>
      <t>Commentaire</t>
    </r>
    <r>
      <rPr>
        <sz val="8"/>
        <color indexed="8"/>
        <rFont val="Times New Roman"/>
        <family val="1"/>
      </rPr>
      <t>:</t>
    </r>
  </si>
  <si>
    <t>●   Indiquer la date de cession et la nature de l'immobilisation achetée et/ou cédée.</t>
  </si>
  <si>
    <t>●   Expliciter toute variation significative.</t>
  </si>
  <si>
    <t>NOTE 6
SYSTEME NORMAL</t>
  </si>
  <si>
    <t>NOTE 6 : STOCKS ET EN COURS (1)</t>
  </si>
  <si>
    <t xml:space="preserve">Variation de stock
en valeur </t>
  </si>
  <si>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</si>
  <si>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</si>
  <si>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</si>
  <si>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</si>
  <si>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</si>
  <si>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</si>
  <si>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</si>
  <si>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</si>
  <si>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</si>
  <si>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</si>
  <si>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(1) Les stocks H.A.O. seront inscrits dans l'actif circulant H.A.O. que lorsque leur montant total est significatif (supérieur à 5 % du total de l'actif circulant).</t>
  </si>
  <si>
    <r>
      <t xml:space="preserve">Commentaire </t>
    </r>
    <r>
      <rPr>
        <sz val="8"/>
        <color indexed="8"/>
        <rFont val="Times New Roman"/>
        <family val="1"/>
      </rPr>
      <t>:</t>
    </r>
  </si>
  <si>
    <t>●   Indiquer la date de prise d'inventaire et décrire brièvement la procédure, les méthodes comptables adoptées pour évaluer le stock.</t>
  </si>
  <si>
    <t>●   Commenter toute variation significative des stocks.</t>
  </si>
  <si>
    <t>●   Indiquer le détail des stocks dépréciés et les évènements et circonstances qui ont conduit à la dépréciation et à la reprise.</t>
  </si>
  <si>
    <t>NOTE 7
SYSTEME NORMAL</t>
  </si>
  <si>
    <t>NOTE 7 : CLIENTS</t>
  </si>
  <si>
    <t>Créances
à un an
au plus</t>
  </si>
  <si>
    <t>Clients (hors réserves de propriété et Groupe)</t>
  </si>
  <si>
    <t>Clients effets à recevoir 
(hors réserves de propriété et groupe)</t>
  </si>
  <si>
    <t>Clients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</si>
  <si>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</si>
  <si>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</si>
  <si>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</si>
  <si>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</si>
  <si>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</si>
  <si>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</si>
  <si>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</si>
  <si>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</si>
  <si>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</si>
  <si>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</si>
  <si>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</si>
  <si>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   Commenter toutes variations significatives.</t>
  </si>
  <si>
    <t>●   Indiquer pour les créances du groupe, le nom de la société du groupe et le % de titres détenues.</t>
  </si>
  <si>
    <t>●   Commenter les créances anciennes.</t>
  </si>
  <si>
    <t>NOTE 8
SYSTEME NORMAL</t>
  </si>
  <si>
    <t>NOTE 8 : AUTRES CREANCES</t>
  </si>
  <si>
    <t>Organismes sociaux</t>
  </si>
  <si>
    <t>Etat et Collectivités publiques</t>
  </si>
  <si>
    <t>Apporteurs, associés et groupe</t>
  </si>
  <si>
    <t>Compte transitoire ajustement spécial lié à la révision du
SYSCOHADA (Voir Notes 8A &amp; 8C)</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</si>
  <si>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</si>
  <si>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</si>
  <si>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</si>
  <si>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</si>
  <si>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</si>
  <si>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</si>
  <si>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   Détailler les créances dont le montant est significatif.</t>
  </si>
  <si>
    <t>●   Justifier les créances anciennes.</t>
  </si>
  <si>
    <t>●   Compte transitoire ajustement spécial, indiquer le détail du compte et la durée restant pour l'apurement.</t>
  </si>
  <si>
    <t>NOTE 8A
SYSTEME NORMAL</t>
  </si>
  <si>
    <t>NOTE 8A : TABLEAU D’ETALEMENT DES CHARGES IMMOBILISEES</t>
  </si>
  <si>
    <t>Frais d'établissement</t>
  </si>
  <si>
    <t>Charges à repartir
sur plusieurs exercices</t>
  </si>
  <si>
    <t>Primes de remboursement
des obligations</t>
  </si>
  <si>
    <t>Compte transitoire à solder: 4751 compte transitoire, ajustement lié à la révision du SYSCOHADA, compte-actif</t>
  </si>
  <si>
    <t>Durée d'étalement retenue</t>
  </si>
  <si>
    <t>Comptes</t>
  </si>
  <si>
    <t>Montants</t>
  </si>
  <si>
    <t>NOTE 8B
SYSTEME NORMAL</t>
  </si>
  <si>
    <t>NOTE 8B : TABLEAU D’ETALEMENT DE PROVISIONS POUR CHARGES A REPARTIR</t>
  </si>
  <si>
    <t>PROVISIONS POUR CHARGES A REPARTIR</t>
  </si>
  <si>
    <t>Compte transitoire à solder: 4751 compte transitoire
ajustement spécial lié à la révision du SYSCOHADA, compte-passif</t>
  </si>
  <si>
    <t>791 Reprises de provisions et dépréciations d'exploitation</t>
  </si>
  <si>
    <t>NOTE 8C
SYSTEME NORMAL</t>
  </si>
  <si>
    <t>NOTE 8C : TABLEAU D’ETALEMENT DE PROVISIONS POUR ENGAGEMENTS DE RETAITE</t>
  </si>
  <si>
    <t>PROVISIONS POUR PENSIONS ET OBLIGATIONS SIMILAIRES</t>
  </si>
  <si>
    <t>6911 Dotation aux provisions pour risques et charges</t>
  </si>
  <si>
    <t>NOTE 9
SYSTEME NORMAL</t>
  </si>
  <si>
    <t>NOTE 9 : TITRES DE PLACEMENT</t>
  </si>
  <si>
    <t>Titres de trésor et bons de caisse à court terme</t>
  </si>
  <si>
    <t>Actions</t>
  </si>
  <si>
    <t>Obligations</t>
  </si>
  <si>
    <t>Bons de souscription</t>
  </si>
  <si>
    <t>Titres négociables hors régions</t>
  </si>
  <si>
    <t>Autres valeurs assimilées</t>
  </si>
  <si>
    <t>TOTAL BRUT TITRES</t>
  </si>
  <si>
    <t>Dépréciations des titres</t>
  </si>
  <si>
    <t>●   Pour les titres cotés à une bourse de valeur : indiquer le nombre, le prix unitaire d'acquisition et le cours de la bourse au 31 décembre.</t>
  </si>
  <si>
    <t>●   Faire ressortir les actions ou parts propres et indiquer la date d'acquisition et le nombre de titres détenus.</t>
  </si>
  <si>
    <t>NOTE 10
SYSTEME NORMAL</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</si>
  <si>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</si>
  <si>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</si>
  <si>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</si>
  <si>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</si>
  <si>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</si>
  <si>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</si>
  <si>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</si>
  <si>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</si>
  <si>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</si>
  <si>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   Commenter toute variation significative ;</t>
  </si>
  <si>
    <t>NOTE 11
SYSTEME NORMAL</t>
  </si>
  <si>
    <t>NOTE 11 : DISPONIBILITES</t>
  </si>
  <si>
    <t>Banques locales</t>
  </si>
  <si>
    <t>Banques autres états région</t>
  </si>
  <si>
    <t>Banques, dépôt à terme</t>
  </si>
  <si>
    <t>Autres Banques</t>
  </si>
  <si>
    <t>Banques intérêts courus</t>
  </si>
  <si>
    <t>Chèques postaux</t>
  </si>
  <si>
    <t>Autres établissement financiers</t>
  </si>
  <si>
    <t>Etablissement financiers intérêts courus</t>
  </si>
  <si>
    <t>Instruments de trésorerie</t>
  </si>
  <si>
    <t>Instruments de monnaie  électronique</t>
  </si>
  <si>
    <t>Caisse</t>
  </si>
  <si>
    <t>Régies d'avances et virements accréditifs</t>
  </si>
  <si>
    <t>TOTAL BRUT DISPONIBILITES</t>
  </si>
  <si>
    <t>Dépréciations</t>
  </si>
  <si>
    <t>●   Indiquer la date de rapprochement des comptes bancaires.</t>
  </si>
  <si>
    <r>
      <t xml:space="preserve">●   </t>
    </r>
    <r>
      <rPr>
        <sz val="8"/>
        <color indexed="8"/>
        <rFont val="Times New Roman"/>
        <family val="1"/>
      </rPr>
      <t>Indiquer la date d'inventaire de la caisse et des instruments de monnaie électronique.</t>
    </r>
  </si>
  <si>
    <r>
      <t xml:space="preserve">●   </t>
    </r>
    <r>
      <rPr>
        <sz val="8"/>
        <color indexed="8"/>
        <rFont val="Times New Roman"/>
        <family val="1"/>
      </rPr>
      <t>Justifier toute variation significative.</t>
    </r>
  </si>
  <si>
    <r>
      <t xml:space="preserve">●   </t>
    </r>
    <r>
      <rPr>
        <sz val="8"/>
        <color indexed="8"/>
        <rFont val="Times New Roman"/>
        <family val="1"/>
      </rPr>
      <t>Détailler les instruments de monnaie électronique si le montant est significatif.</t>
    </r>
  </si>
  <si>
    <r>
      <t xml:space="preserve">●   </t>
    </r>
    <r>
      <rPr>
        <sz val="8"/>
        <color indexed="8"/>
        <rFont val="Times New Roman"/>
        <family val="1"/>
      </rPr>
      <t>Indiquer les événements et circonstances qui ont conduit à la dépréciation et à la reprise.</t>
    </r>
  </si>
  <si>
    <t>NB : Banques et intérêts courus et Etablissement financiers intérêts courus figurent dans cette rubrique en négatif si le compte principal attaché est débiteur</t>
  </si>
  <si>
    <t>NOTE 12
SYSTEME NORMAL</t>
  </si>
  <si>
    <t>NOTE 12 : ECARTS DE CONVERSION ET TRANSFERTS DE CHARGES</t>
  </si>
  <si>
    <t>ECARTS DE CONVERSION</t>
  </si>
  <si>
    <t>Devises</t>
  </si>
  <si>
    <t>Montant
en devises</t>
  </si>
  <si>
    <t>Cours UML
Année
acquisition</t>
  </si>
  <si>
    <t>Cours UML
31/12</t>
  </si>
  <si>
    <t xml:space="preserve">Variation 
en valeur
</t>
  </si>
  <si>
    <r>
      <rPr>
        <b/>
        <sz val="9"/>
        <color theme="1"/>
        <rFont val="Arial"/>
        <family val="2"/>
      </rPr>
      <t xml:space="preserve">Ecarts de conversion actif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</si>
  <si>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Ecart de conversion passif : </t>
    </r>
    <r>
      <rPr>
        <sz val="9"/>
        <color theme="1"/>
        <rFont val="Arial"/>
        <family val="2"/>
      </rPr>
      <t xml:space="preserve">
</t>
    </r>
    <r>
      <rPr>
        <i/>
        <sz val="9"/>
        <color theme="1"/>
        <rFont val="Arial"/>
        <family val="2"/>
      </rPr>
      <t>détailler les créances et dettes concernées</t>
    </r>
  </si>
  <si>
    <r>
      <rPr>
        <b/>
        <sz val="8"/>
        <color theme="1"/>
        <rFont val="Times New Roman"/>
        <family val="1"/>
      </rPr>
      <t>UML</t>
    </r>
    <r>
      <rPr>
        <sz val="8"/>
        <color theme="1"/>
        <rFont val="Times New Roman"/>
        <family val="1"/>
      </rPr>
      <t xml:space="preserve"> : Unités Monétaires légales
</t>
    </r>
    <r>
      <rPr>
        <b/>
        <sz val="8"/>
        <color theme="1"/>
        <rFont val="Times New Roman"/>
        <family val="1"/>
      </rPr>
      <t xml:space="preserve">Commentaire: </t>
    </r>
    <r>
      <rPr>
        <sz val="8"/>
        <color theme="1"/>
        <rFont val="Times New Roman"/>
        <family val="1"/>
      </rPr>
      <t xml:space="preserve"> Faire un commentaire.</t>
    </r>
  </si>
  <si>
    <t>TRANSFERTS DE CHARGES</t>
  </si>
  <si>
    <r>
      <rPr>
        <b/>
        <sz val="9"/>
        <color theme="1"/>
        <rFont val="Arial"/>
        <family val="2"/>
      </rPr>
      <t xml:space="preserve">Transferts de charges d'exploitation : </t>
    </r>
    <r>
      <rPr>
        <sz val="9"/>
        <color theme="1"/>
        <rFont val="Arial"/>
        <family val="2"/>
      </rPr>
      <t xml:space="preserve">
</t>
    </r>
    <r>
      <rPr>
        <i/>
        <sz val="9"/>
        <color theme="1"/>
        <rFont val="Arial"/>
        <family val="2"/>
      </rPr>
      <t>détailler la nature des charges transférées et leurs comptes de provenance (1)</t>
    </r>
  </si>
  <si>
    <t>(1): Leurs comptes d'origine: autrement dit indiquerles numéros de comptes d'où le transfert est effectué.</t>
  </si>
  <si>
    <r>
      <t xml:space="preserve">Commentaire:  </t>
    </r>
    <r>
      <rPr>
        <sz val="8"/>
        <color theme="1"/>
        <rFont val="Times New Roman"/>
        <family val="1"/>
      </rPr>
      <t>Faire un commentaire.</t>
    </r>
  </si>
  <si>
    <t>NOTE 13
SYSTEME NORMAL</t>
  </si>
  <si>
    <t>NOTE 13 : CAPITAL</t>
  </si>
  <si>
    <t>Valeur nominale des actions ou parts :</t>
  </si>
  <si>
    <t>Nom et prénoms ou raison sociale</t>
  </si>
  <si>
    <t>N° de compte contribuable</t>
  </si>
  <si>
    <t>Autres nationalités à préciser</t>
  </si>
  <si>
    <t>Pays de résidence</t>
  </si>
  <si>
    <t>Nature des
actions ou parts
(Ordinaires ou
préférences)</t>
  </si>
  <si>
    <t>Nombre</t>
  </si>
  <si>
    <t>Montant total</t>
  </si>
  <si>
    <t>Cessions ou
remboursements
en cours
d'exercice</t>
  </si>
  <si>
    <t>Apporteurs, capital non appelé</t>
  </si>
  <si>
    <r>
      <t xml:space="preserve">●   </t>
    </r>
    <r>
      <rPr>
        <sz val="8"/>
        <color indexed="8"/>
        <rFont val="Times New Roman"/>
        <family val="1"/>
      </rPr>
      <t>Indiquer si possible le montant du capital à la constitution.</t>
    </r>
  </si>
  <si>
    <t xml:space="preserve">●  Pour les attributions gratuites d'actions indiquer : </t>
  </si>
  <si>
    <t>●   Indiquer si possible les dates des AGE et le montant du capital augmenté en cas d'augmentation de capital.</t>
  </si>
  <si>
    <t>- Date de délibération de l’AGE qui décide de l’attribution des actions </t>
  </si>
  <si>
    <r>
      <t xml:space="preserve">●   </t>
    </r>
    <r>
      <rPr>
        <sz val="8"/>
        <color indexed="8"/>
        <rFont val="Times New Roman"/>
        <family val="1"/>
      </rPr>
      <t>Indiquer si possible les dates des AGE et le montant du capital diminué en cas de réduction de capital.</t>
    </r>
  </si>
  <si>
    <t xml:space="preserve">- Pourcentage maximum du capital social à attribuer au personnel salarié </t>
  </si>
  <si>
    <r>
      <t xml:space="preserve">●   </t>
    </r>
    <r>
      <rPr>
        <sz val="8"/>
        <color indexed="8"/>
        <rFont val="Times New Roman"/>
        <family val="1"/>
      </rPr>
      <t>Indiquer les avantages accordés aux actions de préférence.</t>
    </r>
  </si>
  <si>
    <t>- Pourcentage maximum du capital social à attribuer aux dirigeants </t>
  </si>
  <si>
    <r>
      <t xml:space="preserve">●   </t>
    </r>
    <r>
      <rPr>
        <sz val="8"/>
        <color indexed="8"/>
        <rFont val="Times New Roman"/>
        <family val="1"/>
      </rPr>
      <t>Apporteurs, capital non appelé : indiquer le délai restant pour appeler le capital.</t>
    </r>
  </si>
  <si>
    <t>- Nombre d’actions à attribuer gratuitement </t>
  </si>
  <si>
    <r>
      <t>- Délai de conservation des actions par les bénéficiaires </t>
    </r>
    <r>
      <rPr>
        <b/>
        <sz val="8"/>
        <rFont val="Times New Roman"/>
        <family val="1"/>
      </rPr>
      <t xml:space="preserve">                                                                                                </t>
    </r>
  </si>
  <si>
    <t>- Nombre de ses actions propres que la société détient</t>
  </si>
  <si>
    <t>NOTE 14
SYSTEME NORMAL</t>
  </si>
  <si>
    <t>NOTE 14 : PRIMES ET RESERVES</t>
  </si>
  <si>
    <t xml:space="preserve">Variation en
valeur </t>
  </si>
  <si>
    <t>Primes d'émission</t>
  </si>
  <si>
    <t>Prime d'apport</t>
  </si>
  <si>
    <t>Prime de fusion</t>
  </si>
  <si>
    <t>Prime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</si>
  <si>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</si>
  <si>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</si>
  <si>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</si>
  <si>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</si>
  <si>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</si>
  <si>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</si>
  <si>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</si>
  <si>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</si>
  <si>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Report à nouveau</t>
  </si>
  <si>
    <r>
      <t xml:space="preserve">●   </t>
    </r>
    <r>
      <rPr>
        <sz val="8"/>
        <color indexed="8"/>
        <rFont val="Times New Roman"/>
        <family val="1"/>
      </rPr>
      <t>Indiquer les dates de l'AGE qui a décidé des primes d'apport, d'émission de fusion.</t>
    </r>
  </si>
  <si>
    <r>
      <t xml:space="preserve">●   </t>
    </r>
    <r>
      <rPr>
        <sz val="8"/>
        <color indexed="8"/>
        <rFont val="Times New Roman"/>
        <family val="1"/>
      </rPr>
      <t>Indiquer le détail des réserves libres.</t>
    </r>
  </si>
  <si>
    <r>
      <t xml:space="preserve">●   </t>
    </r>
    <r>
      <rPr>
        <sz val="8"/>
        <color indexed="8"/>
        <rFont val="Times New Roman"/>
        <family val="1"/>
      </rPr>
      <t>Indiquer le montant restant à doter et le taux de dotation de la réserve légale.</t>
    </r>
  </si>
  <si>
    <r>
      <t xml:space="preserve">●   </t>
    </r>
    <r>
      <rPr>
        <sz val="8"/>
        <color indexed="8"/>
        <rFont val="Times New Roman"/>
        <family val="1"/>
      </rPr>
      <t>Indiquer la date de l'AGO qui justifie la variation des réserves et du report à nouveau.</t>
    </r>
  </si>
  <si>
    <t>NOTE 15A
SYSTEME NORMAL</t>
  </si>
  <si>
    <t>NOTE 15A : SUBVENTIONS D'INVESTISSEMENT ET PROVISIONS REGLEMENTEES</t>
  </si>
  <si>
    <t xml:space="preserve">Variation
en valeur
</t>
  </si>
  <si>
    <t>Régime
fiscal</t>
  </si>
  <si>
    <t>Echéances</t>
  </si>
  <si>
    <t>État</t>
  </si>
  <si>
    <t>Régions</t>
  </si>
  <si>
    <t>Départements</t>
  </si>
  <si>
    <t>Communes et collectivités publiques décentralisées</t>
  </si>
  <si>
    <t>Entités publiques ou mixtes</t>
  </si>
  <si>
    <t>Entités et organismes privés</t>
  </si>
  <si>
    <t>Autres</t>
  </si>
  <si>
    <t>TOTAL SUBVENTIONS</t>
  </si>
  <si>
    <t>Amortissements dérogatoires</t>
  </si>
  <si>
    <t>Plus-value de cession à réinvestir</t>
  </si>
  <si>
    <t>Provisions spéciales de réévaluation</t>
  </si>
  <si>
    <t>3E</t>
  </si>
  <si>
    <t>Provisions réglementées relatives aux immobilisations</t>
  </si>
  <si>
    <t>Provisions pour investissement</t>
  </si>
  <si>
    <t>TOTAL PROVISIONS REGLEMENTEES</t>
  </si>
  <si>
    <t>TOTAL SUBVENTIONS ET PROVISIONS REGLEMENTEES</t>
  </si>
  <si>
    <r>
      <t xml:space="preserve">●   </t>
    </r>
    <r>
      <rPr>
        <sz val="8"/>
        <color indexed="8"/>
        <rFont val="Times New Roman"/>
        <family val="1"/>
      </rPr>
      <t xml:space="preserve">Indiquer pour la subvention la date d’octroi, la nature, les obligations éventuelles. </t>
    </r>
  </si>
  <si>
    <r>
      <t xml:space="preserve">●   </t>
    </r>
    <r>
      <rPr>
        <sz val="8"/>
        <color indexed="8"/>
        <rFont val="Times New Roman"/>
        <family val="1"/>
      </rPr>
      <t>Pour les provisions réglementées, indiquer le texte de référence, les obligations. Commenter toute variation significative.</t>
    </r>
  </si>
  <si>
    <t>●  Commenter toute variation significative.</t>
  </si>
  <si>
    <t>NOTE 15B
SYSTEME NORMAL</t>
  </si>
  <si>
    <r>
      <t>NOTE 15B : AUTRES  FONDS  PROPRES (</t>
    </r>
    <r>
      <rPr>
        <b/>
        <vertAlign val="superscript"/>
        <sz val="11"/>
        <color rgb="FF006600"/>
        <rFont val="Arial"/>
        <family val="2"/>
      </rPr>
      <t>1</t>
    </r>
    <r>
      <rPr>
        <b/>
        <sz val="11"/>
        <color rgb="FF006600"/>
        <rFont val="Arial"/>
        <family val="2"/>
      </rPr>
      <t>)</t>
    </r>
  </si>
  <si>
    <t>Titres participatifs</t>
  </si>
  <si>
    <t>Avances conditionnées</t>
  </si>
  <si>
    <t>Titres subordonnés à durée indéterminée (T.S.D.I.)</t>
  </si>
  <si>
    <t>Obligations remboursables en actions (O.R.A.)</t>
  </si>
  <si>
    <t xml:space="preserve"> Autres avances et dettes assorties de conditions particulières</t>
  </si>
  <si>
    <t>TOTAL AUTRES FONDS PROPRES</t>
  </si>
  <si>
    <t>(1) Le  cas  échéant,  une  rubrique  "Autres  fonds  propres"  (montant des émissions de titres participatifs, avances conditionnées, ...) sur une ligne séparée est  intercalée  entre  les  rubriques "Total capitaux propres et ressources assimilées " et  "Emprunts et dettes financières" si le montant des autres fonds propres est significatif.</t>
  </si>
  <si>
    <r>
      <t xml:space="preserve">●   </t>
    </r>
    <r>
      <rPr>
        <sz val="8"/>
        <color indexed="8"/>
        <rFont val="Times New Roman"/>
        <family val="1"/>
      </rPr>
      <t xml:space="preserve">Justifier l'inscription de ces dettes dans une rubrique spécifique du passif du bilan "autres fonds propres"(faible probabilité de remboursement, absence d’échéancier...) </t>
    </r>
  </si>
  <si>
    <r>
      <t xml:space="preserve">●   </t>
    </r>
    <r>
      <rPr>
        <sz val="8"/>
        <color indexed="8"/>
        <rFont val="Times New Roman"/>
        <family val="1"/>
      </rPr>
      <t>Justifier le caractère significatif du montant total de cette rubrique</t>
    </r>
  </si>
  <si>
    <r>
      <t xml:space="preserve">●   </t>
    </r>
    <r>
      <rPr>
        <sz val="8"/>
        <color indexed="8"/>
        <rFont val="Times New Roman"/>
        <family val="1"/>
      </rPr>
      <t>Commenter toute variation significative</t>
    </r>
  </si>
  <si>
    <t>NOTE 16A
SYSTEME NORMAL</t>
  </si>
  <si>
    <t>NOTE 16A : DETTES FINANCIERES ET RESSOURCES ASSIMILES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</si>
  <si>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</si>
  <si>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</si>
  <si>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</si>
  <si>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</si>
  <si>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</si>
  <si>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</si>
  <si>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</si>
  <si>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</si>
  <si>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et dettes assorties de conditions particulières</t>
  </si>
  <si>
    <t>Autres emprunts et dettes</t>
  </si>
  <si>
    <t>Dettes liées à des participations et sociétés en participation</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</si>
  <si>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</si>
  <si>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</si>
  <si>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</si>
  <si>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</si>
  <si>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</si>
  <si>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</si>
  <si>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</si>
  <si>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</si>
  <si>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</si>
  <si>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</si>
  <si>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</si>
  <si>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</si>
  <si>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 - engagements de retraite</t>
  </si>
  <si>
    <t>Actif du régime de retraite (1)</t>
  </si>
  <si>
    <t>Provisions pour restructuration</t>
  </si>
  <si>
    <t>Provisions pour amendes et pénalités</t>
  </si>
  <si>
    <t>Provisions pour propre assureur</t>
  </si>
  <si>
    <t>Provisions pour démantèlement et remise en état</t>
  </si>
  <si>
    <t>Provisions de droits à réduction ou avantage en nature</t>
  </si>
  <si>
    <t>Autres provisions</t>
  </si>
  <si>
    <t>TOTAL PROVISIONS POUR RISQUES ET CHARGES</t>
  </si>
  <si>
    <t>(1): Le solde de ce compte est débiteur</t>
  </si>
  <si>
    <t>Commentaire:</t>
  </si>
  <si>
    <t>Pour chaque emprunt et dette de location acquisition: mentionner la date d'octroi, le nom de l'organisme financier, le montant initial de l'emprunt ou de la dette, la durée du crédit, les garanties données par la société.</t>
  </si>
  <si>
    <t>●   Indiquer les événements et circonstances qui ont conduit à la provision et à la reprise.</t>
  </si>
  <si>
    <t>●   Pour les pensions et obligations de retraite, indiquer :</t>
  </si>
  <si>
    <t xml:space="preserve">    - la méthode d'évaluation retenue</t>
  </si>
  <si>
    <t xml:space="preserve">     - le nom de la compagnie d'assurance ou du fonds de pension, le descriptif de la convention signée avec l'organisme, la périodicité des versements, le montant et la durée de la convention, pour les actifs du régime.</t>
  </si>
  <si>
    <t>NOTE 16B
SYSTEME NORMAL</t>
  </si>
  <si>
    <t>NOTE 16B : ENGAGEMENTS DE RETRAITE ET AVANTAGES ASSIMILES : (METHODE ACTUARIELLE)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</si>
  <si>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</si>
  <si>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</si>
  <si>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</si>
  <si>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</si>
  <si>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</si>
  <si>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</si>
  <si>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</si>
  <si>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 xml:space="preserve">●   </t>
    </r>
    <r>
      <rPr>
        <sz val="8"/>
        <color indexed="8"/>
        <rFont val="Times New Roman"/>
        <family val="1"/>
      </rPr>
      <t>Commenter les variations d'hypothèses actuarielles utilisées pour le calcul des engagements de retraite et avantages assimilés.</t>
    </r>
  </si>
  <si>
    <t>VARIATION DE LA VALEUR DE L'ENGAGEMENT DE RETRAITE 
AU COURS DE L'EXERCICE</t>
  </si>
  <si>
    <t>Obligation au titre des engagements de retraite à l'ouverture</t>
  </si>
  <si>
    <t>Coût des services rendus au cours de l'exercice</t>
  </si>
  <si>
    <t>Coût financier</t>
  </si>
  <si>
    <t>Pertes actuarielles / (gain)</t>
  </si>
  <si>
    <t>Prestations payées au cours de l'exercice</t>
  </si>
  <si>
    <t>Coût des services passés</t>
  </si>
  <si>
    <t>Obligation au titre des engagements de retraite à la clôture</t>
  </si>
  <si>
    <r>
      <t xml:space="preserve">●   </t>
    </r>
    <r>
      <rPr>
        <sz val="8"/>
        <color indexed="8"/>
        <rFont val="Times New Roman"/>
        <family val="1"/>
      </rPr>
      <t>Indiquer le montant de la charge par nature comptabilisée au cours de exercice</t>
    </r>
  </si>
  <si>
    <t>ANALYSE DE SENSIBILITE DES HYPOTHESES ACTUARIELLES</t>
  </si>
  <si>
    <t>Augmentation</t>
  </si>
  <si>
    <t>Diminution</t>
  </si>
  <si>
    <t>Taux d'actualisation (variation de ...%)</t>
  </si>
  <si>
    <t>Taux de progression des salaires (variation de ...%)</t>
  </si>
  <si>
    <t>Taux de départ du personnel (variation de ...%)</t>
  </si>
  <si>
    <r>
      <t xml:space="preserve">●   </t>
    </r>
    <r>
      <rPr>
        <sz val="8"/>
        <color indexed="8"/>
        <rFont val="Times New Roman"/>
        <family val="1"/>
      </rPr>
      <t>Indiquer l’impact des variations obtenues sur le montant des engagements de retraite.</t>
    </r>
  </si>
  <si>
    <t>NOTE 16B BIS
SYSTEME NORMAL</t>
  </si>
  <si>
    <t>NOTE 16B BIS : ENGAGEMENTS DE RETRAITE ET AVANTAGES ASSIMILES : (METHODE ACTUARIELLE SUITE)</t>
  </si>
  <si>
    <t>ACTIF/PASSIF NET COMPTABILISE AU TITRE DES REGIMES FINANCES</t>
  </si>
  <si>
    <t>Valeur actuelle de l'obligation résultant de régimes financés</t>
  </si>
  <si>
    <t>Valeur actuelle des actifs affectés aux plans de retraite</t>
  </si>
  <si>
    <t>Excédent / Déficit de régime</t>
  </si>
  <si>
    <r>
      <t xml:space="preserve">●   </t>
    </r>
    <r>
      <rPr>
        <sz val="8"/>
        <color indexed="8"/>
        <rFont val="Times New Roman"/>
        <family val="1"/>
      </rPr>
      <t>Indiquer le montant comptabilisé au passif (ou actif) à la clôture de l'exercice.</t>
    </r>
  </si>
  <si>
    <t>VALEUR ACTUELLE DES ACTIFS DU REGIME</t>
  </si>
  <si>
    <t>Rendement
attendu</t>
  </si>
  <si>
    <t>Juste valeur
des actifs</t>
  </si>
  <si>
    <t>Rendement 
attendu</t>
  </si>
  <si>
    <t>Total</t>
  </si>
  <si>
    <r>
      <t xml:space="preserve">●   </t>
    </r>
    <r>
      <rPr>
        <sz val="8"/>
        <color indexed="8"/>
        <rFont val="Times New Roman"/>
        <family val="1"/>
      </rPr>
      <t>Expliquer comment les taux de rendement par catégorie d’actifs et global ont été déterminés</t>
    </r>
  </si>
  <si>
    <r>
      <t xml:space="preserve">●   </t>
    </r>
    <r>
      <rPr>
        <sz val="8"/>
        <color indexed="8"/>
        <rFont val="Times New Roman"/>
        <family val="1"/>
      </rPr>
      <t>Indiquer le montant des rendements réels des actifs affectés aux plans en N et N-1</t>
    </r>
  </si>
  <si>
    <t>NOTE 16C
SYSTEME NORMAL</t>
  </si>
  <si>
    <t>NOTE 16C : ACTIFS ET PASSIFS EVENTUELS</t>
  </si>
  <si>
    <t>Actif éventuel</t>
  </si>
  <si>
    <t>Litiges</t>
  </si>
  <si>
    <t>Passif éventuel</t>
  </si>
  <si>
    <r>
      <t xml:space="preserve">●   </t>
    </r>
    <r>
      <rPr>
        <sz val="8"/>
        <color indexed="8"/>
        <rFont val="Times New Roman"/>
        <family val="1"/>
      </rPr>
      <t>Décrire les principales caractéristiques des actifs / passifs éventuels, l’horizon de temps auquel les encaissements / décaissements sont attendus et les éventuels remboursements à percevoir.</t>
    </r>
  </si>
  <si>
    <t>NOTE 17
SYSTEME NORMAL</t>
  </si>
  <si>
    <t>NOTE 17 : FOURNISSEURS D'EXPLOITATION</t>
  </si>
  <si>
    <t>Dettes à un
an au plus</t>
  </si>
  <si>
    <t>Dettes à plus
d'un an et à
deux ans
au plus</t>
  </si>
  <si>
    <t>Fournisseurs dettes en compte (hors groupe)</t>
  </si>
  <si>
    <t>Fournisseurs, sous-traitants</t>
  </si>
  <si>
    <t>Fournisseurs, réserve de propriété</t>
  </si>
  <si>
    <t>Fournisseurs, retenue de garantie</t>
  </si>
  <si>
    <t>Fournisseurs effets à payer (hors groupe)</t>
  </si>
  <si>
    <t>Fournisseurs, dettes et effets à payer groupe</t>
  </si>
  <si>
    <t>Fournisseurs, acquisitions courantes d'immobilisations</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</si>
  <si>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</si>
  <si>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</si>
  <si>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</si>
  <si>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</si>
  <si>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</si>
  <si>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</si>
  <si>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</si>
  <si>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Commentaire</t>
    </r>
    <r>
      <rPr>
        <sz val="8"/>
        <rFont val="Times New Roman"/>
        <family val="1"/>
      </rPr>
      <t>:</t>
    </r>
  </si>
  <si>
    <t>●   Indiquer pour les dettes du groupe le nom de la société du groupe et le % de titres détenus.</t>
  </si>
  <si>
    <t>●   Commenter les dettes anciennes.</t>
  </si>
  <si>
    <t>NOTE 18
SYSTEME NORMAL</t>
  </si>
  <si>
    <t>NOTE 18 : DETTES FISCALES ET SOCIALES</t>
  </si>
  <si>
    <t>Dettes à plus
d'un an et à
deux ans au plus</t>
  </si>
  <si>
    <t>Personnel rémunérations dues</t>
  </si>
  <si>
    <t xml:space="preserve">   Personnel, congés à payer</t>
  </si>
  <si>
    <t xml:space="preserve">   Charges sociales sur congés à payer</t>
  </si>
  <si>
    <t>Autres personnel</t>
  </si>
  <si>
    <t>Caisse de sécurité sociale</t>
  </si>
  <si>
    <t>Caisse de retraite</t>
  </si>
  <si>
    <t>Mutuelle de santé</t>
  </si>
  <si>
    <t>Assurance Retraite</t>
  </si>
  <si>
    <t>Autres charges sociales à payer</t>
  </si>
  <si>
    <t>Autres cotisations et organismes sociaux</t>
  </si>
  <si>
    <t>TOTAL DETTES SOCIALES</t>
  </si>
  <si>
    <t>Etat, impôts sur les bénéfices</t>
  </si>
  <si>
    <t>Etat, impôts et taxes</t>
  </si>
  <si>
    <t>Etat, TVA</t>
  </si>
  <si>
    <t>Etat, impôts retenus à la source</t>
  </si>
  <si>
    <t>Autres dettes Etat</t>
  </si>
  <si>
    <t>TOTAL DETTES FISCALES</t>
  </si>
  <si>
    <t>TOTAL DETTES SOCIALES ET FISCALES</t>
  </si>
  <si>
    <t>●   Commenter toute variation significative.</t>
  </si>
  <si>
    <t>●   Commenter les dettes anciennes</t>
  </si>
  <si>
    <t>NOTE 19
SYSTEME NORMAL</t>
  </si>
  <si>
    <t>NOTE 19 : AUTRES DETTES ET PROVISIONS POUR RISQUES ET CHARGES A COURT TERME</t>
  </si>
  <si>
    <t>Variation en
valeur</t>
  </si>
  <si>
    <t>Dettes à plus
d'un an et à deux
ans au plus</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</si>
  <si>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</si>
  <si>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</si>
  <si>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</si>
  <si>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</si>
  <si>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</si>
  <si>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</si>
  <si>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</si>
  <si>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</si>
  <si>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Compte d'affacturage et de titrisation</t>
  </si>
  <si>
    <t>Versements restant à effectuer sur titres de placement
non libérés</t>
  </si>
  <si>
    <t>Compte transitoire ajustement spécial lié à la révision du
SYSCOHADA (Voir Note 8B)</t>
  </si>
  <si>
    <t>Autres créditeurs divers</t>
  </si>
  <si>
    <t>TOTAL  CREDITEURS DIVERS</t>
  </si>
  <si>
    <t>Comptes permanents non bloqués des établissements et
des succursales</t>
  </si>
  <si>
    <t>TOTAL  COMPTES DE LIAISON</t>
  </si>
  <si>
    <t>TOTAL  AUTRES DETTES</t>
  </si>
  <si>
    <t>Provisions pour risques et charges à court terme (voir note 28)</t>
  </si>
  <si>
    <r>
      <t xml:space="preserve">●   </t>
    </r>
    <r>
      <rPr>
        <sz val="8"/>
        <color indexed="8"/>
        <rFont val="Times New Roman"/>
        <family val="1"/>
      </rPr>
      <t>Commenter toute variation significative.</t>
    </r>
  </si>
  <si>
    <r>
      <t xml:space="preserve">●   </t>
    </r>
    <r>
      <rPr>
        <sz val="8"/>
        <color indexed="8"/>
        <rFont val="Times New Roman"/>
        <family val="1"/>
      </rPr>
      <t>Indiquer le taux de rémunération si compte courant rémunéré.</t>
    </r>
  </si>
  <si>
    <r>
      <t xml:space="preserve">●   </t>
    </r>
    <r>
      <rPr>
        <sz val="8"/>
        <color indexed="8"/>
        <rFont val="Times New Roman"/>
        <family val="1"/>
      </rPr>
      <t>Commenter les dettes anciennes.</t>
    </r>
  </si>
  <si>
    <r>
      <t xml:space="preserve">●   </t>
    </r>
    <r>
      <rPr>
        <sz val="8"/>
        <color indexed="8"/>
        <rFont val="Times New Roman"/>
        <family val="1"/>
      </rPr>
      <t>Compte transitoire ajustement spécial, indiquer le détail du compte et la durée restant pour l'apurement.</t>
    </r>
  </si>
  <si>
    <t>NOTE 20
SYSTEME NORMAL</t>
  </si>
  <si>
    <t>NOTE 20 : BANQUES, CREDIT D'ESCOMPTE ET DE TRESORERIE</t>
  </si>
  <si>
    <t>Escomptes de crédit de campagne</t>
  </si>
  <si>
    <t>Escomptes de crédit ordinaires</t>
  </si>
  <si>
    <t>TOTAL: BANQUES, CREDITS D'ESCOMPTE ET DE TRESORERIE</t>
  </si>
  <si>
    <t>Crédit de trésorerie</t>
  </si>
  <si>
    <t>TOTAL: BANQUES, CREDITS DE TRESORERIE</t>
  </si>
  <si>
    <r>
      <t xml:space="preserve">●   </t>
    </r>
    <r>
      <rPr>
        <sz val="8"/>
        <color indexed="8"/>
        <rFont val="Times New Roman"/>
        <family val="1"/>
      </rPr>
      <t>Indiquer le nom de l'organisme les conditions de crédit, le taux d'intérêt, la durée du crédit.</t>
    </r>
  </si>
  <si>
    <t>NB : Banques et intérêts courus figurent dans cette rubrique si le compte principal attaché est créditeur.</t>
  </si>
  <si>
    <t>NOTE 21
SYSTEME NORMAL</t>
  </si>
  <si>
    <t>NOTE 21 : CHIFFRE D’AFFAIRES ET AUTRES PRODUITS</t>
  </si>
  <si>
    <t>Ventes de marchandises dans l'Etat partie</t>
  </si>
  <si>
    <t>Ventes de marchandises dans les autres Etats parties de la Région (2)</t>
  </si>
  <si>
    <t>Ventes de marchandises hors Région (2)</t>
  </si>
  <si>
    <t>Ventes de marchandises groupe</t>
  </si>
  <si>
    <t>Ventes de marchandises sur internet</t>
  </si>
  <si>
    <t>TOTAL : VENTES MARCHANDISES</t>
  </si>
  <si>
    <t>Ventes de produits fabriqués dans l'Etat partie</t>
  </si>
  <si>
    <t>Ventes de produits fabriqués dans les autres Etats parties de la Région (2)</t>
  </si>
  <si>
    <t>Ventes de produits fabriqués hors Région (2)</t>
  </si>
  <si>
    <t>Ventes de produits fabriqués groupe</t>
  </si>
  <si>
    <t>Ventes de produits fabriqués sur internet</t>
  </si>
  <si>
    <t>TOTAL : VENTES DE PRODUITS FABRIQUES</t>
  </si>
  <si>
    <t>Ventes  de travaux et services dans l'Etat partie</t>
  </si>
  <si>
    <t>Ventes  de travaux et services dans les autres Etats parties de la Région (2)</t>
  </si>
  <si>
    <t>Ventes de travaux et services hors Région (2)</t>
  </si>
  <si>
    <t>Ventes de travaux et services  groupe</t>
  </si>
  <si>
    <t>Ventes de travaux et services  sur internet</t>
  </si>
  <si>
    <t>TOTAL : VENTES DE TRAVAUX ET SERVICES VENDUS</t>
  </si>
  <si>
    <r>
      <t>Produits accessoires à détailler par nature d'activité économique :</t>
    </r>
    <r>
      <rPr>
        <b/>
        <i/>
        <sz val="9"/>
        <rFont val="Arial"/>
        <family val="2"/>
      </rPr>
      <t xml:space="preserve">
dont le détail de la rubrique "Divers" de la Fiche R2</t>
    </r>
  </si>
  <si>
    <t>TOTAL : CHIFFRES D'AFFAIRES</t>
  </si>
  <si>
    <t>Subventions d'exploitation</t>
  </si>
  <si>
    <t>Autres produits (1)</t>
  </si>
  <si>
    <t>TOTAL : AUTRES PRODUITS</t>
  </si>
  <si>
    <t>(1): Sous cette rubrique, les "Divers" de la Fiche R2 ne doivent pas figurer. Il s'agit ici des comptes 75…</t>
  </si>
  <si>
    <t>(2): "Région" indique la zone UEMOA  pour les pays UEMOA, la zone CEMAC pour les pays CEMAC, autre zone pour les autres pays OHADA.</t>
  </si>
  <si>
    <r>
      <t xml:space="preserve">●   </t>
    </r>
    <r>
      <rPr>
        <sz val="8"/>
        <color indexed="8"/>
        <rFont val="Times New Roman"/>
        <family val="1"/>
      </rPr>
      <t>Détailler: produits intermédiaires, produits résiduels, produits accessoires et autres produits si significatifs.</t>
    </r>
  </si>
  <si>
    <r>
      <t>●   Dans le cas de location</t>
    </r>
    <r>
      <rPr>
        <sz val="8"/>
        <color rgb="FFC00000"/>
        <rFont val="Times New Roman"/>
        <family val="1"/>
      </rPr>
      <t>-</t>
    </r>
    <r>
      <rPr>
        <sz val="8"/>
        <rFont val="Times New Roman"/>
        <family val="1"/>
      </rPr>
      <t>f</t>
    </r>
    <r>
      <rPr>
        <sz val="8"/>
        <color theme="1"/>
        <rFont val="Times New Roman"/>
        <family val="1"/>
      </rPr>
      <t xml:space="preserve">inancement fournir les informations suivantes </t>
    </r>
    <r>
      <rPr>
        <sz val="8"/>
        <color theme="1"/>
        <rFont val="Times New Roman"/>
        <family val="1"/>
      </rPr>
      <t xml:space="preserve">: </t>
    </r>
  </si>
  <si>
    <t xml:space="preserve">- Résultat de la vente </t>
  </si>
  <si>
    <t>- Produits financiers sur l’investissement net</t>
  </si>
  <si>
    <t>- Revenus locatifs liés aux loyers variables  non inclus dans l’investissement net</t>
  </si>
  <si>
    <t>- Echéances des  loyers à recevoir :</t>
  </si>
  <si>
    <t xml:space="preserve">         • jusqu’à 1 an 
         • de 1 an à 5 ans
         • à plus de 5 ans </t>
  </si>
  <si>
    <t>NOTE 22
SYSTEME NORMAL</t>
  </si>
  <si>
    <t>NOTE 22 : ACHATS</t>
  </si>
  <si>
    <t>Achats de marchandises dans l'Etat partie</t>
  </si>
  <si>
    <t>Achats de marchandises dans les autres Etats parties de  la Région (1)</t>
  </si>
  <si>
    <t>Achats de marchandises hors Région (1)</t>
  </si>
  <si>
    <t>Achats de marchandises groupe</t>
  </si>
  <si>
    <t>TOTAL : ACHATS DE MARCHANDISES</t>
  </si>
  <si>
    <t>Achats de matières premières et fournitures liées  dans l'Etat partie</t>
  </si>
  <si>
    <t>Achats de matères premières et fournitures liées  dans les autres Etats parties de la Région (2)</t>
  </si>
  <si>
    <t>Achats matières premières et fournitures liées hors Région (2)</t>
  </si>
  <si>
    <t>Achats matières premières et fournitures liées groupe</t>
  </si>
  <si>
    <t>TOTAL : ACHATS MATIERES PREMIERES ET FOURNITURES LIEES</t>
  </si>
  <si>
    <t>Matières consommables</t>
  </si>
  <si>
    <t>Matières combustibles</t>
  </si>
  <si>
    <t>Produits d'entretien</t>
  </si>
  <si>
    <t>Fournitures d'atelier, d'usine et de magasin</t>
  </si>
  <si>
    <t>Eau</t>
  </si>
  <si>
    <t>Electricité</t>
  </si>
  <si>
    <t>Autres énergies</t>
  </si>
  <si>
    <t>Fourniture d'entretien</t>
  </si>
  <si>
    <t>Fourniture de bureau</t>
  </si>
  <si>
    <t>Petit matériel et outillages</t>
  </si>
  <si>
    <t>Achats études, prestations de services, de travaux matériels
et équipements</t>
  </si>
  <si>
    <t>Achats d'emballages</t>
  </si>
  <si>
    <t>Frais sur achats (1)</t>
  </si>
  <si>
    <t>Remises rabais, remises et ristournes (non ventilés)</t>
  </si>
  <si>
    <t>TOTAL : AUTRES ACHATS</t>
  </si>
  <si>
    <t>(1) voir la note "SUPPL5"</t>
  </si>
  <si>
    <t>NOTE 23
SYSTEME NORMAL</t>
  </si>
  <si>
    <t>NOTE 23 : TRANSPORTS</t>
  </si>
  <si>
    <t>Transports sur ventes</t>
  </si>
  <si>
    <t>Transports pour le compte de tiers</t>
  </si>
  <si>
    <t>Transport du personnel</t>
  </si>
  <si>
    <t>Transports de plis</t>
  </si>
  <si>
    <t>Voyage déplacement (transport)</t>
  </si>
  <si>
    <t>Transport entre établissements ou chantiers</t>
  </si>
  <si>
    <t>Transports administratifs</t>
  </si>
  <si>
    <t>NOTE 24
SYSTEME NORMAL</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</si>
  <si>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</si>
  <si>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</si>
  <si>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</si>
  <si>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</si>
  <si>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</si>
  <si>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</si>
  <si>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</si>
  <si>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</si>
  <si>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</si>
  <si>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</si>
  <si>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</si>
  <si>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</si>
  <si>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</si>
  <si>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</si>
  <si>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Rémunérations de personnel extérieur à l'entité</t>
  </si>
  <si>
    <t>Autres charges externes</t>
  </si>
  <si>
    <t>NOTE 25
SYSTEME NORMAL</t>
  </si>
  <si>
    <t>NOTE 25 : IMPOTS ET TAXES</t>
  </si>
  <si>
    <t>Impôts et taxes directs</t>
  </si>
  <si>
    <t>Impôts et taxes indirects</t>
  </si>
  <si>
    <t>Droits d'enregistrement</t>
  </si>
  <si>
    <t>Pénalités et amendes fiscales</t>
  </si>
  <si>
    <t>Autres impôts et taxes</t>
  </si>
  <si>
    <r>
      <t xml:space="preserve">●   </t>
    </r>
    <r>
      <rPr>
        <sz val="8"/>
        <color indexed="8"/>
        <rFont val="Times New Roman"/>
        <family val="1"/>
      </rPr>
      <t>Détailler les pénalités et amendes et indiquer la cause.</t>
    </r>
  </si>
  <si>
    <t>NOTE 26
SYSTEME NORMAL</t>
  </si>
  <si>
    <t>NOTE 26 : AUTRES CHARGES</t>
  </si>
  <si>
    <t>Pertes sur créances clients</t>
  </si>
  <si>
    <t>Pertes sur autres débiteurs</t>
  </si>
  <si>
    <t>Quote-part de résultat sur opérations faites en commun</t>
  </si>
  <si>
    <t>Valeur comptable des cessions courantes d'immobilisations</t>
  </si>
  <si>
    <t>Perte de change sur créances et dettes commerciales</t>
  </si>
  <si>
    <t>Pénalités et amendes pénales</t>
  </si>
  <si>
    <t>Indemnités de fonction et autres rémunérations d'administrateurs</t>
  </si>
  <si>
    <t>Dons et mécénat</t>
  </si>
  <si>
    <t>Autres charges diverses</t>
  </si>
  <si>
    <t>Charges pour dépréciations et provisions pour risques à court terme d'exploitation (voir note 28)</t>
  </si>
  <si>
    <r>
      <t xml:space="preserve">●   </t>
    </r>
    <r>
      <rPr>
        <sz val="8"/>
        <color indexed="8"/>
        <rFont val="Times New Roman"/>
        <family val="1"/>
      </rPr>
      <t>Indiquer la date du PV de l'AGO ou du CA qui fixe les rémunérations des administrateurs.</t>
    </r>
  </si>
  <si>
    <r>
      <t xml:space="preserve">●   </t>
    </r>
    <r>
      <rPr>
        <sz val="8"/>
        <color indexed="8"/>
        <rFont val="Times New Roman"/>
        <family val="1"/>
      </rPr>
      <t>Indiquer les organismes bénéficiaires des dons.</t>
    </r>
  </si>
  <si>
    <t>NOTE 27A
SYSTEME NORMAL</t>
  </si>
  <si>
    <t>NOTE 27A : CHARGES DE PERSONNEL</t>
  </si>
  <si>
    <t>Rémunérations directes versées au personnel national</t>
  </si>
  <si>
    <t>Rémunérations directes versées au personnel non national</t>
  </si>
  <si>
    <t>Indemnités forfaitaires versées au personnel</t>
  </si>
  <si>
    <t>Charges  sociales (personnel national)</t>
  </si>
  <si>
    <t>Charges sociales (personnel non national)</t>
  </si>
  <si>
    <t>Rémunérations et charges sociales de l'exploitant individuel</t>
  </si>
  <si>
    <t>Rémunération transférée de personnel extérieur</t>
  </si>
  <si>
    <t>Autres charges sociales</t>
  </si>
  <si>
    <r>
      <t xml:space="preserve">●   </t>
    </r>
    <r>
      <rPr>
        <sz val="8"/>
        <color indexed="8"/>
        <rFont val="Times New Roman"/>
        <family val="1"/>
      </rPr>
      <t>Indiquer la nature et la durée du contrat du personnel extérieur.</t>
    </r>
  </si>
  <si>
    <t>NOTE 27B
SYSTEME NORMAL</t>
  </si>
  <si>
    <t>NOTE 27B : EFFECTIFS, MASSE SALARIALE ET PERSONNEL EXTERIEUR</t>
  </si>
  <si>
    <t>EFFECTIF  ET MASSE SALARIALE</t>
  </si>
  <si>
    <t>EFFECTIFS</t>
  </si>
  <si>
    <t>MASSE SALARIALE</t>
  </si>
  <si>
    <t>Nationaux</t>
  </si>
  <si>
    <t>Autres
Etats de
la Région (3)</t>
  </si>
  <si>
    <t>Hors
Région (3)</t>
  </si>
  <si>
    <t>Autres Etats
de la Région (3)</t>
  </si>
  <si>
    <t>Hors Région (3)</t>
  </si>
  <si>
    <t>QUALIFICATIONS</t>
  </si>
  <si>
    <t>M</t>
  </si>
  <si>
    <t>YA</t>
  </si>
  <si>
    <t>1. Cadres supérieurs</t>
  </si>
  <si>
    <t>YB</t>
  </si>
  <si>
    <t>2. Techniciens supérieurs
et cadres moyens</t>
  </si>
  <si>
    <t>YC</t>
  </si>
  <si>
    <t>3. Techniciens, agents de maîtrise
et ouvriers  qualifiés</t>
  </si>
  <si>
    <t>YD</t>
  </si>
  <si>
    <t>4. Employés, manœuvres,
ouvriers, et apprentis</t>
  </si>
  <si>
    <t>YE</t>
  </si>
  <si>
    <t>TOTAL (1) (A)</t>
  </si>
  <si>
    <t>YF</t>
  </si>
  <si>
    <t>Permanents</t>
  </si>
  <si>
    <t>YG</t>
  </si>
  <si>
    <t>Saisonniers</t>
  </si>
  <si>
    <t>Facturation à l'entité</t>
  </si>
  <si>
    <t>2. Personnel extérieur</t>
  </si>
  <si>
    <t>YH</t>
  </si>
  <si>
    <t>B - Montants comptabilisés non rapportés
dans l'état 301 (2)</t>
  </si>
  <si>
    <t>YI</t>
  </si>
  <si>
    <t>YJ</t>
  </si>
  <si>
    <t>YK</t>
  </si>
  <si>
    <t>Total frais de personnel ligne RK
( A + B + C)</t>
  </si>
  <si>
    <t>YL</t>
  </si>
  <si>
    <t>TOTAL (2)</t>
  </si>
  <si>
    <t>(1): Montants indiqués dans l'état 301 hors avantages en nature et en espèces</t>
  </si>
  <si>
    <t>YM</t>
  </si>
  <si>
    <t>(2): dont provisions pour congés payés</t>
  </si>
  <si>
    <t>YN</t>
  </si>
  <si>
    <t>(3): "Région" indique la zone UEMOA  pour les pays UEMOA, la zone CEMAC pour les pays CEMAC, autre zone pour les autres pays OHADA.</t>
  </si>
  <si>
    <t>YO</t>
  </si>
  <si>
    <t>TOTAL (1 + 2)</t>
  </si>
  <si>
    <t>M : Masculin   F: Féminin</t>
  </si>
  <si>
    <r>
      <rPr>
        <b/>
        <sz val="8"/>
        <rFont val="Times New Roman"/>
        <family val="1"/>
      </rPr>
      <t>Commentaire</t>
    </r>
    <r>
      <rPr>
        <sz val="8"/>
        <rFont val="Times New Roman"/>
        <family val="1"/>
      </rPr>
      <t xml:space="preserve">: </t>
    </r>
  </si>
  <si>
    <t>●   Faire un commentaire si nécessaire en cas de mouvement significatif du personnel</t>
  </si>
  <si>
    <t>NOTE 28
SYSTEME NORMAL</t>
  </si>
  <si>
    <t xml:space="preserve">  N° de télédéclarant (NTD):</t>
  </si>
  <si>
    <t xml:space="preserve">NOTE 28 : DOTATIONS ET CHARGES POUR PROVISIONS ET DEPRECIATIONS </t>
  </si>
  <si>
    <t>PROVISIONS A
L'OUVERTURE
DE L'EXERCICE</t>
  </si>
  <si>
    <t>AUGMENTATIONS : DOTATIONS</t>
  </si>
  <si>
    <t>DIMINUTIONS : REPRISES</t>
  </si>
  <si>
    <t>PROVISIONS A
LA CLOTURE
DE L'EXERCICE</t>
  </si>
  <si>
    <t>NATURE</t>
  </si>
  <si>
    <t>D'EXPLOITATION</t>
  </si>
  <si>
    <t>FINANCIERES</t>
  </si>
  <si>
    <t>HORS ACTIVITES
ORDINAIRES</t>
  </si>
  <si>
    <t>Provisions réglementées</t>
  </si>
  <si>
    <t>Provisions financières pour risques et charges</t>
  </si>
  <si>
    <t>Dépréciations des immobilisations</t>
  </si>
  <si>
    <t>TOTAL DOTATIONS</t>
  </si>
  <si>
    <t>Dépréciations des stocks et en cours</t>
  </si>
  <si>
    <t>Dépréciations des comptes  fournisseurs</t>
  </si>
  <si>
    <t>Dépréciations autres créances d'exploitation</t>
  </si>
  <si>
    <t>Dépréciations des comptes de créances HAO</t>
  </si>
  <si>
    <t xml:space="preserve">Dépréciations des titres de placement </t>
  </si>
  <si>
    <t xml:space="preserve">Dépréciations des valeurs à encaisser </t>
  </si>
  <si>
    <t>Dépréciations des comptes banques</t>
  </si>
  <si>
    <t>Dépréciations des comptes établissements financiers et assimilés</t>
  </si>
  <si>
    <t>Dépréciations des comptes d'instruments de trésorerie</t>
  </si>
  <si>
    <t>Provisions pour risques à court terme d'exploitation</t>
  </si>
  <si>
    <t xml:space="preserve"> Provisions pour risques à court terme HAO</t>
  </si>
  <si>
    <t>Provisions pour risques à court terme à caractère financier</t>
  </si>
  <si>
    <t>TOTAL CHARGES POUR DEPRECIATIONS ET PROVISIONS A COURT TERME</t>
  </si>
  <si>
    <t xml:space="preserve">TOTAL </t>
  </si>
  <si>
    <r>
      <t xml:space="preserve">●   </t>
    </r>
    <r>
      <rPr>
        <sz val="8"/>
        <color indexed="8"/>
        <rFont val="Times New Roman"/>
        <family val="1"/>
      </rPr>
      <t>Indiquer les événements et circonstances qui ont conduit à la constitution et à la reprise de la provision.</t>
    </r>
  </si>
  <si>
    <t>NOTE 29
SYSTEME NORMAL</t>
  </si>
  <si>
    <t>NOTE 29 : CHARGES ET REVENUS FINANCIERS</t>
  </si>
  <si>
    <t>Intérêts des emprunts</t>
  </si>
  <si>
    <t>Intérêts dans loyers de locations acquisition</t>
  </si>
  <si>
    <t>Escomptes accordés</t>
  </si>
  <si>
    <t>Autres intérêts</t>
  </si>
  <si>
    <t>Escomptes des effets de commerce</t>
  </si>
  <si>
    <t>Pertes de change financières</t>
  </si>
  <si>
    <t>Pertes sur cessions de titres de placement</t>
  </si>
  <si>
    <t>Malis provenant d’attribution gratuite d’actions au personnel salarié et aux dirigeants</t>
  </si>
  <si>
    <t>Pertes et charges sur risques financiers</t>
  </si>
  <si>
    <t>Charges pour dépréciation et provisions à court terme à caractère financier (voir note 28)</t>
  </si>
  <si>
    <t>SOUS TOTAL : FRAIS FINANCIERS (A)</t>
  </si>
  <si>
    <t>Intérêts de prêts et créances diverses</t>
  </si>
  <si>
    <t>Revenus de participations et autres titres immobilisés</t>
  </si>
  <si>
    <t>Escomptes obtenus</t>
  </si>
  <si>
    <t>Revenus de placement</t>
  </si>
  <si>
    <t>Intérêts dans loyers de location-financement</t>
  </si>
  <si>
    <t>Gains de change financiers</t>
  </si>
  <si>
    <t>Gains sur cessions de titres de placement</t>
  </si>
  <si>
    <t>Gains sur risques financiers</t>
  </si>
  <si>
    <t>Reprises de charges pour dépréciation et provisions à court terme à caractère financier (voir note 28)</t>
  </si>
  <si>
    <t>SOUS TOTAL : REVENUS FINANCIERS (B)</t>
  </si>
  <si>
    <t>SOUS TOTAL (contrôle) : RESULTAT FINANCIER (B) - (A)</t>
  </si>
  <si>
    <r>
      <t xml:space="preserve">●   </t>
    </r>
    <r>
      <rPr>
        <sz val="8"/>
        <color indexed="8"/>
        <rFont val="Times New Roman"/>
        <family val="1"/>
      </rPr>
      <t>En cas de paiement à terme, indiquer :</t>
    </r>
  </si>
  <si>
    <t xml:space="preserve">  -la différence entre le total non actualisé des paiements futurs et la valeur actualisée de ces paiements si celle-ci est significative,</t>
  </si>
  <si>
    <t xml:space="preserve">  - le taux d'actualisation</t>
  </si>
  <si>
    <t>●   En cas d'incorporation du coût d'emprunt, indiquer :</t>
  </si>
  <si>
    <t xml:space="preserve">  -le montant des coûts d'emprunt incorporés dans le coût d'actifs au cours de l'exercice; et,</t>
  </si>
  <si>
    <t xml:space="preserve">  - le taux de capitalisation utilisé pour déterminer le montant des coûts d'emprunt pouvant être incorporés dans le coût d'actifs.</t>
  </si>
  <si>
    <t>NOTE 30
SYSTEME NORMAL</t>
  </si>
  <si>
    <t>NOTE 30 : AUTRES  CHARGES ET PRODUITS HAO</t>
  </si>
  <si>
    <t>Charges HAO constatées  (compte 831) à  détailler  :</t>
  </si>
  <si>
    <t>Charges liées aux opéations de restructuration</t>
  </si>
  <si>
    <t>Pertes sur créances HAO</t>
  </si>
  <si>
    <t>Dons et libéralités accordés</t>
  </si>
  <si>
    <t>Abandons de créances consentis</t>
  </si>
  <si>
    <t>Charges pour dépréciations et provisions pour risques à court terme  HAO</t>
  </si>
  <si>
    <t>Dotations hors activités ordinaires</t>
  </si>
  <si>
    <t>SOUS TOTAL : AUTRES CHARGES HAO (ligne RP du Compte de Résultat)</t>
  </si>
  <si>
    <t>Produits HAO constatés (compte 841) à détailler :</t>
  </si>
  <si>
    <t>Produits liés aux opérations de restructuration</t>
  </si>
  <si>
    <t>Indemnités et subventions HAO (entité agricole)</t>
  </si>
  <si>
    <t>Dons et libéralités obtenus</t>
  </si>
  <si>
    <t>Abandons de créances obtenus</t>
  </si>
  <si>
    <t>Transfert de charges H.A.O</t>
  </si>
  <si>
    <t>Reprises de charges pour dépréciations et provisions pour risques à court terme HAO</t>
  </si>
  <si>
    <t>Reprises des charges, provisions et dépréciations H.A.O</t>
  </si>
  <si>
    <t>Subventions d'équilibre</t>
  </si>
  <si>
    <t>SOUS TOTAL : AUTRES PRODUITS HAO (ligne TO du Compte de Résultat)</t>
  </si>
  <si>
    <r>
      <t xml:space="preserve">●   </t>
    </r>
    <r>
      <rPr>
        <i/>
        <sz val="8"/>
        <color indexed="8"/>
        <rFont val="Times New Roman"/>
        <family val="1"/>
      </rPr>
      <t>Commenter toute variation significative.</t>
    </r>
  </si>
  <si>
    <t>NOTE 31
SYSTEME NORMAL</t>
  </si>
  <si>
    <t>NOTE 31 : REPARTITION DU RESULTAT ET AUTRES ELEMENTS CARACTERISTIQUES DES CINQ DERNIERS EXERCICES</t>
  </si>
  <si>
    <t>EXERCICES CONCERNES (1)</t>
  </si>
  <si>
    <t>N - 2</t>
  </si>
  <si>
    <t>N - 3</t>
  </si>
  <si>
    <t>N - 4</t>
  </si>
  <si>
    <t>NATURE DES INDICATIONS</t>
  </si>
  <si>
    <r>
      <t xml:space="preserve">STRUCTURE DU CAPITAL A LA CLOTURE DE L'EXERCICE </t>
    </r>
    <r>
      <rPr>
        <sz val="9"/>
        <color theme="1"/>
        <rFont val="Arial"/>
        <family val="2"/>
      </rPr>
      <t>(2)</t>
    </r>
  </si>
  <si>
    <t>Capital social</t>
  </si>
  <si>
    <t>Actions ordinaires</t>
  </si>
  <si>
    <t>Actions à dividendes prioritaires (A.D.P) sans droit de vote</t>
  </si>
  <si>
    <t>Actions nouvelles à émettre :</t>
  </si>
  <si>
    <t>- par conversion d'obligations</t>
  </si>
  <si>
    <t>- par exercice de droits de souscription</t>
  </si>
  <si>
    <r>
      <t xml:space="preserve">OPERATIONS ET RESULTATS DE L'EXERCICE </t>
    </r>
    <r>
      <rPr>
        <sz val="9"/>
        <color theme="1"/>
        <rFont val="Arial"/>
        <family val="2"/>
      </rPr>
      <t>(3)</t>
    </r>
  </si>
  <si>
    <t>Chiffre d'affaires hors taxes</t>
  </si>
  <si>
    <t>Résultat des activités ordinaires (R.A.O) hors dotations et reprises (exploitation et financières)</t>
  </si>
  <si>
    <t>Participation des travailleurs aux bénéfices</t>
  </si>
  <si>
    <t>Impôt sur le résultat</t>
  </si>
  <si>
    <t>Résultat net (4)</t>
  </si>
  <si>
    <t>RESULTAT ET DIVIDENDE DISTRIBUES</t>
  </si>
  <si>
    <t>Résultat  distribué (5)</t>
  </si>
  <si>
    <t>Dividende attribué à chaque action</t>
  </si>
  <si>
    <t>PERSONNEL ET POLITIQUE SALARIALE</t>
  </si>
  <si>
    <t>Effectif moyen des travailleurs au cours de l'exercice (6)</t>
  </si>
  <si>
    <t>Effectif moyen de personnel extérieur</t>
  </si>
  <si>
    <t>Masse salariale distribuée au cours de l'exercice (7)</t>
  </si>
  <si>
    <t>Avantages sociaux versés au cours de l'exercice (8) [Sécurité sociale, œuvres sociales]</t>
  </si>
  <si>
    <t>Personnel extérieur facturé à l'entité (9)</t>
  </si>
  <si>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</si>
  <si>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</si>
  <si>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</si>
  <si>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</si>
  <si>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</si>
  <si>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</si>
  <si>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(9) Compte 667</t>
  </si>
  <si>
    <t>(5) L'exercice N correspond au dividende proposé du dernier exercice</t>
  </si>
  <si>
    <t>NOTE 32
SYSTEME NORMAL</t>
  </si>
  <si>
    <t>NOTE 32 : PRODUCTION DE L'EXERCICE</t>
  </si>
  <si>
    <t>DESIGNATION DU PRODUIT</t>
  </si>
  <si>
    <t>UNITE DE
QUANTITE
CHOISIE</t>
  </si>
  <si>
    <t>PRODUCTION VENDUE
DANS LE PAYS</t>
  </si>
  <si>
    <t>PRODUCTION VENDUE
DANS LES AUTRES
PAYS DE L'OHADA</t>
  </si>
  <si>
    <t>PRODUCTION VENDUE
HORS OHADA</t>
  </si>
  <si>
    <t>PRODUCTION
IMMOBILISEE</t>
  </si>
  <si>
    <t>STOCK OUVERTURE
DE L'EXERCICE</t>
  </si>
  <si>
    <t>STOCK CLOTURE
DE L'EXERCICE</t>
  </si>
  <si>
    <t>Quantité</t>
  </si>
  <si>
    <t>Valeur</t>
  </si>
  <si>
    <t>NOTE 33
SYSTEME NORMAL</t>
  </si>
  <si>
    <t>NOTE 33 : ACHATS DESTINES A LA PRODUCTION</t>
  </si>
  <si>
    <t>ACHATS EFFECTUES AU COURS DE L'EXERCICE</t>
  </si>
  <si>
    <t>VARIATION
DES STOCKS 
(en valeur)</t>
  </si>
  <si>
    <t>PRODUITS DE L'ETAT</t>
  </si>
  <si>
    <t>PRODUITS IMPORTES</t>
  </si>
  <si>
    <t>ACHETES DANS L'ETAT</t>
  </si>
  <si>
    <t>ACHETES HORS DE L'ETAT</t>
  </si>
  <si>
    <t>NOTE 34
SYSTEME NORMAL</t>
  </si>
  <si>
    <t>NOTE 34 : FICHE DE SYNTHESE DES PRINCIPAUX INDICATEURS FINANCIERS</t>
  </si>
  <si>
    <t>( EN  MILLIERS DE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</si>
  <si>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</si>
  <si>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</si>
  <si>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</si>
  <si>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</si>
  <si>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</si>
  <si>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</si>
  <si>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</si>
  <si>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</si>
  <si>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</si>
  <si>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</si>
  <si>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</si>
  <si>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</si>
  <si>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Excédent brut d'exploitation (EBE)</t>
  </si>
  <si>
    <t>+ Valeurs comptables des cessions courantes d’immobilisation  (compte 654)</t>
  </si>
  <si>
    <t>- Produits des cessions courantes d’immobilisation (compte 754)</t>
  </si>
  <si>
    <t>= CAPACITE D'AUTOFINANCEMENT D'EXPLOITATION</t>
  </si>
  <si>
    <t>+ Revenus financiers</t>
  </si>
  <si>
    <t>+ Gains de change financiers</t>
  </si>
  <si>
    <t>+ Transferts de charges financières</t>
  </si>
  <si>
    <t>+ Produits HAO</t>
  </si>
  <si>
    <t>+ Transferts de charges HAO</t>
  </si>
  <si>
    <t xml:space="preserve"> - Frais financiers</t>
  </si>
  <si>
    <t xml:space="preserve"> - Pertes de change financières</t>
  </si>
  <si>
    <t xml:space="preserve"> - Charges HAO</t>
  </si>
  <si>
    <t xml:space="preserve"> - Participations</t>
  </si>
  <si>
    <t xml:space="preserve"> - Impôts sur les résultats</t>
  </si>
  <si>
    <t>= CAPACITE D'AUTOFINANCEMENT GLOBALE (C.A.F.G.)</t>
  </si>
  <si>
    <r>
      <t xml:space="preserve">- </t>
    </r>
    <r>
      <rPr>
        <sz val="8"/>
        <color theme="1"/>
        <rFont val="Arial"/>
        <family val="2"/>
      </rPr>
      <t>Distributions de dividendes opérées durant l'exercice</t>
    </r>
  </si>
  <si>
    <t>= AUTOFINANCEMENT</t>
  </si>
  <si>
    <t>ANALYSE DE LA RENTABILITE</t>
  </si>
  <si>
    <t>Rentabilité économique = Résultat d’exploitation (a)/Capitaux propres + dettes financières</t>
  </si>
  <si>
    <t>Rentabilité financière = Résultat net/Capitaux propres</t>
  </si>
  <si>
    <t>ANALYSE DE LA STRUCTURE FINANCIERE</t>
  </si>
  <si>
    <t>+ Capitaux propres et ressources assimilées</t>
  </si>
  <si>
    <t>+ Dettes financières* et autres ressources assimilées (b)</t>
  </si>
  <si>
    <t>= ressources stables</t>
  </si>
  <si>
    <t>- Actif immobilisé (b)</t>
  </si>
  <si>
    <t>= FONDS DE ROULEMENT (1)</t>
  </si>
  <si>
    <t>+ Actif circulant d'exploitation (b)</t>
  </si>
  <si>
    <t>-  Passif circulant d'exploitation (b)</t>
  </si>
  <si>
    <t>= BESOIN DE FINANCEMENT D'EXPLOITATION (2)</t>
  </si>
  <si>
    <t>+ Actif circulant HAO (b)</t>
  </si>
  <si>
    <t>-  Passif circulant HAO (b)</t>
  </si>
  <si>
    <t>= BESOIN DE FINANCEMENT HAO (3)</t>
  </si>
  <si>
    <t>BESOIN DE FINANCEMENT GLOBAL (4) = (2) + (3)</t>
  </si>
  <si>
    <t>TRESORERIE NETTE (5) = (1) - (4)</t>
  </si>
  <si>
    <t>CONTRÔLE : TRESORERIE NETTE = (TRESORERIE - ACTIF) - (TRESORERIE - PASSIF)</t>
  </si>
  <si>
    <t>ANALYSE DE LA VARIATION DE LA TRESORERIE</t>
  </si>
  <si>
    <t>+ 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</si>
  <si>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</si>
  <si>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</si>
  <si>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</si>
  <si>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</si>
  <si>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 passif)</t>
  </si>
  <si>
    <t>- Trésorerie - actif</t>
  </si>
  <si>
    <t>= ENDETTEMENT FINANCIER NET</t>
  </si>
  <si>
    <r>
      <t xml:space="preserve">(a) Résultat d’exploitation après impôt théorique sur le bénéfice. </t>
    </r>
    <r>
      <rPr>
        <sz val="7"/>
        <color theme="5" tint="-0.249977111117893"/>
        <rFont val="Arial"/>
        <family val="2"/>
      </rPr>
      <t>Les variations des taux de rentabilité doivent être exprimées en nombre de points (par exemple de 2% à 5% = 3points)</t>
    </r>
    <r>
      <rPr>
        <sz val="7"/>
        <color theme="1"/>
        <rFont val="Arial"/>
        <family val="2"/>
      </rPr>
      <t xml:space="preserve">
(b) Les écarts de conversion doivent être éliminés afin de ramener les créances et les dettes concernées à leur valeur initiale.
Dettes financières* = emprunts et dettes financières diverses + dettes de location acquisition.
</t>
    </r>
  </si>
  <si>
    <t>NOTE 35
SYSTEME NORMAL</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</si>
  <si>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</si>
  <si>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</si>
  <si>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</si>
  <si>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</si>
  <si>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Emploi :</t>
  </si>
  <si>
    <t>•  l'effectif total et la répartition des salariés par sexe, âge et zone géographique ;</t>
  </si>
  <si>
    <t>•  les embauches et les licenciements ;</t>
  </si>
  <si>
    <t>•  les rémunérations et leur évolution.</t>
  </si>
  <si>
    <t>Relations sociales :</t>
  </si>
  <si>
    <t>•  l'organisation du dialogue social ;</t>
  </si>
  <si>
    <t>•  le bilan des accords collectifs.</t>
  </si>
  <si>
    <t>Santé et sécurité :</t>
  </si>
  <si>
    <t>•  les conditions de santé et de sécurité au travail ;</t>
  </si>
  <si>
    <t>•  le bilan des accords signés avec les organisations syndicales ou les représentants du personnel en matière
de santé et de sécurité au travail.</t>
  </si>
  <si>
    <t>Formation :</t>
  </si>
  <si>
    <t>•  les politiques mises en œuvre en matière de formation ;</t>
  </si>
  <si>
    <t>•  le nombre total d'heures de formation.</t>
  </si>
  <si>
    <t>•  les mesures prises en faveur de l'égalité entre les femmes et les hommes ;</t>
  </si>
  <si>
    <t>•  les mesures prises en faveur de l'emploi et de l'insertion des personnes handicapées ;</t>
  </si>
  <si>
    <t>INFORMATIONS ENVIRONNEMENTALES</t>
  </si>
  <si>
    <t>Politique générale en matière environnementale :</t>
  </si>
  <si>
    <t>•  l'organisation de la société pour prendre en compte les questions environnementales et, le cas échéant, les démarches
d'évaluation ou de certification en matière d'environnement ;</t>
  </si>
  <si>
    <t>•  les actions de formation et d'information des salariés menées en matière de protection de l'environnement ;</t>
  </si>
  <si>
    <t>•  les moyens consacrés à la prévention des risques environnementaux et des pollutions.</t>
  </si>
  <si>
    <t>Pollution et gestion des déchets :</t>
  </si>
  <si>
    <t>•  les mesures de prévention, de réduction ou de réparation de rejets dans l'air, l'eau et le sol affectant gravement l'environnement ;</t>
  </si>
  <si>
    <t>•  les mesures de prévention, de recyclage et d'élimination des déchets ;</t>
  </si>
  <si>
    <t>•  la prise en compte des nuisances sonores et de toute autre forme de pollution spécifique à une activité.</t>
  </si>
  <si>
    <t>Utilisation durable des ressources :</t>
  </si>
  <si>
    <t>•  la consommation d'eau et l'approvisionnement en eau en fonction des contraintes locales ;</t>
  </si>
  <si>
    <t>•  la consommation de matières premières et les mesures prises pour améliorer l'efficacité dans leur utilisation ;</t>
  </si>
  <si>
    <t>•  la consommation d'énergie, les mesures prises pour améliorer l'efficacité énergétique et le recours aux énergies renouvelables.</t>
  </si>
  <si>
    <t>Changement climatique :</t>
  </si>
  <si>
    <t>•  les rejets de gaz à effet de serre.</t>
  </si>
  <si>
    <t>Protection de la biodiversité :</t>
  </si>
  <si>
    <t>•  les mesures prises pour préserver ou développer la biodiversité.</t>
  </si>
  <si>
    <t>INFORMATIONS RELATIVES AUX ENGAGEMENTS SOCIÉTAUX EN FAVEUR DU DÉVELOPPEMENT DURABLE</t>
  </si>
  <si>
    <t>Impact territorial, économique et social de l'activité de la société :</t>
  </si>
  <si>
    <t>•  en matière d'emploi et de développement régional ;</t>
  </si>
  <si>
    <t>•  sur les populations riveraines ou locales.</t>
  </si>
  <si>
    <t>•  les conditions du dialogue avec ces personnes ou organisations ;</t>
  </si>
  <si>
    <t>•  les actions de partenariat ou de mécénat.</t>
  </si>
  <si>
    <t>Sous-traitance et fournisseurs :</t>
  </si>
  <si>
    <t>•  la prise en compte dans la politique d'achat des enjeux sociaux et environnementaux.</t>
  </si>
  <si>
    <t>NOTE 37
SYSTEME NORMAL</t>
  </si>
  <si>
    <t>NOTE 37 : DETERMINATION IMPÔTS SUR LE RESULTAT (2)</t>
  </si>
  <si>
    <t>Montant</t>
  </si>
  <si>
    <t>1 : RESULTAT NET COMPTABLE DE L'EXERCICE</t>
  </si>
  <si>
    <r>
      <t>2 : A REINTEGRER (</t>
    </r>
    <r>
      <rPr>
        <vertAlign val="superscript"/>
        <sz val="9"/>
        <color theme="1"/>
        <rFont val="Arial"/>
        <family val="2"/>
      </rPr>
      <t>1</t>
    </r>
    <r>
      <rPr>
        <sz val="9"/>
        <color theme="1"/>
        <rFont val="Arial"/>
        <family val="2"/>
      </rPr>
      <t>)</t>
    </r>
  </si>
  <si>
    <r>
      <t>3 : A  DEDUIRE (</t>
    </r>
    <r>
      <rPr>
        <vertAlign val="superscript"/>
        <sz val="9"/>
        <color theme="1"/>
        <rFont val="Arial"/>
        <family val="2"/>
      </rPr>
      <t>1</t>
    </r>
    <r>
      <rPr>
        <sz val="9"/>
        <color theme="1"/>
        <rFont val="Arial"/>
        <family val="2"/>
      </rPr>
      <t>)</t>
    </r>
  </si>
  <si>
    <t>4 : RESULTAT IMPOSABLE AVANT DEDUCTION DES DEFICITS ( 4 = 1+2-3)</t>
  </si>
  <si>
    <r>
      <t xml:space="preserve">5 : DEFICITS  ANTERIEURS A L'EXERCICE </t>
    </r>
    <r>
      <rPr>
        <vertAlign val="superscript"/>
        <sz val="9"/>
        <color theme="1"/>
        <rFont val="Arial"/>
        <family val="2"/>
      </rPr>
      <t>(1)</t>
    </r>
  </si>
  <si>
    <r>
      <t>6 : AMORTISSEMENTS REGULIEREMENT DIFFERES</t>
    </r>
    <r>
      <rPr>
        <vertAlign val="superscript"/>
        <sz val="9"/>
        <color theme="1"/>
        <rFont val="Arial"/>
        <family val="2"/>
      </rPr>
      <t xml:space="preserve"> (1)</t>
    </r>
  </si>
  <si>
    <r>
      <t xml:space="preserve">7 : AMORTISSEMENTS DE L'EXERCICE A DIFFERER </t>
    </r>
    <r>
      <rPr>
        <vertAlign val="superscript"/>
        <sz val="9"/>
        <color theme="1"/>
        <rFont val="Arial"/>
        <family val="2"/>
      </rPr>
      <t>(1)</t>
    </r>
  </si>
  <si>
    <t>8 : RESULTAT FISCAL DE L'EXERCICE (8= 4-5-6+7)</t>
  </si>
  <si>
    <t>9: IMPOTS SUR LE RESULTAT AU TAUX DE :</t>
  </si>
  <si>
    <t>NOTE 38
SYSTEME NORMAL</t>
  </si>
  <si>
    <t>NOTE 38 : EVENEMENTS POSTERIEURS A LA CLOTURE DE L'EXERCICE</t>
  </si>
  <si>
    <t xml:space="preserve">Date d'arrêté des états financiers : </t>
  </si>
  <si>
    <t>Organe ayant autorisé la publication des comptes :</t>
  </si>
  <si>
    <t>A - EVENEMENTS POSTERIEURS A LA DATE DE CLOTURE DONNANT LIEU A DES AJUSTEMENTS DES ETATS FINANCIERS</t>
  </si>
  <si>
    <t xml:space="preserve">Commentaire : </t>
  </si>
  <si>
    <t>Indiquer la nature des événements postérieurs à la date de clôture donnant lieu à des ajustements des états financiers.</t>
  </si>
  <si>
    <t>Pour chaque événement, donnez des précisions sur les comptes qui ont fait l'objet d'un ajustement.</t>
  </si>
  <si>
    <t>B - EVENEMENTS POSTERIEURS A LA DATE DE CLOTURE NE DONNANT LIEU A DES AJUSTEMENTS DES ETATS FINANCIERS</t>
  </si>
  <si>
    <t>Procéder à une estimation de l'impact financier de chaque événement ou l'indication que cette estimation ne peut être fournie.</t>
  </si>
  <si>
    <t>C - EVENEMENTS REMETTANT  EN CAUSE L'HYPOTHESE DE BASE DE CONTINUITE D'EXPLOITATION</t>
  </si>
  <si>
    <t xml:space="preserve">	Indiquer la nature de l'événement (ou des événements) ayant entrainé la remise en cause de la continuité d'exploitation.
</t>
  </si>
  <si>
    <t>Donner des précisions sur les valeurs liquidatives retenues</t>
  </si>
  <si>
    <t>NOTE 39
SYSTEME NORMAL</t>
  </si>
  <si>
    <t>NOTE 39 : CHANGEMENTS DE METHODES COMPTABLES, D'ESTIMATIONS
ET CORRECTIONS D'ERREURS</t>
  </si>
  <si>
    <t xml:space="preserve">1.       Changement de réglementation comptable </t>
  </si>
  <si>
    <t>•   l’entité doit indiquer l’impact du changement  de réglementation comptable (par exemple lors du passage</t>
  </si>
  <si>
    <t xml:space="preserve">    au SYSCOHADA révisé) déterminé à l’ouverture en précisant les postes concernés ; </t>
  </si>
  <si>
    <t>•  l’entité doit présenter les  principaux postes des exercices antérieurs présentés, retraités selon la</t>
  </si>
  <si>
    <t xml:space="preserve">   nouvelle méthode en cas de changement de réglementation comptable appliqué de manière rétrospective,</t>
  </si>
  <si>
    <t xml:space="preserve">•  l’entité doit indiquer l’impact du changement sur les principaux postes concernés de l’exercice  en cas </t>
  </si>
  <si>
    <t xml:space="preserve">   de changement de réglementation comptable appliqué de manière prospective.</t>
  </si>
  <si>
    <t xml:space="preserve">2.       Changement de méthode à l’initiative de l’entité </t>
  </si>
  <si>
    <t>•   l’entité doit indiquer et justifier le changement de méthode comptable ;</t>
  </si>
  <si>
    <t>•   l’entité doit indiquer l’impact du changement de méthode comptable déterminé à l’ouverture en précisant</t>
  </si>
  <si>
    <t xml:space="preserve">    les postes concernés ;</t>
  </si>
  <si>
    <t>•   l’entité doit présenter les  principaux postes des exercices antérieurs présentés, retraités selon la</t>
  </si>
  <si>
    <t xml:space="preserve">    nouvelle méthode en cas de changement de méthode comptable appliqué de manière rétrospective,</t>
  </si>
  <si>
    <t xml:space="preserve">•   l’entité doit indiquer les raisons d'une application prospective et  l’impact du changement sur les </t>
  </si>
  <si>
    <t xml:space="preserve">    principaux postes concernés de l’exercice  en cas de changement deméthode comptable appliqué de manière </t>
  </si>
  <si>
    <t xml:space="preserve">    prospective,</t>
  </si>
  <si>
    <r>
      <rPr>
        <b/>
        <sz val="9"/>
        <color indexed="8"/>
        <rFont val="Arial"/>
        <family val="2"/>
      </rPr>
      <t>Commentaire :</t>
    </r>
    <r>
      <rPr>
        <sz val="9"/>
        <color theme="1"/>
        <rFont val="Arial"/>
        <family val="2"/>
      </rPr>
      <t xml:space="preserve"> l’entité doit indiquer et justifier le changement d’estimation ; </t>
    </r>
  </si>
  <si>
    <t xml:space="preserve">Commentaire : </t>
  </si>
  <si>
    <t xml:space="preserve">•  l’entité doit indiquer  la nature des erreurs corrigées (erreurs commises et découvertes sur l’exercice en cours </t>
  </si>
  <si>
    <t xml:space="preserve">   et erreurs d’un exercice antérieur)  ;</t>
  </si>
  <si>
    <t xml:space="preserve">•  l’entité doit présenter les  principaux postes des exercices antérieurs présentés, corrigés des erreurs </t>
  </si>
  <si>
    <t xml:space="preserve">   d’un exercice antérieur.</t>
  </si>
  <si>
    <t>ETATS SUPPLEMENTAIRES 
DIRECTION GENERALE DES IMPOTS ET        INSTITUT NATIONAL DE LA STATISTIQUE</t>
  </si>
  <si>
    <t>NOTES DGI</t>
  </si>
  <si>
    <t>FICHE RECAPITULATIVE DES ETATS SUPPLEMENTAIRES  DGI &amp; INS  PRESENTES (1)</t>
  </si>
  <si>
    <t>COMP - CHARGES</t>
  </si>
  <si>
    <t>ETAT COMPLEMENTAIRE : DETAIL DES CHARGES</t>
  </si>
  <si>
    <t>COMP - TVA (1)</t>
  </si>
  <si>
    <t>ETAT COMPLEMENTAIRE : TVA</t>
  </si>
  <si>
    <t>COMP - TVA (2)</t>
  </si>
  <si>
    <t>ETAT COMPLEMENTAIRE POUR l'INS: TVA SUPPORTEE NON DEDUCTIBLE</t>
  </si>
  <si>
    <t>SUPPL 1</t>
  </si>
  <si>
    <t>ELEMENTS STATISTIQUES UEMOA</t>
  </si>
  <si>
    <t>SUPPL 2</t>
  </si>
  <si>
    <t>REPARTITION DU RESULTAT FISCAL DES SOCIETES DE PERSONNES</t>
  </si>
  <si>
    <t>SUPPL 3</t>
  </si>
  <si>
    <t>COMPLEMENT INFORMATIONS ENTITES INDIVIDUELLES</t>
  </si>
  <si>
    <t>SUPPL 4</t>
  </si>
  <si>
    <t>TABLEAU DES AMORTISSEMENTS ET INVENTAIRE DES IMMOBILISATIONS</t>
  </si>
  <si>
    <t>SUPPL 5</t>
  </si>
  <si>
    <t>DETAIL DES FRAIS ACCESSOIRES SUR ACHATS</t>
  </si>
  <si>
    <t>SUPPL 6</t>
  </si>
  <si>
    <t xml:space="preserve">DETAIL DES AVANTAGES EN NATURE ET EN ESPECES IMPOSES ALLOUES  AU PERSONNEL  </t>
  </si>
  <si>
    <t>SUPPL 7</t>
  </si>
  <si>
    <t>CREANCES ET DETTES ECHUES DE L'EXERCICE</t>
  </si>
  <si>
    <t>BIC</t>
  </si>
  <si>
    <t>DETERMINATION DU BENEFICE INDUSTRIEL OU COMMERCIAL</t>
  </si>
  <si>
    <t>BNC</t>
  </si>
  <si>
    <t>DETERMINATION DU BENEFICE NON COMMERCIAL</t>
  </si>
  <si>
    <t>DETERMINATION DU BENEFICE AGRICOLE</t>
  </si>
  <si>
    <t>301</t>
  </si>
  <si>
    <t>DECLARATION DES REMUNERATIONS VERSEES AUX SALARIES DE L'ENTREPRISE</t>
  </si>
  <si>
    <t>302</t>
  </si>
  <si>
    <t xml:space="preserve">DECLARATION DES REMUNERATIONS VERSEES A DES CONTRIBUABLES N'AYANT PAS LA QUALITE DE SALARIES DE L'ENTREPRISE </t>
  </si>
  <si>
    <t>……</t>
  </si>
  <si>
    <t>AUTRES A PRECISER  (2)</t>
  </si>
  <si>
    <t>…….</t>
  </si>
  <si>
    <t>A : Applicable       N/A : Non applicable.</t>
  </si>
  <si>
    <t>Par exemple pour une entité qui n'a pas d'activité agricole, elle doit cocher à l'intersection (ligne "BA" &amp; colonne "N/A")</t>
  </si>
  <si>
    <t>(2): Le contribuable peut insérer autant de déclarations fiscales supplémentaires qu'il le souhaite.</t>
  </si>
  <si>
    <t>ETAT COMPLEMENTAIRE N°1 PAGE 1/4</t>
  </si>
  <si>
    <t>ETAT COMPLEMENTAIRE DIRECTION GENERALE DES IMPOTS/COMPTABILITE NATIONALE</t>
  </si>
  <si>
    <t>DETAIL DES CHARGES EN FCFA</t>
  </si>
  <si>
    <t>Exercice N</t>
  </si>
  <si>
    <t>Exercice N-1</t>
  </si>
  <si>
    <t>Variation N/N-1</t>
  </si>
  <si>
    <t>En valeur</t>
  </si>
  <si>
    <t>En %</t>
  </si>
  <si>
    <t>Achats de marchandises dans la région</t>
  </si>
  <si>
    <t>Achats de marchandises hors région</t>
  </si>
  <si>
    <t>Achats de marchandises aux entités du groupe dans la région</t>
  </si>
  <si>
    <t>Achats de marchandises aux entités du groupe hors région</t>
  </si>
  <si>
    <t>Frais sur achats</t>
  </si>
  <si>
    <t>Rabais, remises et ristournes obtenus (non ventilés)</t>
  </si>
  <si>
    <t>Variation des stocks de marchandises</t>
  </si>
  <si>
    <t>Variation de stocks</t>
  </si>
  <si>
    <t>Achats de matières premières et fournitures liées dans la région</t>
  </si>
  <si>
    <t>Achats de matières premières et fournitures liées hors région</t>
  </si>
  <si>
    <t>Achats de matières premières et fournitures liées aux entités du groupe dans la région</t>
  </si>
  <si>
    <t>Achats de matières premières et fournitures liées aux entités du groupe hors région</t>
  </si>
  <si>
    <t>Variation des stocks de matières premières et fournitures liées</t>
  </si>
  <si>
    <t>Variation de stocks de matières premières</t>
  </si>
  <si>
    <t>Fournitures d'atelier et d'usine</t>
  </si>
  <si>
    <t>Fournitures de magasin</t>
  </si>
  <si>
    <t>Fournitures de bureau</t>
  </si>
  <si>
    <t>Fournitures non stockables-Eau</t>
  </si>
  <si>
    <t>Fournitures non stockables-Electricité</t>
  </si>
  <si>
    <t>Fournitures non stockables-Autres énergies</t>
  </si>
  <si>
    <t>Fournitures d'entretien non stockables</t>
  </si>
  <si>
    <t>Fournitures de bureau non stockables</t>
  </si>
  <si>
    <t>Achats de petit matériel et outillage</t>
  </si>
  <si>
    <t>Achats d'études et prestations de services</t>
  </si>
  <si>
    <t>Achats de travaux, matériels et équipements</t>
  </si>
  <si>
    <t>Emballages perdus</t>
  </si>
  <si>
    <t>Emballages récupérables non identifiables</t>
  </si>
  <si>
    <t>Emballages à usage mixte</t>
  </si>
  <si>
    <t>Variation des stocks d'autres approvisionnements</t>
  </si>
  <si>
    <t>Variation de stocks d'autres approvisionnements</t>
  </si>
  <si>
    <t>Transports du personnel</t>
  </si>
  <si>
    <t>Voyages et déplacements</t>
  </si>
  <si>
    <t>Transports entre établissements et chantiers</t>
  </si>
  <si>
    <t>Location de terrains</t>
  </si>
  <si>
    <t>Location de bâtiments</t>
  </si>
  <si>
    <t>Location de matériels et outillages</t>
  </si>
  <si>
    <t>Malis sur emballages</t>
  </si>
  <si>
    <t>Locations d'emballages</t>
  </si>
  <si>
    <t>Fermages et loyers du foncier</t>
  </si>
  <si>
    <t>Locations  et charges locatives diverses</t>
  </si>
  <si>
    <t>Crédit-bail immobilier</t>
  </si>
  <si>
    <t>Crédit-bail mobilier</t>
  </si>
  <si>
    <t>Location-vente</t>
  </si>
  <si>
    <t>ETAT COMPLEMENTAIRE N°1 PAGE 2/4</t>
  </si>
  <si>
    <t>Autres contrats de location-acquisition</t>
  </si>
  <si>
    <t>Entretien et réparation des biens immobiliers</t>
  </si>
  <si>
    <t>Entretien et réparation des biens mobiliers</t>
  </si>
  <si>
    <t>Maintenance</t>
  </si>
  <si>
    <t>Charges de démentellement et remise en état</t>
  </si>
  <si>
    <t>Autre entretiens et réparation</t>
  </si>
  <si>
    <t xml:space="preserve">Assurances multirisques </t>
  </si>
  <si>
    <t>Assurances matériels de transport</t>
  </si>
  <si>
    <t>Assurances risques d'exploitation</t>
  </si>
  <si>
    <t>Assurances responsabilité du producteur</t>
  </si>
  <si>
    <t>Assurances insolvabilité clients</t>
  </si>
  <si>
    <t>Assurances transport sur ventes</t>
  </si>
  <si>
    <t>Autres primes d'assurances</t>
  </si>
  <si>
    <t>Etudes et recherches</t>
  </si>
  <si>
    <t>Documentation générale</t>
  </si>
  <si>
    <t>Documentation technique</t>
  </si>
  <si>
    <t>Annonces, insertions</t>
  </si>
  <si>
    <t>Catalogues, imprimés publicitaires</t>
  </si>
  <si>
    <t>Échantillons</t>
  </si>
  <si>
    <t>Foires et expositions</t>
  </si>
  <si>
    <t>Publications</t>
  </si>
  <si>
    <t>Cadeaux à la clientèle</t>
  </si>
  <si>
    <t>Frais de colloques, séminaires, conférences</t>
  </si>
  <si>
    <t>Autres charges de publicité et relations publiques</t>
  </si>
  <si>
    <t>Frais de téléphone</t>
  </si>
  <si>
    <t>Frais de télex</t>
  </si>
  <si>
    <t>Frais de télécopie</t>
  </si>
  <si>
    <t>Frais d'internet</t>
  </si>
  <si>
    <t>Autres frais de télécommunications</t>
  </si>
  <si>
    <t>Frais sur titres (vente, garde)</t>
  </si>
  <si>
    <t>Frais sur effets</t>
  </si>
  <si>
    <t>Location de coffres</t>
  </si>
  <si>
    <t>Commissions d'affacturage et de titrisation</t>
  </si>
  <si>
    <t>Commissions sur cartes de crédit</t>
  </si>
  <si>
    <t>Frais d'émission d'emprunts</t>
  </si>
  <si>
    <t>Frais sur instruments monnaie électronique</t>
  </si>
  <si>
    <t>Autres frais bancaires</t>
  </si>
  <si>
    <t>Commissions et courtages sur ventes</t>
  </si>
  <si>
    <t>Honoraires des professions règlementées</t>
  </si>
  <si>
    <t>Frais d'actes et de contentieux</t>
  </si>
  <si>
    <t>Rémunérations d'affacturage et de titrisation</t>
  </si>
  <si>
    <t>Rémunérations des autres prestataires de services</t>
  </si>
  <si>
    <t>Divers frais</t>
  </si>
  <si>
    <t>Redevances pour brevets, licences</t>
  </si>
  <si>
    <t>Redevances pour logiciels</t>
  </si>
  <si>
    <t>Redevances pour marques</t>
  </si>
  <si>
    <t>Redevances pour sites internet</t>
  </si>
  <si>
    <t>Redevances pour concessions, droits et valeurs similaires</t>
  </si>
  <si>
    <t>Concours divers</t>
  </si>
  <si>
    <t>Personnel intérimaire</t>
  </si>
  <si>
    <t>Personnel détaché ou prêté à l'entité</t>
  </si>
  <si>
    <t>Frais de recrutement du personnel</t>
  </si>
  <si>
    <t>Frais de déménagement</t>
  </si>
  <si>
    <t>Réceptions</t>
  </si>
  <si>
    <t>Missions</t>
  </si>
  <si>
    <t>Charges de copropriété</t>
  </si>
  <si>
    <t>Charges externes diverses</t>
  </si>
  <si>
    <t>Impôts fonciers et taxes annexes</t>
  </si>
  <si>
    <t>Patentes, licences et taxes annexes</t>
  </si>
  <si>
    <t>Taxes sur appointements et salaires</t>
  </si>
  <si>
    <t>Taxes d'apprentissage</t>
  </si>
  <si>
    <t>ETAT COMPLEMENTAIRE N°1 PAGE 3/4</t>
  </si>
  <si>
    <t>Formation professionnelle continue</t>
  </si>
  <si>
    <t>Autres impôts et taxes directs</t>
  </si>
  <si>
    <t>Droits de mutation</t>
  </si>
  <si>
    <t>Droits de timbre</t>
  </si>
  <si>
    <t>Taxes sur les véhicules de société</t>
  </si>
  <si>
    <t>Vignettes</t>
  </si>
  <si>
    <t>Autres droits d'enregistrement</t>
  </si>
  <si>
    <t>Pénalités d'assiette, impôts directs</t>
  </si>
  <si>
    <t>Pénalités d'assiette, impôts indirects</t>
  </si>
  <si>
    <t>Pénalités de recouvrement, impôts directs</t>
  </si>
  <si>
    <t>Pénalités de recouvrement, impôts indirects</t>
  </si>
  <si>
    <t>Autres pénalités et amendes fiscales</t>
  </si>
  <si>
    <t>Quote-part transférée de bénéfices (comptabilité du gérant)</t>
  </si>
  <si>
    <t>Pertes imputées par transfert (comptabilité des associés non gérants)</t>
  </si>
  <si>
    <t>Valeur comptable des cessions courantes d'immobilisations incorporelles</t>
  </si>
  <si>
    <t>Valeur comptable des cessions courantes d'immobilisations corporelles</t>
  </si>
  <si>
    <t>Dons</t>
  </si>
  <si>
    <t>Mécénat</t>
  </si>
  <si>
    <t>Charges pour dépréciation et provisions d'exploitation sur risques à court terme</t>
  </si>
  <si>
    <t>Charges pour dépréciation et provisions pour risque à court terme d'exploitation sur stocks</t>
  </si>
  <si>
    <t>Charges pour dépréciation et provisions pour risque à court terme d'exploitation sur créances</t>
  </si>
  <si>
    <t>Autres charges pour dépréciations et provisions pour risques à court terme d'exploitation</t>
  </si>
  <si>
    <t>Appointements salaires et commissions versés au personnel national</t>
  </si>
  <si>
    <t>Primes et gratifications versées au personnel national</t>
  </si>
  <si>
    <t>Congés payés versés au personnel national</t>
  </si>
  <si>
    <t>Indemnités de préavis, de licenciement et de recherche d'embauche versées au personnel national</t>
  </si>
  <si>
    <t>Indemnités de maladie versées aux travailleurs nationaux</t>
  </si>
  <si>
    <t>Supplément familial versé au personnel national</t>
  </si>
  <si>
    <t>Avantages en nature du personnel national</t>
  </si>
  <si>
    <t>Autres rénumérations directes versées au personnel national</t>
  </si>
  <si>
    <t>Appointements salaires et commissions versés au personnel non national</t>
  </si>
  <si>
    <t>Primes et gratifications versées au personnel non national</t>
  </si>
  <si>
    <t>Congés payés versés au personnel non national</t>
  </si>
  <si>
    <t>Indemnités de préavis, de licenciement et de recherche d'embauche versées au personnel non national</t>
  </si>
  <si>
    <t>Indemnités de maladie versées aux travailleurs non nationaux</t>
  </si>
  <si>
    <t>Supplément familial versé au personnel non national</t>
  </si>
  <si>
    <t>Avantages en nature du personnel non national</t>
  </si>
  <si>
    <t>Autres rénumérations directes versées au personnel non national</t>
  </si>
  <si>
    <t>Indemnités forfaitaires de logement versées au personnel</t>
  </si>
  <si>
    <t>Indemnités forfaitaires de représentation versées au personnel</t>
  </si>
  <si>
    <t>Indemnités forfaitaires d'expatriation versées au personnel</t>
  </si>
  <si>
    <t>Indemnités forfaitaires de transport versées au personnel</t>
  </si>
  <si>
    <t>Autres indemnités et avantages divers versés au personnel</t>
  </si>
  <si>
    <t>Charges sociales sur rémunération du personnel national</t>
  </si>
  <si>
    <t>Charges sociales sur rémunération du personnel non national</t>
  </si>
  <si>
    <t>Rémunérations du travail de l'exploitant individuel</t>
  </si>
  <si>
    <t>Charges sociales de l'exploitant individuel</t>
  </si>
  <si>
    <t>Rémunérations transférée du personnel intérimaire</t>
  </si>
  <si>
    <t>Rémunérations transférée du personnel détaché ou prêté à l'entité</t>
  </si>
  <si>
    <t>Versements aux Syndicats et Comités d'entreprise, d'établissement</t>
  </si>
  <si>
    <t>Versements aux Comités d'hygiène et de sécurité</t>
  </si>
  <si>
    <t>Versements et contributions aux autres œuvres sociales</t>
  </si>
  <si>
    <t>ETAT COMPLEMENTAIRE N°1 PAGE 4/4</t>
  </si>
  <si>
    <t>Médecine du travail et pharmacie</t>
  </si>
  <si>
    <t>Assurances et organismes de santé</t>
  </si>
  <si>
    <t>Assurances retraite et fonds de pension</t>
  </si>
  <si>
    <t>Majorations et pénalités sociales</t>
  </si>
  <si>
    <t>Charges sociales diverses</t>
  </si>
  <si>
    <t>Intérêts des emprunts obligataires</t>
  </si>
  <si>
    <t>Intérêts des emprunts auprès des établissements de crédit</t>
  </si>
  <si>
    <t>Intérêts des dettes liées à des participations</t>
  </si>
  <si>
    <t>Intérêts des primes de remboursement des obligations</t>
  </si>
  <si>
    <t>Intérêts dans loyers de location acquisition/crédit-bail immobilier</t>
  </si>
  <si>
    <t>Intérêts dans loyers de location acquisition/crédit-bail mobilier</t>
  </si>
  <si>
    <t>Intérêts dans loyers de location acquisition/location-vente</t>
  </si>
  <si>
    <t>Intérêts dans loyers des autres locations acquisition</t>
  </si>
  <si>
    <t>Intérêts sur avances reçues et dépôts créditeurs</t>
  </si>
  <si>
    <t>Intérêts sur Comptes courants bloqués</t>
  </si>
  <si>
    <t>Intérêts sur obligations cautionnées</t>
  </si>
  <si>
    <t>Intérêts sur dettes commerciales</t>
  </si>
  <si>
    <t>Intérêts bancaires et sur opérations de financement (escompte…)</t>
  </si>
  <si>
    <t xml:space="preserve">Intérêts sur dettes diverses                     </t>
  </si>
  <si>
    <t>Pertes sur cessions de titre de placement</t>
  </si>
  <si>
    <t>Pertes et charges sur rentes viagères</t>
  </si>
  <si>
    <t>Pertes et charges sur opérations financières</t>
  </si>
  <si>
    <t>Pertes et charges sur instrument de trésorerie</t>
  </si>
  <si>
    <t>Charges pour dépréciations et provisions sur risques financiers à court terme</t>
  </si>
  <si>
    <t>Charges pour dépréciations et provisions sur titres de placement</t>
  </si>
  <si>
    <t>Autres charges pour dépréciations et provisions pour risques à court terme financières</t>
  </si>
  <si>
    <t>Frais financiers et charges assimiliés</t>
  </si>
  <si>
    <t>Dotations aux amortissements des immobilisations incorporelles</t>
  </si>
  <si>
    <t>Dotations aux amortissements des immobilisations corporelles</t>
  </si>
  <si>
    <t>Dotations aux provisions pour risques et charges</t>
  </si>
  <si>
    <t>Dotations aux dépréciations des immobilisations incorporelles</t>
  </si>
  <si>
    <t>Dotations aux dépréciations des immobilisations corporelles</t>
  </si>
  <si>
    <t>Dotations aux provisions pour risques et charges financières</t>
  </si>
  <si>
    <t>Dotations aux dépréciations des immobilisations financières</t>
  </si>
  <si>
    <t>TOTAL DES CHARGES ORDINAIRES</t>
  </si>
  <si>
    <t>ETAT COMPLEMENTAIRE N°2 PAGE 1/1</t>
  </si>
  <si>
    <r>
      <t xml:space="preserve">ETAT TVA 
</t>
    </r>
    <r>
      <rPr>
        <b/>
        <i/>
        <sz val="10"/>
        <color theme="1"/>
        <rFont val="Arial"/>
        <family val="2"/>
      </rPr>
      <t>(Inscrire les mouvements de la période et non les soldes des comptes)</t>
    </r>
  </si>
  <si>
    <t>T.V.A. facturée sur ventes de la période</t>
  </si>
  <si>
    <t>T.V.A. facturée sur prestations de services de la période</t>
  </si>
  <si>
    <t>T.V.A. facturée sur travaux de la période</t>
  </si>
  <si>
    <t>T.V.A. facturée sur production livrée à soi-même de la période</t>
  </si>
  <si>
    <t>T.V.A. sur factures à établir de la période</t>
  </si>
  <si>
    <t>T.V.A. facturée de la période</t>
  </si>
  <si>
    <t>T.V.A. exigible de la période</t>
  </si>
  <si>
    <t>T.V.A. récupérable sur immobilisations de la période</t>
  </si>
  <si>
    <t>T.V.A. récupérable sur achats de la période</t>
  </si>
  <si>
    <t>T.V.A. récupérable sur transport de la période</t>
  </si>
  <si>
    <t>T.V.A. récupérable sur services extérieurs et autres charges de la période</t>
  </si>
  <si>
    <t>T.V.A. récupérable sur factures non parvenues de la période</t>
  </si>
  <si>
    <t>T.V.A. transférée par d'autres entités de la période</t>
  </si>
  <si>
    <t>T.V.A. Récupérable de la période</t>
  </si>
  <si>
    <t>T.V.A. Récupérée de la période</t>
  </si>
  <si>
    <t>Prorata de déduction</t>
  </si>
  <si>
    <t>État, T.V.A. due</t>
  </si>
  <si>
    <t>État, crédit de T.V.A. à reporter</t>
  </si>
  <si>
    <t xml:space="preserve">T.V.A. Due ou crédit de T.V.A.        </t>
  </si>
  <si>
    <t>ETAT COMPLEMENTAIRE N°3 PAGE 1/1</t>
  </si>
  <si>
    <t>ETAT COMPLEMENTAIRE COMPTABILITE NATIONALE</t>
  </si>
  <si>
    <t>ETAT TVA SUPPORTEE NON DEDUCTIBLE
(Inscrire les mouvements de la période et non les soldes des comptes)</t>
  </si>
  <si>
    <t>T.V.A. supportée non déductible sur les immobilisations</t>
  </si>
  <si>
    <t>T.V.A. supportée non déductible sur les achats de biens et de services</t>
  </si>
  <si>
    <t>Total T.V.A. supportée non déductible de la période</t>
  </si>
  <si>
    <t>ETAT SUPPLEMENTAIRE N°1</t>
  </si>
  <si>
    <t>ETAT COMPLEMENTAIRE : ELEMENTS STATISTIQUES UEMOA</t>
  </si>
  <si>
    <r>
      <t>COMPLEMENT NOTE ANNEXE (Valeur en</t>
    </r>
    <r>
      <rPr>
        <b/>
        <sz val="8"/>
        <rFont val="Arial"/>
        <family val="2"/>
      </rPr>
      <t xml:space="preserve"> francs CFA)</t>
    </r>
  </si>
  <si>
    <r>
      <t>COMPLEMENT NOTE 32 (Valeurs en</t>
    </r>
    <r>
      <rPr>
        <b/>
        <sz val="8"/>
        <rFont val="Arial"/>
        <family val="2"/>
      </rPr>
      <t xml:space="preserve"> francs CFA</t>
    </r>
    <r>
      <rPr>
        <sz val="8"/>
        <rFont val="Arial"/>
        <family val="2"/>
      </rPr>
      <t>)</t>
    </r>
  </si>
  <si>
    <t>COMPLEMENT ETAT ANNEXE</t>
  </si>
  <si>
    <t>Montant
autres Etats
de l'UEMOA</t>
  </si>
  <si>
    <t>Montant autres
Etats de la
Région hors de
l'UEMOA</t>
  </si>
  <si>
    <t>UNITE DE QUANTITE CHOISIE</t>
  </si>
  <si>
    <t>PRODUCTION VENDUE
DANS LES AUTRES ETATS
DE L'UEMOA</t>
  </si>
  <si>
    <t>PRODUCTION VENDUE
AUTRES ETATS DE LA
REGION HORS
DE L'UEMOA</t>
  </si>
  <si>
    <t>I - B12 - 1 DETAIL DE PRODUITS :</t>
  </si>
  <si>
    <t xml:space="preserve">Redevances pour brevets, concessions, </t>
  </si>
  <si>
    <t>licences, marques et droits similaires :</t>
  </si>
  <si>
    <t>Redevances pour location de terrains agricoles :</t>
  </si>
  <si>
    <t>I - C1 - BIENS ACQUIS D'OCCASION :</t>
  </si>
  <si>
    <t>NON VENTILE</t>
  </si>
  <si>
    <t>COMPLEMENT NOTE 27 B</t>
  </si>
  <si>
    <t>AUTRE ETATS DE L'UEMOA</t>
  </si>
  <si>
    <t>COMPLEMENT NOTE 33 ACHATS DESTINES A LA PRODUCTION EN F CFA</t>
  </si>
  <si>
    <t>PERSONNEL PROPRE</t>
  </si>
  <si>
    <t>Achats de marchandises dans l'UEMOA</t>
  </si>
  <si>
    <t>Achats de marchandises au groupe dans</t>
  </si>
  <si>
    <t>1. CADRE SUPERIEURS</t>
  </si>
  <si>
    <t>l'UEMOA</t>
  </si>
  <si>
    <t>2. TECHNICIENS SUPERIEURS ET
    CADRES MOYENS</t>
  </si>
  <si>
    <t>3. TECHNICIENS, AGENTS DE
    MAITRISE ET OUVRIERS QUALIFIES</t>
  </si>
  <si>
    <t>Achats de matières premières dans l'UEMOA</t>
  </si>
  <si>
    <t>4. EMPLOYES, MANŒUVRES,
    OUVRIERS ET APPRENTIS</t>
  </si>
  <si>
    <t>Achats de matières premières au groupe dans l'UEMOA</t>
  </si>
  <si>
    <t>PERMANENTS</t>
  </si>
  <si>
    <t>SAISONNIERS</t>
  </si>
  <si>
    <t>Achats de matières premières</t>
  </si>
  <si>
    <t>ETAT SUPPLEMENTAIRE N°2</t>
  </si>
  <si>
    <t>Nom et Prénoms des Associés</t>
  </si>
  <si>
    <t>Adresse du Domicile Fiscal</t>
  </si>
  <si>
    <t>N° de Compte
Contribuable</t>
  </si>
  <si>
    <t>Part des résultats
avant réintégration
de leurs
rémunération et
AN et part de l'IMF</t>
  </si>
  <si>
    <t>Rémunération et
avantages en
nature et part de
l'IMF leur revenant</t>
  </si>
  <si>
    <t>Total imposable au
nom de chaque
associé</t>
  </si>
  <si>
    <t>N° note / ref
autres parties
états financiers</t>
  </si>
  <si>
    <t>ETAT SUPPLEMENTAIRE N°3</t>
  </si>
  <si>
    <t>EXPLOITANTS INDIVIDUELS</t>
  </si>
  <si>
    <t>N° note / ref
autres parties
des états financiers</t>
  </si>
  <si>
    <t xml:space="preserve"> APPORTS FINANCIERS AU COURS EXERCICE</t>
  </si>
  <si>
    <t xml:space="preserve"> PRELEVEMENTS FINANCIERS AU COURS EXERCICE</t>
  </si>
  <si>
    <t xml:space="preserve"> AVANTAGES EN NATURE VALEUR REELLE</t>
  </si>
  <si>
    <t xml:space="preserve"> REMUNERATIONS CONJOINT EXPLOITANT</t>
  </si>
  <si>
    <t>ETAT SUPPLEMENTAIRE N°4</t>
  </si>
  <si>
    <t>NUMERO DE COMPTE</t>
  </si>
  <si>
    <t>DESIGNATION DES IMMOBILISATIONS</t>
  </si>
  <si>
    <t>TAUX
AMORT. %</t>
  </si>
  <si>
    <t>DATE MISE SERVICE</t>
  </si>
  <si>
    <t>VALEUR
D'ACQUISITION</t>
  </si>
  <si>
    <t>AMORTISSEMENTS</t>
  </si>
  <si>
    <t>VALEUR
RESIDUELLE</t>
  </si>
  <si>
    <t>PRIX CESSION</t>
  </si>
  <si>
    <t>PLUES-VALUE</t>
  </si>
  <si>
    <t>MOINS-VALUES</t>
  </si>
  <si>
    <t>ANTERIEURS</t>
  </si>
  <si>
    <t>DE L'EXERCICE</t>
  </si>
  <si>
    <t>ETAT SUPPLEMENTAIRE N°5</t>
  </si>
  <si>
    <t>Achats de
matières premières
et fournitures liées</t>
  </si>
  <si>
    <t>Achats stockés
de matières et
fournitures
consommables</t>
  </si>
  <si>
    <t>Achats
d'emballages</t>
  </si>
  <si>
    <t>Total rubriques</t>
  </si>
  <si>
    <t>Immobilisations</t>
  </si>
  <si>
    <t>Droits de douane</t>
  </si>
  <si>
    <t>Frets et transports sur achats</t>
  </si>
  <si>
    <t>Assurances transport sur achats</t>
  </si>
  <si>
    <t>Commissions et courtages sur achats</t>
  </si>
  <si>
    <t>Rémunération du transitaire</t>
  </si>
  <si>
    <t>Autres frais accessoires d'achat</t>
  </si>
  <si>
    <t>Total frais accessoires d'achats</t>
  </si>
  <si>
    <t>ETAT SUPPLEMENTAIRE N°6</t>
  </si>
  <si>
    <t>DETAIL DES AVANTAGES EN NATURE ET EN ESPECES IMPOSES
ALLOUES AU PERSONNEL  (1)</t>
  </si>
  <si>
    <t>Forfait (Barème)
F.CFA</t>
  </si>
  <si>
    <t>Montant réel
F.CFA</t>
  </si>
  <si>
    <t>Loyers logement du personnel</t>
  </si>
  <si>
    <t>Frais d'hôtels &amp; restaurant logement du personnel</t>
  </si>
  <si>
    <t>Frais de cantine</t>
  </si>
  <si>
    <t>Eau logement du personnel</t>
  </si>
  <si>
    <t>Electricité logement du personnel</t>
  </si>
  <si>
    <t>Télécommunication logement du personnel</t>
  </si>
  <si>
    <t>Frais de téléphone mobile</t>
  </si>
  <si>
    <t>Gardiennage logement du personnel</t>
  </si>
  <si>
    <t>Frais de transport en commun du personnel</t>
  </si>
  <si>
    <t>Voyages congés personnel</t>
  </si>
  <si>
    <t>Charge patronale assurance vie allouée au personnel</t>
  </si>
  <si>
    <t>Charge patronale retraite complémentaire</t>
  </si>
  <si>
    <t xml:space="preserve">Charge patronale autres caisses sociales étrangères </t>
  </si>
  <si>
    <t>Cotisation club golf et autres</t>
  </si>
  <si>
    <t>Frais de scolarité des enfants</t>
  </si>
  <si>
    <t>Dons au personnel</t>
  </si>
  <si>
    <t>Divers autres à préciser</t>
  </si>
  <si>
    <t>TOTAL (1)</t>
  </si>
  <si>
    <r>
      <rPr>
        <b/>
        <sz val="8"/>
        <rFont val="Arial"/>
        <family val="2"/>
      </rPr>
      <t>(1)</t>
    </r>
    <r>
      <rPr>
        <sz val="8"/>
        <rFont val="Arial"/>
        <family val="2"/>
      </rPr>
      <t>: Montants à rappocher de l'Etat 301 en mettant en évidence les divergences à justifier.</t>
    </r>
  </si>
  <si>
    <t>ETAT SUPPLEMENTAIRE N°7</t>
  </si>
  <si>
    <t>CREANCES &amp; DETTES ECHUES DE L'EXERCICE</t>
  </si>
  <si>
    <t>CREANCES ECHUES DE L'EXERCICE</t>
  </si>
  <si>
    <t>PRINCIPAL</t>
  </si>
  <si>
    <t>INTERETS</t>
  </si>
  <si>
    <t>DETTES ECHUES DE L'EXERCICE</t>
  </si>
  <si>
    <t>TABLE DES COMMENTAIRES</t>
  </si>
  <si>
    <t>COMMENTAIRES
PAGE 1/9</t>
  </si>
  <si>
    <t>COMMENTAIRES
PAGE 2/9</t>
  </si>
  <si>
    <t>ACTIF CIRCULANT ET DETTES CIRCULANTES  HAO</t>
  </si>
  <si>
    <t>COMMENTAIRES
PAGE 3/9</t>
  </si>
  <si>
    <t>COMMENTAIRES
PAGE 4/9</t>
  </si>
  <si>
    <t>ECARTS DE CONVERSION ET TRANSFERTS DE CHARGES</t>
  </si>
  <si>
    <t>COMMENTAIRES
PAGE 5/9</t>
  </si>
  <si>
    <t>ENGAGEMENTS DE RETRAITE ET AVANTAGES ASSIMILES : PARTIE 1 (METHODE ACTUARIELLE)</t>
  </si>
  <si>
    <t>COMMENTAIRES
PAGE 6/9</t>
  </si>
  <si>
    <t>ENGAGEMENTS DE RETRAITE ET AVANTAGES ASSIMILES : PARTIE 2 (METHODE ACTUARIELLE)</t>
  </si>
  <si>
    <t>COMMENTAIRES
PAGE 7/9</t>
  </si>
  <si>
    <t>COMMENTAIRES
PAGE 8/9</t>
  </si>
  <si>
    <t>COMMENTAIRES
PAGE 9/9</t>
  </si>
  <si>
    <t>RESULTAT</t>
  </si>
  <si>
    <t>NOTE3E1</t>
  </si>
  <si>
    <t>NOTE3E2</t>
  </si>
  <si>
    <t>NOTE3E3</t>
  </si>
  <si>
    <t>NOTE13A</t>
  </si>
  <si>
    <t>NOTE13B</t>
  </si>
  <si>
    <t>Type de liasse</t>
  </si>
  <si>
    <t>NCC</t>
  </si>
  <si>
    <t>Exercice</t>
  </si>
  <si>
    <t>NO</t>
  </si>
  <si>
    <t>Types de tableaux</t>
  </si>
  <si>
    <t>Description</t>
  </si>
  <si>
    <t>Brevets, licences, logiciels, et droits similaires</t>
  </si>
  <si>
    <t>Avances et acomptes versés sur immobilisations</t>
  </si>
  <si>
    <t>Dettes de location acquisition</t>
  </si>
  <si>
    <t>Provisions pour risques à court terme</t>
  </si>
  <si>
    <t>Reprises d'amortissements, provisions et dépréciations</t>
  </si>
  <si>
    <t>RESULTAT  FINANCIER  (Somme TK à RN)</t>
  </si>
  <si>
    <t>RESULTAT HORS ACTIVITES ORDINAIRES (Somme TN à RP)</t>
  </si>
  <si>
    <t>Nature et date des réévaluations</t>
  </si>
  <si>
    <t>Méthode de réévaluation utilisée</t>
  </si>
  <si>
    <t>Traitement fiscal de l'écart de réévaluation et des amortissements supplémentaires</t>
  </si>
  <si>
    <t>Montant de l'écart incorporé au capital</t>
  </si>
  <si>
    <t>Valeur nominale des actions ou parts</t>
  </si>
  <si>
    <t>Onglet</t>
  </si>
  <si>
    <t>F11</t>
  </si>
  <si>
    <t>H11</t>
  </si>
  <si>
    <t>I11</t>
  </si>
  <si>
    <t>A11</t>
  </si>
  <si>
    <t>A10</t>
  </si>
  <si>
    <t>A9</t>
  </si>
  <si>
    <t>L8</t>
  </si>
  <si>
    <t>Amortissements supplémentaires</t>
  </si>
  <si>
    <t>Cessions ou remboursements en cours d'exercice</t>
  </si>
  <si>
    <t>NOTE28</t>
  </si>
  <si>
    <t>Résultat</t>
  </si>
  <si>
    <t>Informations sur les réévaluations effectuées par l'entité</t>
  </si>
  <si>
    <t>Dotations et charges pour provisions et dépréciations</t>
  </si>
  <si>
    <t>Colonne</t>
  </si>
  <si>
    <t>Le titre du tableau.</t>
  </si>
  <si>
    <t>Le type du tableau (cf. liste ci-contre).</t>
  </si>
  <si>
    <t>NO_ACTIF_AD_1</t>
  </si>
  <si>
    <t>NO_ACTIF_AE_1</t>
  </si>
  <si>
    <t>NO_ACTIF_AF_1</t>
  </si>
  <si>
    <t>NO_ACTIF_AG_1</t>
  </si>
  <si>
    <t>NO_ACTIF_AH_1</t>
  </si>
  <si>
    <t>NO_ACTIF_AI_1</t>
  </si>
  <si>
    <t>NO_ACTIF_AJ_1</t>
  </si>
  <si>
    <t>NO_ACTIF_AK_1</t>
  </si>
  <si>
    <t>NO_ACTIF_AL_1</t>
  </si>
  <si>
    <t>NO_ACTIF_AM_1</t>
  </si>
  <si>
    <t>NO_ACTIF_AN_1</t>
  </si>
  <si>
    <t>NO_ACTIF_AP_1</t>
  </si>
  <si>
    <t>NO_ACTIF_AQ_1</t>
  </si>
  <si>
    <t>NO_ACTIF_AR_1</t>
  </si>
  <si>
    <t>NO_ACTIF_AS_1</t>
  </si>
  <si>
    <t>NO_ACTIF_AZ_1</t>
  </si>
  <si>
    <t>NO_ACTIF_BA_1</t>
  </si>
  <si>
    <t>NO_ACTIF_BB_1</t>
  </si>
  <si>
    <t>NO_ACTIF_BG_1</t>
  </si>
  <si>
    <t>NO_ACTIF_BH_1</t>
  </si>
  <si>
    <t>NO_ACTIF_BI_1</t>
  </si>
  <si>
    <t>NO_ACTIF_BJ_1</t>
  </si>
  <si>
    <t>NO_ACTIF_BK_1</t>
  </si>
  <si>
    <t>NO_ACTIF_BQ_1</t>
  </si>
  <si>
    <t>NO_ACTIF_BR_1</t>
  </si>
  <si>
    <t>NO_ACTIF_BS_1</t>
  </si>
  <si>
    <t>NO_ACTIF_BT_1</t>
  </si>
  <si>
    <t>NO_ACTIF_BU_1</t>
  </si>
  <si>
    <t>NO_ACTIF_BZ_1</t>
  </si>
  <si>
    <t>NO_ACTIF_AD_2</t>
  </si>
  <si>
    <t>NO_ACTIF_AE_2</t>
  </si>
  <si>
    <t>NO_ACTIF_AF_2</t>
  </si>
  <si>
    <t>NO_ACTIF_AG_2</t>
  </si>
  <si>
    <t>NO_ACTIF_AH_2</t>
  </si>
  <si>
    <t>NO_ACTIF_AI_2</t>
  </si>
  <si>
    <t>NO_ACTIF_AJ_2</t>
  </si>
  <si>
    <t>NO_ACTIF_AK_2</t>
  </si>
  <si>
    <t>NO_ACTIF_AL_2</t>
  </si>
  <si>
    <t>NO_ACTIF_AM_2</t>
  </si>
  <si>
    <t>NO_ACTIF_AN_2</t>
  </si>
  <si>
    <t>NO_ACTIF_AP_2</t>
  </si>
  <si>
    <t>NO_ACTIF_AQ_2</t>
  </si>
  <si>
    <t>NO_ACTIF_AR_2</t>
  </si>
  <si>
    <t>NO_ACTIF_AS_2</t>
  </si>
  <si>
    <t>NO_ACTIF_AZ_2</t>
  </si>
  <si>
    <t>NO_ACTIF_BA_2</t>
  </si>
  <si>
    <t>NO_ACTIF_BB_2</t>
  </si>
  <si>
    <t>NO_ACTIF_BG_2</t>
  </si>
  <si>
    <t>NO_ACTIF_BH_2</t>
  </si>
  <si>
    <t>NO_ACTIF_BI_2</t>
  </si>
  <si>
    <t>NO_ACTIF_BJ_2</t>
  </si>
  <si>
    <t>NO_ACTIF_BK_2</t>
  </si>
  <si>
    <t>NO_ACTIF_BQ_2</t>
  </si>
  <si>
    <t>NO_ACTIF_BR_2</t>
  </si>
  <si>
    <t>NO_ACTIF_BS_2</t>
  </si>
  <si>
    <t>NO_ACTIF_BT_2</t>
  </si>
  <si>
    <t>NO_ACTIF_BU_2</t>
  </si>
  <si>
    <t>NO_ACTIF_BZ_2</t>
  </si>
  <si>
    <t>NO_ACTIF_AD_3</t>
  </si>
  <si>
    <t>NO_ACTIF_AE_3</t>
  </si>
  <si>
    <t>NO_ACTIF_AF_3</t>
  </si>
  <si>
    <t>NO_ACTIF_AG_3</t>
  </si>
  <si>
    <t>NO_ACTIF_AH_3</t>
  </si>
  <si>
    <t>NO_ACTIF_AI_3</t>
  </si>
  <si>
    <t>NO_ACTIF_AJ_3</t>
  </si>
  <si>
    <t>NO_ACTIF_AK_3</t>
  </si>
  <si>
    <t>NO_ACTIF_AL_3</t>
  </si>
  <si>
    <t>NO_ACTIF_AM_3</t>
  </si>
  <si>
    <t>NO_ACTIF_AN_3</t>
  </si>
  <si>
    <t>NO_ACTIF_AP_3</t>
  </si>
  <si>
    <t>NO_ACTIF_AQ_3</t>
  </si>
  <si>
    <t>NO_ACTIF_AR_3</t>
  </si>
  <si>
    <t>NO_ACTIF_AS_3</t>
  </si>
  <si>
    <t>NO_ACTIF_AZ_3</t>
  </si>
  <si>
    <t>NO_ACTIF_BA_3</t>
  </si>
  <si>
    <t>NO_ACTIF_BB_3</t>
  </si>
  <si>
    <t>NO_ACTIF_BG_3</t>
  </si>
  <si>
    <t>NO_ACTIF_BH_3</t>
  </si>
  <si>
    <t>NO_ACTIF_BI_3</t>
  </si>
  <si>
    <t>NO_ACTIF_BJ_3</t>
  </si>
  <si>
    <t>NO_ACTIF_BK_3</t>
  </si>
  <si>
    <t>NO_ACTIF_BQ_3</t>
  </si>
  <si>
    <t>NO_ACTIF_BR_3</t>
  </si>
  <si>
    <t>NO_ACTIF_BS_3</t>
  </si>
  <si>
    <t>NO_ACTIF_BT_3</t>
  </si>
  <si>
    <t>NO_ACTIF_BU_3</t>
  </si>
  <si>
    <t>NO_ACTIF_BZ_3</t>
  </si>
  <si>
    <t>NET (N-1)</t>
  </si>
  <si>
    <t>NO_ACTIF_AD_4</t>
  </si>
  <si>
    <t>NO_ACTIF_AE_4</t>
  </si>
  <si>
    <t>NO_ACTIF_AF_4</t>
  </si>
  <si>
    <t>NO_ACTIF_AG_4</t>
  </si>
  <si>
    <t>NO_ACTIF_AH_4</t>
  </si>
  <si>
    <t>NO_ACTIF_AI_4</t>
  </si>
  <si>
    <t>NO_ACTIF_AJ_4</t>
  </si>
  <si>
    <t>NO_ACTIF_AK_4</t>
  </si>
  <si>
    <t>NO_ACTIF_AL_4</t>
  </si>
  <si>
    <t>NO_ACTIF_AM_4</t>
  </si>
  <si>
    <t>NO_ACTIF_AN_4</t>
  </si>
  <si>
    <t>NO_ACTIF_AP_4</t>
  </si>
  <si>
    <t>NO_ACTIF_AQ_4</t>
  </si>
  <si>
    <t>NO_ACTIF_AR_4</t>
  </si>
  <si>
    <t>NO_ACTIF_AS_4</t>
  </si>
  <si>
    <t>NO_ACTIF_AZ_4</t>
  </si>
  <si>
    <t>NO_ACTIF_BA_4</t>
  </si>
  <si>
    <t>NO_ACTIF_BB_4</t>
  </si>
  <si>
    <t>NO_ACTIF_BG_4</t>
  </si>
  <si>
    <t>NO_ACTIF_BH_4</t>
  </si>
  <si>
    <t>NO_ACTIF_BI_4</t>
  </si>
  <si>
    <t>NO_ACTIF_BJ_4</t>
  </si>
  <si>
    <t>NO_ACTIF_BK_4</t>
  </si>
  <si>
    <t>NO_ACTIF_BQ_4</t>
  </si>
  <si>
    <t>NO_ACTIF_BR_4</t>
  </si>
  <si>
    <t>NO_ACTIF_BS_4</t>
  </si>
  <si>
    <t>NO_ACTIF_BT_4</t>
  </si>
  <si>
    <t>NO_ACTIF_BU_4</t>
  </si>
  <si>
    <t>NO_ACTIF_BZ_4</t>
  </si>
  <si>
    <t>NO_PASSIF_CA_1</t>
  </si>
  <si>
    <t>NO_PASSIF_CB_1</t>
  </si>
  <si>
    <t>NO_PASSIF_CD_1</t>
  </si>
  <si>
    <t>NO_PASSIF_CE_1</t>
  </si>
  <si>
    <t>NO_PASSIF_CF_1</t>
  </si>
  <si>
    <t>NO_PASSIF_CG_1</t>
  </si>
  <si>
    <t>NO_PASSIF_CH_1</t>
  </si>
  <si>
    <t>NO_PASSIF_CJ_1</t>
  </si>
  <si>
    <t>NO_PASSIF_CL_1</t>
  </si>
  <si>
    <t>NO_PASSIF_CM_1</t>
  </si>
  <si>
    <t>NO_PASSIF_CP_1</t>
  </si>
  <si>
    <t>NO_PASSIF_DA_1</t>
  </si>
  <si>
    <t>NO_PASSIF_DB_1</t>
  </si>
  <si>
    <t>NO_PASSIF_DC_1</t>
  </si>
  <si>
    <t>NO_PASSIF_DD_1</t>
  </si>
  <si>
    <t>NO_PASSIF_DF_1</t>
  </si>
  <si>
    <t>NO_PASSIF_DH_1</t>
  </si>
  <si>
    <t>NO_PASSIF_DI_1</t>
  </si>
  <si>
    <t>NO_PASSIF_DJ_1</t>
  </si>
  <si>
    <t>NO_PASSIF_DK_1</t>
  </si>
  <si>
    <t>NO_PASSIF_DM_1</t>
  </si>
  <si>
    <t>NO_PASSIF_DN_1</t>
  </si>
  <si>
    <t>NO_PASSIF_DP_1</t>
  </si>
  <si>
    <t>NO_PASSIF_DQ_1</t>
  </si>
  <si>
    <t>NO_PASSIF_DR_1</t>
  </si>
  <si>
    <t>NO_PASSIF_DT_1</t>
  </si>
  <si>
    <t>NO_PASSIF_DV_1</t>
  </si>
  <si>
    <t>NO_PASSIF_DZ_1</t>
  </si>
  <si>
    <t>NO_PASSIF_CA_2</t>
  </si>
  <si>
    <t>NO_PASSIF_CB_2</t>
  </si>
  <si>
    <t>NO_PASSIF_CD_2</t>
  </si>
  <si>
    <t>NO_PASSIF_CE_2</t>
  </si>
  <si>
    <t>NO_PASSIF_CF_2</t>
  </si>
  <si>
    <t>NO_PASSIF_CG_2</t>
  </si>
  <si>
    <t>NO_PASSIF_CH_2</t>
  </si>
  <si>
    <t>NO_PASSIF_CJ_2</t>
  </si>
  <si>
    <t>NO_PASSIF_CL_2</t>
  </si>
  <si>
    <t>NO_PASSIF_CM_2</t>
  </si>
  <si>
    <t>NO_PASSIF_CP_2</t>
  </si>
  <si>
    <t>NO_PASSIF_DA_2</t>
  </si>
  <si>
    <t>NO_PASSIF_DB_2</t>
  </si>
  <si>
    <t>NO_PASSIF_DC_2</t>
  </si>
  <si>
    <t>NO_PASSIF_DD_2</t>
  </si>
  <si>
    <t>NO_PASSIF_DF_2</t>
  </si>
  <si>
    <t>NO_PASSIF_DH_2</t>
  </si>
  <si>
    <t>NO_PASSIF_DI_2</t>
  </si>
  <si>
    <t>NO_PASSIF_DJ_2</t>
  </si>
  <si>
    <t>NO_PASSIF_DK_2</t>
  </si>
  <si>
    <t>NO_PASSIF_DM_2</t>
  </si>
  <si>
    <t>NO_PASSIF_DN_2</t>
  </si>
  <si>
    <t>NO_PASSIF_DP_2</t>
  </si>
  <si>
    <t>NO_PASSIF_DQ_2</t>
  </si>
  <si>
    <t>NO_PASSIF_DR_2</t>
  </si>
  <si>
    <t>NO_PASSIF_DT_2</t>
  </si>
  <si>
    <t>NO_PASSIF_DV_2</t>
  </si>
  <si>
    <t>NO_PASSIF_DZ_2</t>
  </si>
  <si>
    <t>NO_RESULTAT_TA_1</t>
  </si>
  <si>
    <t>NO_RESULTAT_RA_1</t>
  </si>
  <si>
    <t>NO_RESULTAT_RB_1</t>
  </si>
  <si>
    <t>NO_RESULTAT_XA_1</t>
  </si>
  <si>
    <t>NO_RESULTAT_TB_1</t>
  </si>
  <si>
    <t>NO_RESULTAT_TC_1</t>
  </si>
  <si>
    <t>NO_RESULTAT_TD_1</t>
  </si>
  <si>
    <t>NO_RESULTAT_XB_1</t>
  </si>
  <si>
    <t>NO_RESULTAT_TE_1</t>
  </si>
  <si>
    <t>NO_RESULTAT_TF_1</t>
  </si>
  <si>
    <t>NO_RESULTAT_TG_1</t>
  </si>
  <si>
    <t>NO_RESULTAT_TH_1</t>
  </si>
  <si>
    <t>NO_RESULTAT_TI_1</t>
  </si>
  <si>
    <t>NO_RESULTAT_RC_1</t>
  </si>
  <si>
    <t>NO_RESULTAT_RD_1</t>
  </si>
  <si>
    <t>NO_RESULTAT_RE_1</t>
  </si>
  <si>
    <t>NO_RESULTAT_RF_1</t>
  </si>
  <si>
    <t>NO_RESULTAT_RG_1</t>
  </si>
  <si>
    <t>NO_RESULTAT_RH_1</t>
  </si>
  <si>
    <t>NO_RESULTAT_RI_1</t>
  </si>
  <si>
    <t>NO_RESULTAT_RJ_1</t>
  </si>
  <si>
    <t>NO_RESULTAT_XC_1</t>
  </si>
  <si>
    <t>NO_RESULTAT_RK_1</t>
  </si>
  <si>
    <t>NO_RESULTAT_XD_1</t>
  </si>
  <si>
    <t>NO_RESULTAT_TJ_1</t>
  </si>
  <si>
    <t>NO_RESULTAT_RL_1</t>
  </si>
  <si>
    <t>NO_RESULTAT_XE_1</t>
  </si>
  <si>
    <t>NO_RESULTAT_TK_1</t>
  </si>
  <si>
    <t>NO_RESULTAT_TL_1</t>
  </si>
  <si>
    <t>NO_RESULTAT_TM_1</t>
  </si>
  <si>
    <t>NO_RESULTAT_RM_1</t>
  </si>
  <si>
    <t>NO_RESULTAT_RN_1</t>
  </si>
  <si>
    <t>NO_RESULTAT_XF_1</t>
  </si>
  <si>
    <t>NO_RESULTAT_XG_1</t>
  </si>
  <si>
    <t>NO_RESULTAT_TN_1</t>
  </si>
  <si>
    <t>NO_RESULTAT_TO_1</t>
  </si>
  <si>
    <t>NO_RESULTAT_RO_1</t>
  </si>
  <si>
    <t>NO_RESULTAT_RP_1</t>
  </si>
  <si>
    <t>NO_RESULTAT_XH_1</t>
  </si>
  <si>
    <t>NO_RESULTAT_RQ_1</t>
  </si>
  <si>
    <t>NO_RESULTAT_RS_1</t>
  </si>
  <si>
    <t>NO_RESULTAT_XI_1</t>
  </si>
  <si>
    <t>NO_RESULTAT_TA_2</t>
  </si>
  <si>
    <t>NO_RESULTAT_RA_2</t>
  </si>
  <si>
    <t>NO_RESULTAT_RB_2</t>
  </si>
  <si>
    <t>NO_RESULTAT_XA_2</t>
  </si>
  <si>
    <t>NO_RESULTAT_TB_2</t>
  </si>
  <si>
    <t>NO_RESULTAT_TC_2</t>
  </si>
  <si>
    <t>NO_RESULTAT_TD_2</t>
  </si>
  <si>
    <t>NO_RESULTAT_XB_2</t>
  </si>
  <si>
    <t>NO_RESULTAT_TE_2</t>
  </si>
  <si>
    <t>NO_RESULTAT_TF_2</t>
  </si>
  <si>
    <t>NO_RESULTAT_TG_2</t>
  </si>
  <si>
    <t>NO_RESULTAT_TH_2</t>
  </si>
  <si>
    <t>NO_RESULTAT_TI_2</t>
  </si>
  <si>
    <t>NO_RESULTAT_RC_2</t>
  </si>
  <si>
    <t>NO_RESULTAT_RD_2</t>
  </si>
  <si>
    <t>NO_RESULTAT_RE_2</t>
  </si>
  <si>
    <t>NO_RESULTAT_RF_2</t>
  </si>
  <si>
    <t>NO_RESULTAT_RG_2</t>
  </si>
  <si>
    <t>NO_RESULTAT_RH_2</t>
  </si>
  <si>
    <t>NO_RESULTAT_RI_2</t>
  </si>
  <si>
    <t>NO_RESULTAT_RJ_2</t>
  </si>
  <si>
    <t>NO_RESULTAT_XC_2</t>
  </si>
  <si>
    <t>NO_RESULTAT_RK_2</t>
  </si>
  <si>
    <t>NO_RESULTAT_XD_2</t>
  </si>
  <si>
    <t>NO_RESULTAT_TJ_2</t>
  </si>
  <si>
    <t>NO_RESULTAT_RL_2</t>
  </si>
  <si>
    <t>NO_RESULTAT_XE_2</t>
  </si>
  <si>
    <t>NO_RESULTAT_TK_2</t>
  </si>
  <si>
    <t>NO_RESULTAT_TL_2</t>
  </si>
  <si>
    <t>NO_RESULTAT_TM_2</t>
  </si>
  <si>
    <t>NO_RESULTAT_RM_2</t>
  </si>
  <si>
    <t>NO_RESULTAT_RN_2</t>
  </si>
  <si>
    <t>NO_RESULTAT_XF_2</t>
  </si>
  <si>
    <t>NO_RESULTAT_XG_2</t>
  </si>
  <si>
    <t>NO_RESULTAT_TN_2</t>
  </si>
  <si>
    <t>NO_RESULTAT_TO_2</t>
  </si>
  <si>
    <t>NO_RESULTAT_RO_2</t>
  </si>
  <si>
    <t>NO_RESULTAT_RP_2</t>
  </si>
  <si>
    <t>NO_RESULTAT_XH_2</t>
  </si>
  <si>
    <t>NO_RESULTAT_RQ_2</t>
  </si>
  <si>
    <t>NO_RESULTAT_RS_2</t>
  </si>
  <si>
    <t>NO_RESULTAT_XI_2</t>
  </si>
  <si>
    <t>Montants en coûts historiques</t>
  </si>
  <si>
    <t>NO_NOTE13B_1</t>
  </si>
  <si>
    <t>NO_NOTE13B_2</t>
  </si>
  <si>
    <t>NO_NOTE13B_3</t>
  </si>
  <si>
    <t>NO_NOTE13B_4</t>
  </si>
  <si>
    <t>NO_NOTE13B_5</t>
  </si>
  <si>
    <t>NO_NOTE13B_6</t>
  </si>
  <si>
    <t>NO_NOTE13B_7</t>
  </si>
  <si>
    <t>NO_NOTE13B_8</t>
  </si>
  <si>
    <t>NO_NOTE13B_9</t>
  </si>
  <si>
    <t>NO_NOTE3E1_1_1</t>
  </si>
  <si>
    <t>NO_NOTE3E1_2_1</t>
  </si>
  <si>
    <t>NO_NOTE3E1_3_1</t>
  </si>
  <si>
    <t>NO_NOTE13A_1_1</t>
  </si>
  <si>
    <t>Pour chaque tableau de la liste ci-dessous :</t>
  </si>
  <si>
    <t>Code tableau</t>
  </si>
  <si>
    <t>Titre</t>
  </si>
  <si>
    <t>Type</t>
  </si>
  <si>
    <t xml:space="preserve">Première cellule DGI </t>
  </si>
  <si>
    <t>Dernière cellule DGI</t>
  </si>
  <si>
    <r>
      <rPr>
        <b/>
        <u/>
        <sz val="16"/>
        <color rgb="FF0070C0"/>
        <rFont val="Calibri"/>
        <family val="2"/>
        <scheme val="minor"/>
      </rPr>
      <t>Etape 2</t>
    </r>
    <r>
      <rPr>
        <sz val="14"/>
        <color theme="1"/>
        <rFont val="Calibri"/>
        <family val="2"/>
        <scheme val="minor"/>
      </rPr>
      <t xml:space="preserve">
Remplir la colonne </t>
    </r>
    <r>
      <rPr>
        <b/>
        <sz val="14"/>
        <color rgb="FFF75B5B"/>
        <rFont val="Calibri"/>
        <family val="2"/>
        <scheme val="minor"/>
      </rPr>
      <t>Première cellule</t>
    </r>
    <r>
      <rPr>
        <sz val="14"/>
        <color theme="1"/>
        <rFont val="Calibri"/>
        <family val="2"/>
        <scheme val="minor"/>
      </rPr>
      <t xml:space="preserve"> avec le nom de la première cellule à remplir du tableau</t>
    </r>
  </si>
  <si>
    <t>Première cellule</t>
  </si>
  <si>
    <t>Dernière cellule</t>
  </si>
  <si>
    <r>
      <rPr>
        <b/>
        <u/>
        <sz val="14"/>
        <color rgb="FF0070C0"/>
        <rFont val="Calibri"/>
        <family val="2"/>
        <scheme val="minor"/>
      </rPr>
      <t>Etape 3</t>
    </r>
    <r>
      <rPr>
        <sz val="14"/>
        <color theme="1"/>
        <rFont val="Calibri"/>
        <family val="2"/>
        <scheme val="minor"/>
      </rPr>
      <t xml:space="preserve">
Si le tableau est de type </t>
    </r>
    <r>
      <rPr>
        <b/>
        <sz val="14"/>
        <color theme="1"/>
        <rFont val="Calibri"/>
        <family val="2"/>
        <scheme val="minor"/>
      </rPr>
      <t>variable</t>
    </r>
    <r>
      <rPr>
        <sz val="14"/>
        <color theme="1"/>
        <rFont val="Calibri"/>
        <family val="2"/>
        <scheme val="minor"/>
      </rPr>
      <t xml:space="preserve">, remplir la colonne </t>
    </r>
    <r>
      <rPr>
        <b/>
        <sz val="14"/>
        <color rgb="FFF75B5B"/>
        <rFont val="Calibri"/>
        <family val="2"/>
        <scheme val="minor"/>
      </rPr>
      <t>Dernière cellule</t>
    </r>
    <r>
      <rPr>
        <sz val="14"/>
        <color theme="1"/>
        <rFont val="Calibri"/>
        <family val="2"/>
        <scheme val="minor"/>
      </rPr>
      <t xml:space="preserve"> avec le nom de la dernière cellule à remplir du tableau</t>
    </r>
  </si>
  <si>
    <t>Fixe</t>
  </si>
  <si>
    <t>Variable</t>
  </si>
  <si>
    <t>Type de tableau</t>
  </si>
  <si>
    <t>Tableau ayant un nombre de lignes variable (ex : liste des dirigeants).</t>
  </si>
  <si>
    <t>Définitions</t>
  </si>
  <si>
    <t>Informations d'identification des tableaux</t>
  </si>
  <si>
    <t>1. MAPPING DES TABLEAUX</t>
  </si>
  <si>
    <r>
      <t xml:space="preserve">2. MAPPING DES CHAMPS FIXES
</t>
    </r>
    <r>
      <rPr>
        <b/>
        <sz val="14"/>
        <color theme="0"/>
        <rFont val="Calibri"/>
        <family val="2"/>
        <scheme val="minor"/>
      </rPr>
      <t>(champs des tableaux à nombre de lignes fixe)</t>
    </r>
  </si>
  <si>
    <r>
      <t xml:space="preserve">3. MAPPING DES CHAMPS VARIABLES
</t>
    </r>
    <r>
      <rPr>
        <b/>
        <sz val="14"/>
        <color theme="0"/>
        <rFont val="Calibri"/>
        <family val="2"/>
        <scheme val="minor"/>
      </rPr>
      <t>(champs des tableaux à nombre de lignes variable)</t>
    </r>
  </si>
  <si>
    <t>Onglet DGI</t>
  </si>
  <si>
    <t>Première cellule DGI</t>
  </si>
  <si>
    <t>Nom de la feuille qui contient le tableau dans le modèle Excel de la DGI.</t>
  </si>
  <si>
    <t>Instructions</t>
  </si>
  <si>
    <t>Colonnes de la liste</t>
  </si>
  <si>
    <t>Code ligne</t>
  </si>
  <si>
    <t>Libellé ligne</t>
  </si>
  <si>
    <t>Libellé colonne</t>
  </si>
  <si>
    <t>Code champ</t>
  </si>
  <si>
    <t>Cellule</t>
  </si>
  <si>
    <t>Le code DGI permettant d'identifier le champ.</t>
  </si>
  <si>
    <t>Renseigner le nom de la feuille du fichier Excel qui contient le tableau.</t>
  </si>
  <si>
    <t>Le code DGI permettant d'identifier le tableau auquel le champ appartient.</t>
  </si>
  <si>
    <t>Position ligne</t>
  </si>
  <si>
    <t>Position colonne</t>
  </si>
  <si>
    <t>Code colonne</t>
  </si>
  <si>
    <t>Nature des actions ou parts</t>
  </si>
  <si>
    <t>Informations d'identification des champs</t>
  </si>
  <si>
    <t>Mapping  généré</t>
  </si>
  <si>
    <t>Le code permettant d'identifier la ligne du tableau où se trouve le champ dans le modèle Excel de la DGI (s'il y en a un).</t>
  </si>
  <si>
    <t>Le libellé e-impots de la ligne du tableau où se trouve le champ.</t>
  </si>
  <si>
    <t>Le libellé e-impots de la colonne du tableau où se trouve le champ.</t>
  </si>
  <si>
    <r>
      <rPr>
        <b/>
        <u/>
        <sz val="16"/>
        <color rgb="FF0070C0"/>
        <rFont val="Calibri"/>
        <family val="2"/>
        <scheme val="minor"/>
      </rPr>
      <t>Etape 1</t>
    </r>
    <r>
      <rPr>
        <sz val="14"/>
        <color theme="1"/>
        <rFont val="Calibri"/>
        <family val="2"/>
        <scheme val="minor"/>
      </rPr>
      <t xml:space="preserve">
Remplir la colonne </t>
    </r>
    <r>
      <rPr>
        <b/>
        <sz val="14"/>
        <color rgb="FFF75B5B"/>
        <rFont val="Calibri"/>
        <family val="2"/>
        <scheme val="minor"/>
      </rPr>
      <t>Onglet</t>
    </r>
    <r>
      <rPr>
        <sz val="14"/>
        <color theme="1"/>
        <rFont val="Calibri"/>
        <family val="2"/>
        <scheme val="minor"/>
      </rPr>
      <t xml:space="preserve"> avec le nom de l'onglet dans lequel se trouve le tableau dans le fichier Excel</t>
    </r>
  </si>
  <si>
    <t>Le code DGI permettant d'identifier le tableau auquel la colonne appartient.</t>
  </si>
  <si>
    <t>Informations d'identification des colonnes</t>
  </si>
  <si>
    <t>A modifier si nécessaire</t>
  </si>
  <si>
    <t>A remplir</t>
  </si>
  <si>
    <t>Liste des colonnes de tableaux variables</t>
  </si>
  <si>
    <t>Liste des champs de tableaux fixes</t>
  </si>
  <si>
    <t>Liste des tableaux</t>
  </si>
  <si>
    <t>E11</t>
  </si>
  <si>
    <t>H17</t>
  </si>
  <si>
    <t>Valeurs du modèle Excel de la DGI (données à titre indicatif)</t>
  </si>
  <si>
    <t>L11</t>
  </si>
  <si>
    <t xml:space="preserve">Renseigner l'adresse de la première cellule à remplir du tableau (celle située en haut à gauche du tableau). </t>
  </si>
  <si>
    <t xml:space="preserve">Renseigner l'adresse de la dernière cellule à remplir du tableau (celle située en bas à droite du tableau). 
Uniquement pour les tableaux variables. </t>
  </si>
  <si>
    <t>Adresse de la première cellule du tableau dans le modèle Excel de la DGI.</t>
  </si>
  <si>
    <t>Adresse de la dernière cellule du tableau dans le modèle Excel de la DGI.</t>
  </si>
  <si>
    <r>
      <rPr>
        <b/>
        <u/>
        <sz val="14"/>
        <color theme="1"/>
        <rFont val="Calibri"/>
        <family val="2"/>
        <scheme val="minor"/>
      </rPr>
      <t>Aide</t>
    </r>
    <r>
      <rPr>
        <b/>
        <sz val="14"/>
        <color theme="1"/>
        <rFont val="Calibri"/>
        <family val="2"/>
        <scheme val="minor"/>
      </rPr>
      <t xml:space="preserve"> :</t>
    </r>
    <r>
      <rPr>
        <sz val="14"/>
        <color theme="1"/>
        <rFont val="Calibri"/>
        <family val="2"/>
        <scheme val="minor"/>
      </rPr>
      <t xml:space="preserve"> Pour les tableaux qui se trouvent dans les mêmes onglets et/ou cellules que dans le </t>
    </r>
    <r>
      <rPr>
        <b/>
        <sz val="14"/>
        <color theme="1"/>
        <rFont val="Calibri"/>
        <family val="2"/>
        <scheme val="minor"/>
      </rPr>
      <t>modèle Excel de la DGI</t>
    </r>
    <r>
      <rPr>
        <sz val="14"/>
        <color theme="1"/>
        <rFont val="Calibri"/>
        <family val="2"/>
        <scheme val="minor"/>
      </rPr>
      <t xml:space="preserve">, vous pouvez directement copier les valeurs des </t>
    </r>
    <r>
      <rPr>
        <sz val="14"/>
        <rFont val="Calibri"/>
        <family val="2"/>
        <scheme val="minor"/>
      </rPr>
      <t>colonnes</t>
    </r>
    <r>
      <rPr>
        <b/>
        <sz val="14"/>
        <color theme="2" tint="-0.499984740745262"/>
        <rFont val="Calibri"/>
        <family val="2"/>
        <scheme val="minor"/>
      </rPr>
      <t xml:space="preserve"> Onglet DGI</t>
    </r>
    <r>
      <rPr>
        <sz val="14"/>
        <rFont val="Calibri"/>
        <family val="2"/>
        <scheme val="minor"/>
      </rPr>
      <t>,</t>
    </r>
    <r>
      <rPr>
        <b/>
        <sz val="14"/>
        <color theme="2" tint="-0.499984740745262"/>
        <rFont val="Calibri"/>
        <family val="2"/>
        <scheme val="minor"/>
      </rPr>
      <t xml:space="preserve"> Première cellule DGI </t>
    </r>
    <r>
      <rPr>
        <sz val="14"/>
        <rFont val="Calibri"/>
        <family val="2"/>
        <scheme val="minor"/>
      </rPr>
      <t>et</t>
    </r>
    <r>
      <rPr>
        <b/>
        <sz val="14"/>
        <color theme="2" tint="-0.499984740745262"/>
        <rFont val="Calibri"/>
        <family val="2"/>
        <scheme val="minor"/>
      </rPr>
      <t xml:space="preserve"> Dernière cellule DGI</t>
    </r>
    <r>
      <rPr>
        <sz val="14"/>
        <rFont val="Calibri"/>
        <family val="2"/>
        <scheme val="minor"/>
      </rPr>
      <t xml:space="preserve"> qui sont données à titre indicatif</t>
    </r>
    <r>
      <rPr>
        <sz val="14"/>
        <color theme="1"/>
        <rFont val="Calibri"/>
        <family val="2"/>
        <scheme val="minor"/>
      </rPr>
      <t>.</t>
    </r>
  </si>
  <si>
    <t>L'adresse de la cellule contenant la valeur du champ.</t>
  </si>
  <si>
    <t>La valeur du champ saisie dans le fichier (si le champ a été rempli).</t>
  </si>
  <si>
    <t>NO_NOTE3E2_1_1</t>
  </si>
  <si>
    <t>G11</t>
  </si>
  <si>
    <t>F12</t>
  </si>
  <si>
    <t>G12</t>
  </si>
  <si>
    <t>H12</t>
  </si>
  <si>
    <t>I12</t>
  </si>
  <si>
    <t>F13</t>
  </si>
  <si>
    <t>G13</t>
  </si>
  <si>
    <t>H13</t>
  </si>
  <si>
    <t>I13</t>
  </si>
  <si>
    <t>F14</t>
  </si>
  <si>
    <t>G14</t>
  </si>
  <si>
    <t>H14</t>
  </si>
  <si>
    <t>I14</t>
  </si>
  <si>
    <t>F15</t>
  </si>
  <si>
    <t>G15</t>
  </si>
  <si>
    <t>H15</t>
  </si>
  <si>
    <t>I15</t>
  </si>
  <si>
    <t>F16</t>
  </si>
  <si>
    <t>G16</t>
  </si>
  <si>
    <t>H16</t>
  </si>
  <si>
    <t>I16</t>
  </si>
  <si>
    <t>F17</t>
  </si>
  <si>
    <t>G17</t>
  </si>
  <si>
    <t>I17</t>
  </si>
  <si>
    <t>F18</t>
  </si>
  <si>
    <t>G18</t>
  </si>
  <si>
    <t>H18</t>
  </si>
  <si>
    <t>I18</t>
  </si>
  <si>
    <t>F19</t>
  </si>
  <si>
    <t>G19</t>
  </si>
  <si>
    <t>H19</t>
  </si>
  <si>
    <t>I19</t>
  </si>
  <si>
    <t>F20</t>
  </si>
  <si>
    <t>G20</t>
  </si>
  <si>
    <t>H20</t>
  </si>
  <si>
    <t>I20</t>
  </si>
  <si>
    <t>F21</t>
  </si>
  <si>
    <t>G21</t>
  </si>
  <si>
    <t>H21</t>
  </si>
  <si>
    <t>I21</t>
  </si>
  <si>
    <t>F22</t>
  </si>
  <si>
    <t>G22</t>
  </si>
  <si>
    <t>H22</t>
  </si>
  <si>
    <t>I22</t>
  </si>
  <si>
    <t>F23</t>
  </si>
  <si>
    <t>G23</t>
  </si>
  <si>
    <t>H23</t>
  </si>
  <si>
    <t>I23</t>
  </si>
  <si>
    <t>F24</t>
  </si>
  <si>
    <t>G24</t>
  </si>
  <si>
    <t>H24</t>
  </si>
  <si>
    <t>I24</t>
  </si>
  <si>
    <t>F25</t>
  </si>
  <si>
    <t>G25</t>
  </si>
  <si>
    <t>H25</t>
  </si>
  <si>
    <t>I25</t>
  </si>
  <si>
    <t>F26</t>
  </si>
  <si>
    <t>G26</t>
  </si>
  <si>
    <t>H26</t>
  </si>
  <si>
    <t>I26</t>
  </si>
  <si>
    <t>F27</t>
  </si>
  <si>
    <t>G27</t>
  </si>
  <si>
    <t>H27</t>
  </si>
  <si>
    <t>I27</t>
  </si>
  <si>
    <t>F28</t>
  </si>
  <si>
    <t>G28</t>
  </si>
  <si>
    <t>H28</t>
  </si>
  <si>
    <t>I28</t>
  </si>
  <si>
    <t>F29</t>
  </si>
  <si>
    <t>G29</t>
  </si>
  <si>
    <t>H29</t>
  </si>
  <si>
    <t>I29</t>
  </si>
  <si>
    <t>F30</t>
  </si>
  <si>
    <t>G30</t>
  </si>
  <si>
    <t>H30</t>
  </si>
  <si>
    <t>I30</t>
  </si>
  <si>
    <t>F31</t>
  </si>
  <si>
    <t>G31</t>
  </si>
  <si>
    <t>H31</t>
  </si>
  <si>
    <t>I31</t>
  </si>
  <si>
    <t>F32</t>
  </si>
  <si>
    <t>G32</t>
  </si>
  <si>
    <t>H32</t>
  </si>
  <si>
    <t>I32</t>
  </si>
  <si>
    <t>F33</t>
  </si>
  <si>
    <t>G33</t>
  </si>
  <si>
    <t>H33</t>
  </si>
  <si>
    <t>I33</t>
  </si>
  <si>
    <t>F34</t>
  </si>
  <si>
    <t>G34</t>
  </si>
  <si>
    <t>H34</t>
  </si>
  <si>
    <t>I34</t>
  </si>
  <si>
    <t>F35</t>
  </si>
  <si>
    <t>G35</t>
  </si>
  <si>
    <t>H35</t>
  </si>
  <si>
    <t>I35</t>
  </si>
  <si>
    <t>F36</t>
  </si>
  <si>
    <t>G36</t>
  </si>
  <si>
    <t>H36</t>
  </si>
  <si>
    <t>I36</t>
  </si>
  <si>
    <t>F37</t>
  </si>
  <si>
    <t>G37</t>
  </si>
  <si>
    <t>H37</t>
  </si>
  <si>
    <t>I37</t>
  </si>
  <si>
    <t>F38</t>
  </si>
  <si>
    <t>G38</t>
  </si>
  <si>
    <t>H38</t>
  </si>
  <si>
    <t>I38</t>
  </si>
  <si>
    <t>F39</t>
  </si>
  <si>
    <t>G39</t>
  </si>
  <si>
    <t>H39</t>
  </si>
  <si>
    <t>I39</t>
  </si>
  <si>
    <t>J11</t>
  </si>
  <si>
    <t>J12</t>
  </si>
  <si>
    <t>J13</t>
  </si>
  <si>
    <t>J14</t>
  </si>
  <si>
    <t>J15</t>
  </si>
  <si>
    <t>J16</t>
  </si>
  <si>
    <t>J17</t>
  </si>
  <si>
    <t>J18</t>
  </si>
  <si>
    <t>J19</t>
  </si>
  <si>
    <t>J20</t>
  </si>
  <si>
    <t>J21</t>
  </si>
  <si>
    <t>J22</t>
  </si>
  <si>
    <t>J23</t>
  </si>
  <si>
    <t>J24</t>
  </si>
  <si>
    <t>J25</t>
  </si>
  <si>
    <t>J26</t>
  </si>
  <si>
    <t>J27</t>
  </si>
  <si>
    <t>J28</t>
  </si>
  <si>
    <t>J29</t>
  </si>
  <si>
    <t>J30</t>
  </si>
  <si>
    <t>J31</t>
  </si>
  <si>
    <t>J32</t>
  </si>
  <si>
    <t>J33</t>
  </si>
  <si>
    <t>J34</t>
  </si>
  <si>
    <t>J35</t>
  </si>
  <si>
    <t>J36</t>
  </si>
  <si>
    <t>J37</t>
  </si>
  <si>
    <t>J38</t>
  </si>
  <si>
    <t>J39</t>
  </si>
  <si>
    <t>I40</t>
  </si>
  <si>
    <t>J40</t>
  </si>
  <si>
    <t>I41</t>
  </si>
  <si>
    <t>J41</t>
  </si>
  <si>
    <t>I42</t>
  </si>
  <si>
    <t>J42</t>
  </si>
  <si>
    <t>I43</t>
  </si>
  <si>
    <t>J43</t>
  </si>
  <si>
    <t>I44</t>
  </si>
  <si>
    <t>J44</t>
  </si>
  <si>
    <t>I45</t>
  </si>
  <si>
    <t>J45</t>
  </si>
  <si>
    <t>I46</t>
  </si>
  <si>
    <t>J46</t>
  </si>
  <si>
    <t>I47</t>
  </si>
  <si>
    <t>J47</t>
  </si>
  <si>
    <t>I48</t>
  </si>
  <si>
    <t>J48</t>
  </si>
  <si>
    <t>I49</t>
  </si>
  <si>
    <t>J49</t>
  </si>
  <si>
    <t>I50</t>
  </si>
  <si>
    <t>J50</t>
  </si>
  <si>
    <t>I51</t>
  </si>
  <si>
    <t>J51</t>
  </si>
  <si>
    <t>I52</t>
  </si>
  <si>
    <t>J52</t>
  </si>
  <si>
    <t>J10</t>
  </si>
  <si>
    <t>NO_NOTE3E3_1</t>
  </si>
  <si>
    <t>NO_NOTE3E3_2</t>
  </si>
  <si>
    <t>NO_NOTE3E3_3</t>
  </si>
  <si>
    <t>NO_NOTE3E3_4</t>
  </si>
  <si>
    <t>NO_NOTE3E3_5</t>
  </si>
  <si>
    <t>Le libellé e-impots de la colonne.</t>
  </si>
  <si>
    <t>Le code DGI permettant d'identifier la colonne.</t>
  </si>
  <si>
    <t>Le numéro de position de la colonne dans le fichier par rapport à la première cellule du tableau. La valeur pré-remplie est celle correspondant au modèle Excel de la DGI.</t>
  </si>
  <si>
    <t>Le numéro de position de la ligne du tableau où se trouve le champ par rapport à la première cellule du tableau. La valeur pré-remplie est celle correspondant au modèle Excel de la DGI.</t>
  </si>
  <si>
    <t>Le numéro de position de la colonne du tableau où se trouve le champ par rapport à la première cellule du tableau. La valeur pré-remplie est celle correspondant au modèle Excel de la DGI.</t>
  </si>
  <si>
    <t>L'adresse de la cellule contenant la valeur du premier champ de la colonne.</t>
  </si>
  <si>
    <t>E10</t>
  </si>
  <si>
    <t>F10</t>
  </si>
  <si>
    <t>G10</t>
  </si>
  <si>
    <t>H10</t>
  </si>
  <si>
    <t>I10</t>
  </si>
  <si>
    <t>K10</t>
  </si>
  <si>
    <t>Ligne</t>
  </si>
  <si>
    <t>A12</t>
  </si>
  <si>
    <t>E12</t>
  </si>
  <si>
    <t>L12</t>
  </si>
  <si>
    <t>IMPORTANT : veillez à bien activer les modifications et appliquer les macros ("activer le contenu") à l'ouverture pour pouvoir utiliser ce fichier</t>
  </si>
  <si>
    <t>4. VERIFICATION DU MAPPING</t>
  </si>
  <si>
    <t>Valeurs remplies dans les champs variables</t>
  </si>
  <si>
    <t>Valeurs remplies dans les champs fixes</t>
  </si>
  <si>
    <r>
      <rPr>
        <b/>
        <u/>
        <sz val="16"/>
        <color rgb="FF0070C0"/>
        <rFont val="Calibri"/>
        <family val="2"/>
        <scheme val="minor"/>
      </rPr>
      <t>Etape 1</t>
    </r>
    <r>
      <rPr>
        <sz val="14"/>
        <color theme="1"/>
        <rFont val="Calibri"/>
        <family val="2"/>
        <scheme val="minor"/>
      </rPr>
      <t xml:space="preserve">
Cliquer sur le bouton </t>
    </r>
    <r>
      <rPr>
        <b/>
        <sz val="14"/>
        <color rgb="FFF75B5B"/>
        <rFont val="Calibri"/>
        <family val="2"/>
        <scheme val="minor"/>
      </rPr>
      <t>Générer le mapping</t>
    </r>
    <r>
      <rPr>
        <b/>
        <sz val="14"/>
        <color theme="1"/>
        <rFont val="Calibri"/>
        <family val="2"/>
        <scheme val="minor"/>
      </rPr>
      <t xml:space="preserve"> </t>
    </r>
    <r>
      <rPr>
        <sz val="14"/>
        <color theme="1"/>
        <rFont val="Calibri"/>
        <family val="2"/>
        <scheme val="minor"/>
      </rPr>
      <t>pour pré-remplir automatiquement la liste ci-dessous</t>
    </r>
  </si>
  <si>
    <r>
      <rPr>
        <b/>
        <u/>
        <sz val="16"/>
        <color rgb="FF0070C0"/>
        <rFont val="Calibri"/>
        <family val="2"/>
        <scheme val="minor"/>
      </rPr>
      <t>Etape 3</t>
    </r>
    <r>
      <rPr>
        <sz val="14"/>
        <color theme="1"/>
        <rFont val="Calibri"/>
        <family val="2"/>
        <scheme val="minor"/>
      </rPr>
      <t xml:space="preserve">
Cliquer sur le bouton </t>
    </r>
    <r>
      <rPr>
        <b/>
        <sz val="14"/>
        <color rgb="FFF75B5B"/>
        <rFont val="Calibri"/>
        <family val="2"/>
        <scheme val="minor"/>
      </rPr>
      <t>Générer le mapping</t>
    </r>
    <r>
      <rPr>
        <sz val="14"/>
        <color theme="1"/>
        <rFont val="Calibri"/>
        <family val="2"/>
        <scheme val="minor"/>
      </rPr>
      <t xml:space="preserve"> pour obtenir le mapping final</t>
    </r>
  </si>
  <si>
    <r>
      <rPr>
        <b/>
        <u/>
        <sz val="16"/>
        <color rgb="FF0070C0"/>
        <rFont val="Calibri"/>
        <family val="2"/>
        <scheme val="minor"/>
      </rPr>
      <t>Etape 1</t>
    </r>
    <r>
      <rPr>
        <sz val="14"/>
        <color theme="1"/>
        <rFont val="Calibri"/>
        <family val="2"/>
        <scheme val="minor"/>
      </rPr>
      <t xml:space="preserve">
Cliquer sur le bouton</t>
    </r>
    <r>
      <rPr>
        <sz val="14"/>
        <color rgb="FFF75B5B"/>
        <rFont val="Calibri"/>
        <family val="2"/>
        <scheme val="minor"/>
      </rPr>
      <t xml:space="preserve"> </t>
    </r>
    <r>
      <rPr>
        <b/>
        <sz val="14"/>
        <color rgb="FFF75B5B"/>
        <rFont val="Calibri"/>
        <family val="2"/>
        <scheme val="minor"/>
      </rPr>
      <t xml:space="preserve">Générer le mapping </t>
    </r>
    <r>
      <rPr>
        <sz val="14"/>
        <color theme="1"/>
        <rFont val="Calibri"/>
        <family val="2"/>
        <scheme val="minor"/>
      </rPr>
      <t>pour pré-remplir automatiquement la liste ci-dessous</t>
    </r>
  </si>
  <si>
    <r>
      <rPr>
        <b/>
        <u/>
        <sz val="16"/>
        <color rgb="FF0070C0"/>
        <rFont val="Calibri"/>
        <family val="2"/>
        <scheme val="minor"/>
      </rPr>
      <t>Etape 2</t>
    </r>
    <r>
      <rPr>
        <sz val="14"/>
        <color theme="1"/>
        <rFont val="Calibri"/>
        <family val="2"/>
        <scheme val="minor"/>
      </rPr>
      <t xml:space="preserve">
Pour les lignes de la liste qui le nécessitent, corriger manuellement le mapping du champ en modifiant </t>
    </r>
    <r>
      <rPr>
        <b/>
        <sz val="14"/>
        <color rgb="FFF75B5B"/>
        <rFont val="Calibri"/>
        <family val="2"/>
        <scheme val="minor"/>
      </rPr>
      <t>Position</t>
    </r>
    <r>
      <rPr>
        <sz val="14"/>
        <color rgb="FFF75B5B"/>
        <rFont val="Calibri"/>
        <family val="2"/>
        <scheme val="minor"/>
      </rPr>
      <t xml:space="preserve"> </t>
    </r>
    <r>
      <rPr>
        <b/>
        <sz val="14"/>
        <color rgb="FFF75B5B"/>
        <rFont val="Calibri"/>
        <family val="2"/>
        <scheme val="minor"/>
      </rPr>
      <t>ligne</t>
    </r>
    <r>
      <rPr>
        <sz val="14"/>
        <color theme="1"/>
        <rFont val="Calibri"/>
        <family val="2"/>
        <scheme val="minor"/>
      </rPr>
      <t xml:space="preserve"> et </t>
    </r>
    <r>
      <rPr>
        <b/>
        <sz val="14"/>
        <color rgb="FFF75B5B"/>
        <rFont val="Calibri"/>
        <family val="2"/>
        <scheme val="minor"/>
      </rPr>
      <t>Position</t>
    </r>
    <r>
      <rPr>
        <sz val="14"/>
        <color rgb="FFF75B5B"/>
        <rFont val="Calibri"/>
        <family val="2"/>
        <scheme val="minor"/>
      </rPr>
      <t xml:space="preserve"> </t>
    </r>
    <r>
      <rPr>
        <b/>
        <sz val="14"/>
        <color rgb="FFF75B5B"/>
        <rFont val="Calibri"/>
        <family val="2"/>
        <scheme val="minor"/>
      </rPr>
      <t>colonne</t>
    </r>
    <r>
      <rPr>
        <b/>
        <sz val="14"/>
        <color theme="1"/>
        <rFont val="Calibri"/>
        <family val="2"/>
        <scheme val="minor"/>
      </rPr>
      <t xml:space="preserve">.
</t>
    </r>
    <r>
      <rPr>
        <sz val="14"/>
        <color theme="1"/>
        <rFont val="Calibri"/>
        <family val="2"/>
        <scheme val="minor"/>
      </rPr>
      <t>Ces numéros doivent correspondre à la position de la cellule contenant la valeur du champ par rapport à la position de la première cellule du tableau.</t>
    </r>
  </si>
  <si>
    <r>
      <rPr>
        <b/>
        <u/>
        <sz val="16"/>
        <color rgb="FF0070C0"/>
        <rFont val="Calibri"/>
        <family val="2"/>
        <scheme val="minor"/>
      </rPr>
      <t>Etape 2</t>
    </r>
    <r>
      <rPr>
        <sz val="14"/>
        <color theme="1"/>
        <rFont val="Calibri"/>
        <family val="2"/>
        <scheme val="minor"/>
      </rPr>
      <t xml:space="preserve">
Pour les lignes de la liste qui le nécessitent, corriger manuellement le mapping en modifiant </t>
    </r>
    <r>
      <rPr>
        <b/>
        <sz val="14"/>
        <color rgb="FFF75B5B"/>
        <rFont val="Calibri"/>
        <family val="2"/>
        <scheme val="minor"/>
      </rPr>
      <t>Position colonne</t>
    </r>
    <r>
      <rPr>
        <sz val="14"/>
        <color theme="1"/>
        <rFont val="Calibri"/>
        <family val="2"/>
        <scheme val="minor"/>
      </rPr>
      <t>.
Ce numéro doit correspondre à la position de la colonne par rapport à la position de la première cellule du tableau.</t>
    </r>
  </si>
  <si>
    <r>
      <rPr>
        <b/>
        <u/>
        <sz val="16"/>
        <color rgb="FF0070C0"/>
        <rFont val="Calibri"/>
        <family val="2"/>
        <scheme val="minor"/>
      </rPr>
      <t>Etape 1</t>
    </r>
    <r>
      <rPr>
        <sz val="14"/>
        <color theme="1"/>
        <rFont val="Calibri"/>
        <family val="2"/>
        <scheme val="minor"/>
      </rPr>
      <t xml:space="preserve">
Remplir les champs de la liasse avec des valeurs</t>
    </r>
  </si>
  <si>
    <t>Contenu de la liasse récupéré grâce au mapping</t>
  </si>
  <si>
    <r>
      <rPr>
        <b/>
        <u/>
        <sz val="16"/>
        <color rgb="FF0070C0"/>
        <rFont val="Calibri"/>
        <family val="2"/>
        <scheme val="minor"/>
      </rPr>
      <t>Etape 2</t>
    </r>
    <r>
      <rPr>
        <sz val="14"/>
        <color theme="1"/>
        <rFont val="Calibri"/>
        <family val="2"/>
        <scheme val="minor"/>
      </rPr>
      <t xml:space="preserve">
Cliquer sur le bouton </t>
    </r>
    <r>
      <rPr>
        <b/>
        <sz val="14"/>
        <color rgb="FFF75B5B"/>
        <rFont val="Calibri"/>
        <family val="2"/>
        <scheme val="minor"/>
      </rPr>
      <t xml:space="preserve">Récupérer les champs remplis </t>
    </r>
    <r>
      <rPr>
        <sz val="14"/>
        <rFont val="Calibri"/>
        <family val="2"/>
        <scheme val="minor"/>
      </rPr>
      <t>pour obtenir les valeurs récupérées grâce au mapping</t>
    </r>
  </si>
  <si>
    <r>
      <rPr>
        <b/>
        <u/>
        <sz val="16"/>
        <color rgb="FF0070C0"/>
        <rFont val="Calibri"/>
        <family val="2"/>
        <scheme val="minor"/>
      </rPr>
      <t>Etape 3</t>
    </r>
    <r>
      <rPr>
        <sz val="11"/>
        <color theme="1"/>
        <rFont val="Calibri"/>
        <family val="2"/>
        <scheme val="minor"/>
      </rPr>
      <t xml:space="preserve">
</t>
    </r>
    <r>
      <rPr>
        <sz val="14"/>
        <color theme="1"/>
        <rFont val="Calibri"/>
        <family val="2"/>
        <scheme val="minor"/>
      </rPr>
      <t>Vérifier que les valeurs des champs de la liasse qui ont été remplis ont bien été récupérées. Corriger le mapping si ce n'est pas le cas.</t>
    </r>
  </si>
  <si>
    <t>TFT</t>
  </si>
  <si>
    <t>Tableau de flux de trésorerie</t>
  </si>
  <si>
    <t>NOTE1A</t>
  </si>
  <si>
    <t>Dettes garanties par des sûretés réelles</t>
  </si>
  <si>
    <t>NOTE1B</t>
  </si>
  <si>
    <t>Engagements financiers</t>
  </si>
  <si>
    <t>NOTE2</t>
  </si>
  <si>
    <t>Informations obligatoires</t>
  </si>
  <si>
    <t>NOTE3A</t>
  </si>
  <si>
    <t>Immobilisations (brutes)</t>
  </si>
  <si>
    <t>NOTE3B</t>
  </si>
  <si>
    <t>Biens pris en location acquisition</t>
  </si>
  <si>
    <t>NOTE3C</t>
  </si>
  <si>
    <t>Immobilisations (amortissements)</t>
  </si>
  <si>
    <t>NOTE3CBIS</t>
  </si>
  <si>
    <t>Immobilisations (dépréciations)</t>
  </si>
  <si>
    <t>NOTE3D</t>
  </si>
  <si>
    <t>Immobilisations (plus-values et moins-values de cession)</t>
  </si>
  <si>
    <t>NOTE4A</t>
  </si>
  <si>
    <t>Immobilisations financières</t>
  </si>
  <si>
    <t>NOTE4B</t>
  </si>
  <si>
    <t>Liste des filiales et participations</t>
  </si>
  <si>
    <t>NOTE5A</t>
  </si>
  <si>
    <t>Actif circulant HAO</t>
  </si>
  <si>
    <t>NOTE5B</t>
  </si>
  <si>
    <t>NOTE6</t>
  </si>
  <si>
    <t>Stocks et en cours</t>
  </si>
  <si>
    <t>NOTE7</t>
  </si>
  <si>
    <t>NOTE8</t>
  </si>
  <si>
    <t>NOTE8A1</t>
  </si>
  <si>
    <t>Tableau d'étalement des charges immobilisées</t>
  </si>
  <si>
    <t>NOTE8A2</t>
  </si>
  <si>
    <t>NOTE8A3</t>
  </si>
  <si>
    <t>NOTE8A4</t>
  </si>
  <si>
    <t>NOTE8B</t>
  </si>
  <si>
    <t>Tableau d'étalement des provisions pour charges à répartir</t>
  </si>
  <si>
    <t>NOTE8C</t>
  </si>
  <si>
    <t>Tableau d'étalement des provisions pour engagements de retraite</t>
  </si>
  <si>
    <t>NOTE9</t>
  </si>
  <si>
    <t>NOTE10</t>
  </si>
  <si>
    <t>NOTE11</t>
  </si>
  <si>
    <t>Disponibilités</t>
  </si>
  <si>
    <t>NOTE12A1</t>
  </si>
  <si>
    <t>Ecarts de conversion actif</t>
  </si>
  <si>
    <t>NOTE12A2</t>
  </si>
  <si>
    <t>Ecarts de conversion passif</t>
  </si>
  <si>
    <t>NOTE12B1</t>
  </si>
  <si>
    <t>NOTE12B2</t>
  </si>
  <si>
    <t>NOTE14</t>
  </si>
  <si>
    <t>Primes et réserves</t>
  </si>
  <si>
    <t>NOTE15A</t>
  </si>
  <si>
    <t>Subventions d'investissement et provisions réglementées</t>
  </si>
  <si>
    <t>NOTE15B</t>
  </si>
  <si>
    <t>Autres fonds propres</t>
  </si>
  <si>
    <t>NOTE16A</t>
  </si>
  <si>
    <t>Dettes financières et ressources assimilées</t>
  </si>
  <si>
    <t>NOTE16B1</t>
  </si>
  <si>
    <t>Hypothèses actuarielles</t>
  </si>
  <si>
    <t>NOTE16B2</t>
  </si>
  <si>
    <t>Variation de la valeur de l'engagement de retraite</t>
  </si>
  <si>
    <t>NOTE16B3</t>
  </si>
  <si>
    <t>Analyse de sensibilité des hypothèses actuarielles</t>
  </si>
  <si>
    <t>NOTE16BBIS1</t>
  </si>
  <si>
    <t>Actif/passif net comptabilisé au titre des régimes financés</t>
  </si>
  <si>
    <t>NOTE16BBIS2</t>
  </si>
  <si>
    <t>Valeur actuelle des actifs du régime</t>
  </si>
  <si>
    <t>NOTE16C1</t>
  </si>
  <si>
    <t>Actifs et passifs éventuels</t>
  </si>
  <si>
    <t>NOTE16C2</t>
  </si>
  <si>
    <t>Détail des passifs éventuels</t>
  </si>
  <si>
    <t>NOTE16C3</t>
  </si>
  <si>
    <t>Détail des actifs éventuels</t>
  </si>
  <si>
    <t>NOTE17</t>
  </si>
  <si>
    <t>NOTE18</t>
  </si>
  <si>
    <t>NOTE19</t>
  </si>
  <si>
    <t>Autres dettes et provisions pour risques et charges à court terme</t>
  </si>
  <si>
    <t>NOTE20</t>
  </si>
  <si>
    <t>Banques, crédit d'escompte et de trésorerie</t>
  </si>
  <si>
    <t>NOTE21A</t>
  </si>
  <si>
    <t>Chiffres d'affaires et autres produits</t>
  </si>
  <si>
    <t>NOTE21B</t>
  </si>
  <si>
    <t>Détail des produits accessoires par nature d'activité économique</t>
  </si>
  <si>
    <t>NOTE22</t>
  </si>
  <si>
    <t>Achats</t>
  </si>
  <si>
    <t>NOTE23</t>
  </si>
  <si>
    <t>NOTE24</t>
  </si>
  <si>
    <t>NOTE25</t>
  </si>
  <si>
    <t>NOTE26</t>
  </si>
  <si>
    <t>NOTE27A</t>
  </si>
  <si>
    <t>NOTE27B1</t>
  </si>
  <si>
    <t>Effectifs</t>
  </si>
  <si>
    <t>NOTE27B2</t>
  </si>
  <si>
    <t>Masse salariale</t>
  </si>
  <si>
    <t>NOTE27B3</t>
  </si>
  <si>
    <t>Facturation à l'entité du personnel extérieur</t>
  </si>
  <si>
    <t>NOTE27B4</t>
  </si>
  <si>
    <t>Frais de personnel</t>
  </si>
  <si>
    <t>NOTE29</t>
  </si>
  <si>
    <t>Charges et revenus financiers</t>
  </si>
  <si>
    <t>NOTE30A</t>
  </si>
  <si>
    <t>Autres charges et produits HAO</t>
  </si>
  <si>
    <t>NOTE30B</t>
  </si>
  <si>
    <t>Détail des charges HAO constatées</t>
  </si>
  <si>
    <t>NOTE30C</t>
  </si>
  <si>
    <t>Détail des produits HAO constatés</t>
  </si>
  <si>
    <t>NOTE31</t>
  </si>
  <si>
    <t>Répartition du résultat des 5 derniers exercices</t>
  </si>
  <si>
    <t>NOTE32</t>
  </si>
  <si>
    <t>NOTE33</t>
  </si>
  <si>
    <t>NOTE34</t>
  </si>
  <si>
    <t>Fiche de synthèse des principaux indicateurs financiers</t>
  </si>
  <si>
    <t>Détermination de l'impôt sur le résulat</t>
  </si>
  <si>
    <t>CHARGES</t>
  </si>
  <si>
    <t>Détail des charges</t>
  </si>
  <si>
    <t>TVA</t>
  </si>
  <si>
    <t>État TVA</t>
  </si>
  <si>
    <t>TVA2</t>
  </si>
  <si>
    <t>État TVA supportée non déductible</t>
  </si>
  <si>
    <t>SUPPL1A1</t>
  </si>
  <si>
    <t>Complément état annexe</t>
  </si>
  <si>
    <t>SUPPL1</t>
  </si>
  <si>
    <t>SUPPL1A2</t>
  </si>
  <si>
    <t>Détail des biens acquis d'occasion</t>
  </si>
  <si>
    <t>SUPPL1B</t>
  </si>
  <si>
    <t>SUPPL1C</t>
  </si>
  <si>
    <t>Complément NOTE 27 B</t>
  </si>
  <si>
    <t>SUPPL1D</t>
  </si>
  <si>
    <t>Complément NOTE 33</t>
  </si>
  <si>
    <t>SUPPL2</t>
  </si>
  <si>
    <t>SUPPL3</t>
  </si>
  <si>
    <t>Complément d'informations sur les entités individuelles</t>
  </si>
  <si>
    <t>SUPPL4</t>
  </si>
  <si>
    <t>Tableau des amortissements et inventaire des immobilisations</t>
  </si>
  <si>
    <t>SUPPL5</t>
  </si>
  <si>
    <t>Détail des frais accessoires sur achats</t>
  </si>
  <si>
    <t>SUPPL6</t>
  </si>
  <si>
    <t>Détail des avantages en nature et en espèces imposés alloués au personnel</t>
  </si>
  <si>
    <t>SUPPL7A</t>
  </si>
  <si>
    <t>Créances échues de l'exercice</t>
  </si>
  <si>
    <t>SUPPL7</t>
  </si>
  <si>
    <t>SUPPL7B</t>
  </si>
  <si>
    <t>Dettes échues de l'exercice</t>
  </si>
  <si>
    <t>COMMENT</t>
  </si>
  <si>
    <t>Commentaires</t>
  </si>
  <si>
    <t>NOTE 3C BIS</t>
  </si>
  <si>
    <t>NOTE 16B BIS</t>
  </si>
  <si>
    <t>COMP-CHARGES</t>
  </si>
  <si>
    <t>COMP-TVA</t>
  </si>
  <si>
    <t>COMP-TVA (2)</t>
  </si>
  <si>
    <t>COMMENTAIRE</t>
  </si>
  <si>
    <t>D10</t>
  </si>
  <si>
    <t>D11</t>
  </si>
  <si>
    <t>F9</t>
  </si>
  <si>
    <t>A25</t>
  </si>
  <si>
    <t>K25</t>
  </si>
  <si>
    <t>E22</t>
  </si>
  <si>
    <t>E9</t>
  </si>
  <si>
    <t>E13</t>
  </si>
  <si>
    <t>A18</t>
  </si>
  <si>
    <t>A13</t>
  </si>
  <si>
    <t>A20</t>
  </si>
  <si>
    <t>G9</t>
  </si>
  <si>
    <t>A14</t>
  </si>
  <si>
    <t>A28</t>
  </si>
  <si>
    <t>L22</t>
  </si>
  <si>
    <t>R22</t>
  </si>
  <si>
    <t>P11</t>
  </si>
  <si>
    <t>Détail des frais d'établissement pour l'exercice N</t>
  </si>
  <si>
    <t>Détail des charges à répartir sur plusieurs exercices pour l'exercice N</t>
  </si>
  <si>
    <t>Détail des primes de remboursement des obligations pour l'exercice N</t>
  </si>
  <si>
    <t>NOTE35</t>
  </si>
  <si>
    <t>Liste des informations sociales, environnementales et sociétales</t>
  </si>
  <si>
    <t>NOTE39</t>
  </si>
  <si>
    <t>Changements de méthodes comptables, d'estimations et corrections d'erreurs</t>
  </si>
  <si>
    <t>H9</t>
  </si>
  <si>
    <t>A22</t>
  </si>
  <si>
    <t>C8</t>
  </si>
  <si>
    <t>D18</t>
  </si>
  <si>
    <t>A23</t>
  </si>
  <si>
    <t>N13</t>
  </si>
  <si>
    <t>I9</t>
  </si>
  <si>
    <t>J9</t>
  </si>
  <si>
    <t>N10</t>
  </si>
  <si>
    <t>D9</t>
  </si>
  <si>
    <t>A7</t>
  </si>
  <si>
    <t>Terrains</t>
  </si>
  <si>
    <t>NO_ACTIF_1_3</t>
  </si>
  <si>
    <t>NO_ACTIF_1_4</t>
  </si>
  <si>
    <t>NO_ACTIF_2_3</t>
  </si>
  <si>
    <t>NO_ACTIF_2_4</t>
  </si>
  <si>
    <t>CHIFFRE D'AFFAIRES (TA + TB + TC + TD)</t>
  </si>
  <si>
    <t>VALEUR AJOUTEE (XB + RA + RB) + (Somme TE à RJ)</t>
  </si>
  <si>
    <t>RESULTAT D'EXPLOITATION (XD + TJ + RL)</t>
  </si>
  <si>
    <t>Trésorerie nette au 1er janvier (Trésorerie actif N-1 - Trésorerie passif N-1)</t>
  </si>
  <si>
    <t>EXERCICE N</t>
  </si>
  <si>
    <t>NO_TFT_ZA_1</t>
  </si>
  <si>
    <t>EXERCICE N-1</t>
  </si>
  <si>
    <t>NO_TFT_ZA_2</t>
  </si>
  <si>
    <t>NO_TFT_FA_1</t>
  </si>
  <si>
    <t>NO_TFT_FA_2</t>
  </si>
  <si>
    <t>NO_TFT_FB_1</t>
  </si>
  <si>
    <t>NO_TFT_FB_2</t>
  </si>
  <si>
    <t>NO_TFT_FC_1</t>
  </si>
  <si>
    <t>NO_TFT_FC_2</t>
  </si>
  <si>
    <t>NO_TFT_FD_1</t>
  </si>
  <si>
    <t>NO_TFT_FD_2</t>
  </si>
  <si>
    <t>NO_TFT_FE_1</t>
  </si>
  <si>
    <t>NO_TFT_FE_2</t>
  </si>
  <si>
    <t>Variation du BF lié aux activités opérationnelles FB+FC+FD+FE :</t>
  </si>
  <si>
    <t>NO_TFT_2_1</t>
  </si>
  <si>
    <t>NO_TFT_2_2</t>
  </si>
  <si>
    <t>NO_TFT_ZB_1</t>
  </si>
  <si>
    <t>NO_TFT_ZB_2</t>
  </si>
  <si>
    <t>NO_TFT_FF_1</t>
  </si>
  <si>
    <t>NO_TFT_FF_2</t>
  </si>
  <si>
    <t>NO_TFT_FG_1</t>
  </si>
  <si>
    <t>NO_TFT_FG_2</t>
  </si>
  <si>
    <t>NO_TFT_FH_1</t>
  </si>
  <si>
    <t>NO_TFT_FH_2</t>
  </si>
  <si>
    <t>NO_TFT_FI_1</t>
  </si>
  <si>
    <t>NO_TFT_FI_2</t>
  </si>
  <si>
    <t>NO_TFT_FJ_1</t>
  </si>
  <si>
    <t>NO_TFT_FJ_2</t>
  </si>
  <si>
    <t>Flux de trésorerie provenant des activités d'investissement (Somme FF à FJ)</t>
  </si>
  <si>
    <t>NO_TFT_ZC_1</t>
  </si>
  <si>
    <t>NO_TFT_ZC_2</t>
  </si>
  <si>
    <t>NO_TFT_FK_1</t>
  </si>
  <si>
    <t>NO_TFT_FK_2</t>
  </si>
  <si>
    <t>NO_TFT_FL_1</t>
  </si>
  <si>
    <t>NO_TFT_FL_2</t>
  </si>
  <si>
    <t>NO_TFT_FM_1</t>
  </si>
  <si>
    <t>NO_TFT_FM_2</t>
  </si>
  <si>
    <t>NO_TFT_FN_1</t>
  </si>
  <si>
    <t>NO_TFT_FN_2</t>
  </si>
  <si>
    <t>Flux de trésorerie provenant des capitaux propres (Somme FK à FN)</t>
  </si>
  <si>
    <t>NO_TFT_ZD_1</t>
  </si>
  <si>
    <t>NO_TFT_ZD_2</t>
  </si>
  <si>
    <t>NO_TFT_FO_1</t>
  </si>
  <si>
    <t>NO_TFT_FO_2</t>
  </si>
  <si>
    <t>NO_TFT_FP_1</t>
  </si>
  <si>
    <t>NO_TFT_FP_2</t>
  </si>
  <si>
    <t>NO_TFT_FQ_1</t>
  </si>
  <si>
    <t>NO_TFT_FQ_2</t>
  </si>
  <si>
    <t>Flux de trésorerie provenant des capitaux étrangers (Somme FO à FQ)</t>
  </si>
  <si>
    <t>NO_TFT_ZE_1</t>
  </si>
  <si>
    <t>NO_TFT_ZE_2</t>
  </si>
  <si>
    <t>Flux de trésorerie provenant des activités de financement (ZD + ZE)</t>
  </si>
  <si>
    <t>NO_TFT_ZF_1</t>
  </si>
  <si>
    <t>NO_TFT_ZF_2</t>
  </si>
  <si>
    <t>VARIATION DE LA TRÉSORERIE NETTE DE LA PÉRIODE (ZB + ZC + ZF)</t>
  </si>
  <si>
    <t>NO_TFT_ZG_1</t>
  </si>
  <si>
    <t>NO_TFT_ZG_2</t>
  </si>
  <si>
    <t>Trésorerie nette au 31 Décembre (ZG + ZA) Contrôle : Trésorerie actif N - Trésorerie passif N</t>
  </si>
  <si>
    <t>NO_TFT_ZH_1</t>
  </si>
  <si>
    <t>NO_TFT_ZH_2</t>
  </si>
  <si>
    <t>NO_NOTE1A_2_1</t>
  </si>
  <si>
    <t>NO_NOTE1A_2_2</t>
  </si>
  <si>
    <t>NO_NOTE1A_2_3</t>
  </si>
  <si>
    <t>NO_NOTE1A_2_4</t>
  </si>
  <si>
    <t>NO_NOTE1A_3_1</t>
  </si>
  <si>
    <t>NO_NOTE1A_3_2</t>
  </si>
  <si>
    <t>NO_NOTE1A_3_3</t>
  </si>
  <si>
    <t>NO_NOTE1A_3_4</t>
  </si>
  <si>
    <t>NO_NOTE1A_4_1</t>
  </si>
  <si>
    <t>NO_NOTE1A_4_2</t>
  </si>
  <si>
    <t>NO_NOTE1A_4_3</t>
  </si>
  <si>
    <t>NO_NOTE1A_4_4</t>
  </si>
  <si>
    <t>NO_NOTE1A_5_1</t>
  </si>
  <si>
    <t>NO_NOTE1A_5_2</t>
  </si>
  <si>
    <t>NO_NOTE1A_5_3</t>
  </si>
  <si>
    <t>NO_NOTE1A_5_4</t>
  </si>
  <si>
    <t>NO_NOTE1A_6_1</t>
  </si>
  <si>
    <t>NO_NOTE1A_8_1</t>
  </si>
  <si>
    <t>NO_NOTE1A_8_2</t>
  </si>
  <si>
    <t>NO_NOTE1A_8_3</t>
  </si>
  <si>
    <t>NO_NOTE1A_8_4</t>
  </si>
  <si>
    <t>NO_NOTE1A_9_1</t>
  </si>
  <si>
    <t>NO_NOTE1A_9_2</t>
  </si>
  <si>
    <t>NO_NOTE1A_9_3</t>
  </si>
  <si>
    <t>NO_NOTE1A_9_4</t>
  </si>
  <si>
    <t>NO_NOTE1A_10_1</t>
  </si>
  <si>
    <t>NO_NOTE1A_10_2</t>
  </si>
  <si>
    <t>NO_NOTE1A_10_3</t>
  </si>
  <si>
    <t>NO_NOTE1A_10_4</t>
  </si>
  <si>
    <t>NO_NOTE1A_11_1</t>
  </si>
  <si>
    <t>NO_NOTE1A_11_2</t>
  </si>
  <si>
    <t>NO_NOTE1A_11_3</t>
  </si>
  <si>
    <t>NO_NOTE1A_11_4</t>
  </si>
  <si>
    <t>NO_NOTE1A_12_1</t>
  </si>
  <si>
    <t>NO_NOTE1A_14_1</t>
  </si>
  <si>
    <t>NO_NOTE1A_14_2</t>
  </si>
  <si>
    <t>NO_NOTE1A_14_3</t>
  </si>
  <si>
    <t>NO_NOTE1A_14_4</t>
  </si>
  <si>
    <t>NO_NOTE1A_15_1</t>
  </si>
  <si>
    <t>NO_NOTE1A_15_2</t>
  </si>
  <si>
    <t>NO_NOTE1A_15_3</t>
  </si>
  <si>
    <t>NO_NOTE1A_15_4</t>
  </si>
  <si>
    <t>NO_NOTE1A_16_1</t>
  </si>
  <si>
    <t>NO_NOTE1A_16_2</t>
  </si>
  <si>
    <t>NO_NOTE1A_16_3</t>
  </si>
  <si>
    <t>NO_NOTE1A_16_4</t>
  </si>
  <si>
    <t>NO_NOTE1A_17_1</t>
  </si>
  <si>
    <t>NO_NOTE1A_17_2</t>
  </si>
  <si>
    <t>NO_NOTE1A_17_3</t>
  </si>
  <si>
    <t>NO_NOTE1A_17_4</t>
  </si>
  <si>
    <t>NO_NOTE1A_18_1</t>
  </si>
  <si>
    <t>NO_NOTE1A_18_2</t>
  </si>
  <si>
    <t>NO_NOTE1A_18_3</t>
  </si>
  <si>
    <t>NO_NOTE1A_18_4</t>
  </si>
  <si>
    <t>NO_NOTE1A_19_1</t>
  </si>
  <si>
    <t>NO_NOTE1A_19_2</t>
  </si>
  <si>
    <t>NO_NOTE1A_19_3</t>
  </si>
  <si>
    <t>NO_NOTE1A_19_4</t>
  </si>
  <si>
    <t>NO_NOTE1A_20_1</t>
  </si>
  <si>
    <t>NO_NOTE1A_20_2</t>
  </si>
  <si>
    <t>NO_NOTE1A_20_3</t>
  </si>
  <si>
    <t>NO_NOTE1A_20_4</t>
  </si>
  <si>
    <t>NO_NOTE1A_21_1</t>
  </si>
  <si>
    <t>NO_NOTE1A_21_2</t>
  </si>
  <si>
    <t>NO_NOTE1A_21_3</t>
  </si>
  <si>
    <t>NO_NOTE1A_21_4</t>
  </si>
  <si>
    <t>NO_NOTE1A_22_1</t>
  </si>
  <si>
    <t>NO_NOTE1A_23_1</t>
  </si>
  <si>
    <t>NO_NOTE1B_1_1</t>
  </si>
  <si>
    <t>NO_NOTE1B_1_2</t>
  </si>
  <si>
    <t>NO_NOTE1B_1_3</t>
  </si>
  <si>
    <t>NO_NOTE1B_2_1</t>
  </si>
  <si>
    <t>NO_NOTE1B_2_2</t>
  </si>
  <si>
    <t>NO_NOTE1B_2_3</t>
  </si>
  <si>
    <t>NO_NOTE1B_3_1</t>
  </si>
  <si>
    <t>NO_NOTE1B_3_2</t>
  </si>
  <si>
    <t>NO_NOTE1B_3_3</t>
  </si>
  <si>
    <t>NO_NOTE1B_4_1</t>
  </si>
  <si>
    <t>NO_NOTE1B_4_2</t>
  </si>
  <si>
    <t>NO_NOTE1B_4_3</t>
  </si>
  <si>
    <t>NO_NOTE1B_5_1</t>
  </si>
  <si>
    <t>NO_NOTE1B_5_2</t>
  </si>
  <si>
    <t>NO_NOTE1B_5_3</t>
  </si>
  <si>
    <t>NO_NOTE1B_6_1</t>
  </si>
  <si>
    <t>NO_NOTE1B_6_2</t>
  </si>
  <si>
    <t>NO_NOTE1B_6_3</t>
  </si>
  <si>
    <t>NO_NOTE1B_7_1</t>
  </si>
  <si>
    <t>NO_NOTE1B_7_2</t>
  </si>
  <si>
    <t>NO_NOTE1B_7_3</t>
  </si>
  <si>
    <t>NO_NOTE1B_8_1</t>
  </si>
  <si>
    <t>NO_NOTE1B_8_2</t>
  </si>
  <si>
    <t>NO_NOTE1B_8_3</t>
  </si>
  <si>
    <t>NO_NOTE1B_9_1</t>
  </si>
  <si>
    <t>NO_NOTE1B_9_2</t>
  </si>
  <si>
    <t>NO_NOTE1B_9_3</t>
  </si>
  <si>
    <t>NO_NOTE1B_10_1</t>
  </si>
  <si>
    <t>NO_NOTE1B_10_2</t>
  </si>
  <si>
    <t>NO_NOTE1B_10_3</t>
  </si>
  <si>
    <t>NO_NOTE1B_11_1</t>
  </si>
  <si>
    <t>NO_NOTE1B_11_2</t>
  </si>
  <si>
    <t>NO_NOTE1B_11_3</t>
  </si>
  <si>
    <t>NO_NOTE1B_12_1</t>
  </si>
  <si>
    <t>NO_NOTE1B_12_2</t>
  </si>
  <si>
    <t>NO_NOTE1B_12_3</t>
  </si>
  <si>
    <t>NO_NOTE2_1_1</t>
  </si>
  <si>
    <t>NO_NOTE2_2_1</t>
  </si>
  <si>
    <t>NO_NOTE2_3_1</t>
  </si>
  <si>
    <t>D - INFORMATIONS COMPLEMENTAIRES RELATIVES AU BILAN, AU COMPTE DE RESULTAT ET AU TFT</t>
  </si>
  <si>
    <t>NO_NOTE2_4_1</t>
  </si>
  <si>
    <t>MONTANT BRUT A L'OUVERTURE DE L'EXERCICE (A)</t>
  </si>
  <si>
    <t>NO_NOTE3A_1_1</t>
  </si>
  <si>
    <t>Acquisitions Apports Créations (B1)</t>
  </si>
  <si>
    <t>NO_NOTE3A_1_2</t>
  </si>
  <si>
    <t>Augmentations par virements de poste à poste (B2)</t>
  </si>
  <si>
    <t>NO_NOTE3A_1_3</t>
  </si>
  <si>
    <t>Augmentations suite à une réévaluation (B3)</t>
  </si>
  <si>
    <t>NO_NOTE3A_1_4</t>
  </si>
  <si>
    <t>Cessions Scissions Hors service (C1)</t>
  </si>
  <si>
    <t>NO_NOTE3A_1_5</t>
  </si>
  <si>
    <t>Diminutions par virements de poste à poste (C2)</t>
  </si>
  <si>
    <t>NO_NOTE3A_1_6</t>
  </si>
  <si>
    <t>MONTANT BRUT A LA CLOTURE DE L'EXERCICE (D=A+B-C)</t>
  </si>
  <si>
    <t>NO_NOTE3A_1_7</t>
  </si>
  <si>
    <t>NO_NOTE3A_2_1</t>
  </si>
  <si>
    <t>NO_NOTE3A_2_2</t>
  </si>
  <si>
    <t>NO_NOTE3A_2_3</t>
  </si>
  <si>
    <t>NO_NOTE3A_2_4</t>
  </si>
  <si>
    <t>NO_NOTE3A_2_5</t>
  </si>
  <si>
    <t>NO_NOTE3A_2_6</t>
  </si>
  <si>
    <t>NO_NOTE3A_2_7</t>
  </si>
  <si>
    <t>NO_NOTE3A_3_1</t>
  </si>
  <si>
    <t>NO_NOTE3A_3_2</t>
  </si>
  <si>
    <t>NO_NOTE3A_3_3</t>
  </si>
  <si>
    <t>NO_NOTE3A_3_4</t>
  </si>
  <si>
    <t>NO_NOTE3A_3_5</t>
  </si>
  <si>
    <t>NO_NOTE3A_3_6</t>
  </si>
  <si>
    <t>NO_NOTE3A_3_7</t>
  </si>
  <si>
    <t>NO_NOTE3A_4_1</t>
  </si>
  <si>
    <t>NO_NOTE3A_4_2</t>
  </si>
  <si>
    <t>NO_NOTE3A_4_3</t>
  </si>
  <si>
    <t>NO_NOTE3A_4_4</t>
  </si>
  <si>
    <t>NO_NOTE3A_4_5</t>
  </si>
  <si>
    <t>NO_NOTE3A_4_6</t>
  </si>
  <si>
    <t>NO_NOTE3A_4_7</t>
  </si>
  <si>
    <t>NO_NOTE3A_5_1</t>
  </si>
  <si>
    <t>NO_NOTE3A_5_2</t>
  </si>
  <si>
    <t>NO_NOTE3A_5_3</t>
  </si>
  <si>
    <t>NO_NOTE3A_5_4</t>
  </si>
  <si>
    <t>NO_NOTE3A_5_5</t>
  </si>
  <si>
    <t>NO_NOTE3A_5_6</t>
  </si>
  <si>
    <t>NO_NOTE3A_5_7</t>
  </si>
  <si>
    <t>NO_NOTE3A_6_1</t>
  </si>
  <si>
    <t>NO_NOTE3A_6_2</t>
  </si>
  <si>
    <t>NO_NOTE3A_6_3</t>
  </si>
  <si>
    <t>NO_NOTE3A_6_4</t>
  </si>
  <si>
    <t>NO_NOTE3A_6_5</t>
  </si>
  <si>
    <t>NO_NOTE3A_6_6</t>
  </si>
  <si>
    <t>NO_NOTE3A_6_7</t>
  </si>
  <si>
    <t>NO_NOTE3A_7_1</t>
  </si>
  <si>
    <t>NO_NOTE3A_7_2</t>
  </si>
  <si>
    <t>NO_NOTE3A_7_3</t>
  </si>
  <si>
    <t>NO_NOTE3A_7_4</t>
  </si>
  <si>
    <t>NO_NOTE3A_7_5</t>
  </si>
  <si>
    <t>NO_NOTE3A_7_6</t>
  </si>
  <si>
    <t>NO_NOTE3A_7_7</t>
  </si>
  <si>
    <t>NO_NOTE3A_8_1</t>
  </si>
  <si>
    <t>NO_NOTE3A_8_2</t>
  </si>
  <si>
    <t>NO_NOTE3A_8_3</t>
  </si>
  <si>
    <t>NO_NOTE3A_8_4</t>
  </si>
  <si>
    <t>NO_NOTE3A_8_5</t>
  </si>
  <si>
    <t>NO_NOTE3A_8_6</t>
  </si>
  <si>
    <t>NO_NOTE3A_8_7</t>
  </si>
  <si>
    <t>NO_NOTE3A_9_1</t>
  </si>
  <si>
    <t>NO_NOTE3A_9_2</t>
  </si>
  <si>
    <t>NO_NOTE3A_9_3</t>
  </si>
  <si>
    <t>NO_NOTE3A_9_4</t>
  </si>
  <si>
    <t>NO_NOTE3A_9_5</t>
  </si>
  <si>
    <t>NO_NOTE3A_9_6</t>
  </si>
  <si>
    <t>NO_NOTE3A_9_7</t>
  </si>
  <si>
    <t>NO_NOTE3A_10_1</t>
  </si>
  <si>
    <t>NO_NOTE3A_10_2</t>
  </si>
  <si>
    <t>NO_NOTE3A_10_3</t>
  </si>
  <si>
    <t>NO_NOTE3A_10_4</t>
  </si>
  <si>
    <t>NO_NOTE3A_10_5</t>
  </si>
  <si>
    <t>NO_NOTE3A_10_6</t>
  </si>
  <si>
    <t>NO_NOTE3A_10_7</t>
  </si>
  <si>
    <t>NO_NOTE3A_11_1</t>
  </si>
  <si>
    <t>NO_NOTE3A_11_2</t>
  </si>
  <si>
    <t>NO_NOTE3A_11_3</t>
  </si>
  <si>
    <t>NO_NOTE3A_11_4</t>
  </si>
  <si>
    <t>NO_NOTE3A_11_5</t>
  </si>
  <si>
    <t>NO_NOTE3A_11_6</t>
  </si>
  <si>
    <t>NO_NOTE3A_11_7</t>
  </si>
  <si>
    <t>NO_NOTE3A_12_1</t>
  </si>
  <si>
    <t>NO_NOTE3A_12_2</t>
  </si>
  <si>
    <t>NO_NOTE3A_12_3</t>
  </si>
  <si>
    <t>NO_NOTE3A_12_4</t>
  </si>
  <si>
    <t>NO_NOTE3A_12_5</t>
  </si>
  <si>
    <t>NO_NOTE3A_12_6</t>
  </si>
  <si>
    <t>NO_NOTE3A_12_7</t>
  </si>
  <si>
    <t>NO_NOTE3A_13_1</t>
  </si>
  <si>
    <t>NO_NOTE3A_13_2</t>
  </si>
  <si>
    <t>NO_NOTE3A_13_3</t>
  </si>
  <si>
    <t>NO_NOTE3A_13_4</t>
  </si>
  <si>
    <t>NO_NOTE3A_13_5</t>
  </si>
  <si>
    <t>NO_NOTE3A_13_6</t>
  </si>
  <si>
    <t>NO_NOTE3A_13_7</t>
  </si>
  <si>
    <t>NO_NOTE3A_14_1</t>
  </si>
  <si>
    <t>NO_NOTE3A_14_2</t>
  </si>
  <si>
    <t>NO_NOTE3A_14_3</t>
  </si>
  <si>
    <t>NO_NOTE3A_14_4</t>
  </si>
  <si>
    <t>NO_NOTE3A_14_5</t>
  </si>
  <si>
    <t>NO_NOTE3A_14_6</t>
  </si>
  <si>
    <t>NO_NOTE3A_14_7</t>
  </si>
  <si>
    <t>NO_NOTE3A_15_1</t>
  </si>
  <si>
    <t>NO_NOTE3A_15_2</t>
  </si>
  <si>
    <t>NO_NOTE3A_15_3</t>
  </si>
  <si>
    <t>NO_NOTE3A_15_4</t>
  </si>
  <si>
    <t>NO_NOTE3A_15_5</t>
  </si>
  <si>
    <t>NO_NOTE3A_15_6</t>
  </si>
  <si>
    <t>NO_NOTE3A_15_7</t>
  </si>
  <si>
    <t>NO_NOTE3A_16_1</t>
  </si>
  <si>
    <t>NO_NOTE3A_16_2</t>
  </si>
  <si>
    <t>NO_NOTE3A_16_3</t>
  </si>
  <si>
    <t>NO_NOTE3A_16_4</t>
  </si>
  <si>
    <t>NO_NOTE3A_16_5</t>
  </si>
  <si>
    <t>NO_NOTE3A_16_6</t>
  </si>
  <si>
    <t>NO_NOTE3A_16_7</t>
  </si>
  <si>
    <t>NO_NOTE3A_17_1</t>
  </si>
  <si>
    <t>NO_NOTE3A_17_2</t>
  </si>
  <si>
    <t>NO_NOTE3A_17_3</t>
  </si>
  <si>
    <t>NO_NOTE3A_17_4</t>
  </si>
  <si>
    <t>NO_NOTE3A_17_5</t>
  </si>
  <si>
    <t>NO_NOTE3A_17_6</t>
  </si>
  <si>
    <t>NO_NOTE3A_17_7</t>
  </si>
  <si>
    <t>NO_NOTE3A_18_1</t>
  </si>
  <si>
    <t>NO_NOTE3A_18_2</t>
  </si>
  <si>
    <t>NO_NOTE3A_18_3</t>
  </si>
  <si>
    <t>NO_NOTE3A_18_4</t>
  </si>
  <si>
    <t>NO_NOTE3A_18_5</t>
  </si>
  <si>
    <t>NO_NOTE3A_18_6</t>
  </si>
  <si>
    <t>NO_NOTE3A_18_7</t>
  </si>
  <si>
    <t>NO_NOTE3A_19_1</t>
  </si>
  <si>
    <t>NO_NOTE3A_19_2</t>
  </si>
  <si>
    <t>NO_NOTE3A_19_3</t>
  </si>
  <si>
    <t>NO_NOTE3A_19_4</t>
  </si>
  <si>
    <t>NO_NOTE3A_19_5</t>
  </si>
  <si>
    <t>NO_NOTE3A_19_6</t>
  </si>
  <si>
    <t>NO_NOTE3A_19_7</t>
  </si>
  <si>
    <t>NO_NOTE3A_20_1</t>
  </si>
  <si>
    <t>NO_NOTE3A_20_2</t>
  </si>
  <si>
    <t>NO_NOTE3A_20_3</t>
  </si>
  <si>
    <t>NO_NOTE3A_20_4</t>
  </si>
  <si>
    <t>NO_NOTE3A_20_5</t>
  </si>
  <si>
    <t>NO_NOTE3A_20_6</t>
  </si>
  <si>
    <t>NO_NOTE3A_20_7</t>
  </si>
  <si>
    <t>NATURE DU CONTRAT [1]</t>
  </si>
  <si>
    <t>NO_NOTE3B_1_1</t>
  </si>
  <si>
    <t>NO_NOTE3B_1_2</t>
  </si>
  <si>
    <t>NO_NOTE3B_1_3</t>
  </si>
  <si>
    <t>NO_NOTE3B_1_4</t>
  </si>
  <si>
    <t>NO_NOTE3B_1_5</t>
  </si>
  <si>
    <t>NO_NOTE3B_1_6</t>
  </si>
  <si>
    <t>NO_NOTE3B_1_7</t>
  </si>
  <si>
    <t>NO_NOTE3B_1_8</t>
  </si>
  <si>
    <t>NO_NOTE3B_2_1</t>
  </si>
  <si>
    <t>NO_NOTE3B_2_2</t>
  </si>
  <si>
    <t>NO_NOTE3B_2_3</t>
  </si>
  <si>
    <t>NO_NOTE3B_2_4</t>
  </si>
  <si>
    <t>NO_NOTE3B_2_5</t>
  </si>
  <si>
    <t>NO_NOTE3B_2_6</t>
  </si>
  <si>
    <t>NO_NOTE3B_2_7</t>
  </si>
  <si>
    <t>NO_NOTE3B_2_8</t>
  </si>
  <si>
    <t>NO_NOTE3B_3_1</t>
  </si>
  <si>
    <t>NO_NOTE3B_3_2</t>
  </si>
  <si>
    <t>NO_NOTE3B_3_3</t>
  </si>
  <si>
    <t>NO_NOTE3B_3_4</t>
  </si>
  <si>
    <t>NO_NOTE3B_3_5</t>
  </si>
  <si>
    <t>NO_NOTE3B_3_6</t>
  </si>
  <si>
    <t>NO_NOTE3B_3_7</t>
  </si>
  <si>
    <t>NO_NOTE3B_3_8</t>
  </si>
  <si>
    <t>NO_NOTE3B_4_1</t>
  </si>
  <si>
    <t>NO_NOTE3B_4_2</t>
  </si>
  <si>
    <t>NO_NOTE3B_4_3</t>
  </si>
  <si>
    <t>NO_NOTE3B_4_4</t>
  </si>
  <si>
    <t>NO_NOTE3B_4_5</t>
  </si>
  <si>
    <t>NO_NOTE3B_4_6</t>
  </si>
  <si>
    <t>NO_NOTE3B_4_7</t>
  </si>
  <si>
    <t>NO_NOTE3B_4_8</t>
  </si>
  <si>
    <t>NO_NOTE3B_5_2</t>
  </si>
  <si>
    <t>NO_NOTE3B_5_3</t>
  </si>
  <si>
    <t>NO_NOTE3B_5_4</t>
  </si>
  <si>
    <t>NO_NOTE3B_5_5</t>
  </si>
  <si>
    <t>NO_NOTE3B_5_6</t>
  </si>
  <si>
    <t>NO_NOTE3B_5_7</t>
  </si>
  <si>
    <t>NO_NOTE3B_5_8</t>
  </si>
  <si>
    <t>AMORT. CUMULES OUVERTURE DE L'EXERCICE (A)</t>
  </si>
  <si>
    <t>NO_NOTE3C_1_1</t>
  </si>
  <si>
    <t>DOTATIONS DE L'EXERCICE (B)</t>
  </si>
  <si>
    <t>NO_NOTE3C_1_2</t>
  </si>
  <si>
    <t>Amort. relatifs aux élém. sortis de l'actif (C1)</t>
  </si>
  <si>
    <t>NO_NOTE3C_1_3</t>
  </si>
  <si>
    <t>Reprises d'amortissements (C2)</t>
  </si>
  <si>
    <t>NO_NOTE3C_1_4</t>
  </si>
  <si>
    <t>Virements de poste à poste (D)</t>
  </si>
  <si>
    <t>NO_NOTE3C_1_5</t>
  </si>
  <si>
    <t>AMORT. CUMULES CLOTURE DE L'EXERCICE (E=A+B-C-D)</t>
  </si>
  <si>
    <t>NO_NOTE3C_1_6</t>
  </si>
  <si>
    <t>NO_NOTE3C_2_1</t>
  </si>
  <si>
    <t>NO_NOTE3C_2_2</t>
  </si>
  <si>
    <t>NO_NOTE3C_2_3</t>
  </si>
  <si>
    <t>NO_NOTE3C_2_4</t>
  </si>
  <si>
    <t>NO_NOTE3C_2_5</t>
  </si>
  <si>
    <t>NO_NOTE3C_2_6</t>
  </si>
  <si>
    <t>NO_NOTE3C_3_1</t>
  </si>
  <si>
    <t>NO_NOTE3C_3_2</t>
  </si>
  <si>
    <t>NO_NOTE3C_3_3</t>
  </si>
  <si>
    <t>NO_NOTE3C_3_4</t>
  </si>
  <si>
    <t>NO_NOTE3C_3_5</t>
  </si>
  <si>
    <t>NO_NOTE3C_3_6</t>
  </si>
  <si>
    <t>NO_NOTE3C_4_1</t>
  </si>
  <si>
    <t>NO_NOTE3C_4_2</t>
  </si>
  <si>
    <t>NO_NOTE3C_4_3</t>
  </si>
  <si>
    <t>NO_NOTE3C_4_4</t>
  </si>
  <si>
    <t>NO_NOTE3C_4_5</t>
  </si>
  <si>
    <t>NO_NOTE3C_4_6</t>
  </si>
  <si>
    <t>NO_NOTE3C_5_1</t>
  </si>
  <si>
    <t>NO_NOTE3C_5_2</t>
  </si>
  <si>
    <t>NO_NOTE3C_5_3</t>
  </si>
  <si>
    <t>NO_NOTE3C_5_4</t>
  </si>
  <si>
    <t>NO_NOTE3C_5_5</t>
  </si>
  <si>
    <t>NO_NOTE3C_5_6</t>
  </si>
  <si>
    <t>NO_NOTE3C_6_1</t>
  </si>
  <si>
    <t>NO_NOTE3C_6_2</t>
  </si>
  <si>
    <t>NO_NOTE3C_6_3</t>
  </si>
  <si>
    <t>NO_NOTE3C_6_4</t>
  </si>
  <si>
    <t>NO_NOTE3C_6_5</t>
  </si>
  <si>
    <t>NO_NOTE3C_6_6</t>
  </si>
  <si>
    <t>NO_NOTE3C_7_1</t>
  </si>
  <si>
    <t>NO_NOTE3C_7_2</t>
  </si>
  <si>
    <t>NO_NOTE3C_7_3</t>
  </si>
  <si>
    <t>NO_NOTE3C_7_4</t>
  </si>
  <si>
    <t>NO_NOTE3C_7_5</t>
  </si>
  <si>
    <t>NO_NOTE3C_7_6</t>
  </si>
  <si>
    <t>NO_NOTE3C_8_1</t>
  </si>
  <si>
    <t>NO_NOTE3C_8_2</t>
  </si>
  <si>
    <t>NO_NOTE3C_8_3</t>
  </si>
  <si>
    <t>NO_NOTE3C_8_4</t>
  </si>
  <si>
    <t>NO_NOTE3C_8_5</t>
  </si>
  <si>
    <t>NO_NOTE3C_8_6</t>
  </si>
  <si>
    <t>NO_NOTE3C_9_1</t>
  </si>
  <si>
    <t>NO_NOTE3C_9_2</t>
  </si>
  <si>
    <t>NO_NOTE3C_9_3</t>
  </si>
  <si>
    <t>NO_NOTE3C_9_4</t>
  </si>
  <si>
    <t>NO_NOTE3C_9_5</t>
  </si>
  <si>
    <t>NO_NOTE3C_9_6</t>
  </si>
  <si>
    <t>NO_NOTE3C_10_1</t>
  </si>
  <si>
    <t>NO_NOTE3C_10_2</t>
  </si>
  <si>
    <t>NO_NOTE3C_10_3</t>
  </si>
  <si>
    <t>NO_NOTE3C_10_4</t>
  </si>
  <si>
    <t>NO_NOTE3C_10_5</t>
  </si>
  <si>
    <t>NO_NOTE3C_10_6</t>
  </si>
  <si>
    <t>NO_NOTE3C_11_1</t>
  </si>
  <si>
    <t>NO_NOTE3C_11_2</t>
  </si>
  <si>
    <t>NO_NOTE3C_11_3</t>
  </si>
  <si>
    <t>NO_NOTE3C_11_4</t>
  </si>
  <si>
    <t>NO_NOTE3C_11_5</t>
  </si>
  <si>
    <t>NO_NOTE3C_11_6</t>
  </si>
  <si>
    <t>NO_NOTE3C_12_1</t>
  </si>
  <si>
    <t>NO_NOTE3C_12_2</t>
  </si>
  <si>
    <t>NO_NOTE3C_12_3</t>
  </si>
  <si>
    <t>NO_NOTE3C_12_4</t>
  </si>
  <si>
    <t>NO_NOTE3C_12_5</t>
  </si>
  <si>
    <t>NO_NOTE3C_12_6</t>
  </si>
  <si>
    <t>NO_NOTE3C_13_1</t>
  </si>
  <si>
    <t>NO_NOTE3C_13_2</t>
  </si>
  <si>
    <t>NO_NOTE3C_13_3</t>
  </si>
  <si>
    <t>NO_NOTE3C_13_4</t>
  </si>
  <si>
    <t>NO_NOTE3C_13_5</t>
  </si>
  <si>
    <t>NO_NOTE3C_13_6</t>
  </si>
  <si>
    <t>NO_NOTE3C_14_1</t>
  </si>
  <si>
    <t>NO_NOTE3C_14_2</t>
  </si>
  <si>
    <t>NO_NOTE3C_14_3</t>
  </si>
  <si>
    <t>NO_NOTE3C_14_4</t>
  </si>
  <si>
    <t>NO_NOTE3C_14_5</t>
  </si>
  <si>
    <t>NO_NOTE3C_14_6</t>
  </si>
  <si>
    <t>DEPREC. CUMULEES - OUVERTURE DE L'EXERCICE (A)</t>
  </si>
  <si>
    <t>NO_NOTE3CBIS_1_1</t>
  </si>
  <si>
    <t>AUGMENTATIONS: DOTATIONS DE L'EXERCICE (B)</t>
  </si>
  <si>
    <t>NO_NOTE3CBIS_1_2</t>
  </si>
  <si>
    <t>DIMINUTIONS : REPRISES DE L'EXERCICE (C)</t>
  </si>
  <si>
    <t>NO_NOTE3CBIS_1_3</t>
  </si>
  <si>
    <t>DEPREC. CUMULEES - CLOTURE DE L'EXERCICE (D=A+B-C)</t>
  </si>
  <si>
    <t>NO_NOTE3CBIS_1_4</t>
  </si>
  <si>
    <t>NO_NOTE3CBIS_2_1</t>
  </si>
  <si>
    <t>NO_NOTE3CBIS_2_2</t>
  </si>
  <si>
    <t>NO_NOTE3CBIS_2_3</t>
  </si>
  <si>
    <t>NO_NOTE3CBIS_2_4</t>
  </si>
  <si>
    <t>NO_NOTE3CBIS_3_1</t>
  </si>
  <si>
    <t>NO_NOTE3CBIS_3_2</t>
  </si>
  <si>
    <t>NO_NOTE3CBIS_3_3</t>
  </si>
  <si>
    <t>NO_NOTE3CBIS_3_4</t>
  </si>
  <si>
    <t>NO_NOTE3CBIS_4_1</t>
  </si>
  <si>
    <t>NO_NOTE3CBIS_4_2</t>
  </si>
  <si>
    <t>NO_NOTE3CBIS_4_3</t>
  </si>
  <si>
    <t>NO_NOTE3CBIS_4_4</t>
  </si>
  <si>
    <t>NO_NOTE3CBIS_5_1</t>
  </si>
  <si>
    <t>NO_NOTE3CBIS_5_2</t>
  </si>
  <si>
    <t>NO_NOTE3CBIS_5_3</t>
  </si>
  <si>
    <t>NO_NOTE3CBIS_5_4</t>
  </si>
  <si>
    <t>NO_NOTE3CBIS_6_1</t>
  </si>
  <si>
    <t>NO_NOTE3CBIS_6_2</t>
  </si>
  <si>
    <t>NO_NOTE3CBIS_6_3</t>
  </si>
  <si>
    <t>NO_NOTE3CBIS_6_4</t>
  </si>
  <si>
    <t>NO_NOTE3CBIS_7_1</t>
  </si>
  <si>
    <t>NO_NOTE3CBIS_7_2</t>
  </si>
  <si>
    <t>NO_NOTE3CBIS_7_3</t>
  </si>
  <si>
    <t>NO_NOTE3CBIS_7_4</t>
  </si>
  <si>
    <t>NO_NOTE3CBIS_8_1</t>
  </si>
  <si>
    <t>NO_NOTE3CBIS_8_2</t>
  </si>
  <si>
    <t>NO_NOTE3CBIS_8_3</t>
  </si>
  <si>
    <t>NO_NOTE3CBIS_8_4</t>
  </si>
  <si>
    <t>NO_NOTE3CBIS_9_1</t>
  </si>
  <si>
    <t>NO_NOTE3CBIS_9_2</t>
  </si>
  <si>
    <t>NO_NOTE3CBIS_9_3</t>
  </si>
  <si>
    <t>NO_NOTE3CBIS_9_4</t>
  </si>
  <si>
    <t>NO_NOTE3CBIS_10_1</t>
  </si>
  <si>
    <t>NO_NOTE3CBIS_10_2</t>
  </si>
  <si>
    <t>NO_NOTE3CBIS_10_3</t>
  </si>
  <si>
    <t>NO_NOTE3CBIS_10_4</t>
  </si>
  <si>
    <t>NO_NOTE3CBIS_11_1</t>
  </si>
  <si>
    <t>NO_NOTE3CBIS_11_2</t>
  </si>
  <si>
    <t>NO_NOTE3CBIS_11_3</t>
  </si>
  <si>
    <t>NO_NOTE3CBIS_11_4</t>
  </si>
  <si>
    <t>NO_NOTE3CBIS_12_1</t>
  </si>
  <si>
    <t>NO_NOTE3CBIS_12_2</t>
  </si>
  <si>
    <t>NO_NOTE3CBIS_12_3</t>
  </si>
  <si>
    <t>NO_NOTE3CBIS_12_4</t>
  </si>
  <si>
    <t>NO_NOTE3CBIS_13_1</t>
  </si>
  <si>
    <t>NO_NOTE3CBIS_13_2</t>
  </si>
  <si>
    <t>NO_NOTE3CBIS_13_3</t>
  </si>
  <si>
    <t>NO_NOTE3CBIS_13_4</t>
  </si>
  <si>
    <t>NO_NOTE3CBIS_14_1</t>
  </si>
  <si>
    <t>NO_NOTE3CBIS_14_2</t>
  </si>
  <si>
    <t>NO_NOTE3CBIS_14_3</t>
  </si>
  <si>
    <t>NO_NOTE3CBIS_14_4</t>
  </si>
  <si>
    <t>MONTANT BRUT (A)</t>
  </si>
  <si>
    <t>NO_NOTE3D_1_1</t>
  </si>
  <si>
    <t>AMORTISSEMENTS PRATIQUES (B)</t>
  </si>
  <si>
    <t>NO_NOTE3D_1_2</t>
  </si>
  <si>
    <t>VALEUR COMPTABLE NETTE (C=A-B)</t>
  </si>
  <si>
    <t>NO_NOTE3D_1_3</t>
  </si>
  <si>
    <t>PRIX DE CESSION (D)</t>
  </si>
  <si>
    <t>NO_NOTE3D_1_4</t>
  </si>
  <si>
    <t>PLUS-VALUE OU MOINS-VALUE (E=D-C)</t>
  </si>
  <si>
    <t>NO_NOTE3D_1_5</t>
  </si>
  <si>
    <t>NO_NOTE3D_2_1</t>
  </si>
  <si>
    <t>NO_NOTE3D_2_2</t>
  </si>
  <si>
    <t>NO_NOTE3D_2_3</t>
  </si>
  <si>
    <t>NO_NOTE3D_2_4</t>
  </si>
  <si>
    <t>NO_NOTE3D_2_5</t>
  </si>
  <si>
    <t>NO_NOTE3D_3_1</t>
  </si>
  <si>
    <t>NO_NOTE3D_3_2</t>
  </si>
  <si>
    <t>NO_NOTE3D_3_3</t>
  </si>
  <si>
    <t>NO_NOTE3D_3_4</t>
  </si>
  <si>
    <t>NO_NOTE3D_3_5</t>
  </si>
  <si>
    <t>NO_NOTE3D_4_1</t>
  </si>
  <si>
    <t>NO_NOTE3D_4_2</t>
  </si>
  <si>
    <t>NO_NOTE3D_4_3</t>
  </si>
  <si>
    <t>NO_NOTE3D_4_4</t>
  </si>
  <si>
    <t>NO_NOTE3D_4_5</t>
  </si>
  <si>
    <t>NO_NOTE3D_5_1</t>
  </si>
  <si>
    <t>NO_NOTE3D_5_2</t>
  </si>
  <si>
    <t>NO_NOTE3D_5_3</t>
  </si>
  <si>
    <t>NO_NOTE3D_5_4</t>
  </si>
  <si>
    <t>NO_NOTE3D_5_5</t>
  </si>
  <si>
    <t>NO_NOTE3D_6_1</t>
  </si>
  <si>
    <t>NO_NOTE3D_6_2</t>
  </si>
  <si>
    <t>NO_NOTE3D_6_3</t>
  </si>
  <si>
    <t>NO_NOTE3D_6_4</t>
  </si>
  <si>
    <t>NO_NOTE3D_6_5</t>
  </si>
  <si>
    <t>NO_NOTE3D_7_1</t>
  </si>
  <si>
    <t>NO_NOTE3D_7_2</t>
  </si>
  <si>
    <t>NO_NOTE3D_7_3</t>
  </si>
  <si>
    <t>NO_NOTE3D_7_4</t>
  </si>
  <si>
    <t>NO_NOTE3D_7_5</t>
  </si>
  <si>
    <t>NO_NOTE3D_8_1</t>
  </si>
  <si>
    <t>NO_NOTE3D_8_2</t>
  </si>
  <si>
    <t>NO_NOTE3D_8_3</t>
  </si>
  <si>
    <t>NO_NOTE3D_8_4</t>
  </si>
  <si>
    <t>NO_NOTE3D_8_5</t>
  </si>
  <si>
    <t>NO_NOTE3D_9_1</t>
  </si>
  <si>
    <t>NO_NOTE3D_9_2</t>
  </si>
  <si>
    <t>NO_NOTE3D_9_3</t>
  </si>
  <si>
    <t>NO_NOTE3D_9_4</t>
  </si>
  <si>
    <t>NO_NOTE3D_9_5</t>
  </si>
  <si>
    <t>NO_NOTE3D_10_1</t>
  </si>
  <si>
    <t>NO_NOTE3D_10_2</t>
  </si>
  <si>
    <t>NO_NOTE3D_10_3</t>
  </si>
  <si>
    <t>NO_NOTE3D_10_4</t>
  </si>
  <si>
    <t>NO_NOTE3D_10_5</t>
  </si>
  <si>
    <t>NO_NOTE3D_11_1</t>
  </si>
  <si>
    <t>NO_NOTE3D_11_2</t>
  </si>
  <si>
    <t>NO_NOTE3D_11_3</t>
  </si>
  <si>
    <t>NO_NOTE3D_11_4</t>
  </si>
  <si>
    <t>NO_NOTE3D_11_5</t>
  </si>
  <si>
    <t>NO_NOTE3D_12_1</t>
  </si>
  <si>
    <t>NO_NOTE3D_12_2</t>
  </si>
  <si>
    <t>NO_NOTE3D_12_3</t>
  </si>
  <si>
    <t>NO_NOTE3D_12_4</t>
  </si>
  <si>
    <t>NO_NOTE3D_12_5</t>
  </si>
  <si>
    <t>NO_NOTE3D_13_1</t>
  </si>
  <si>
    <t>NO_NOTE3D_13_2</t>
  </si>
  <si>
    <t>NO_NOTE3D_13_3</t>
  </si>
  <si>
    <t>NO_NOTE3D_13_4</t>
  </si>
  <si>
    <t>NO_NOTE3D_13_5</t>
  </si>
  <si>
    <t>NO_NOTE3D_14_1</t>
  </si>
  <si>
    <t>NO_NOTE3D_14_2</t>
  </si>
  <si>
    <t>NO_NOTE3D_14_3</t>
  </si>
  <si>
    <t>NO_NOTE3D_14_4</t>
  </si>
  <si>
    <t>NO_NOTE3D_14_5</t>
  </si>
  <si>
    <t>NO_NOTE3D_15_1</t>
  </si>
  <si>
    <t>NO_NOTE3D_15_2</t>
  </si>
  <si>
    <t>NO_NOTE3D_15_3</t>
  </si>
  <si>
    <t>NO_NOTE3D_15_4</t>
  </si>
  <si>
    <t>NO_NOTE3D_15_5</t>
  </si>
  <si>
    <t>Ecart incorporé au capital</t>
  </si>
  <si>
    <t>NO_NOTE4A_1_1</t>
  </si>
  <si>
    <t>NO_NOTE4A_1_2</t>
  </si>
  <si>
    <t>Variation (%)</t>
  </si>
  <si>
    <t>NO_NOTE4A_1_3</t>
  </si>
  <si>
    <t>Créances à un an au plus</t>
  </si>
  <si>
    <t>NO_NOTE4A_1_4</t>
  </si>
  <si>
    <t>NO_NOTE4A_1_5</t>
  </si>
  <si>
    <t>NO_NOTE4A_1_6</t>
  </si>
  <si>
    <t>NO_NOTE4A_2_1</t>
  </si>
  <si>
    <t>NO_NOTE4A_2_2</t>
  </si>
  <si>
    <t>NO_NOTE4A_2_3</t>
  </si>
  <si>
    <t>NO_NOTE4A_2_4</t>
  </si>
  <si>
    <t>NO_NOTE4A_2_5</t>
  </si>
  <si>
    <t>NO_NOTE4A_2_6</t>
  </si>
  <si>
    <t>NO_NOTE4A_3_1</t>
  </si>
  <si>
    <t>NO_NOTE4A_3_2</t>
  </si>
  <si>
    <t>NO_NOTE4A_3_3</t>
  </si>
  <si>
    <t>NO_NOTE4A_3_4</t>
  </si>
  <si>
    <t>NO_NOTE4A_3_5</t>
  </si>
  <si>
    <t>NO_NOTE4A_3_6</t>
  </si>
  <si>
    <t>NO_NOTE4A_4_1</t>
  </si>
  <si>
    <t>NO_NOTE4A_4_2</t>
  </si>
  <si>
    <t>NO_NOTE4A_4_3</t>
  </si>
  <si>
    <t>NO_NOTE4A_4_4</t>
  </si>
  <si>
    <t>NO_NOTE4A_4_5</t>
  </si>
  <si>
    <t>NO_NOTE4A_4_6</t>
  </si>
  <si>
    <t>NO_NOTE4A_5_1</t>
  </si>
  <si>
    <t>NO_NOTE4A_5_2</t>
  </si>
  <si>
    <t>NO_NOTE4A_5_3</t>
  </si>
  <si>
    <t>NO_NOTE4A_5_4</t>
  </si>
  <si>
    <t>NO_NOTE4A_5_5</t>
  </si>
  <si>
    <t>NO_NOTE4A_5_6</t>
  </si>
  <si>
    <t>NO_NOTE4A_6_1</t>
  </si>
  <si>
    <t>NO_NOTE4A_6_2</t>
  </si>
  <si>
    <t>NO_NOTE4A_6_3</t>
  </si>
  <si>
    <t>NO_NOTE4A_6_4</t>
  </si>
  <si>
    <t>NO_NOTE4A_6_5</t>
  </si>
  <si>
    <t>NO_NOTE4A_6_6</t>
  </si>
  <si>
    <t>NO_NOTE4A_7_1</t>
  </si>
  <si>
    <t>NO_NOTE4A_7_2</t>
  </si>
  <si>
    <t>NO_NOTE4A_7_3</t>
  </si>
  <si>
    <t>NO_NOTE4A_7_4</t>
  </si>
  <si>
    <t>NO_NOTE4A_7_5</t>
  </si>
  <si>
    <t>NO_NOTE4A_7_6</t>
  </si>
  <si>
    <t>NO_NOTE4A_8_1</t>
  </si>
  <si>
    <t>NO_NOTE4A_8_2</t>
  </si>
  <si>
    <t>NO_NOTE4A_8_3</t>
  </si>
  <si>
    <t>NO_NOTE4A_8_4</t>
  </si>
  <si>
    <t>NO_NOTE4A_8_5</t>
  </si>
  <si>
    <t>NO_NOTE4A_8_6</t>
  </si>
  <si>
    <t>NO_NOTE4A_9_1</t>
  </si>
  <si>
    <t>NO_NOTE4A_9_2</t>
  </si>
  <si>
    <t>NO_NOTE4A_9_3</t>
  </si>
  <si>
    <t>NO_NOTE4A_9_4</t>
  </si>
  <si>
    <t>NO_NOTE4A_9_5</t>
  </si>
  <si>
    <t>NO_NOTE4A_9_6</t>
  </si>
  <si>
    <t>NO_NOTE4A_10_1</t>
  </si>
  <si>
    <t>NO_NOTE4A_10_2</t>
  </si>
  <si>
    <t>NO_NOTE4A_10_3</t>
  </si>
  <si>
    <t>NO_NOTE4A_10_4</t>
  </si>
  <si>
    <t>NO_NOTE4A_10_5</t>
  </si>
  <si>
    <t>NO_NOTE4A_10_6</t>
  </si>
  <si>
    <t>NO_NOTE4A_11_1</t>
  </si>
  <si>
    <t>NO_NOTE4A_11_2</t>
  </si>
  <si>
    <t>NO_NOTE4A_11_3</t>
  </si>
  <si>
    <t>NO_NOTE4A_12_1</t>
  </si>
  <si>
    <t>NO_NOTE4A_12_2</t>
  </si>
  <si>
    <t>NO_NOTE4A_12_3</t>
  </si>
  <si>
    <t>NO_NOTE4A_13_1</t>
  </si>
  <si>
    <t>NO_NOTE4A_13_2</t>
  </si>
  <si>
    <t>NO_NOTE4A_13_3</t>
  </si>
  <si>
    <t>NO_NOTE5A_1_1</t>
  </si>
  <si>
    <t>NO_NOTE5A_1_2</t>
  </si>
  <si>
    <t>NO_NOTE5A_1_3</t>
  </si>
  <si>
    <t>NO_NOTE5A_2_1</t>
  </si>
  <si>
    <t>NO_NOTE5A_2_2</t>
  </si>
  <si>
    <t>NO_NOTE5A_2_3</t>
  </si>
  <si>
    <t>NO_NOTE5A_3_1</t>
  </si>
  <si>
    <t>NO_NOTE5A_3_2</t>
  </si>
  <si>
    <t>NO_NOTE5A_3_3</t>
  </si>
  <si>
    <t>NO_NOTE5A_4_1</t>
  </si>
  <si>
    <t>NO_NOTE5A_4_2</t>
  </si>
  <si>
    <t>NO_NOTE5A_4_3</t>
  </si>
  <si>
    <t>NO_NOTE5A_5_1</t>
  </si>
  <si>
    <t>NO_NOTE5A_5_2</t>
  </si>
  <si>
    <t>NO_NOTE5A_5_3</t>
  </si>
  <si>
    <t>NO_NOTE5B_1_1</t>
  </si>
  <si>
    <t>NO_NOTE5B_1_2</t>
  </si>
  <si>
    <t>NO_NOTE5B_1_3</t>
  </si>
  <si>
    <t>NO_NOTE5B_2_1</t>
  </si>
  <si>
    <t>NO_NOTE5B_2_2</t>
  </si>
  <si>
    <t>NO_NOTE5B_2_3</t>
  </si>
  <si>
    <t>Versements restant à effectuer sur titres de participation et titres immobilisés non libérés</t>
  </si>
  <si>
    <t>NO_NOTE5B_3_1</t>
  </si>
  <si>
    <t>NO_NOTE5B_3_2</t>
  </si>
  <si>
    <t>NO_NOTE5B_3_3</t>
  </si>
  <si>
    <t>NO_NOTE5B_4_1</t>
  </si>
  <si>
    <t>NO_NOTE5B_4_2</t>
  </si>
  <si>
    <t>NO_NOTE5B_4_3</t>
  </si>
  <si>
    <t>NO_NOTE5B_5_1</t>
  </si>
  <si>
    <t>NO_NOTE5B_5_2</t>
  </si>
  <si>
    <t>NO_NOTE5B_5_3</t>
  </si>
  <si>
    <t>NO_NOTE6_1_1</t>
  </si>
  <si>
    <t>NO_NOTE6_1_2</t>
  </si>
  <si>
    <t>Variation (valeur)</t>
  </si>
  <si>
    <t>NO_NOTE6_1_3</t>
  </si>
  <si>
    <t>NO_NOTE6_1_4</t>
  </si>
  <si>
    <t>NO_NOTE6_2_1</t>
  </si>
  <si>
    <t>NO_NOTE6_2_2</t>
  </si>
  <si>
    <t>NO_NOTE6_2_3</t>
  </si>
  <si>
    <t>NO_NOTE6_2_4</t>
  </si>
  <si>
    <t>NO_NOTE6_3_1</t>
  </si>
  <si>
    <t>NO_NOTE6_3_2</t>
  </si>
  <si>
    <t>NO_NOTE6_3_3</t>
  </si>
  <si>
    <t>NO_NOTE6_3_4</t>
  </si>
  <si>
    <t>NO_NOTE6_4_1</t>
  </si>
  <si>
    <t>NO_NOTE6_4_2</t>
  </si>
  <si>
    <t>NO_NOTE6_4_3</t>
  </si>
  <si>
    <t>NO_NOTE6_4_4</t>
  </si>
  <si>
    <t>NO_NOTE6_5_1</t>
  </si>
  <si>
    <t>NO_NOTE6_5_2</t>
  </si>
  <si>
    <t>NO_NOTE6_5_3</t>
  </si>
  <si>
    <t>NO_NOTE6_5_4</t>
  </si>
  <si>
    <t>NO_NOTE6_6_1</t>
  </si>
  <si>
    <t>NO_NOTE6_6_2</t>
  </si>
  <si>
    <t>NO_NOTE6_6_3</t>
  </si>
  <si>
    <t>NO_NOTE6_6_4</t>
  </si>
  <si>
    <t>NO_NOTE6_7_1</t>
  </si>
  <si>
    <t>NO_NOTE6_7_2</t>
  </si>
  <si>
    <t>NO_NOTE6_7_3</t>
  </si>
  <si>
    <t>NO_NOTE6_7_4</t>
  </si>
  <si>
    <t>NO_NOTE6_8_1</t>
  </si>
  <si>
    <t>NO_NOTE6_8_2</t>
  </si>
  <si>
    <t>NO_NOTE6_8_3</t>
  </si>
  <si>
    <t>NO_NOTE6_8_4</t>
  </si>
  <si>
    <t>NO_NOTE6_9_1</t>
  </si>
  <si>
    <t>NO_NOTE6_9_2</t>
  </si>
  <si>
    <t>NO_NOTE6_9_3</t>
  </si>
  <si>
    <t>NO_NOTE6_9_4</t>
  </si>
  <si>
    <t>NO_NOTE6_10_1</t>
  </si>
  <si>
    <t>NO_NOTE6_10_2</t>
  </si>
  <si>
    <t>NO_NOTE6_10_3</t>
  </si>
  <si>
    <t>NO_NOTE6_10_4</t>
  </si>
  <si>
    <t>NO_NOTE6_11_1</t>
  </si>
  <si>
    <t>NO_NOTE6_11_2</t>
  </si>
  <si>
    <t>NO_NOTE6_11_3</t>
  </si>
  <si>
    <t>NO_NOTE6_11_4</t>
  </si>
  <si>
    <t>NO_NOTE7_1_1</t>
  </si>
  <si>
    <t>NO_NOTE7_1_2</t>
  </si>
  <si>
    <t>NO_NOTE7_1_3</t>
  </si>
  <si>
    <t>NO_NOTE7_1_4</t>
  </si>
  <si>
    <t>NO_NOTE7_1_5</t>
  </si>
  <si>
    <t>NO_NOTE7_1_6</t>
  </si>
  <si>
    <t>Clients effets à recevoir (hors réserves de propriété et groupe)</t>
  </si>
  <si>
    <t>NO_NOTE7_2_1</t>
  </si>
  <si>
    <t>NO_NOTE7_2_2</t>
  </si>
  <si>
    <t>NO_NOTE7_2_3</t>
  </si>
  <si>
    <t>NO_NOTE7_2_4</t>
  </si>
  <si>
    <t>NO_NOTE7_2_5</t>
  </si>
  <si>
    <t>NO_NOTE7_2_6</t>
  </si>
  <si>
    <t>NO_NOTE7_3_1</t>
  </si>
  <si>
    <t>NO_NOTE7_3_2</t>
  </si>
  <si>
    <t>NO_NOTE7_3_3</t>
  </si>
  <si>
    <t>NO_NOTE7_3_4</t>
  </si>
  <si>
    <t>NO_NOTE7_3_5</t>
  </si>
  <si>
    <t>NO_NOTE7_3_6</t>
  </si>
  <si>
    <t>NO_NOTE7_4_1</t>
  </si>
  <si>
    <t>NO_NOTE7_4_2</t>
  </si>
  <si>
    <t>NO_NOTE7_4_3</t>
  </si>
  <si>
    <t>NO_NOTE7_4_4</t>
  </si>
  <si>
    <t>NO_NOTE7_4_5</t>
  </si>
  <si>
    <t>NO_NOTE7_4_6</t>
  </si>
  <si>
    <t>NO_NOTE7_5_1</t>
  </si>
  <si>
    <t>NO_NOTE7_5_2</t>
  </si>
  <si>
    <t>NO_NOTE7_5_3</t>
  </si>
  <si>
    <t>NO_NOTE7_5_4</t>
  </si>
  <si>
    <t>NO_NOTE7_5_5</t>
  </si>
  <si>
    <t>NO_NOTE7_5_6</t>
  </si>
  <si>
    <t>NO_NOTE7_6_1</t>
  </si>
  <si>
    <t>NO_NOTE7_6_2</t>
  </si>
  <si>
    <t>NO_NOTE7_6_3</t>
  </si>
  <si>
    <t>NO_NOTE7_6_4</t>
  </si>
  <si>
    <t>NO_NOTE7_6_5</t>
  </si>
  <si>
    <t>NO_NOTE7_6_6</t>
  </si>
  <si>
    <t>NO_NOTE7_7_1</t>
  </si>
  <si>
    <t>NO_NOTE7_7_2</t>
  </si>
  <si>
    <t>NO_NOTE7_7_3</t>
  </si>
  <si>
    <t>NO_NOTE7_7_4</t>
  </si>
  <si>
    <t>NO_NOTE7_7_5</t>
  </si>
  <si>
    <t>NO_NOTE7_7_6</t>
  </si>
  <si>
    <t>NO_NOTE7_8_1</t>
  </si>
  <si>
    <t>NO_NOTE7_8_2</t>
  </si>
  <si>
    <t>NO_NOTE7_8_3</t>
  </si>
  <si>
    <t>NO_NOTE7_8_4</t>
  </si>
  <si>
    <t>NO_NOTE7_8_5</t>
  </si>
  <si>
    <t>NO_NOTE7_8_6</t>
  </si>
  <si>
    <t>NO_NOTE7_9_1</t>
  </si>
  <si>
    <t>NO_NOTE7_9_2</t>
  </si>
  <si>
    <t>NO_NOTE7_9_3</t>
  </si>
  <si>
    <t>NO_NOTE7_9_4</t>
  </si>
  <si>
    <t>NO_NOTE7_9_5</t>
  </si>
  <si>
    <t>NO_NOTE7_9_6</t>
  </si>
  <si>
    <t>NO_NOTE7_10_1</t>
  </si>
  <si>
    <t>NO_NOTE7_10_2</t>
  </si>
  <si>
    <t>NO_NOTE7_10_3</t>
  </si>
  <si>
    <t>NO_NOTE7_11_1</t>
  </si>
  <si>
    <t>NO_NOTE7_11_2</t>
  </si>
  <si>
    <t>NO_NOTE7_11_3</t>
  </si>
  <si>
    <t>NO_NOTE7_12_1</t>
  </si>
  <si>
    <t>NO_NOTE7_12_2</t>
  </si>
  <si>
    <t>NO_NOTE7_12_3</t>
  </si>
  <si>
    <t>NO_NOTE7_12_4</t>
  </si>
  <si>
    <t>NO_NOTE7_12_5</t>
  </si>
  <si>
    <t>NO_NOTE7_12_6</t>
  </si>
  <si>
    <t>NO_NOTE7_13_1</t>
  </si>
  <si>
    <t>NO_NOTE7_13_2</t>
  </si>
  <si>
    <t>NO_NOTE7_13_3</t>
  </si>
  <si>
    <t>NO_NOTE7_13_4</t>
  </si>
  <si>
    <t>NO_NOTE7_13_5</t>
  </si>
  <si>
    <t>NO_NOTE7_13_6</t>
  </si>
  <si>
    <t>NO_NOTE7_14_1</t>
  </si>
  <si>
    <t>NO_NOTE7_14_2</t>
  </si>
  <si>
    <t>NO_NOTE7_14_3</t>
  </si>
  <si>
    <t>NO_NOTE7_14_4</t>
  </si>
  <si>
    <t>NO_NOTE7_14_5</t>
  </si>
  <si>
    <t>NO_NOTE7_14_6</t>
  </si>
  <si>
    <t>NO_NOTE7_15_1</t>
  </si>
  <si>
    <t>NO_NOTE7_15_2</t>
  </si>
  <si>
    <t>NO_NOTE7_15_3</t>
  </si>
  <si>
    <t>NO_NOTE7_15_4</t>
  </si>
  <si>
    <t>NO_NOTE7_15_5</t>
  </si>
  <si>
    <t>NO_NOTE7_15_6</t>
  </si>
  <si>
    <t>NO_NOTE8_1_1</t>
  </si>
  <si>
    <t>NO_NOTE8_1_2</t>
  </si>
  <si>
    <t>NO_NOTE8_1_3</t>
  </si>
  <si>
    <t>NO_NOTE8_1_4</t>
  </si>
  <si>
    <t>NO_NOTE8_1_5</t>
  </si>
  <si>
    <t>NO_NOTE8_1_6</t>
  </si>
  <si>
    <t>NO_NOTE8_2_1</t>
  </si>
  <si>
    <t>NO_NOTE8_2_2</t>
  </si>
  <si>
    <t>NO_NOTE8_2_3</t>
  </si>
  <si>
    <t>NO_NOTE8_2_4</t>
  </si>
  <si>
    <t>NO_NOTE8_2_5</t>
  </si>
  <si>
    <t>NO_NOTE8_2_6</t>
  </si>
  <si>
    <t>NO_NOTE8_3_1</t>
  </si>
  <si>
    <t>NO_NOTE8_3_2</t>
  </si>
  <si>
    <t>NO_NOTE8_3_3</t>
  </si>
  <si>
    <t>NO_NOTE8_3_4</t>
  </si>
  <si>
    <t>NO_NOTE8_3_5</t>
  </si>
  <si>
    <t>NO_NOTE8_3_6</t>
  </si>
  <si>
    <t>NO_NOTE8_4_1</t>
  </si>
  <si>
    <t>NO_NOTE8_4_2</t>
  </si>
  <si>
    <t>NO_NOTE8_4_3</t>
  </si>
  <si>
    <t>NO_NOTE8_4_4</t>
  </si>
  <si>
    <t>NO_NOTE8_4_5</t>
  </si>
  <si>
    <t>NO_NOTE8_4_6</t>
  </si>
  <si>
    <t>NO_NOTE8_5_1</t>
  </si>
  <si>
    <t>NO_NOTE8_5_2</t>
  </si>
  <si>
    <t>NO_NOTE8_5_3</t>
  </si>
  <si>
    <t>NO_NOTE8_5_4</t>
  </si>
  <si>
    <t>NO_NOTE8_5_5</t>
  </si>
  <si>
    <t>NO_NOTE8_5_6</t>
  </si>
  <si>
    <t>Compte transitoire ajustement spécial lié à la révision du SYSCOHADA (Voir Notes 8A &amp; 8C)</t>
  </si>
  <si>
    <t>NO_NOTE8_6_1</t>
  </si>
  <si>
    <t>NO_NOTE8_6_2</t>
  </si>
  <si>
    <t>NO_NOTE8_6_3</t>
  </si>
  <si>
    <t>NO_NOTE8_6_4</t>
  </si>
  <si>
    <t>NO_NOTE8_6_5</t>
  </si>
  <si>
    <t>NO_NOTE8_6_6</t>
  </si>
  <si>
    <t>NO_NOTE8_7_1</t>
  </si>
  <si>
    <t>NO_NOTE8_7_2</t>
  </si>
  <si>
    <t>NO_NOTE8_7_3</t>
  </si>
  <si>
    <t>NO_NOTE8_7_4</t>
  </si>
  <si>
    <t>NO_NOTE8_7_5</t>
  </si>
  <si>
    <t>NO_NOTE8_7_6</t>
  </si>
  <si>
    <t>NO_NOTE8_8_1</t>
  </si>
  <si>
    <t>NO_NOTE8_8_2</t>
  </si>
  <si>
    <t>NO_NOTE8_8_3</t>
  </si>
  <si>
    <t>NO_NOTE8_8_4</t>
  </si>
  <si>
    <t>NO_NOTE8_8_5</t>
  </si>
  <si>
    <t>NO_NOTE8_8_6</t>
  </si>
  <si>
    <t>NO_NOTE8_9_1</t>
  </si>
  <si>
    <t>NO_NOTE8_9_2</t>
  </si>
  <si>
    <t>NO_NOTE8_9_3</t>
  </si>
  <si>
    <t>NO_NOTE8_9_4</t>
  </si>
  <si>
    <t>NO_NOTE8_9_5</t>
  </si>
  <si>
    <t>NO_NOTE8_9_6</t>
  </si>
  <si>
    <t>NO_NOTE8_10_1</t>
  </si>
  <si>
    <t>NO_NOTE8_10_2</t>
  </si>
  <si>
    <t>NO_NOTE8_10_3</t>
  </si>
  <si>
    <t>NO_NOTE8_10_4</t>
  </si>
  <si>
    <t>NO_NOTE8_10_5</t>
  </si>
  <si>
    <t>NO_NOTE8_10_6</t>
  </si>
  <si>
    <t>NO_NOTE8_11_1</t>
  </si>
  <si>
    <t>NO_NOTE8_11_2</t>
  </si>
  <si>
    <t>NO_NOTE8_11_3</t>
  </si>
  <si>
    <t>NO_NOTE8_11_4</t>
  </si>
  <si>
    <t>NO_NOTE8_11_5</t>
  </si>
  <si>
    <t>NO_NOTE8_11_6</t>
  </si>
  <si>
    <t>NO_NOTE8_12_1</t>
  </si>
  <si>
    <t>NO_NOTE8_12_2</t>
  </si>
  <si>
    <t>NO_NOTE8_12_3</t>
  </si>
  <si>
    <t>NO_NOTE8_13_1</t>
  </si>
  <si>
    <t>NO_NOTE8_13_2</t>
  </si>
  <si>
    <t>NO_NOTE8_13_3</t>
  </si>
  <si>
    <t>NO_NOTE8A1_1_1</t>
  </si>
  <si>
    <t>Charges à répartir sur plusieurs exercices</t>
  </si>
  <si>
    <t>NO_NOTE8A1_1_2</t>
  </si>
  <si>
    <t>Primes de remboursement des obligations</t>
  </si>
  <si>
    <t>NO_NOTE8A1_1_3</t>
  </si>
  <si>
    <t>NO_NOTE8A1_2_1</t>
  </si>
  <si>
    <t>NO_NOTE8A1_2_2</t>
  </si>
  <si>
    <t>NO_NOTE8A1_2_3</t>
  </si>
  <si>
    <t>NO_NOTE8A1_3_1</t>
  </si>
  <si>
    <t>NO_NOTE8A1_3_2</t>
  </si>
  <si>
    <t>NO_NOTE8A1_3_3</t>
  </si>
  <si>
    <t>NO_NOTE8A1_4_1</t>
  </si>
  <si>
    <t>NO_NOTE8A1_4_2</t>
  </si>
  <si>
    <t>NO_NOTE8A1_4_3</t>
  </si>
  <si>
    <t>NO_NOTE8A1_5_1</t>
  </si>
  <si>
    <t>NO_NOTE8A1_5_2</t>
  </si>
  <si>
    <t>NO_NOTE8A1_5_3</t>
  </si>
  <si>
    <t>NO_NOTE8A1_6_1</t>
  </si>
  <si>
    <t>NO_NOTE8A1_6_2</t>
  </si>
  <si>
    <t>NO_NOTE8A1_6_3</t>
  </si>
  <si>
    <t>NO_NOTE8A1_7_1</t>
  </si>
  <si>
    <t>NO_NOTE8A1_7_2</t>
  </si>
  <si>
    <t>NO_NOTE8A1_7_3</t>
  </si>
  <si>
    <t>NO_NOTE8A1_8_1</t>
  </si>
  <si>
    <t>NO_NOTE8A1_8_2</t>
  </si>
  <si>
    <t>NO_NOTE8A1_8_3</t>
  </si>
  <si>
    <t>NO_NOTE8A4_1_1</t>
  </si>
  <si>
    <t>NO_NOTE8B_1_1</t>
  </si>
  <si>
    <t>NO_NOTE8B_2_1</t>
  </si>
  <si>
    <t>NO_NOTE8B_3_1</t>
  </si>
  <si>
    <t>NO_NOTE8B_4_1</t>
  </si>
  <si>
    <t>NO_NOTE8B_5_1</t>
  </si>
  <si>
    <t>NO_NOTE8B_6_1</t>
  </si>
  <si>
    <t>NO_NOTE8B_7_1</t>
  </si>
  <si>
    <t>NO_NOTE8B_8_1</t>
  </si>
  <si>
    <t>NO_NOTE8B_9_1</t>
  </si>
  <si>
    <t>NO_NOTE8C_1_1</t>
  </si>
  <si>
    <t>NO_NOTE8C_2_1</t>
  </si>
  <si>
    <t>NO_NOTE8C_3_1</t>
  </si>
  <si>
    <t>NO_NOTE8C_4_1</t>
  </si>
  <si>
    <t>NO_NOTE8C_5_1</t>
  </si>
  <si>
    <t>NO_NOTE8C_6_1</t>
  </si>
  <si>
    <t>NO_NOTE8C_7_1</t>
  </si>
  <si>
    <t>NO_NOTE8C_8_1</t>
  </si>
  <si>
    <t>NO_NOTE8C_9_1</t>
  </si>
  <si>
    <t>NO_NOTE9_1_1</t>
  </si>
  <si>
    <t>NO_NOTE9_1_2</t>
  </si>
  <si>
    <t>NO_NOTE9_1_3</t>
  </si>
  <si>
    <t>NO_NOTE9_2_1</t>
  </si>
  <si>
    <t>NO_NOTE9_2_2</t>
  </si>
  <si>
    <t>NO_NOTE9_2_3</t>
  </si>
  <si>
    <t>NO_NOTE9_3_1</t>
  </si>
  <si>
    <t>NO_NOTE9_3_2</t>
  </si>
  <si>
    <t>NO_NOTE9_3_3</t>
  </si>
  <si>
    <t>NO_NOTE9_4_1</t>
  </si>
  <si>
    <t>NO_NOTE9_4_2</t>
  </si>
  <si>
    <t>NO_NOTE9_4_3</t>
  </si>
  <si>
    <t>NO_NOTE9_5_1</t>
  </si>
  <si>
    <t>NO_NOTE9_5_2</t>
  </si>
  <si>
    <t>NO_NOTE9_5_3</t>
  </si>
  <si>
    <t>NO_NOTE9_6_1</t>
  </si>
  <si>
    <t>NO_NOTE9_6_2</t>
  </si>
  <si>
    <t>NO_NOTE9_6_3</t>
  </si>
  <si>
    <t>NO_NOTE9_7_1</t>
  </si>
  <si>
    <t>NO_NOTE9_7_2</t>
  </si>
  <si>
    <t>NO_NOTE9_7_3</t>
  </si>
  <si>
    <t>NO_NOTE9_8_1</t>
  </si>
  <si>
    <t>NO_NOTE9_8_2</t>
  </si>
  <si>
    <t>NO_NOTE9_8_3</t>
  </si>
  <si>
    <t>NO_NOTE9_9_1</t>
  </si>
  <si>
    <t>NO_NOTE9_9_2</t>
  </si>
  <si>
    <t>NO_NOTE9_9_3</t>
  </si>
  <si>
    <t>NO_NOTE9_10_1</t>
  </si>
  <si>
    <t>NO_NOTE9_10_2</t>
  </si>
  <si>
    <t>NO_NOTE9_10_3</t>
  </si>
  <si>
    <t>NO_NOTE10_1_1</t>
  </si>
  <si>
    <t>NO_NOTE10_1_2</t>
  </si>
  <si>
    <t>NO_NOTE10_1_3</t>
  </si>
  <si>
    <t>NO_NOTE10_2_1</t>
  </si>
  <si>
    <t>NO_NOTE10_2_2</t>
  </si>
  <si>
    <t>NO_NOTE10_2_3</t>
  </si>
  <si>
    <t>NO_NOTE10_3_1</t>
  </si>
  <si>
    <t>NO_NOTE10_3_2</t>
  </si>
  <si>
    <t>NO_NOTE10_3_3</t>
  </si>
  <si>
    <t>NO_NOTE10_4_1</t>
  </si>
  <si>
    <t>NO_NOTE10_4_2</t>
  </si>
  <si>
    <t>NO_NOTE10_4_3</t>
  </si>
  <si>
    <t>NO_NOTE10_5_1</t>
  </si>
  <si>
    <t>NO_NOTE10_5_2</t>
  </si>
  <si>
    <t>NO_NOTE10_5_3</t>
  </si>
  <si>
    <t>NO_NOTE10_6_1</t>
  </si>
  <si>
    <t>NO_NOTE10_6_2</t>
  </si>
  <si>
    <t>NO_NOTE10_6_3</t>
  </si>
  <si>
    <t>NO_NOTE10_7_1</t>
  </si>
  <si>
    <t>NO_NOTE10_7_2</t>
  </si>
  <si>
    <t>NO_NOTE10_7_3</t>
  </si>
  <si>
    <t>NO_NOTE10_8_1</t>
  </si>
  <si>
    <t>NO_NOTE10_8_2</t>
  </si>
  <si>
    <t>NO_NOTE10_8_3</t>
  </si>
  <si>
    <t>NO_NOTE10_9_1</t>
  </si>
  <si>
    <t>NO_NOTE10_9_2</t>
  </si>
  <si>
    <t>NO_NOTE10_9_3</t>
  </si>
  <si>
    <t>NO_NOTE11_1_1</t>
  </si>
  <si>
    <t>NO_NOTE11_1_2</t>
  </si>
  <si>
    <t>NO_NOTE11_1_3</t>
  </si>
  <si>
    <t>NO_NOTE11_2_1</t>
  </si>
  <si>
    <t>NO_NOTE11_2_2</t>
  </si>
  <si>
    <t>NO_NOTE11_2_3</t>
  </si>
  <si>
    <t>NO_NOTE11_3_1</t>
  </si>
  <si>
    <t>NO_NOTE11_3_2</t>
  </si>
  <si>
    <t>NO_NOTE11_3_3</t>
  </si>
  <si>
    <t>NO_NOTE11_4_1</t>
  </si>
  <si>
    <t>NO_NOTE11_4_2</t>
  </si>
  <si>
    <t>NO_NOTE11_4_3</t>
  </si>
  <si>
    <t>NO_NOTE11_5_1</t>
  </si>
  <si>
    <t>NO_NOTE11_5_2</t>
  </si>
  <si>
    <t>NO_NOTE11_5_3</t>
  </si>
  <si>
    <t>NO_NOTE11_6_1</t>
  </si>
  <si>
    <t>NO_NOTE11_6_2</t>
  </si>
  <si>
    <t>NO_NOTE11_6_3</t>
  </si>
  <si>
    <t>NO_NOTE11_7_1</t>
  </si>
  <si>
    <t>NO_NOTE11_7_2</t>
  </si>
  <si>
    <t>NO_NOTE11_7_3</t>
  </si>
  <si>
    <t>NO_NOTE11_8_1</t>
  </si>
  <si>
    <t>NO_NOTE11_8_2</t>
  </si>
  <si>
    <t>NO_NOTE11_8_3</t>
  </si>
  <si>
    <t>NO_NOTE11_9_1</t>
  </si>
  <si>
    <t>NO_NOTE11_9_2</t>
  </si>
  <si>
    <t>NO_NOTE11_9_3</t>
  </si>
  <si>
    <t>NO_NOTE11_10_1</t>
  </si>
  <si>
    <t>NO_NOTE11_10_2</t>
  </si>
  <si>
    <t>NO_NOTE11_10_3</t>
  </si>
  <si>
    <t>NO_NOTE11_11_1</t>
  </si>
  <si>
    <t>NO_NOTE11_11_2</t>
  </si>
  <si>
    <t>NO_NOTE11_11_3</t>
  </si>
  <si>
    <t>NO_NOTE11_12_1</t>
  </si>
  <si>
    <t>NO_NOTE11_12_2</t>
  </si>
  <si>
    <t>NO_NOTE11_12_3</t>
  </si>
  <si>
    <t>NO_NOTE11_13_1</t>
  </si>
  <si>
    <t>NO_NOTE11_13_2</t>
  </si>
  <si>
    <t>NO_NOTE11_13_3</t>
  </si>
  <si>
    <t>NO_NOTE11_14_1</t>
  </si>
  <si>
    <t>NO_NOTE11_14_2</t>
  </si>
  <si>
    <t>NO_NOTE11_14_3</t>
  </si>
  <si>
    <t>NO_NOTE11_15_1</t>
  </si>
  <si>
    <t>NO_NOTE11_15_2</t>
  </si>
  <si>
    <t>NO_NOTE11_15_3</t>
  </si>
  <si>
    <t>NO_NOTE14_1_1</t>
  </si>
  <si>
    <t>NO_NOTE14_1_2</t>
  </si>
  <si>
    <t>NO_NOTE14_1_3</t>
  </si>
  <si>
    <t>NO_NOTE14_2_1</t>
  </si>
  <si>
    <t>NO_NOTE14_2_2</t>
  </si>
  <si>
    <t>NO_NOTE14_2_3</t>
  </si>
  <si>
    <t>NO_NOTE14_3_1</t>
  </si>
  <si>
    <t>NO_NOTE14_3_2</t>
  </si>
  <si>
    <t>NO_NOTE14_3_3</t>
  </si>
  <si>
    <t>NO_NOTE14_4_1</t>
  </si>
  <si>
    <t>NO_NOTE14_4_2</t>
  </si>
  <si>
    <t>NO_NOTE14_4_3</t>
  </si>
  <si>
    <t>NO_NOTE14_5_1</t>
  </si>
  <si>
    <t>NO_NOTE14_5_2</t>
  </si>
  <si>
    <t>NO_NOTE14_5_3</t>
  </si>
  <si>
    <t>NO_NOTE14_6_1</t>
  </si>
  <si>
    <t>NO_NOTE14_6_2</t>
  </si>
  <si>
    <t>NO_NOTE14_6_3</t>
  </si>
  <si>
    <t>NO_NOTE14_7_1</t>
  </si>
  <si>
    <t>NO_NOTE14_7_2</t>
  </si>
  <si>
    <t>NO_NOTE14_7_3</t>
  </si>
  <si>
    <t>NO_NOTE14_8_1</t>
  </si>
  <si>
    <t>NO_NOTE14_8_2</t>
  </si>
  <si>
    <t>NO_NOTE14_8_3</t>
  </si>
  <si>
    <t>NO_NOTE14_9_1</t>
  </si>
  <si>
    <t>NO_NOTE14_9_2</t>
  </si>
  <si>
    <t>NO_NOTE14_9_3</t>
  </si>
  <si>
    <t>NO_NOTE14_10_1</t>
  </si>
  <si>
    <t>NO_NOTE14_10_2</t>
  </si>
  <si>
    <t>NO_NOTE14_10_3</t>
  </si>
  <si>
    <t>NO_NOTE14_11_1</t>
  </si>
  <si>
    <t>NO_NOTE14_11_2</t>
  </si>
  <si>
    <t>NO_NOTE14_11_3</t>
  </si>
  <si>
    <t>NO_NOTE14_12_1</t>
  </si>
  <si>
    <t>NO_NOTE14_12_2</t>
  </si>
  <si>
    <t>NO_NOTE14_12_3</t>
  </si>
  <si>
    <t>NO_NOTE14_13_1</t>
  </si>
  <si>
    <t>NO_NOTE14_13_2</t>
  </si>
  <si>
    <t>NO_NOTE14_13_3</t>
  </si>
  <si>
    <t>NO_NOTE14_14_1</t>
  </si>
  <si>
    <t>NO_NOTE14_14_2</t>
  </si>
  <si>
    <t>NO_NOTE14_14_3</t>
  </si>
  <si>
    <t>NO_NOTE15A_1_1</t>
  </si>
  <si>
    <t>NO_NOTE15A_1_2</t>
  </si>
  <si>
    <t>NO_NOTE15A_1_3</t>
  </si>
  <si>
    <t>NO_NOTE15A_1_4</t>
  </si>
  <si>
    <t>Régime fiscal</t>
  </si>
  <si>
    <t>NO_NOTE15A_1_5</t>
  </si>
  <si>
    <t>Échéances</t>
  </si>
  <si>
    <t>NO_NOTE15A_1_6</t>
  </si>
  <si>
    <t>NO_NOTE15A_2_1</t>
  </si>
  <si>
    <t>NO_NOTE15A_2_2</t>
  </si>
  <si>
    <t>NO_NOTE15A_2_3</t>
  </si>
  <si>
    <t>NO_NOTE15A_2_4</t>
  </si>
  <si>
    <t>NO_NOTE15A_2_5</t>
  </si>
  <si>
    <t>NO_NOTE15A_2_6</t>
  </si>
  <si>
    <t>NO_NOTE15A_3_1</t>
  </si>
  <si>
    <t>NO_NOTE15A_3_2</t>
  </si>
  <si>
    <t>NO_NOTE15A_3_3</t>
  </si>
  <si>
    <t>NO_NOTE15A_3_4</t>
  </si>
  <si>
    <t>NO_NOTE15A_3_5</t>
  </si>
  <si>
    <t>NO_NOTE15A_3_6</t>
  </si>
  <si>
    <t>NO_NOTE15A_4_1</t>
  </si>
  <si>
    <t>NO_NOTE15A_4_2</t>
  </si>
  <si>
    <t>NO_NOTE15A_4_3</t>
  </si>
  <si>
    <t>NO_NOTE15A_4_4</t>
  </si>
  <si>
    <t>NO_NOTE15A_4_5</t>
  </si>
  <si>
    <t>NO_NOTE15A_4_6</t>
  </si>
  <si>
    <t>NO_NOTE15A_5_1</t>
  </si>
  <si>
    <t>NO_NOTE15A_5_2</t>
  </si>
  <si>
    <t>NO_NOTE15A_5_3</t>
  </si>
  <si>
    <t>NO_NOTE15A_5_4</t>
  </si>
  <si>
    <t>NO_NOTE15A_5_5</t>
  </si>
  <si>
    <t>NO_NOTE15A_5_6</t>
  </si>
  <si>
    <t>NO_NOTE15A_6_1</t>
  </si>
  <si>
    <t>NO_NOTE15A_6_2</t>
  </si>
  <si>
    <t>NO_NOTE15A_6_3</t>
  </si>
  <si>
    <t>NO_NOTE15A_6_4</t>
  </si>
  <si>
    <t>NO_NOTE15A_6_5</t>
  </si>
  <si>
    <t>NO_NOTE15A_6_6</t>
  </si>
  <si>
    <t>NO_NOTE15A_7_1</t>
  </si>
  <si>
    <t>NO_NOTE15A_7_2</t>
  </si>
  <si>
    <t>NO_NOTE15A_7_3</t>
  </si>
  <si>
    <t>NO_NOTE15A_7_4</t>
  </si>
  <si>
    <t>NO_NOTE15A_7_5</t>
  </si>
  <si>
    <t>NO_NOTE15A_8_1</t>
  </si>
  <si>
    <t>NO_NOTE15A_8_2</t>
  </si>
  <si>
    <t>NO_NOTE15A_8_3</t>
  </si>
  <si>
    <t>NO_NOTE15A_8_4</t>
  </si>
  <si>
    <t>NO_NOTE15A_8_5</t>
  </si>
  <si>
    <t>NO_NOTE15A_9_1</t>
  </si>
  <si>
    <t>NO_NOTE15A_9_2</t>
  </si>
  <si>
    <t>NO_NOTE15A_9_3</t>
  </si>
  <si>
    <t>NO_NOTE15A_9_4</t>
  </si>
  <si>
    <t>NO_NOTE15A_10_1</t>
  </si>
  <si>
    <t>NO_NOTE15A_10_2</t>
  </si>
  <si>
    <t>NO_NOTE15A_10_3</t>
  </si>
  <si>
    <t>NO_NOTE15A_10_4</t>
  </si>
  <si>
    <t>NO_NOTE15A_10_5</t>
  </si>
  <si>
    <t>NO_NOTE15A_11_1</t>
  </si>
  <si>
    <t>NO_NOTE15A_11_2</t>
  </si>
  <si>
    <t>NO_NOTE15A_11_3</t>
  </si>
  <si>
    <t>NO_NOTE15A_11_4</t>
  </si>
  <si>
    <t>NO_NOTE15A_11_5</t>
  </si>
  <si>
    <t>NO_NOTE15A_12_1</t>
  </si>
  <si>
    <t>NO_NOTE15A_12_2</t>
  </si>
  <si>
    <t>NO_NOTE15A_12_3</t>
  </si>
  <si>
    <t>NO_NOTE15A_12_4</t>
  </si>
  <si>
    <t>NO_NOTE15A_12_5</t>
  </si>
  <si>
    <t>NO_NOTE15A_13_1</t>
  </si>
  <si>
    <t>NO_NOTE15A_13_2</t>
  </si>
  <si>
    <t>NO_NOTE15A_13_3</t>
  </si>
  <si>
    <t>NO_NOTE15A_13_4</t>
  </si>
  <si>
    <t>NO_NOTE15A_13_5</t>
  </si>
  <si>
    <t>NO_NOTE15A_14_1</t>
  </si>
  <si>
    <t>NO_NOTE15A_14_2</t>
  </si>
  <si>
    <t>NO_NOTE15A_14_3</t>
  </si>
  <si>
    <t>NO_NOTE15A_14_4</t>
  </si>
  <si>
    <t>NO_NOTE15A_14_5</t>
  </si>
  <si>
    <t>NO_NOTE15A_15_1</t>
  </si>
  <si>
    <t>NO_NOTE15A_15_2</t>
  </si>
  <si>
    <t>NO_NOTE15A_15_3</t>
  </si>
  <si>
    <t>NO_NOTE15A_15_4</t>
  </si>
  <si>
    <t>NO_NOTE15A_15_5</t>
  </si>
  <si>
    <t>NO_NOTE15A_16_1</t>
  </si>
  <si>
    <t>NO_NOTE15A_16_2</t>
  </si>
  <si>
    <t>NO_NOTE15A_16_3</t>
  </si>
  <si>
    <t>NO_NOTE15A_16_4</t>
  </si>
  <si>
    <t>NO_NOTE15A_16_5</t>
  </si>
  <si>
    <t>NO_NOTE15A_17_1</t>
  </si>
  <si>
    <t>NO_NOTE15A_17_2</t>
  </si>
  <si>
    <t>NO_NOTE15A_17_3</t>
  </si>
  <si>
    <t>NO_NOTE15A_17_4</t>
  </si>
  <si>
    <t>NO_NOTE15A_18_1</t>
  </si>
  <si>
    <t>NO_NOTE15A_18_2</t>
  </si>
  <si>
    <t>NO_NOTE15A_18_3</t>
  </si>
  <si>
    <t>NO_NOTE15A_18_4</t>
  </si>
  <si>
    <t>NO_NOTE15B_1_1</t>
  </si>
  <si>
    <t>NO_NOTE15B_1_2</t>
  </si>
  <si>
    <t>NO_NOTE15B_1_3</t>
  </si>
  <si>
    <t>NO_NOTE15B_1_4</t>
  </si>
  <si>
    <t>NO_NOTE15B_1_5</t>
  </si>
  <si>
    <t>NO_NOTE15B_2_1</t>
  </si>
  <si>
    <t>NO_NOTE15B_2_2</t>
  </si>
  <si>
    <t>NO_NOTE15B_2_3</t>
  </si>
  <si>
    <t>NO_NOTE15B_2_4</t>
  </si>
  <si>
    <t>NO_NOTE15B_2_5</t>
  </si>
  <si>
    <t>NO_NOTE15B_3_1</t>
  </si>
  <si>
    <t>NO_NOTE15B_3_2</t>
  </si>
  <si>
    <t>NO_NOTE15B_3_3</t>
  </si>
  <si>
    <t>NO_NOTE15B_3_4</t>
  </si>
  <si>
    <t>NO_NOTE15B_3_5</t>
  </si>
  <si>
    <t>NO_NOTE15B_4_1</t>
  </si>
  <si>
    <t>NO_NOTE15B_4_2</t>
  </si>
  <si>
    <t>NO_NOTE15B_4_3</t>
  </si>
  <si>
    <t>NO_NOTE15B_4_4</t>
  </si>
  <si>
    <t>NO_NOTE15B_4_5</t>
  </si>
  <si>
    <t>NO_NOTE15B_5_1</t>
  </si>
  <si>
    <t>NO_NOTE15B_5_2</t>
  </si>
  <si>
    <t>NO_NOTE15B_5_3</t>
  </si>
  <si>
    <t>NO_NOTE15B_5_4</t>
  </si>
  <si>
    <t>NO_NOTE15B_5_5</t>
  </si>
  <si>
    <t>NO_NOTE15B_6_1</t>
  </si>
  <si>
    <t>NO_NOTE15B_6_2</t>
  </si>
  <si>
    <t>NO_NOTE15B_6_3</t>
  </si>
  <si>
    <t>NO_NOTE15B_6_4</t>
  </si>
  <si>
    <t>NO_NOTE16A_1_1</t>
  </si>
  <si>
    <t>NO_NOTE16A_1_2</t>
  </si>
  <si>
    <t>NO_NOTE16A_1_3</t>
  </si>
  <si>
    <t>NO_NOTE16A_1_4</t>
  </si>
  <si>
    <t>Dettes à un an au plus</t>
  </si>
  <si>
    <t>NO_NOTE16A_1_5</t>
  </si>
  <si>
    <t>NO_NOTE16A_1_6</t>
  </si>
  <si>
    <t>NO_NOTE16A_1_7</t>
  </si>
  <si>
    <t>NO_NOTE16A_2_1</t>
  </si>
  <si>
    <t>NO_NOTE16A_2_2</t>
  </si>
  <si>
    <t>NO_NOTE16A_2_3</t>
  </si>
  <si>
    <t>NO_NOTE16A_2_4</t>
  </si>
  <si>
    <t>NO_NOTE16A_2_5</t>
  </si>
  <si>
    <t>NO_NOTE16A_2_6</t>
  </si>
  <si>
    <t>NO_NOTE16A_2_7</t>
  </si>
  <si>
    <t>NO_NOTE16A_3_1</t>
  </si>
  <si>
    <t>NO_NOTE16A_3_2</t>
  </si>
  <si>
    <t>NO_NOTE16A_3_3</t>
  </si>
  <si>
    <t>NO_NOTE16A_3_4</t>
  </si>
  <si>
    <t>NO_NOTE16A_3_5</t>
  </si>
  <si>
    <t>NO_NOTE16A_3_6</t>
  </si>
  <si>
    <t>NO_NOTE16A_3_7</t>
  </si>
  <si>
    <t>NO_NOTE16A_4_1</t>
  </si>
  <si>
    <t>NO_NOTE16A_4_2</t>
  </si>
  <si>
    <t>NO_NOTE16A_4_3</t>
  </si>
  <si>
    <t>NO_NOTE16A_4_4</t>
  </si>
  <si>
    <t>NO_NOTE16A_4_5</t>
  </si>
  <si>
    <t>NO_NOTE16A_4_6</t>
  </si>
  <si>
    <t>NO_NOTE16A_4_7</t>
  </si>
  <si>
    <t>NO_NOTE16A_5_1</t>
  </si>
  <si>
    <t>NO_NOTE16A_5_2</t>
  </si>
  <si>
    <t>NO_NOTE16A_5_3</t>
  </si>
  <si>
    <t>NO_NOTE16A_5_4</t>
  </si>
  <si>
    <t>NO_NOTE16A_5_5</t>
  </si>
  <si>
    <t>NO_NOTE16A_5_6</t>
  </si>
  <si>
    <t>NO_NOTE16A_5_7</t>
  </si>
  <si>
    <t>NO_NOTE16A_6_1</t>
  </si>
  <si>
    <t>NO_NOTE16A_6_2</t>
  </si>
  <si>
    <t>NO_NOTE16A_6_3</t>
  </si>
  <si>
    <t>NO_NOTE16A_6_4</t>
  </si>
  <si>
    <t>NO_NOTE16A_6_5</t>
  </si>
  <si>
    <t>NO_NOTE16A_6_6</t>
  </si>
  <si>
    <t>NO_NOTE16A_6_7</t>
  </si>
  <si>
    <t>NO_NOTE16A_7_1</t>
  </si>
  <si>
    <t>NO_NOTE16A_7_2</t>
  </si>
  <si>
    <t>NO_NOTE16A_7_3</t>
  </si>
  <si>
    <t>NO_NOTE16A_7_4</t>
  </si>
  <si>
    <t>NO_NOTE16A_7_5</t>
  </si>
  <si>
    <t>NO_NOTE16A_7_6</t>
  </si>
  <si>
    <t>NO_NOTE16A_7_7</t>
  </si>
  <si>
    <t>NO_NOTE16A_8_1</t>
  </si>
  <si>
    <t>NO_NOTE16A_8_2</t>
  </si>
  <si>
    <t>NO_NOTE16A_8_3</t>
  </si>
  <si>
    <t>NO_NOTE16A_8_4</t>
  </si>
  <si>
    <t>NO_NOTE16A_8_5</t>
  </si>
  <si>
    <t>NO_NOTE16A_8_6</t>
  </si>
  <si>
    <t>NO_NOTE16A_8_7</t>
  </si>
  <si>
    <t>NO_NOTE16A_9_1</t>
  </si>
  <si>
    <t>NO_NOTE16A_9_2</t>
  </si>
  <si>
    <t>NO_NOTE16A_9_3</t>
  </si>
  <si>
    <t>NO_NOTE16A_9_4</t>
  </si>
  <si>
    <t>NO_NOTE16A_9_5</t>
  </si>
  <si>
    <t>NO_NOTE16A_9_6</t>
  </si>
  <si>
    <t>NO_NOTE16A_9_7</t>
  </si>
  <si>
    <t>NO_NOTE16A_10_1</t>
  </si>
  <si>
    <t>NO_NOTE16A_10_2</t>
  </si>
  <si>
    <t>NO_NOTE16A_10_3</t>
  </si>
  <si>
    <t>NO_NOTE16A_10_4</t>
  </si>
  <si>
    <t>NO_NOTE16A_10_5</t>
  </si>
  <si>
    <t>NO_NOTE16A_10_6</t>
  </si>
  <si>
    <t>NO_NOTE16A_10_7</t>
  </si>
  <si>
    <t>NO_NOTE16A_11_1</t>
  </si>
  <si>
    <t>NO_NOTE16A_11_2</t>
  </si>
  <si>
    <t>NO_NOTE16A_11_3</t>
  </si>
  <si>
    <t>NO_NOTE16A_11_4</t>
  </si>
  <si>
    <t>NO_NOTE16A_11_5</t>
  </si>
  <si>
    <t>NO_NOTE16A_11_6</t>
  </si>
  <si>
    <t>NO_NOTE16A_11_7</t>
  </si>
  <si>
    <t>NO_NOTE16A_12_1</t>
  </si>
  <si>
    <t>NO_NOTE16A_12_2</t>
  </si>
  <si>
    <t>NO_NOTE16A_12_3</t>
  </si>
  <si>
    <t>NO_NOTE16A_12_4</t>
  </si>
  <si>
    <t>NO_NOTE16A_12_5</t>
  </si>
  <si>
    <t>NO_NOTE16A_12_6</t>
  </si>
  <si>
    <t>NO_NOTE16A_12_7</t>
  </si>
  <si>
    <t>NO_NOTE16A_13_1</t>
  </si>
  <si>
    <t>NO_NOTE16A_13_2</t>
  </si>
  <si>
    <t>NO_NOTE16A_13_3</t>
  </si>
  <si>
    <t>NO_NOTE16A_13_4</t>
  </si>
  <si>
    <t>NO_NOTE16A_13_5</t>
  </si>
  <si>
    <t>NO_NOTE16A_13_6</t>
  </si>
  <si>
    <t>NO_NOTE16A_13_7</t>
  </si>
  <si>
    <t>NO_NOTE16A_14_1</t>
  </si>
  <si>
    <t>NO_NOTE16A_14_2</t>
  </si>
  <si>
    <t>NO_NOTE16A_14_3</t>
  </si>
  <si>
    <t>NO_NOTE16A_14_4</t>
  </si>
  <si>
    <t>NO_NOTE16A_14_5</t>
  </si>
  <si>
    <t>NO_NOTE16A_14_6</t>
  </si>
  <si>
    <t>NO_NOTE16A_14_7</t>
  </si>
  <si>
    <t>NO_NOTE16A_15_1</t>
  </si>
  <si>
    <t>NO_NOTE16A_15_2</t>
  </si>
  <si>
    <t>NO_NOTE16A_15_3</t>
  </si>
  <si>
    <t>NO_NOTE16A_15_4</t>
  </si>
  <si>
    <t>NO_NOTE16A_15_5</t>
  </si>
  <si>
    <t>NO_NOTE16A_15_6</t>
  </si>
  <si>
    <t>NO_NOTE16A_15_7</t>
  </si>
  <si>
    <t>NO_NOTE16A_16_1</t>
  </si>
  <si>
    <t>NO_NOTE16A_16_2</t>
  </si>
  <si>
    <t>NO_NOTE16A_16_3</t>
  </si>
  <si>
    <t>NO_NOTE16A_16_4</t>
  </si>
  <si>
    <t>NO_NOTE16A_16_5</t>
  </si>
  <si>
    <t>NO_NOTE16A_16_6</t>
  </si>
  <si>
    <t>NO_NOTE16A_16_7</t>
  </si>
  <si>
    <t>NO_NOTE16A_17_1</t>
  </si>
  <si>
    <t>NO_NOTE16A_17_2</t>
  </si>
  <si>
    <t>NO_NOTE16A_17_3</t>
  </si>
  <si>
    <t>NO_NOTE16A_17_4</t>
  </si>
  <si>
    <t>NO_NOTE16A_17_5</t>
  </si>
  <si>
    <t>NO_NOTE16A_17_6</t>
  </si>
  <si>
    <t>NO_NOTE16A_17_7</t>
  </si>
  <si>
    <t>NO_NOTE16A_18_1</t>
  </si>
  <si>
    <t>NO_NOTE16A_18_2</t>
  </si>
  <si>
    <t>NO_NOTE16A_18_3</t>
  </si>
  <si>
    <t>NO_NOTE16A_18_4</t>
  </si>
  <si>
    <t>NO_NOTE16A_19_1</t>
  </si>
  <si>
    <t>NO_NOTE16A_19_2</t>
  </si>
  <si>
    <t>NO_NOTE16A_19_3</t>
  </si>
  <si>
    <t>NO_NOTE16A_19_4</t>
  </si>
  <si>
    <t>NO_NOTE16A_20_1</t>
  </si>
  <si>
    <t>NO_NOTE16A_20_2</t>
  </si>
  <si>
    <t>NO_NOTE16A_20_3</t>
  </si>
  <si>
    <t>NO_NOTE16A_20_4</t>
  </si>
  <si>
    <t>NO_NOTE16A_21_1</t>
  </si>
  <si>
    <t>NO_NOTE16A_21_2</t>
  </si>
  <si>
    <t>NO_NOTE16A_21_3</t>
  </si>
  <si>
    <t>NO_NOTE16A_21_4</t>
  </si>
  <si>
    <t>NO_NOTE16A_22_1</t>
  </si>
  <si>
    <t>NO_NOTE16A_22_2</t>
  </si>
  <si>
    <t>NO_NOTE16A_22_3</t>
  </si>
  <si>
    <t>NO_NOTE16A_22_4</t>
  </si>
  <si>
    <t>NO_NOTE16A_23_1</t>
  </si>
  <si>
    <t>NO_NOTE16A_23_2</t>
  </si>
  <si>
    <t>NO_NOTE16A_23_3</t>
  </si>
  <si>
    <t>NO_NOTE16A_23_4</t>
  </si>
  <si>
    <t>NO_NOTE16A_24_1</t>
  </si>
  <si>
    <t>NO_NOTE16A_24_2</t>
  </si>
  <si>
    <t>NO_NOTE16A_24_3</t>
  </si>
  <si>
    <t>NO_NOTE16A_24_4</t>
  </si>
  <si>
    <t>NO_NOTE16A_25_1</t>
  </si>
  <si>
    <t>NO_NOTE16A_25_2</t>
  </si>
  <si>
    <t>NO_NOTE16A_25_3</t>
  </si>
  <si>
    <t>NO_NOTE16A_25_4</t>
  </si>
  <si>
    <t>NO_NOTE16A_26_1</t>
  </si>
  <si>
    <t>NO_NOTE16A_26_2</t>
  </si>
  <si>
    <t>NO_NOTE16A_26_3</t>
  </si>
  <si>
    <t>NO_NOTE16A_26_4</t>
  </si>
  <si>
    <t>NO_NOTE16A_27_1</t>
  </si>
  <si>
    <t>NO_NOTE16A_27_2</t>
  </si>
  <si>
    <t>NO_NOTE16A_27_3</t>
  </si>
  <si>
    <t>NO_NOTE16A_27_4</t>
  </si>
  <si>
    <t>NO_NOTE16A_28_1</t>
  </si>
  <si>
    <t>NO_NOTE16A_28_2</t>
  </si>
  <si>
    <t>NO_NOTE16A_28_3</t>
  </si>
  <si>
    <t>NO_NOTE16A_28_4</t>
  </si>
  <si>
    <t>NO_NOTE16A_29_1</t>
  </si>
  <si>
    <t>NO_NOTE16A_29_2</t>
  </si>
  <si>
    <t>NO_NOTE16A_29_3</t>
  </si>
  <si>
    <t>NO_NOTE16A_29_4</t>
  </si>
  <si>
    <t>NO_NOTE16A_30_1</t>
  </si>
  <si>
    <t>NO_NOTE16A_30_2</t>
  </si>
  <si>
    <t>NO_NOTE16A_30_3</t>
  </si>
  <si>
    <t>NO_NOTE16A_30_4</t>
  </si>
  <si>
    <t>NO_NOTE16A_31_1</t>
  </si>
  <si>
    <t>NO_NOTE16A_31_2</t>
  </si>
  <si>
    <t>NO_NOTE16A_31_3</t>
  </si>
  <si>
    <t>NO_NOTE16A_31_4</t>
  </si>
  <si>
    <t>NO_NOTE16B1_1_1</t>
  </si>
  <si>
    <t>NO_NOTE16B1_1_2</t>
  </si>
  <si>
    <t>NO_NOTE16B1_2_1</t>
  </si>
  <si>
    <t>NO_NOTE16B1_2_2</t>
  </si>
  <si>
    <t>NO_NOTE16B1_3_1</t>
  </si>
  <si>
    <t>NO_NOTE16B1_3_2</t>
  </si>
  <si>
    <t>NO_NOTE16B1_4_1</t>
  </si>
  <si>
    <t>NO_NOTE16B1_4_2</t>
  </si>
  <si>
    <t>NO_NOTE16B1_5_1</t>
  </si>
  <si>
    <t>NO_NOTE16B1_5_2</t>
  </si>
  <si>
    <t>NO_NOTE16B1_6_1</t>
  </si>
  <si>
    <t>NO_NOTE16B1_6_2</t>
  </si>
  <si>
    <t>NO_NOTE16B2_1_1</t>
  </si>
  <si>
    <t>NO_NOTE16B2_1_2</t>
  </si>
  <si>
    <t>NO_NOTE16B2_2_1</t>
  </si>
  <si>
    <t>NO_NOTE16B2_2_2</t>
  </si>
  <si>
    <t>NO_NOTE16B2_3_1</t>
  </si>
  <si>
    <t>NO_NOTE16B2_3_2</t>
  </si>
  <si>
    <t>NO_NOTE16B2_4_1</t>
  </si>
  <si>
    <t>NO_NOTE16B2_4_2</t>
  </si>
  <si>
    <t>NO_NOTE16B2_5_1</t>
  </si>
  <si>
    <t>NO_NOTE16B2_5_2</t>
  </si>
  <si>
    <t>NO_NOTE16B2_6_1</t>
  </si>
  <si>
    <t>NO_NOTE16B2_6_2</t>
  </si>
  <si>
    <t>NO_NOTE16B2_7_1</t>
  </si>
  <si>
    <t>NO_NOTE16B2_7_2</t>
  </si>
  <si>
    <t>Taux d'actualisation (%)</t>
  </si>
  <si>
    <t>Augmentation N</t>
  </si>
  <si>
    <t>NO_NOTE16B3_1_1</t>
  </si>
  <si>
    <t>Diminution N</t>
  </si>
  <si>
    <t>NO_NOTE16B3_1_2</t>
  </si>
  <si>
    <t>Augmentation N-1</t>
  </si>
  <si>
    <t>NO_NOTE16B3_1_3</t>
  </si>
  <si>
    <t>Diminution N-1</t>
  </si>
  <si>
    <t>NO_NOTE16B3_1_4</t>
  </si>
  <si>
    <t>Taux de progression des salaires (%)</t>
  </si>
  <si>
    <t>NO_NOTE16B3_2_1</t>
  </si>
  <si>
    <t>NO_NOTE16B3_2_2</t>
  </si>
  <si>
    <t>NO_NOTE16B3_2_3</t>
  </si>
  <si>
    <t>NO_NOTE16B3_2_4</t>
  </si>
  <si>
    <t>Taux de départ du personnel (%)</t>
  </si>
  <si>
    <t>NO_NOTE16B3_3_1</t>
  </si>
  <si>
    <t>NO_NOTE16B3_3_2</t>
  </si>
  <si>
    <t>NO_NOTE16B3_3_3</t>
  </si>
  <si>
    <t>NO_NOTE16B3_3_4</t>
  </si>
  <si>
    <t>NO_NOTE16BBIS1_1_1</t>
  </si>
  <si>
    <t>NO_NOTE16BBIS1_1_2</t>
  </si>
  <si>
    <t>NO_NOTE16BBIS1_2_1</t>
  </si>
  <si>
    <t>NO_NOTE16BBIS1_2_2</t>
  </si>
  <si>
    <t>NO_NOTE16BBIS1_3_1</t>
  </si>
  <si>
    <t>NO_NOTE16BBIS1_3_2</t>
  </si>
  <si>
    <t>Rendement attendu</t>
  </si>
  <si>
    <t>NO_NOTE16BBIS2_1_1</t>
  </si>
  <si>
    <t>Juste valeur des actifs</t>
  </si>
  <si>
    <t>NO_NOTE16BBIS2_1_2</t>
  </si>
  <si>
    <t>Rendement attendu (N-1)</t>
  </si>
  <si>
    <t>NO_NOTE16BBIS2_1_3</t>
  </si>
  <si>
    <t>Juste valeur des actifs (N-1)</t>
  </si>
  <si>
    <t>NO_NOTE16BBIS2_1_4</t>
  </si>
  <si>
    <t>NO_NOTE16BBIS2_2_1</t>
  </si>
  <si>
    <t>NO_NOTE16BBIS2_2_2</t>
  </si>
  <si>
    <t>NO_NOTE16BBIS2_2_3</t>
  </si>
  <si>
    <t>NO_NOTE16BBIS2_2_4</t>
  </si>
  <si>
    <t>NO_NOTE16BBIS2_3_1</t>
  </si>
  <si>
    <t>NO_NOTE16BBIS2_3_2</t>
  </si>
  <si>
    <t>NO_NOTE16BBIS2_3_3</t>
  </si>
  <si>
    <t>NO_NOTE16BBIS2_3_4</t>
  </si>
  <si>
    <t>NO_NOTE16BBIS2_4_1</t>
  </si>
  <si>
    <t>NO_NOTE16BBIS2_4_2</t>
  </si>
  <si>
    <t>NO_NOTE16BBIS2_4_3</t>
  </si>
  <si>
    <t>NO_NOTE16BBIS2_4_4</t>
  </si>
  <si>
    <t>NO_NOTE16C1_1_1</t>
  </si>
  <si>
    <t>NO_NOTE16C1_1_2</t>
  </si>
  <si>
    <t>NO_NOTE16C1_2_1</t>
  </si>
  <si>
    <t>NO_NOTE16C1_2_2</t>
  </si>
  <si>
    <t>NO_NOTE17_1_1</t>
  </si>
  <si>
    <t>NO_NOTE17_1_2</t>
  </si>
  <si>
    <t>NO_NOTE17_1_3</t>
  </si>
  <si>
    <t>NO_NOTE17_1_4</t>
  </si>
  <si>
    <t>NO_NOTE17_1_5</t>
  </si>
  <si>
    <t>NO_NOTE17_1_6</t>
  </si>
  <si>
    <t>NO_NOTE17_2_1</t>
  </si>
  <si>
    <t>NO_NOTE17_2_2</t>
  </si>
  <si>
    <t>NO_NOTE17_2_3</t>
  </si>
  <si>
    <t>NO_NOTE17_2_4</t>
  </si>
  <si>
    <t>NO_NOTE17_2_5</t>
  </si>
  <si>
    <t>NO_NOTE17_2_6</t>
  </si>
  <si>
    <t>NO_NOTE17_3_1</t>
  </si>
  <si>
    <t>NO_NOTE17_3_2</t>
  </si>
  <si>
    <t>NO_NOTE17_3_3</t>
  </si>
  <si>
    <t>NO_NOTE17_3_4</t>
  </si>
  <si>
    <t>NO_NOTE17_3_5</t>
  </si>
  <si>
    <t>NO_NOTE17_3_6</t>
  </si>
  <si>
    <t>NO_NOTE17_4_1</t>
  </si>
  <si>
    <t>NO_NOTE17_4_2</t>
  </si>
  <si>
    <t>NO_NOTE17_4_3</t>
  </si>
  <si>
    <t>NO_NOTE17_4_4</t>
  </si>
  <si>
    <t>NO_NOTE17_4_5</t>
  </si>
  <si>
    <t>NO_NOTE17_4_6</t>
  </si>
  <si>
    <t>NO_NOTE17_5_1</t>
  </si>
  <si>
    <t>NO_NOTE17_5_2</t>
  </si>
  <si>
    <t>NO_NOTE17_5_3</t>
  </si>
  <si>
    <t>NO_NOTE17_5_4</t>
  </si>
  <si>
    <t>NO_NOTE17_5_5</t>
  </si>
  <si>
    <t>NO_NOTE17_5_6</t>
  </si>
  <si>
    <t>NO_NOTE17_6_1</t>
  </si>
  <si>
    <t>NO_NOTE17_6_2</t>
  </si>
  <si>
    <t>NO_NOTE17_6_3</t>
  </si>
  <si>
    <t>NO_NOTE17_6_4</t>
  </si>
  <si>
    <t>NO_NOTE17_6_5</t>
  </si>
  <si>
    <t>NO_NOTE17_6_6</t>
  </si>
  <si>
    <t>NO_NOTE17_7_1</t>
  </si>
  <si>
    <t>NO_NOTE17_7_2</t>
  </si>
  <si>
    <t>NO_NOTE17_7_3</t>
  </si>
  <si>
    <t>NO_NOTE17_7_4</t>
  </si>
  <si>
    <t>NO_NOTE17_7_5</t>
  </si>
  <si>
    <t>NO_NOTE17_7_6</t>
  </si>
  <si>
    <t>NO_NOTE17_8_1</t>
  </si>
  <si>
    <t>NO_NOTE17_8_2</t>
  </si>
  <si>
    <t>NO_NOTE17_8_3</t>
  </si>
  <si>
    <t>NO_NOTE17_8_4</t>
  </si>
  <si>
    <t>NO_NOTE17_8_5</t>
  </si>
  <si>
    <t>NO_NOTE17_8_6</t>
  </si>
  <si>
    <t>NO_NOTE17_9_1</t>
  </si>
  <si>
    <t>NO_NOTE17_9_2</t>
  </si>
  <si>
    <t>NO_NOTE17_9_3</t>
  </si>
  <si>
    <t>NO_NOTE17_9_4</t>
  </si>
  <si>
    <t>NO_NOTE17_9_5</t>
  </si>
  <si>
    <t>NO_NOTE17_9_6</t>
  </si>
  <si>
    <t>NO_NOTE17_10_1</t>
  </si>
  <si>
    <t>NO_NOTE17_10_2</t>
  </si>
  <si>
    <t>NO_NOTE17_10_3</t>
  </si>
  <si>
    <t>NO_NOTE17_10_4</t>
  </si>
  <si>
    <t>NO_NOTE17_10_5</t>
  </si>
  <si>
    <t>NO_NOTE17_10_6</t>
  </si>
  <si>
    <t>NO_NOTE17_11_1</t>
  </si>
  <si>
    <t>NO_NOTE17_11_2</t>
  </si>
  <si>
    <t>NO_NOTE17_11_3</t>
  </si>
  <si>
    <t>NO_NOTE17_11_4</t>
  </si>
  <si>
    <t>NO_NOTE17_11_5</t>
  </si>
  <si>
    <t>NO_NOTE17_11_6</t>
  </si>
  <si>
    <t>NO_NOTE17_12_1</t>
  </si>
  <si>
    <t>NO_NOTE17_12_2</t>
  </si>
  <si>
    <t>NO_NOTE17_12_3</t>
  </si>
  <si>
    <t>NO_NOTE17_12_4</t>
  </si>
  <si>
    <t>NO_NOTE17_12_5</t>
  </si>
  <si>
    <t>NO_NOTE17_12_6</t>
  </si>
  <si>
    <t>NO_NOTE17_13_1</t>
  </si>
  <si>
    <t>NO_NOTE17_13_2</t>
  </si>
  <si>
    <t>NO_NOTE17_13_3</t>
  </si>
  <si>
    <t>NO_NOTE17_13_4</t>
  </si>
  <si>
    <t>NO_NOTE17_13_5</t>
  </si>
  <si>
    <t>NO_NOTE17_13_6</t>
  </si>
  <si>
    <t>NO_NOTE17_14_1</t>
  </si>
  <si>
    <t>NO_NOTE17_14_2</t>
  </si>
  <si>
    <t>NO_NOTE17_14_3</t>
  </si>
  <si>
    <t>NO_NOTE17_14_4</t>
  </si>
  <si>
    <t>NO_NOTE17_14_5</t>
  </si>
  <si>
    <t>NO_NOTE17_14_6</t>
  </si>
  <si>
    <t>NO_NOTE18_1_1</t>
  </si>
  <si>
    <t>NO_NOTE18_1_2</t>
  </si>
  <si>
    <t>NO_NOTE18_1_3</t>
  </si>
  <si>
    <t>NO_NOTE18_1_4</t>
  </si>
  <si>
    <t>NO_NOTE18_1_5</t>
  </si>
  <si>
    <t>NO_NOTE18_1_6</t>
  </si>
  <si>
    <t>NO_NOTE18_1_7</t>
  </si>
  <si>
    <t>Personnel, congés à payer</t>
  </si>
  <si>
    <t>NO_NOTE18_2_1</t>
  </si>
  <si>
    <t>NO_NOTE18_2_2</t>
  </si>
  <si>
    <t>NO_NOTE18_2_3</t>
  </si>
  <si>
    <t>NO_NOTE18_2_4</t>
  </si>
  <si>
    <t>NO_NOTE18_2_5</t>
  </si>
  <si>
    <t>NO_NOTE18_2_6</t>
  </si>
  <si>
    <t>NO_NOTE18_2_7</t>
  </si>
  <si>
    <t>Charges sociales sur congés à payer</t>
  </si>
  <si>
    <t>NO_NOTE18_3_1</t>
  </si>
  <si>
    <t>NO_NOTE18_3_2</t>
  </si>
  <si>
    <t>NO_NOTE18_3_3</t>
  </si>
  <si>
    <t>NO_NOTE18_3_4</t>
  </si>
  <si>
    <t>NO_NOTE18_3_5</t>
  </si>
  <si>
    <t>NO_NOTE18_3_6</t>
  </si>
  <si>
    <t>NO_NOTE18_3_7</t>
  </si>
  <si>
    <t>NO_NOTE18_4_1</t>
  </si>
  <si>
    <t>NO_NOTE18_4_2</t>
  </si>
  <si>
    <t>NO_NOTE18_4_3</t>
  </si>
  <si>
    <t>NO_NOTE18_4_4</t>
  </si>
  <si>
    <t>NO_NOTE18_4_5</t>
  </si>
  <si>
    <t>NO_NOTE18_4_6</t>
  </si>
  <si>
    <t>NO_NOTE18_4_7</t>
  </si>
  <si>
    <t>NO_NOTE18_5_1</t>
  </si>
  <si>
    <t>NO_NOTE18_5_2</t>
  </si>
  <si>
    <t>NO_NOTE18_5_3</t>
  </si>
  <si>
    <t>NO_NOTE18_5_4</t>
  </si>
  <si>
    <t>NO_NOTE18_5_5</t>
  </si>
  <si>
    <t>NO_NOTE18_5_6</t>
  </si>
  <si>
    <t>NO_NOTE18_5_7</t>
  </si>
  <si>
    <t>NO_NOTE18_6_1</t>
  </si>
  <si>
    <t>NO_NOTE18_6_2</t>
  </si>
  <si>
    <t>NO_NOTE18_6_3</t>
  </si>
  <si>
    <t>NO_NOTE18_6_4</t>
  </si>
  <si>
    <t>NO_NOTE18_6_5</t>
  </si>
  <si>
    <t>NO_NOTE18_6_6</t>
  </si>
  <si>
    <t>NO_NOTE18_6_7</t>
  </si>
  <si>
    <t>NO_NOTE18_7_1</t>
  </si>
  <si>
    <t>NO_NOTE18_7_2</t>
  </si>
  <si>
    <t>NO_NOTE18_7_3</t>
  </si>
  <si>
    <t>NO_NOTE18_7_4</t>
  </si>
  <si>
    <t>NO_NOTE18_7_5</t>
  </si>
  <si>
    <t>NO_NOTE18_7_6</t>
  </si>
  <si>
    <t>NO_NOTE18_7_7</t>
  </si>
  <si>
    <t>NO_NOTE18_8_1</t>
  </si>
  <si>
    <t>NO_NOTE18_8_2</t>
  </si>
  <si>
    <t>NO_NOTE18_8_3</t>
  </si>
  <si>
    <t>NO_NOTE18_8_4</t>
  </si>
  <si>
    <t>NO_NOTE18_8_5</t>
  </si>
  <si>
    <t>NO_NOTE18_8_6</t>
  </si>
  <si>
    <t>NO_NOTE18_8_7</t>
  </si>
  <si>
    <t>NO_NOTE18_9_1</t>
  </si>
  <si>
    <t>NO_NOTE18_9_2</t>
  </si>
  <si>
    <t>NO_NOTE18_9_3</t>
  </si>
  <si>
    <t>NO_NOTE18_9_4</t>
  </si>
  <si>
    <t>NO_NOTE18_9_5</t>
  </si>
  <si>
    <t>NO_NOTE18_9_6</t>
  </si>
  <si>
    <t>NO_NOTE18_9_7</t>
  </si>
  <si>
    <t>NO_NOTE18_10_1</t>
  </si>
  <si>
    <t>NO_NOTE18_10_2</t>
  </si>
  <si>
    <t>NO_NOTE18_10_3</t>
  </si>
  <si>
    <t>NO_NOTE18_10_4</t>
  </si>
  <si>
    <t>NO_NOTE18_10_5</t>
  </si>
  <si>
    <t>NO_NOTE18_10_6</t>
  </si>
  <si>
    <t>NO_NOTE18_10_7</t>
  </si>
  <si>
    <t>NO_NOTE18_11_1</t>
  </si>
  <si>
    <t>NO_NOTE18_11_2</t>
  </si>
  <si>
    <t>NO_NOTE18_11_3</t>
  </si>
  <si>
    <t>NO_NOTE18_11_4</t>
  </si>
  <si>
    <t>NO_NOTE18_11_5</t>
  </si>
  <si>
    <t>NO_NOTE18_11_6</t>
  </si>
  <si>
    <t>NO_NOTE18_11_7</t>
  </si>
  <si>
    <t>NO_NOTE18_12_1</t>
  </si>
  <si>
    <t>NO_NOTE18_12_2</t>
  </si>
  <si>
    <t>NO_NOTE18_12_3</t>
  </si>
  <si>
    <t>NO_NOTE18_12_4</t>
  </si>
  <si>
    <t>NO_NOTE18_12_5</t>
  </si>
  <si>
    <t>NO_NOTE18_12_6</t>
  </si>
  <si>
    <t>NO_NOTE18_12_7</t>
  </si>
  <si>
    <t>NO_NOTE18_13_1</t>
  </si>
  <si>
    <t>NO_NOTE18_13_2</t>
  </si>
  <si>
    <t>NO_NOTE18_13_3</t>
  </si>
  <si>
    <t>NO_NOTE18_13_4</t>
  </si>
  <si>
    <t>NO_NOTE18_13_5</t>
  </si>
  <si>
    <t>NO_NOTE18_13_6</t>
  </si>
  <si>
    <t>NO_NOTE18_13_7</t>
  </si>
  <si>
    <t>NO_NOTE18_14_1</t>
  </si>
  <si>
    <t>NO_NOTE18_14_2</t>
  </si>
  <si>
    <t>NO_NOTE18_14_3</t>
  </si>
  <si>
    <t>NO_NOTE18_14_4</t>
  </si>
  <si>
    <t>NO_NOTE18_14_5</t>
  </si>
  <si>
    <t>NO_NOTE18_14_6</t>
  </si>
  <si>
    <t>NO_NOTE18_14_7</t>
  </si>
  <si>
    <t>NO_NOTE18_15_1</t>
  </si>
  <si>
    <t>NO_NOTE18_15_2</t>
  </si>
  <si>
    <t>NO_NOTE18_15_3</t>
  </si>
  <si>
    <t>NO_NOTE18_15_4</t>
  </si>
  <si>
    <t>NO_NOTE18_15_5</t>
  </si>
  <si>
    <t>NO_NOTE18_15_6</t>
  </si>
  <si>
    <t>NO_NOTE18_15_7</t>
  </si>
  <si>
    <t>NO_NOTE18_16_1</t>
  </si>
  <si>
    <t>NO_NOTE18_16_2</t>
  </si>
  <si>
    <t>NO_NOTE18_16_3</t>
  </si>
  <si>
    <t>NO_NOTE18_16_4</t>
  </si>
  <si>
    <t>NO_NOTE18_16_5</t>
  </si>
  <si>
    <t>NO_NOTE18_16_6</t>
  </si>
  <si>
    <t>NO_NOTE18_16_7</t>
  </si>
  <si>
    <t>NO_NOTE18_17_1</t>
  </si>
  <si>
    <t>NO_NOTE18_17_2</t>
  </si>
  <si>
    <t>NO_NOTE18_17_3</t>
  </si>
  <si>
    <t>NO_NOTE18_17_4</t>
  </si>
  <si>
    <t>NO_NOTE18_17_5</t>
  </si>
  <si>
    <t>NO_NOTE18_17_6</t>
  </si>
  <si>
    <t>NO_NOTE18_17_7</t>
  </si>
  <si>
    <t>NO_NOTE18_18_1</t>
  </si>
  <si>
    <t>NO_NOTE18_18_2</t>
  </si>
  <si>
    <t>NO_NOTE18_18_3</t>
  </si>
  <si>
    <t>NO_NOTE18_18_4</t>
  </si>
  <si>
    <t>NO_NOTE18_18_5</t>
  </si>
  <si>
    <t>NO_NOTE18_18_6</t>
  </si>
  <si>
    <t>NO_NOTE18_18_7</t>
  </si>
  <si>
    <t>NO_NOTE19_1_1</t>
  </si>
  <si>
    <t>NO_NOTE19_1_2</t>
  </si>
  <si>
    <t>NO_NOTE19_1_3</t>
  </si>
  <si>
    <t>NO_NOTE19_1_4</t>
  </si>
  <si>
    <t>NO_NOTE19_1_5</t>
  </si>
  <si>
    <t>NO_NOTE19_1_6</t>
  </si>
  <si>
    <t>NO_NOTE19_1_7</t>
  </si>
  <si>
    <t>NO_NOTE19_2_1</t>
  </si>
  <si>
    <t>NO_NOTE19_2_2</t>
  </si>
  <si>
    <t>NO_NOTE19_2_3</t>
  </si>
  <si>
    <t>NO_NOTE19_2_4</t>
  </si>
  <si>
    <t>NO_NOTE19_2_5</t>
  </si>
  <si>
    <t>NO_NOTE19_2_6</t>
  </si>
  <si>
    <t>NO_NOTE19_2_7</t>
  </si>
  <si>
    <t>NO_NOTE19_3_1</t>
  </si>
  <si>
    <t>NO_NOTE19_3_2</t>
  </si>
  <si>
    <t>NO_NOTE19_3_3</t>
  </si>
  <si>
    <t>NO_NOTE19_3_4</t>
  </si>
  <si>
    <t>NO_NOTE19_3_5</t>
  </si>
  <si>
    <t>NO_NOTE19_3_6</t>
  </si>
  <si>
    <t>NO_NOTE19_3_7</t>
  </si>
  <si>
    <t>NO_NOTE19_4_1</t>
  </si>
  <si>
    <t>NO_NOTE19_4_2</t>
  </si>
  <si>
    <t>NO_NOTE19_4_3</t>
  </si>
  <si>
    <t>NO_NOTE19_4_4</t>
  </si>
  <si>
    <t>NO_NOTE19_4_5</t>
  </si>
  <si>
    <t>NO_NOTE19_4_6</t>
  </si>
  <si>
    <t>NO_NOTE19_4_7</t>
  </si>
  <si>
    <t>NO_NOTE19_5_1</t>
  </si>
  <si>
    <t>NO_NOTE19_5_2</t>
  </si>
  <si>
    <t>NO_NOTE19_5_3</t>
  </si>
  <si>
    <t>NO_NOTE19_5_4</t>
  </si>
  <si>
    <t>NO_NOTE19_5_5</t>
  </si>
  <si>
    <t>NO_NOTE19_5_6</t>
  </si>
  <si>
    <t>NO_NOTE19_5_7</t>
  </si>
  <si>
    <t>NO_NOTE19_6_1</t>
  </si>
  <si>
    <t>NO_NOTE19_6_2</t>
  </si>
  <si>
    <t>NO_NOTE19_6_3</t>
  </si>
  <si>
    <t>NO_NOTE19_6_4</t>
  </si>
  <si>
    <t>NO_NOTE19_6_5</t>
  </si>
  <si>
    <t>NO_NOTE19_6_6</t>
  </si>
  <si>
    <t>NO_NOTE19_6_7</t>
  </si>
  <si>
    <t>NO_NOTE19_7_1</t>
  </si>
  <si>
    <t>NO_NOTE19_7_2</t>
  </si>
  <si>
    <t>NO_NOTE19_7_3</t>
  </si>
  <si>
    <t>NO_NOTE19_7_4</t>
  </si>
  <si>
    <t>NO_NOTE19_7_5</t>
  </si>
  <si>
    <t>NO_NOTE19_7_6</t>
  </si>
  <si>
    <t>NO_NOTE19_7_7</t>
  </si>
  <si>
    <t>NO_NOTE19_8_1</t>
  </si>
  <si>
    <t>NO_NOTE19_8_2</t>
  </si>
  <si>
    <t>NO_NOTE19_8_3</t>
  </si>
  <si>
    <t>NO_NOTE19_8_4</t>
  </si>
  <si>
    <t>NO_NOTE19_8_5</t>
  </si>
  <si>
    <t>NO_NOTE19_8_6</t>
  </si>
  <si>
    <t>NO_NOTE19_8_7</t>
  </si>
  <si>
    <t>NO_NOTE19_9_1</t>
  </si>
  <si>
    <t>NO_NOTE19_9_2</t>
  </si>
  <si>
    <t>NO_NOTE19_9_3</t>
  </si>
  <si>
    <t>NO_NOTE19_9_4</t>
  </si>
  <si>
    <t>NO_NOTE19_9_5</t>
  </si>
  <si>
    <t>NO_NOTE19_9_6</t>
  </si>
  <si>
    <t>NO_NOTE19_9_7</t>
  </si>
  <si>
    <t>NO_NOTE19_10_1</t>
  </si>
  <si>
    <t>NO_NOTE19_10_2</t>
  </si>
  <si>
    <t>NO_NOTE19_10_3</t>
  </si>
  <si>
    <t>NO_NOTE19_10_4</t>
  </si>
  <si>
    <t>NO_NOTE19_10_5</t>
  </si>
  <si>
    <t>NO_NOTE19_10_6</t>
  </si>
  <si>
    <t>NO_NOTE19_10_7</t>
  </si>
  <si>
    <t>NO_NOTE19_11_1</t>
  </si>
  <si>
    <t>NO_NOTE19_11_2</t>
  </si>
  <si>
    <t>NO_NOTE19_11_3</t>
  </si>
  <si>
    <t>NO_NOTE19_11_4</t>
  </si>
  <si>
    <t>NO_NOTE19_11_5</t>
  </si>
  <si>
    <t>NO_NOTE19_11_6</t>
  </si>
  <si>
    <t>NO_NOTE19_11_7</t>
  </si>
  <si>
    <t>Versements restant à effectuer sur titres de placement non libérés</t>
  </si>
  <si>
    <t>NO_NOTE19_12_1</t>
  </si>
  <si>
    <t>NO_NOTE19_12_2</t>
  </si>
  <si>
    <t>NO_NOTE19_12_3</t>
  </si>
  <si>
    <t>NO_NOTE19_12_4</t>
  </si>
  <si>
    <t>NO_NOTE19_12_5</t>
  </si>
  <si>
    <t>NO_NOTE19_12_6</t>
  </si>
  <si>
    <t>NO_NOTE19_12_7</t>
  </si>
  <si>
    <t>Compte transitoire ajustement spécial lié à la révision du SYSCOHADA (Voir Note 8B)</t>
  </si>
  <si>
    <t>NO_NOTE19_13_1</t>
  </si>
  <si>
    <t>NO_NOTE19_13_2</t>
  </si>
  <si>
    <t>NO_NOTE19_13_3</t>
  </si>
  <si>
    <t>NO_NOTE19_13_4</t>
  </si>
  <si>
    <t>NO_NOTE19_13_5</t>
  </si>
  <si>
    <t>NO_NOTE19_13_6</t>
  </si>
  <si>
    <t>NO_NOTE19_13_7</t>
  </si>
  <si>
    <t>NO_NOTE19_14_1</t>
  </si>
  <si>
    <t>NO_NOTE19_14_2</t>
  </si>
  <si>
    <t>NO_NOTE19_14_3</t>
  </si>
  <si>
    <t>NO_NOTE19_14_4</t>
  </si>
  <si>
    <t>NO_NOTE19_14_5</t>
  </si>
  <si>
    <t>NO_NOTE19_14_6</t>
  </si>
  <si>
    <t>NO_NOTE19_14_7</t>
  </si>
  <si>
    <t>NO_NOTE19_15_1</t>
  </si>
  <si>
    <t>NO_NOTE19_15_2</t>
  </si>
  <si>
    <t>NO_NOTE19_15_3</t>
  </si>
  <si>
    <t>NO_NOTE19_15_4</t>
  </si>
  <si>
    <t>NO_NOTE19_15_5</t>
  </si>
  <si>
    <t>NO_NOTE19_15_6</t>
  </si>
  <si>
    <t>NO_NOTE19_15_7</t>
  </si>
  <si>
    <t>NO_NOTE19_16_1</t>
  </si>
  <si>
    <t>NO_NOTE19_16_2</t>
  </si>
  <si>
    <t>NO_NOTE19_16_3</t>
  </si>
  <si>
    <t>NO_NOTE19_16_4</t>
  </si>
  <si>
    <t>NO_NOTE19_16_5</t>
  </si>
  <si>
    <t>NO_NOTE19_16_6</t>
  </si>
  <si>
    <t>NO_NOTE19_16_7</t>
  </si>
  <si>
    <t>NO_NOTE19_17_1</t>
  </si>
  <si>
    <t>NO_NOTE19_17_2</t>
  </si>
  <si>
    <t>NO_NOTE19_17_3</t>
  </si>
  <si>
    <t>NO_NOTE19_17_4</t>
  </si>
  <si>
    <t>NO_NOTE19_17_5</t>
  </si>
  <si>
    <t>NO_NOTE19_17_6</t>
  </si>
  <si>
    <t>NO_NOTE19_17_7</t>
  </si>
  <si>
    <t>NO_NOTE19_18_1</t>
  </si>
  <si>
    <t>NO_NOTE19_18_2</t>
  </si>
  <si>
    <t>NO_NOTE19_18_3</t>
  </si>
  <si>
    <t>NO_NOTE19_18_4</t>
  </si>
  <si>
    <t>NO_NOTE19_18_5</t>
  </si>
  <si>
    <t>NO_NOTE19_18_6</t>
  </si>
  <si>
    <t>NO_NOTE19_18_7</t>
  </si>
  <si>
    <t>NO_NOTE19_19_1</t>
  </si>
  <si>
    <t>NO_NOTE19_19_2</t>
  </si>
  <si>
    <t>NO_NOTE19_19_3</t>
  </si>
  <si>
    <t>NO_NOTE19_19_4</t>
  </si>
  <si>
    <t>NO_NOTE19_19_5</t>
  </si>
  <si>
    <t>NO_NOTE19_19_6</t>
  </si>
  <si>
    <t>NO_NOTE19_19_7</t>
  </si>
  <si>
    <t>NO_NOTE19_20_1</t>
  </si>
  <si>
    <t>NO_NOTE19_20_2</t>
  </si>
  <si>
    <t>NO_NOTE19_20_3</t>
  </si>
  <si>
    <t>NO_NOTE19_20_4</t>
  </si>
  <si>
    <t>NO_NOTE19_20_5</t>
  </si>
  <si>
    <t>NO_NOTE19_20_6</t>
  </si>
  <si>
    <t>NO_NOTE19_20_7</t>
  </si>
  <si>
    <t>NO_NOTE19_21_1</t>
  </si>
  <si>
    <t>NO_NOTE19_21_2</t>
  </si>
  <si>
    <t>NO_NOTE19_21_3</t>
  </si>
  <si>
    <t>NO_NOTE19_21_4</t>
  </si>
  <si>
    <t>NO_NOTE19_21_5</t>
  </si>
  <si>
    <t>NO_NOTE19_21_6</t>
  </si>
  <si>
    <t>NO_NOTE19_21_7</t>
  </si>
  <si>
    <t>NO_NOTE20_1_1</t>
  </si>
  <si>
    <t>NO_NOTE20_1_2</t>
  </si>
  <si>
    <t>NO_NOTE20_1_3</t>
  </si>
  <si>
    <t>NO_NOTE20_2_1</t>
  </si>
  <si>
    <t>NO_NOTE20_2_2</t>
  </si>
  <si>
    <t>NO_NOTE20_2_3</t>
  </si>
  <si>
    <t>NO_NOTE20_3_1</t>
  </si>
  <si>
    <t>NO_NOTE20_3_2</t>
  </si>
  <si>
    <t>NO_NOTE20_3_3</t>
  </si>
  <si>
    <t>NO_NOTE20_4_1</t>
  </si>
  <si>
    <t>NO_NOTE20_4_2</t>
  </si>
  <si>
    <t>NO_NOTE20_4_3</t>
  </si>
  <si>
    <t>NO_NOTE20_5_1</t>
  </si>
  <si>
    <t>NO_NOTE20_5_2</t>
  </si>
  <si>
    <t>NO_NOTE20_5_3</t>
  </si>
  <si>
    <t>NO_NOTE20_6_1</t>
  </si>
  <si>
    <t>NO_NOTE20_6_2</t>
  </si>
  <si>
    <t>NO_NOTE20_6_3</t>
  </si>
  <si>
    <t>NO_NOTE20_7_1</t>
  </si>
  <si>
    <t>NO_NOTE20_7_2</t>
  </si>
  <si>
    <t>NO_NOTE20_7_3</t>
  </si>
  <si>
    <t>NO_NOTE20_8_1</t>
  </si>
  <si>
    <t>NO_NOTE20_8_2</t>
  </si>
  <si>
    <t>NO_NOTE20_8_3</t>
  </si>
  <si>
    <t>NO_NOTE20_9_1</t>
  </si>
  <si>
    <t>NO_NOTE20_9_2</t>
  </si>
  <si>
    <t>NO_NOTE20_9_3</t>
  </si>
  <si>
    <t>NO_NOTE20_10_1</t>
  </si>
  <si>
    <t>NO_NOTE20_10_2</t>
  </si>
  <si>
    <t>NO_NOTE20_10_3</t>
  </si>
  <si>
    <t>NO_NOTE21A_1_1</t>
  </si>
  <si>
    <t>NO_NOTE21A_1_2</t>
  </si>
  <si>
    <t>NO_NOTE21A_1_3</t>
  </si>
  <si>
    <t>NO_NOTE21A_2_1</t>
  </si>
  <si>
    <t>NO_NOTE21A_2_2</t>
  </si>
  <si>
    <t>NO_NOTE21A_2_3</t>
  </si>
  <si>
    <t>NO_NOTE21A_3_1</t>
  </si>
  <si>
    <t>NO_NOTE21A_3_2</t>
  </si>
  <si>
    <t>NO_NOTE21A_3_3</t>
  </si>
  <si>
    <t>NO_NOTE21A_4_1</t>
  </si>
  <si>
    <t>NO_NOTE21A_4_2</t>
  </si>
  <si>
    <t>NO_NOTE21A_4_3</t>
  </si>
  <si>
    <t>NO_NOTE21A_5_1</t>
  </si>
  <si>
    <t>NO_NOTE21A_5_2</t>
  </si>
  <si>
    <t>NO_NOTE21A_5_3</t>
  </si>
  <si>
    <t>NO_NOTE21A_6_1</t>
  </si>
  <si>
    <t>NO_NOTE21A_6_2</t>
  </si>
  <si>
    <t>NO_NOTE21A_6_3</t>
  </si>
  <si>
    <t>NO_NOTE21A_7_1</t>
  </si>
  <si>
    <t>NO_NOTE21A_7_2</t>
  </si>
  <si>
    <t>NO_NOTE21A_7_3</t>
  </si>
  <si>
    <t>NO_NOTE21A_8_1</t>
  </si>
  <si>
    <t>NO_NOTE21A_8_2</t>
  </si>
  <si>
    <t>NO_NOTE21A_8_3</t>
  </si>
  <si>
    <t>NO_NOTE21A_9_1</t>
  </si>
  <si>
    <t>NO_NOTE21A_9_2</t>
  </si>
  <si>
    <t>NO_NOTE21A_9_3</t>
  </si>
  <si>
    <t>NO_NOTE21A_10_1</t>
  </si>
  <si>
    <t>NO_NOTE21A_10_2</t>
  </si>
  <si>
    <t>NO_NOTE21A_10_3</t>
  </si>
  <si>
    <t>NO_NOTE21A_11_1</t>
  </si>
  <si>
    <t>NO_NOTE21A_11_2</t>
  </si>
  <si>
    <t>NO_NOTE21A_11_3</t>
  </si>
  <si>
    <t>NO_NOTE21A_12_1</t>
  </si>
  <si>
    <t>NO_NOTE21A_12_2</t>
  </si>
  <si>
    <t>NO_NOTE21A_12_3</t>
  </si>
  <si>
    <t>NO_NOTE21A_13_1</t>
  </si>
  <si>
    <t>NO_NOTE21A_13_2</t>
  </si>
  <si>
    <t>NO_NOTE21A_13_3</t>
  </si>
  <si>
    <t>NO_NOTE21A_14_1</t>
  </si>
  <si>
    <t>NO_NOTE21A_14_2</t>
  </si>
  <si>
    <t>NO_NOTE21A_14_3</t>
  </si>
  <si>
    <t>NO_NOTE21A_15_1</t>
  </si>
  <si>
    <t>NO_NOTE21A_15_2</t>
  </si>
  <si>
    <t>NO_NOTE21A_15_3</t>
  </si>
  <si>
    <t>NO_NOTE21A_16_1</t>
  </si>
  <si>
    <t>NO_NOTE21A_16_2</t>
  </si>
  <si>
    <t>NO_NOTE21A_16_3</t>
  </si>
  <si>
    <t>NO_NOTE21A_17_1</t>
  </si>
  <si>
    <t>NO_NOTE21A_17_2</t>
  </si>
  <si>
    <t>NO_NOTE21A_17_3</t>
  </si>
  <si>
    <t>NO_NOTE21A_18_1</t>
  </si>
  <si>
    <t>NO_NOTE21A_18_2</t>
  </si>
  <si>
    <t>NO_NOTE21A_18_3</t>
  </si>
  <si>
    <t>TOTAL : PRODUITS ACCESSOIRES</t>
  </si>
  <si>
    <t>NO_NOTE21A_19_1</t>
  </si>
  <si>
    <t>NO_NOTE21A_19_2</t>
  </si>
  <si>
    <t>NO_NOTE21A_19_3</t>
  </si>
  <si>
    <t>NO_NOTE21A_20_1</t>
  </si>
  <si>
    <t>NO_NOTE21A_20_2</t>
  </si>
  <si>
    <t>NO_NOTE21A_20_3</t>
  </si>
  <si>
    <t>NO_NOTE21A_21_1</t>
  </si>
  <si>
    <t>NO_NOTE21A_21_2</t>
  </si>
  <si>
    <t>NO_NOTE21A_21_3</t>
  </si>
  <si>
    <t>NO_NOTE21A_22_1</t>
  </si>
  <si>
    <t>NO_NOTE21A_22_2</t>
  </si>
  <si>
    <t>NO_NOTE21A_22_3</t>
  </si>
  <si>
    <t>NO_NOTE21A_23_1</t>
  </si>
  <si>
    <t>NO_NOTE21A_23_2</t>
  </si>
  <si>
    <t>NO_NOTE21A_23_3</t>
  </si>
  <si>
    <t>NO_NOTE21A_24_1</t>
  </si>
  <si>
    <t>NO_NOTE21A_24_2</t>
  </si>
  <si>
    <t>NO_NOTE21A_24_3</t>
  </si>
  <si>
    <t>NO_NOTE21A_25_1</t>
  </si>
  <si>
    <t>NO_NOTE21A_25_2</t>
  </si>
  <si>
    <t>NO_NOTE21A_25_3</t>
  </si>
  <si>
    <t>NO_NOTE22_1_1</t>
  </si>
  <si>
    <t>NO_NOTE22_1_2</t>
  </si>
  <si>
    <t>NO_NOTE22_1_3</t>
  </si>
  <si>
    <t>NO_NOTE22_2_1</t>
  </si>
  <si>
    <t>NO_NOTE22_2_2</t>
  </si>
  <si>
    <t>NO_NOTE22_2_3</t>
  </si>
  <si>
    <t>NO_NOTE22_3_1</t>
  </si>
  <si>
    <t>NO_NOTE22_3_2</t>
  </si>
  <si>
    <t>NO_NOTE22_3_3</t>
  </si>
  <si>
    <t>NO_NOTE22_4_1</t>
  </si>
  <si>
    <t>NO_NOTE22_4_2</t>
  </si>
  <si>
    <t>NO_NOTE22_4_3</t>
  </si>
  <si>
    <t>NO_NOTE22_5_1</t>
  </si>
  <si>
    <t>NO_NOTE22_5_2</t>
  </si>
  <si>
    <t>NO_NOTE22_5_3</t>
  </si>
  <si>
    <t>NO_NOTE22_6_1</t>
  </si>
  <si>
    <t>NO_NOTE22_6_2</t>
  </si>
  <si>
    <t>NO_NOTE22_6_3</t>
  </si>
  <si>
    <t>NO_NOTE22_7_1</t>
  </si>
  <si>
    <t>NO_NOTE22_7_2</t>
  </si>
  <si>
    <t>NO_NOTE22_7_3</t>
  </si>
  <si>
    <t>NO_NOTE22_8_1</t>
  </si>
  <si>
    <t>NO_NOTE22_8_2</t>
  </si>
  <si>
    <t>NO_NOTE22_8_3</t>
  </si>
  <si>
    <t>NO_NOTE22_9_1</t>
  </si>
  <si>
    <t>NO_NOTE22_9_2</t>
  </si>
  <si>
    <t>NO_NOTE22_9_3</t>
  </si>
  <si>
    <t>NO_NOTE22_10_1</t>
  </si>
  <si>
    <t>NO_NOTE22_10_2</t>
  </si>
  <si>
    <t>NO_NOTE22_10_3</t>
  </si>
  <si>
    <t>NO_NOTE22_11_1</t>
  </si>
  <si>
    <t>NO_NOTE22_11_2</t>
  </si>
  <si>
    <t>NO_NOTE22_11_3</t>
  </si>
  <si>
    <t>NO_NOTE22_12_1</t>
  </si>
  <si>
    <t>NO_NOTE22_12_2</t>
  </si>
  <si>
    <t>NO_NOTE22_12_3</t>
  </si>
  <si>
    <t>NO_NOTE22_13_1</t>
  </si>
  <si>
    <t>NO_NOTE22_13_2</t>
  </si>
  <si>
    <t>NO_NOTE22_13_3</t>
  </si>
  <si>
    <t>NO_NOTE22_14_1</t>
  </si>
  <si>
    <t>NO_NOTE22_14_2</t>
  </si>
  <si>
    <t>NO_NOTE22_14_3</t>
  </si>
  <si>
    <t>NO_NOTE22_15_1</t>
  </si>
  <si>
    <t>NO_NOTE22_15_2</t>
  </si>
  <si>
    <t>NO_NOTE22_15_3</t>
  </si>
  <si>
    <t>NO_NOTE22_16_1</t>
  </si>
  <si>
    <t>NO_NOTE22_16_2</t>
  </si>
  <si>
    <t>NO_NOTE22_16_3</t>
  </si>
  <si>
    <t>NO_NOTE22_17_1</t>
  </si>
  <si>
    <t>NO_NOTE22_17_2</t>
  </si>
  <si>
    <t>NO_NOTE22_17_3</t>
  </si>
  <si>
    <t>NO_NOTE22_18_1</t>
  </si>
  <si>
    <t>NO_NOTE22_18_2</t>
  </si>
  <si>
    <t>NO_NOTE22_18_3</t>
  </si>
  <si>
    <t>NO_NOTE22_19_1</t>
  </si>
  <si>
    <t>NO_NOTE22_19_2</t>
  </si>
  <si>
    <t>NO_NOTE22_19_3</t>
  </si>
  <si>
    <t>NO_NOTE22_20_1</t>
  </si>
  <si>
    <t>NO_NOTE22_20_2</t>
  </si>
  <si>
    <t>NO_NOTE22_20_3</t>
  </si>
  <si>
    <t>Achats études, prestations de services, de travaux matériels et équipements</t>
  </si>
  <si>
    <t>NO_NOTE22_21_1</t>
  </si>
  <si>
    <t>NO_NOTE22_21_2</t>
  </si>
  <si>
    <t>NO_NOTE22_21_3</t>
  </si>
  <si>
    <t>NO_NOTE22_22_1</t>
  </si>
  <si>
    <t>NO_NOTE22_22_2</t>
  </si>
  <si>
    <t>NO_NOTE22_22_3</t>
  </si>
  <si>
    <t>NO_NOTE22_23_1</t>
  </si>
  <si>
    <t>NO_NOTE22_23_2</t>
  </si>
  <si>
    <t>NO_NOTE22_23_3</t>
  </si>
  <si>
    <t>NO_NOTE22_24_1</t>
  </si>
  <si>
    <t>NO_NOTE22_24_2</t>
  </si>
  <si>
    <t>NO_NOTE22_24_3</t>
  </si>
  <si>
    <t>NO_NOTE22_25_1</t>
  </si>
  <si>
    <t>NO_NOTE22_25_2</t>
  </si>
  <si>
    <t>NO_NOTE22_25_3</t>
  </si>
  <si>
    <t>NO_NOTE23_1_1</t>
  </si>
  <si>
    <t>NO_NOTE23_1_2</t>
  </si>
  <si>
    <t>NO_NOTE23_1_3</t>
  </si>
  <si>
    <t>NO_NOTE23_2_1</t>
  </si>
  <si>
    <t>NO_NOTE23_2_2</t>
  </si>
  <si>
    <t>NO_NOTE23_2_3</t>
  </si>
  <si>
    <t>NO_NOTE23_3_1</t>
  </si>
  <si>
    <t>NO_NOTE23_3_2</t>
  </si>
  <si>
    <t>NO_NOTE23_3_3</t>
  </si>
  <si>
    <t>NO_NOTE23_4_1</t>
  </si>
  <si>
    <t>NO_NOTE23_4_2</t>
  </si>
  <si>
    <t>NO_NOTE23_4_3</t>
  </si>
  <si>
    <t>NO_NOTE23_5_1</t>
  </si>
  <si>
    <t>NO_NOTE23_5_2</t>
  </si>
  <si>
    <t>NO_NOTE23_5_3</t>
  </si>
  <si>
    <t>NO_NOTE23_6_1</t>
  </si>
  <si>
    <t>NO_NOTE23_6_2</t>
  </si>
  <si>
    <t>NO_NOTE23_6_3</t>
  </si>
  <si>
    <t>NO_NOTE23_7_1</t>
  </si>
  <si>
    <t>NO_NOTE23_7_2</t>
  </si>
  <si>
    <t>NO_NOTE23_7_3</t>
  </si>
  <si>
    <t>NO_NOTE23_8_1</t>
  </si>
  <si>
    <t>NO_NOTE23_8_2</t>
  </si>
  <si>
    <t>NO_NOTE23_8_3</t>
  </si>
  <si>
    <t>NO_NOTE24_1_1</t>
  </si>
  <si>
    <t>NO_NOTE24_1_2</t>
  </si>
  <si>
    <t>NO_NOTE24_1_3</t>
  </si>
  <si>
    <t>NO_NOTE24_2_1</t>
  </si>
  <si>
    <t>NO_NOTE24_2_2</t>
  </si>
  <si>
    <t>NO_NOTE24_2_3</t>
  </si>
  <si>
    <t>NO_NOTE24_3_1</t>
  </si>
  <si>
    <t>NO_NOTE24_3_2</t>
  </si>
  <si>
    <t>NO_NOTE24_3_3</t>
  </si>
  <si>
    <t>NO_NOTE24_4_1</t>
  </si>
  <si>
    <t>NO_NOTE24_4_2</t>
  </si>
  <si>
    <t>NO_NOTE24_4_3</t>
  </si>
  <si>
    <t>NO_NOTE24_5_1</t>
  </si>
  <si>
    <t>NO_NOTE24_5_2</t>
  </si>
  <si>
    <t>NO_NOTE24_5_3</t>
  </si>
  <si>
    <t>NO_NOTE24_6_1</t>
  </si>
  <si>
    <t>NO_NOTE24_6_2</t>
  </si>
  <si>
    <t>NO_NOTE24_6_3</t>
  </si>
  <si>
    <t>NO_NOTE24_7_1</t>
  </si>
  <si>
    <t>NO_NOTE24_7_2</t>
  </si>
  <si>
    <t>NO_NOTE24_7_3</t>
  </si>
  <si>
    <t>NO_NOTE24_8_1</t>
  </si>
  <si>
    <t>NO_NOTE24_8_2</t>
  </si>
  <si>
    <t>NO_NOTE24_8_3</t>
  </si>
  <si>
    <t>NO_NOTE24_9_1</t>
  </si>
  <si>
    <t>NO_NOTE24_9_2</t>
  </si>
  <si>
    <t>NO_NOTE24_9_3</t>
  </si>
  <si>
    <t>NO_NOTE24_10_1</t>
  </si>
  <si>
    <t>NO_NOTE24_10_2</t>
  </si>
  <si>
    <t>NO_NOTE24_10_3</t>
  </si>
  <si>
    <t>NO_NOTE24_11_1</t>
  </si>
  <si>
    <t>NO_NOTE24_11_2</t>
  </si>
  <si>
    <t>NO_NOTE24_11_3</t>
  </si>
  <si>
    <t>Redevances pour brevets, licences, logiciels, concession et droits similaires</t>
  </si>
  <si>
    <t>NO_NOTE24_12_1</t>
  </si>
  <si>
    <t>NO_NOTE24_12_2</t>
  </si>
  <si>
    <t>NO_NOTE24_12_3</t>
  </si>
  <si>
    <t>NO_NOTE24_13_1</t>
  </si>
  <si>
    <t>NO_NOTE24_13_2</t>
  </si>
  <si>
    <t>NO_NOTE24_13_3</t>
  </si>
  <si>
    <t>NO_NOTE24_14_1</t>
  </si>
  <si>
    <t>NO_NOTE24_14_2</t>
  </si>
  <si>
    <t>NO_NOTE24_14_3</t>
  </si>
  <si>
    <t>NO_NOTE24_15_1</t>
  </si>
  <si>
    <t>NO_NOTE24_15_2</t>
  </si>
  <si>
    <t>NO_NOTE24_15_3</t>
  </si>
  <si>
    <t>NO_NOTE24_16_1</t>
  </si>
  <si>
    <t>NO_NOTE24_16_2</t>
  </si>
  <si>
    <t>NO_NOTE24_16_3</t>
  </si>
  <si>
    <t>NO_NOTE25_1_1</t>
  </si>
  <si>
    <t>NO_NOTE25_1_2</t>
  </si>
  <si>
    <t>NO_NOTE25_1_3</t>
  </si>
  <si>
    <t>NO_NOTE25_2_1</t>
  </si>
  <si>
    <t>NO_NOTE25_2_2</t>
  </si>
  <si>
    <t>NO_NOTE25_2_3</t>
  </si>
  <si>
    <t>NO_NOTE25_3_1</t>
  </si>
  <si>
    <t>NO_NOTE25_3_2</t>
  </si>
  <si>
    <t>NO_NOTE25_3_3</t>
  </si>
  <si>
    <t>NO_NOTE25_4_1</t>
  </si>
  <si>
    <t>NO_NOTE25_4_2</t>
  </si>
  <si>
    <t>NO_NOTE25_4_3</t>
  </si>
  <si>
    <t>NO_NOTE25_5_1</t>
  </si>
  <si>
    <t>NO_NOTE25_5_2</t>
  </si>
  <si>
    <t>NO_NOTE25_5_3</t>
  </si>
  <si>
    <t>NO_NOTE25_6_1</t>
  </si>
  <si>
    <t>NO_NOTE25_6_2</t>
  </si>
  <si>
    <t>NO_NOTE25_6_3</t>
  </si>
  <si>
    <t>NO_NOTE26_1_1</t>
  </si>
  <si>
    <t>NO_NOTE26_1_2</t>
  </si>
  <si>
    <t>NO_NOTE26_1_3</t>
  </si>
  <si>
    <t>NO_NOTE26_2_1</t>
  </si>
  <si>
    <t>NO_NOTE26_2_2</t>
  </si>
  <si>
    <t>NO_NOTE26_2_3</t>
  </si>
  <si>
    <t>NO_NOTE26_3_1</t>
  </si>
  <si>
    <t>NO_NOTE26_3_2</t>
  </si>
  <si>
    <t>NO_NOTE26_3_3</t>
  </si>
  <si>
    <t>NO_NOTE26_4_1</t>
  </si>
  <si>
    <t>NO_NOTE26_4_2</t>
  </si>
  <si>
    <t>NO_NOTE26_4_3</t>
  </si>
  <si>
    <t>NO_NOTE26_5_1</t>
  </si>
  <si>
    <t>NO_NOTE26_5_2</t>
  </si>
  <si>
    <t>NO_NOTE26_5_3</t>
  </si>
  <si>
    <t>NO_NOTE26_6_1</t>
  </si>
  <si>
    <t>NO_NOTE26_6_2</t>
  </si>
  <si>
    <t>NO_NOTE26_6_3</t>
  </si>
  <si>
    <t>NO_NOTE26_7_1</t>
  </si>
  <si>
    <t>NO_NOTE26_7_2</t>
  </si>
  <si>
    <t>NO_NOTE26_7_3</t>
  </si>
  <si>
    <t>NO_NOTE26_8_1</t>
  </si>
  <si>
    <t>NO_NOTE26_8_2</t>
  </si>
  <si>
    <t>NO_NOTE26_8_3</t>
  </si>
  <si>
    <t>NO_NOTE26_9_1</t>
  </si>
  <si>
    <t>NO_NOTE26_9_2</t>
  </si>
  <si>
    <t>NO_NOTE26_9_3</t>
  </si>
  <si>
    <t>NO_NOTE26_10_1</t>
  </si>
  <si>
    <t>NO_NOTE26_10_2</t>
  </si>
  <si>
    <t>NO_NOTE26_10_3</t>
  </si>
  <si>
    <t>NO_NOTE26_11_1</t>
  </si>
  <si>
    <t>NO_NOTE26_11_2</t>
  </si>
  <si>
    <t>NO_NOTE26_11_3</t>
  </si>
  <si>
    <t>NO_NOTE27A_1_1</t>
  </si>
  <si>
    <t>NO_NOTE27A_1_2</t>
  </si>
  <si>
    <t>NO_NOTE27A_1_3</t>
  </si>
  <si>
    <t>NO_NOTE27A_2_1</t>
  </si>
  <si>
    <t>NO_NOTE27A_2_2</t>
  </si>
  <si>
    <t>NO_NOTE27A_2_3</t>
  </si>
  <si>
    <t>NO_NOTE27A_3_1</t>
  </si>
  <si>
    <t>NO_NOTE27A_3_2</t>
  </si>
  <si>
    <t>NO_NOTE27A_3_3</t>
  </si>
  <si>
    <t>NO_NOTE27A_4_1</t>
  </si>
  <si>
    <t>NO_NOTE27A_4_2</t>
  </si>
  <si>
    <t>NO_NOTE27A_4_3</t>
  </si>
  <si>
    <t>NO_NOTE27A_5_1</t>
  </si>
  <si>
    <t>NO_NOTE27A_5_2</t>
  </si>
  <si>
    <t>NO_NOTE27A_5_3</t>
  </si>
  <si>
    <t>NO_NOTE27A_6_1</t>
  </si>
  <si>
    <t>NO_NOTE27A_6_2</t>
  </si>
  <si>
    <t>NO_NOTE27A_6_3</t>
  </si>
  <si>
    <t>NO_NOTE27A_7_1</t>
  </si>
  <si>
    <t>NO_NOTE27A_7_2</t>
  </si>
  <si>
    <t>NO_NOTE27A_7_3</t>
  </si>
  <si>
    <t>NO_NOTE27A_8_1</t>
  </si>
  <si>
    <t>NO_NOTE27A_8_2</t>
  </si>
  <si>
    <t>NO_NOTE27A_8_3</t>
  </si>
  <si>
    <t>NO_NOTE27A_9_1</t>
  </si>
  <si>
    <t>NO_NOTE27A_9_2</t>
  </si>
  <si>
    <t>NO_NOTE27A_9_3</t>
  </si>
  <si>
    <t>Cadres supérieurs</t>
  </si>
  <si>
    <t>M - Nationaux</t>
  </si>
  <si>
    <t>NO_NOTE27B1_YA_1</t>
  </si>
  <si>
    <t>F - Nationaux</t>
  </si>
  <si>
    <t>NO_NOTE27B1_YA_2</t>
  </si>
  <si>
    <t>M - Autres Etats de la Région (3)</t>
  </si>
  <si>
    <t>NO_NOTE27B1_YA_3</t>
  </si>
  <si>
    <t>F - Autres Etats de la Région (3)</t>
  </si>
  <si>
    <t>NO_NOTE27B1_YA_4</t>
  </si>
  <si>
    <t>M - Hors Région (3)</t>
  </si>
  <si>
    <t>NO_NOTE27B1_YA_5</t>
  </si>
  <si>
    <t>F - Hors Région (3)</t>
  </si>
  <si>
    <t>NO_NOTE27B1_YA_6</t>
  </si>
  <si>
    <t>NO_NOTE27B1_YA_7</t>
  </si>
  <si>
    <t>Techniciens supérieurs et cadres moyens</t>
  </si>
  <si>
    <t>NO_NOTE27B1_YB_1</t>
  </si>
  <si>
    <t>NO_NOTE27B1_YB_2</t>
  </si>
  <si>
    <t>NO_NOTE27B1_YB_3</t>
  </si>
  <si>
    <t>NO_NOTE27B1_YB_4</t>
  </si>
  <si>
    <t>NO_NOTE27B1_YB_5</t>
  </si>
  <si>
    <t>NO_NOTE27B1_YB_6</t>
  </si>
  <si>
    <t>NO_NOTE27B1_YB_7</t>
  </si>
  <si>
    <t>Techniciens, agents de maîtrise et ouvriers qualifiés</t>
  </si>
  <si>
    <t>NO_NOTE27B1_YC_1</t>
  </si>
  <si>
    <t>NO_NOTE27B1_YC_2</t>
  </si>
  <si>
    <t>NO_NOTE27B1_YC_3</t>
  </si>
  <si>
    <t>NO_NOTE27B1_YC_4</t>
  </si>
  <si>
    <t>NO_NOTE27B1_YC_5</t>
  </si>
  <si>
    <t>NO_NOTE27B1_YC_6</t>
  </si>
  <si>
    <t>NO_NOTE27B1_YC_7</t>
  </si>
  <si>
    <t>Employés, manœuvres, ouvriers, et apprentis</t>
  </si>
  <si>
    <t>NO_NOTE27B1_YD_1</t>
  </si>
  <si>
    <t>NO_NOTE27B1_YD_2</t>
  </si>
  <si>
    <t>NO_NOTE27B1_YD_3</t>
  </si>
  <si>
    <t>NO_NOTE27B1_YD_4</t>
  </si>
  <si>
    <t>NO_NOTE27B1_YD_5</t>
  </si>
  <si>
    <t>NO_NOTE27B1_YD_6</t>
  </si>
  <si>
    <t>NO_NOTE27B1_YD_7</t>
  </si>
  <si>
    <t>NO_NOTE27B1_YE_1</t>
  </si>
  <si>
    <t>NO_NOTE27B1_YE_2</t>
  </si>
  <si>
    <t>NO_NOTE27B1_YE_3</t>
  </si>
  <si>
    <t>NO_NOTE27B1_YE_4</t>
  </si>
  <si>
    <t>NO_NOTE27B1_YE_5</t>
  </si>
  <si>
    <t>NO_NOTE27B1_YE_6</t>
  </si>
  <si>
    <t>NO_NOTE27B1_YE_7</t>
  </si>
  <si>
    <t>NO_NOTE27B1_YF_1</t>
  </si>
  <si>
    <t>NO_NOTE27B1_YF_2</t>
  </si>
  <si>
    <t>NO_NOTE27B1_YF_3</t>
  </si>
  <si>
    <t>NO_NOTE27B1_YF_4</t>
  </si>
  <si>
    <t>NO_NOTE27B1_YF_5</t>
  </si>
  <si>
    <t>NO_NOTE27B1_YF_6</t>
  </si>
  <si>
    <t>NO_NOTE27B1_YF_7</t>
  </si>
  <si>
    <t>NO_NOTE27B1_YG_1</t>
  </si>
  <si>
    <t>NO_NOTE27B1_YG_2</t>
  </si>
  <si>
    <t>NO_NOTE27B1_YG_3</t>
  </si>
  <si>
    <t>NO_NOTE27B1_YG_4</t>
  </si>
  <si>
    <t>NO_NOTE27B1_YG_5</t>
  </si>
  <si>
    <t>NO_NOTE27B1_YG_6</t>
  </si>
  <si>
    <t>NO_NOTE27B1_YG_7</t>
  </si>
  <si>
    <t>NO_NOTE27B1_YH_1</t>
  </si>
  <si>
    <t>NO_NOTE27B1_YH_2</t>
  </si>
  <si>
    <t>NO_NOTE27B1_YH_3</t>
  </si>
  <si>
    <t>NO_NOTE27B1_YH_4</t>
  </si>
  <si>
    <t>NO_NOTE27B1_YH_5</t>
  </si>
  <si>
    <t>NO_NOTE27B1_YH_6</t>
  </si>
  <si>
    <t>NO_NOTE27B1_YH_7</t>
  </si>
  <si>
    <t>NO_NOTE27B1_YI_1</t>
  </si>
  <si>
    <t>NO_NOTE27B1_YI_2</t>
  </si>
  <si>
    <t>NO_NOTE27B1_YI_3</t>
  </si>
  <si>
    <t>NO_NOTE27B1_YI_4</t>
  </si>
  <si>
    <t>NO_NOTE27B1_YI_5</t>
  </si>
  <si>
    <t>NO_NOTE27B1_YI_6</t>
  </si>
  <si>
    <t>NO_NOTE27B1_YI_7</t>
  </si>
  <si>
    <t>NO_NOTE27B1_YJ_1</t>
  </si>
  <si>
    <t>NO_NOTE27B1_YJ_2</t>
  </si>
  <si>
    <t>NO_NOTE27B1_YJ_3</t>
  </si>
  <si>
    <t>NO_NOTE27B1_YJ_4</t>
  </si>
  <si>
    <t>NO_NOTE27B1_YJ_5</t>
  </si>
  <si>
    <t>NO_NOTE27B1_YJ_6</t>
  </si>
  <si>
    <t>NO_NOTE27B1_YJ_7</t>
  </si>
  <si>
    <t>NO_NOTE27B1_YK_1</t>
  </si>
  <si>
    <t>NO_NOTE27B1_YK_2</t>
  </si>
  <si>
    <t>NO_NOTE27B1_YK_3</t>
  </si>
  <si>
    <t>NO_NOTE27B1_YK_4</t>
  </si>
  <si>
    <t>NO_NOTE27B1_YK_5</t>
  </si>
  <si>
    <t>NO_NOTE27B1_YK_6</t>
  </si>
  <si>
    <t>NO_NOTE27B1_YK_7</t>
  </si>
  <si>
    <t>NO_NOTE27B1_YL_1</t>
  </si>
  <si>
    <t>NO_NOTE27B1_YL_2</t>
  </si>
  <si>
    <t>NO_NOTE27B1_YL_3</t>
  </si>
  <si>
    <t>NO_NOTE27B1_YL_4</t>
  </si>
  <si>
    <t>NO_NOTE27B1_YL_5</t>
  </si>
  <si>
    <t>NO_NOTE27B1_YL_6</t>
  </si>
  <si>
    <t>NO_NOTE27B1_YL_7</t>
  </si>
  <si>
    <t>NO_NOTE27B1_YM_1</t>
  </si>
  <si>
    <t>NO_NOTE27B1_YM_2</t>
  </si>
  <si>
    <t>NO_NOTE27B1_YM_3</t>
  </si>
  <si>
    <t>NO_NOTE27B1_YM_4</t>
  </si>
  <si>
    <t>NO_NOTE27B1_YM_5</t>
  </si>
  <si>
    <t>NO_NOTE27B1_YM_6</t>
  </si>
  <si>
    <t>NO_NOTE27B1_YM_7</t>
  </si>
  <si>
    <t>NO_NOTE27B1_YN_1</t>
  </si>
  <si>
    <t>NO_NOTE27B1_YN_2</t>
  </si>
  <si>
    <t>NO_NOTE27B1_YN_3</t>
  </si>
  <si>
    <t>NO_NOTE27B1_YN_4</t>
  </si>
  <si>
    <t>NO_NOTE27B1_YN_5</t>
  </si>
  <si>
    <t>NO_NOTE27B1_YN_6</t>
  </si>
  <si>
    <t>NO_NOTE27B1_YN_7</t>
  </si>
  <si>
    <t>TOTAL (YE + YL)</t>
  </si>
  <si>
    <t>NO_NOTE27B1_YO_1</t>
  </si>
  <si>
    <t>NO_NOTE27B1_YO_2</t>
  </si>
  <si>
    <t>NO_NOTE27B1_YO_3</t>
  </si>
  <si>
    <t>NO_NOTE27B1_YO_4</t>
  </si>
  <si>
    <t>NO_NOTE27B1_YO_5</t>
  </si>
  <si>
    <t>NO_NOTE27B1_YO_6</t>
  </si>
  <si>
    <t>NO_NOTE27B1_YO_7</t>
  </si>
  <si>
    <t>NO_NOTE27B2_YA_1</t>
  </si>
  <si>
    <t>NO_NOTE27B2_YA_2</t>
  </si>
  <si>
    <t>NO_NOTE27B2_YA_3</t>
  </si>
  <si>
    <t>NO_NOTE27B2_YA_4</t>
  </si>
  <si>
    <t>NO_NOTE27B2_YA_5</t>
  </si>
  <si>
    <t>NO_NOTE27B2_YA_6</t>
  </si>
  <si>
    <t>NO_NOTE27B2_YA_7</t>
  </si>
  <si>
    <t>NO_NOTE27B2_YB_1</t>
  </si>
  <si>
    <t>NO_NOTE27B2_YB_2</t>
  </si>
  <si>
    <t>NO_NOTE27B2_YB_3</t>
  </si>
  <si>
    <t>NO_NOTE27B2_YB_4</t>
  </si>
  <si>
    <t>NO_NOTE27B2_YB_5</t>
  </si>
  <si>
    <t>NO_NOTE27B2_YB_6</t>
  </si>
  <si>
    <t>NO_NOTE27B2_YB_7</t>
  </si>
  <si>
    <t>NO_NOTE27B2_YC_1</t>
  </si>
  <si>
    <t>NO_NOTE27B2_YC_2</t>
  </si>
  <si>
    <t>NO_NOTE27B2_YC_3</t>
  </si>
  <si>
    <t>NO_NOTE27B2_YC_4</t>
  </si>
  <si>
    <t>NO_NOTE27B2_YC_5</t>
  </si>
  <si>
    <t>NO_NOTE27B2_YC_6</t>
  </si>
  <si>
    <t>NO_NOTE27B2_YC_7</t>
  </si>
  <si>
    <t>NO_NOTE27B2_YD_1</t>
  </si>
  <si>
    <t>NO_NOTE27B2_YD_2</t>
  </si>
  <si>
    <t>NO_NOTE27B2_YD_3</t>
  </si>
  <si>
    <t>NO_NOTE27B2_YD_4</t>
  </si>
  <si>
    <t>NO_NOTE27B2_YD_5</t>
  </si>
  <si>
    <t>NO_NOTE27B2_YD_6</t>
  </si>
  <si>
    <t>NO_NOTE27B2_YD_7</t>
  </si>
  <si>
    <t>NO_NOTE27B2_YE_1</t>
  </si>
  <si>
    <t>NO_NOTE27B2_YE_2</t>
  </si>
  <si>
    <t>NO_NOTE27B2_YE_3</t>
  </si>
  <si>
    <t>NO_NOTE27B2_YE_4</t>
  </si>
  <si>
    <t>NO_NOTE27B2_YE_5</t>
  </si>
  <si>
    <t>NO_NOTE27B2_YE_6</t>
  </si>
  <si>
    <t>NO_NOTE27B2_YE_7</t>
  </si>
  <si>
    <t>NO_NOTE27B2_YF_1</t>
  </si>
  <si>
    <t>NO_NOTE27B2_YF_2</t>
  </si>
  <si>
    <t>NO_NOTE27B2_YF_3</t>
  </si>
  <si>
    <t>NO_NOTE27B2_YF_4</t>
  </si>
  <si>
    <t>NO_NOTE27B2_YF_5</t>
  </si>
  <si>
    <t>NO_NOTE27B2_YF_6</t>
  </si>
  <si>
    <t>NO_NOTE27B2_YF_7</t>
  </si>
  <si>
    <t>NO_NOTE27B2_YG_1</t>
  </si>
  <si>
    <t>NO_NOTE27B2_YG_2</t>
  </si>
  <si>
    <t>NO_NOTE27B2_YG_3</t>
  </si>
  <si>
    <t>NO_NOTE27B2_YG_4</t>
  </si>
  <si>
    <t>NO_NOTE27B2_YG_5</t>
  </si>
  <si>
    <t>NO_NOTE27B2_YG_6</t>
  </si>
  <si>
    <t>NO_NOTE27B2_YG_7</t>
  </si>
  <si>
    <t>M - Facturation à l'entité</t>
  </si>
  <si>
    <t>F - Facturation à l'entité</t>
  </si>
  <si>
    <t>Référence</t>
  </si>
  <si>
    <t>Montants comptabilisés non rapportés dans l'état 301 [B]</t>
  </si>
  <si>
    <t>NO_NOTE27B4_2_1</t>
  </si>
  <si>
    <t>NO_NOTE27B4_2_2</t>
  </si>
  <si>
    <t>Montants des avantages en nature et en espèces comptabilisés en comptes de charges de personnel [C]</t>
  </si>
  <si>
    <t>NO_NOTE27B4_3_1</t>
  </si>
  <si>
    <t>NO_NOTE27B4_3_2</t>
  </si>
  <si>
    <t>Total frais de personnel (A + B + C)</t>
  </si>
  <si>
    <t>NO_NOTE27B4_RK_1</t>
  </si>
  <si>
    <t>NO_NOTE27B4_RK_2</t>
  </si>
  <si>
    <t>PROVISIONS A L'OUVERTURE DE L'EXERCICE (A)</t>
  </si>
  <si>
    <t>NO_NOTE28_1_1</t>
  </si>
  <si>
    <t>DOTATIONS HORS ACTIVITES ORDINAIRES (B3)</t>
  </si>
  <si>
    <t>NO_NOTE28_1_4</t>
  </si>
  <si>
    <t>REPRISES HORS ACTIVITES ORDINAIRES (C3)</t>
  </si>
  <si>
    <t>NO_NOTE28_1_7</t>
  </si>
  <si>
    <t>PROVISIONS A LA CLOTURE DE L'EXERCICE (D=A+B-C)</t>
  </si>
  <si>
    <t>NO_NOTE28_1_8</t>
  </si>
  <si>
    <t>NO_NOTE28_2_1</t>
  </si>
  <si>
    <t>DOTATIONS D'EXPLOITATION (B1)</t>
  </si>
  <si>
    <t>NO_NOTE28_2_2</t>
  </si>
  <si>
    <t>DOTATIONS FINANCIERES (B2)</t>
  </si>
  <si>
    <t>NO_NOTE28_2_3</t>
  </si>
  <si>
    <t>NO_NOTE28_2_4</t>
  </si>
  <si>
    <t>REPRISES D'EXPLOITATION (C1)</t>
  </si>
  <si>
    <t>NO_NOTE28_2_5</t>
  </si>
  <si>
    <t>REPRISES FINANCIERES (C2)</t>
  </si>
  <si>
    <t>NO_NOTE28_2_6</t>
  </si>
  <si>
    <t>NO_NOTE28_2_7</t>
  </si>
  <si>
    <t>NO_NOTE28_2_8</t>
  </si>
  <si>
    <t>NO_NOTE28_3_1</t>
  </si>
  <si>
    <t>NO_NOTE28_3_2</t>
  </si>
  <si>
    <t>NO_NOTE28_3_3</t>
  </si>
  <si>
    <t>NO_NOTE28_3_4</t>
  </si>
  <si>
    <t>NO_NOTE28_3_5</t>
  </si>
  <si>
    <t>NO_NOTE28_3_6</t>
  </si>
  <si>
    <t>NO_NOTE28_3_7</t>
  </si>
  <si>
    <t>NO_NOTE28_3_8</t>
  </si>
  <si>
    <t>NO_NOTE28_4_1</t>
  </si>
  <si>
    <t>NO_NOTE28_4_2</t>
  </si>
  <si>
    <t>NO_NOTE28_4_3</t>
  </si>
  <si>
    <t>NO_NOTE28_4_4</t>
  </si>
  <si>
    <t>NO_NOTE28_4_5</t>
  </si>
  <si>
    <t>NO_NOTE28_4_6</t>
  </si>
  <si>
    <t>NO_NOTE28_4_7</t>
  </si>
  <si>
    <t>NO_NOTE28_4_8</t>
  </si>
  <si>
    <t>NO_NOTE28_5_1</t>
  </si>
  <si>
    <t>NO_NOTE28_5_2</t>
  </si>
  <si>
    <t>NO_NOTE28_5_4</t>
  </si>
  <si>
    <t>NO_NOTE28_5_5</t>
  </si>
  <si>
    <t>NO_NOTE28_5_7</t>
  </si>
  <si>
    <t>NO_NOTE28_5_8</t>
  </si>
  <si>
    <t>NO_NOTE28_6_1</t>
  </si>
  <si>
    <t>NO_NOTE28_6_2</t>
  </si>
  <si>
    <t>NO_NOTE28_6_4</t>
  </si>
  <si>
    <t>NO_NOTE28_6_5</t>
  </si>
  <si>
    <t>NO_NOTE28_6_7</t>
  </si>
  <si>
    <t>NO_NOTE28_6_8</t>
  </si>
  <si>
    <t>NO_NOTE28_7_1</t>
  </si>
  <si>
    <t>NO_NOTE28_7_2</t>
  </si>
  <si>
    <t>NO_NOTE28_7_4</t>
  </si>
  <si>
    <t>NO_NOTE28_7_5</t>
  </si>
  <si>
    <t>NO_NOTE28_7_7</t>
  </si>
  <si>
    <t>NO_NOTE28_7_8</t>
  </si>
  <si>
    <t>NO_NOTE28_8_1</t>
  </si>
  <si>
    <t>NO_NOTE28_8_2</t>
  </si>
  <si>
    <t>NO_NOTE28_8_4</t>
  </si>
  <si>
    <t>NO_NOTE28_8_5</t>
  </si>
  <si>
    <t>NO_NOTE28_8_7</t>
  </si>
  <si>
    <t>NO_NOTE28_8_8</t>
  </si>
  <si>
    <t>NO_NOTE28_9_1</t>
  </si>
  <si>
    <t>NO_NOTE28_9_2</t>
  </si>
  <si>
    <t>NO_NOTE28_9_4</t>
  </si>
  <si>
    <t>NO_NOTE28_9_5</t>
  </si>
  <si>
    <t>NO_NOTE28_9_7</t>
  </si>
  <si>
    <t>NO_NOTE28_9_8</t>
  </si>
  <si>
    <t>NO_NOTE28_10_1</t>
  </si>
  <si>
    <t>NO_NOTE28_10_3</t>
  </si>
  <si>
    <t>NO_NOTE28_10_4</t>
  </si>
  <si>
    <t>NO_NOTE28_10_6</t>
  </si>
  <si>
    <t>NO_NOTE28_10_7</t>
  </si>
  <si>
    <t>NO_NOTE28_10_8</t>
  </si>
  <si>
    <t>NO_NOTE28_11_1</t>
  </si>
  <si>
    <t>NO_NOTE28_11_3</t>
  </si>
  <si>
    <t>NO_NOTE28_11_4</t>
  </si>
  <si>
    <t>NO_NOTE28_11_6</t>
  </si>
  <si>
    <t>NO_NOTE28_11_7</t>
  </si>
  <si>
    <t>NO_NOTE28_11_8</t>
  </si>
  <si>
    <t>NO_NOTE28_12_1</t>
  </si>
  <si>
    <t>NO_NOTE28_12_3</t>
  </si>
  <si>
    <t>NO_NOTE28_12_4</t>
  </si>
  <si>
    <t>NO_NOTE28_12_6</t>
  </si>
  <si>
    <t>NO_NOTE28_12_7</t>
  </si>
  <si>
    <t>NO_NOTE28_12_8</t>
  </si>
  <si>
    <t>NO_NOTE28_13_1</t>
  </si>
  <si>
    <t>NO_NOTE28_13_3</t>
  </si>
  <si>
    <t>NO_NOTE28_13_4</t>
  </si>
  <si>
    <t>NO_NOTE28_13_6</t>
  </si>
  <si>
    <t>NO_NOTE28_13_7</t>
  </si>
  <si>
    <t>NO_NOTE28_13_8</t>
  </si>
  <si>
    <t>NO_NOTE28_14_1</t>
  </si>
  <si>
    <t>NO_NOTE28_14_3</t>
  </si>
  <si>
    <t>NO_NOTE28_14_4</t>
  </si>
  <si>
    <t>NO_NOTE28_14_6</t>
  </si>
  <si>
    <t>NO_NOTE28_14_7</t>
  </si>
  <si>
    <t>NO_NOTE28_14_8</t>
  </si>
  <si>
    <t>NO_NOTE28_15_1</t>
  </si>
  <si>
    <t>NO_NOTE28_15_2</t>
  </si>
  <si>
    <t>NO_NOTE28_15_5</t>
  </si>
  <si>
    <t>NO_NOTE28_15_8</t>
  </si>
  <si>
    <t>Provisions pour risques à court terme HAO</t>
  </si>
  <si>
    <t>NO_NOTE28_16_1</t>
  </si>
  <si>
    <t>NO_NOTE28_16_4</t>
  </si>
  <si>
    <t>NO_NOTE28_16_7</t>
  </si>
  <si>
    <t>NO_NOTE28_16_8</t>
  </si>
  <si>
    <t>NO_NOTE28_17_1</t>
  </si>
  <si>
    <t>NO_NOTE28_17_3</t>
  </si>
  <si>
    <t>NO_NOTE28_17_6</t>
  </si>
  <si>
    <t>NO_NOTE28_17_8</t>
  </si>
  <si>
    <t>NO_NOTE28_18_1</t>
  </si>
  <si>
    <t>NO_NOTE28_18_2</t>
  </si>
  <si>
    <t>NO_NOTE28_18_3</t>
  </si>
  <si>
    <t>NO_NOTE28_18_4</t>
  </si>
  <si>
    <t>NO_NOTE28_18_5</t>
  </si>
  <si>
    <t>NO_NOTE28_18_6</t>
  </si>
  <si>
    <t>NO_NOTE28_18_7</t>
  </si>
  <si>
    <t>NO_NOTE28_18_8</t>
  </si>
  <si>
    <t>NO_NOTE28_19_1</t>
  </si>
  <si>
    <t>NO_NOTE28_19_2</t>
  </si>
  <si>
    <t>NO_NOTE28_19_3</t>
  </si>
  <si>
    <t>NO_NOTE28_19_4</t>
  </si>
  <si>
    <t>NO_NOTE28_19_5</t>
  </si>
  <si>
    <t>NO_NOTE28_19_6</t>
  </si>
  <si>
    <t>NO_NOTE28_19_7</t>
  </si>
  <si>
    <t>NO_NOTE28_19_8</t>
  </si>
  <si>
    <t>NO_NOTE29_1_1</t>
  </si>
  <si>
    <t>NO_NOTE29_1_2</t>
  </si>
  <si>
    <t>NO_NOTE29_1_3</t>
  </si>
  <si>
    <t>NO_NOTE29_2_1</t>
  </si>
  <si>
    <t>NO_NOTE29_2_2</t>
  </si>
  <si>
    <t>NO_NOTE29_2_3</t>
  </si>
  <si>
    <t>NO_NOTE29_3_1</t>
  </si>
  <si>
    <t>NO_NOTE29_3_2</t>
  </si>
  <si>
    <t>NO_NOTE29_3_3</t>
  </si>
  <si>
    <t>NO_NOTE29_4_1</t>
  </si>
  <si>
    <t>NO_NOTE29_4_2</t>
  </si>
  <si>
    <t>NO_NOTE29_4_3</t>
  </si>
  <si>
    <t>NO_NOTE29_5_1</t>
  </si>
  <si>
    <t>NO_NOTE29_5_2</t>
  </si>
  <si>
    <t>NO_NOTE29_5_3</t>
  </si>
  <si>
    <t>NO_NOTE29_6_1</t>
  </si>
  <si>
    <t>NO_NOTE29_6_2</t>
  </si>
  <si>
    <t>NO_NOTE29_6_3</t>
  </si>
  <si>
    <t>NO_NOTE29_7_1</t>
  </si>
  <si>
    <t>NO_NOTE29_7_2</t>
  </si>
  <si>
    <t>NO_NOTE29_7_3</t>
  </si>
  <si>
    <t>NO_NOTE29_8_1</t>
  </si>
  <si>
    <t>NO_NOTE29_8_2</t>
  </si>
  <si>
    <t>NO_NOTE29_8_3</t>
  </si>
  <si>
    <t>NO_NOTE29_9_1</t>
  </si>
  <si>
    <t>NO_NOTE29_9_2</t>
  </si>
  <si>
    <t>NO_NOTE29_9_3</t>
  </si>
  <si>
    <t>NO_NOTE29_10_1</t>
  </si>
  <si>
    <t>NO_NOTE29_10_2</t>
  </si>
  <si>
    <t>NO_NOTE29_10_3</t>
  </si>
  <si>
    <t>NO_NOTE29_11_1</t>
  </si>
  <si>
    <t>NO_NOTE29_11_2</t>
  </si>
  <si>
    <t>NO_NOTE29_11_3</t>
  </si>
  <si>
    <t>NO_NOTE29_12_1</t>
  </si>
  <si>
    <t>NO_NOTE29_12_2</t>
  </si>
  <si>
    <t>NO_NOTE29_12_3</t>
  </si>
  <si>
    <t>NO_NOTE29_13_1</t>
  </si>
  <si>
    <t>NO_NOTE29_13_2</t>
  </si>
  <si>
    <t>NO_NOTE29_13_3</t>
  </si>
  <si>
    <t>NO_NOTE29_14_1</t>
  </si>
  <si>
    <t>NO_NOTE29_14_2</t>
  </si>
  <si>
    <t>NO_NOTE29_14_3</t>
  </si>
  <si>
    <t>NO_NOTE29_15_1</t>
  </si>
  <si>
    <t>NO_NOTE29_15_2</t>
  </si>
  <si>
    <t>NO_NOTE29_15_3</t>
  </si>
  <si>
    <t>NO_NOTE29_16_1</t>
  </si>
  <si>
    <t>NO_NOTE29_16_2</t>
  </si>
  <si>
    <t>NO_NOTE29_16_3</t>
  </si>
  <si>
    <t>NO_NOTE29_17_1</t>
  </si>
  <si>
    <t>NO_NOTE29_17_2</t>
  </si>
  <si>
    <t>NO_NOTE29_17_3</t>
  </si>
  <si>
    <t>NO_NOTE29_18_1</t>
  </si>
  <si>
    <t>NO_NOTE29_18_2</t>
  </si>
  <si>
    <t>NO_NOTE29_18_3</t>
  </si>
  <si>
    <t>NO_NOTE29_19_1</t>
  </si>
  <si>
    <t>NO_NOTE29_19_2</t>
  </si>
  <si>
    <t>NO_NOTE29_19_3</t>
  </si>
  <si>
    <t>Reprises de charges pour dépréciation et prov. à court terme à caractère financier (voir note 28)</t>
  </si>
  <si>
    <t>NO_NOTE29_20_1</t>
  </si>
  <si>
    <t>NO_NOTE29_20_2</t>
  </si>
  <si>
    <t>NO_NOTE29_20_3</t>
  </si>
  <si>
    <t>NO_NOTE29_21_1</t>
  </si>
  <si>
    <t>NO_NOTE29_21_2</t>
  </si>
  <si>
    <t>NO_NOTE29_21_3</t>
  </si>
  <si>
    <t>NO_NOTE29_22_1</t>
  </si>
  <si>
    <t>NO_NOTE29_22_2</t>
  </si>
  <si>
    <t>NO_NOTE29_22_3</t>
  </si>
  <si>
    <t xml:space="preserve">Charges HAO constatées  (compte 831) </t>
  </si>
  <si>
    <t>NO_NOTE30A_1_1</t>
  </si>
  <si>
    <t>NO_NOTE30A_1_2</t>
  </si>
  <si>
    <t>NO_NOTE30A_1_3</t>
  </si>
  <si>
    <t>NO_NOTE30A_2_1</t>
  </si>
  <si>
    <t>NO_NOTE30A_2_2</t>
  </si>
  <si>
    <t>NO_NOTE30A_2_3</t>
  </si>
  <si>
    <t>NO_NOTE30A_3_1</t>
  </si>
  <si>
    <t>NO_NOTE30A_3_2</t>
  </si>
  <si>
    <t>NO_NOTE30A_3_3</t>
  </si>
  <si>
    <t>NO_NOTE30A_4_1</t>
  </si>
  <si>
    <t>NO_NOTE30A_4_2</t>
  </si>
  <si>
    <t>NO_NOTE30A_4_3</t>
  </si>
  <si>
    <t>NO_NOTE30A_5_1</t>
  </si>
  <si>
    <t>NO_NOTE30A_5_2</t>
  </si>
  <si>
    <t>NO_NOTE30A_5_3</t>
  </si>
  <si>
    <t>NO_NOTE30A_6_1</t>
  </si>
  <si>
    <t>NO_NOTE30A_6_2</t>
  </si>
  <si>
    <t>NO_NOTE30A_6_3</t>
  </si>
  <si>
    <t>NO_NOTE30A_7_1</t>
  </si>
  <si>
    <t>NO_NOTE30A_7_2</t>
  </si>
  <si>
    <t>NO_NOTE30A_7_3</t>
  </si>
  <si>
    <t>NO_NOTE30A_8_1</t>
  </si>
  <si>
    <t>NO_NOTE30A_8_2</t>
  </si>
  <si>
    <t>NO_NOTE30A_8_3</t>
  </si>
  <si>
    <t>NO_NOTE30A_9_1</t>
  </si>
  <si>
    <t>NO_NOTE30A_9_2</t>
  </si>
  <si>
    <t>NO_NOTE30A_9_3</t>
  </si>
  <si>
    <t>Produits HAO constatés (compte 841)</t>
  </si>
  <si>
    <t>NO_NOTE30A_10_1</t>
  </si>
  <si>
    <t>NO_NOTE30A_10_2</t>
  </si>
  <si>
    <t>NO_NOTE30A_10_3</t>
  </si>
  <si>
    <t>NO_NOTE30A_11_1</t>
  </si>
  <si>
    <t>NO_NOTE30A_11_2</t>
  </si>
  <si>
    <t>NO_NOTE30A_11_3</t>
  </si>
  <si>
    <t>NO_NOTE30A_12_1</t>
  </si>
  <si>
    <t>NO_NOTE30A_12_2</t>
  </si>
  <si>
    <t>NO_NOTE30A_12_3</t>
  </si>
  <si>
    <t>NO_NOTE30A_13_1</t>
  </si>
  <si>
    <t>NO_NOTE30A_13_2</t>
  </si>
  <si>
    <t>NO_NOTE30A_13_3</t>
  </si>
  <si>
    <t>NO_NOTE30A_14_1</t>
  </si>
  <si>
    <t>NO_NOTE30A_14_2</t>
  </si>
  <si>
    <t>NO_NOTE30A_14_3</t>
  </si>
  <si>
    <t>NO_NOTE30A_15_1</t>
  </si>
  <si>
    <t>NO_NOTE30A_15_2</t>
  </si>
  <si>
    <t>NO_NOTE30A_15_3</t>
  </si>
  <si>
    <t>NO_NOTE30A_16_1</t>
  </si>
  <si>
    <t>NO_NOTE30A_16_2</t>
  </si>
  <si>
    <t>NO_NOTE30A_16_3</t>
  </si>
  <si>
    <t>NO_NOTE30A_17_1</t>
  </si>
  <si>
    <t>NO_NOTE30A_17_2</t>
  </si>
  <si>
    <t>NO_NOTE30A_17_3</t>
  </si>
  <si>
    <t>NO_NOTE30A_18_1</t>
  </si>
  <si>
    <t>NO_NOTE30A_18_2</t>
  </si>
  <si>
    <t>NO_NOTE30A_18_3</t>
  </si>
  <si>
    <t>NO_NOTE30A_19_1</t>
  </si>
  <si>
    <t>NO_NOTE30A_19_2</t>
  </si>
  <si>
    <t>NO_NOTE30A_19_3</t>
  </si>
  <si>
    <t>STRUCTURE DU CAPITAL A LA CLOTURE DE L'EXERCICE (2)</t>
  </si>
  <si>
    <t>NO_NOTE31_1_1</t>
  </si>
  <si>
    <t>NO_NOTE31_1_2</t>
  </si>
  <si>
    <t>N-2</t>
  </si>
  <si>
    <t>NO_NOTE31_1_3</t>
  </si>
  <si>
    <t>N-3</t>
  </si>
  <si>
    <t>NO_NOTE31_1_4</t>
  </si>
  <si>
    <t>N-4</t>
  </si>
  <si>
    <t>NO_NOTE31_1_5</t>
  </si>
  <si>
    <t>NO_NOTE31_2_1</t>
  </si>
  <si>
    <t>NO_NOTE31_2_2</t>
  </si>
  <si>
    <t>NO_NOTE31_2_3</t>
  </si>
  <si>
    <t>NO_NOTE31_2_4</t>
  </si>
  <si>
    <t>NO_NOTE31_2_5</t>
  </si>
  <si>
    <t>NO_NOTE31_3_1</t>
  </si>
  <si>
    <t>NO_NOTE31_3_2</t>
  </si>
  <si>
    <t>NO_NOTE31_3_3</t>
  </si>
  <si>
    <t>NO_NOTE31_3_4</t>
  </si>
  <si>
    <t>NO_NOTE31_3_5</t>
  </si>
  <si>
    <t>NO_NOTE31_4_1</t>
  </si>
  <si>
    <t>NO_NOTE31_4_2</t>
  </si>
  <si>
    <t>NO_NOTE31_4_3</t>
  </si>
  <si>
    <t>NO_NOTE31_4_4</t>
  </si>
  <si>
    <t>NO_NOTE31_4_5</t>
  </si>
  <si>
    <t>NO_NOTE31_5_1</t>
  </si>
  <si>
    <t>NO_NOTE31_5_2</t>
  </si>
  <si>
    <t>NO_NOTE31_5_3</t>
  </si>
  <si>
    <t>NO_NOTE31_5_4</t>
  </si>
  <si>
    <t>NO_NOTE31_5_5</t>
  </si>
  <si>
    <t>NO_NOTE31_6_1</t>
  </si>
  <si>
    <t>NO_NOTE31_6_2</t>
  </si>
  <si>
    <t>NO_NOTE31_6_3</t>
  </si>
  <si>
    <t>NO_NOTE31_6_4</t>
  </si>
  <si>
    <t>NO_NOTE31_6_5</t>
  </si>
  <si>
    <t>NO_NOTE31_7_1</t>
  </si>
  <si>
    <t>NO_NOTE31_7_2</t>
  </si>
  <si>
    <t>NO_NOTE31_7_3</t>
  </si>
  <si>
    <t>NO_NOTE31_7_4</t>
  </si>
  <si>
    <t>NO_NOTE31_7_5</t>
  </si>
  <si>
    <t>OPERATIONS ET RESULTATS DE L'EXERCICE (3)</t>
  </si>
  <si>
    <t>NO_NOTE31_8_1</t>
  </si>
  <si>
    <t>NO_NOTE31_8_2</t>
  </si>
  <si>
    <t>NO_NOTE31_8_3</t>
  </si>
  <si>
    <t>NO_NOTE31_8_4</t>
  </si>
  <si>
    <t>NO_NOTE31_8_5</t>
  </si>
  <si>
    <t>NO_NOTE31_9_1</t>
  </si>
  <si>
    <t>NO_NOTE31_9_2</t>
  </si>
  <si>
    <t>NO_NOTE31_9_3</t>
  </si>
  <si>
    <t>NO_NOTE31_9_4</t>
  </si>
  <si>
    <t>NO_NOTE31_9_5</t>
  </si>
  <si>
    <t>NO_NOTE31_10_1</t>
  </si>
  <si>
    <t>NO_NOTE31_10_2</t>
  </si>
  <si>
    <t>NO_NOTE31_10_3</t>
  </si>
  <si>
    <t>NO_NOTE31_10_4</t>
  </si>
  <si>
    <t>NO_NOTE31_10_5</t>
  </si>
  <si>
    <t>NO_NOTE31_11_1</t>
  </si>
  <si>
    <t>NO_NOTE31_11_2</t>
  </si>
  <si>
    <t>NO_NOTE31_11_3</t>
  </si>
  <si>
    <t>NO_NOTE31_11_4</t>
  </si>
  <si>
    <t>NO_NOTE31_11_5</t>
  </si>
  <si>
    <t>NO_NOTE31_12_1</t>
  </si>
  <si>
    <t>NO_NOTE31_12_2</t>
  </si>
  <si>
    <t>NO_NOTE31_12_3</t>
  </si>
  <si>
    <t>NO_NOTE31_12_4</t>
  </si>
  <si>
    <t>NO_NOTE31_12_5</t>
  </si>
  <si>
    <t>NO_NOTE31_13_1</t>
  </si>
  <si>
    <t>NO_NOTE31_13_2</t>
  </si>
  <si>
    <t>NO_NOTE31_13_3</t>
  </si>
  <si>
    <t>NO_NOTE31_13_4</t>
  </si>
  <si>
    <t>NO_NOTE31_13_5</t>
  </si>
  <si>
    <t>NO_NOTE31_14_1</t>
  </si>
  <si>
    <t>NO_NOTE31_14_2</t>
  </si>
  <si>
    <t>NO_NOTE31_14_3</t>
  </si>
  <si>
    <t>NO_NOTE31_14_4</t>
  </si>
  <si>
    <t>NO_NOTE31_14_5</t>
  </si>
  <si>
    <t>NO_NOTE31_15_1</t>
  </si>
  <si>
    <t>NO_NOTE31_15_2</t>
  </si>
  <si>
    <t>NO_NOTE31_15_3</t>
  </si>
  <si>
    <t>NO_NOTE31_15_4</t>
  </si>
  <si>
    <t>NO_NOTE31_15_5</t>
  </si>
  <si>
    <t>NO_NOTE31_16_1</t>
  </si>
  <si>
    <t>NO_NOTE31_16_2</t>
  </si>
  <si>
    <t>NO_NOTE31_16_3</t>
  </si>
  <si>
    <t>NO_NOTE31_16_4</t>
  </si>
  <si>
    <t>NO_NOTE31_16_5</t>
  </si>
  <si>
    <t>NO_NOTE31_17_1</t>
  </si>
  <si>
    <t>NO_NOTE31_17_2</t>
  </si>
  <si>
    <t>NO_NOTE31_17_3</t>
  </si>
  <si>
    <t>NO_NOTE31_17_4</t>
  </si>
  <si>
    <t>NO_NOTE31_17_5</t>
  </si>
  <si>
    <t>Effectif moyen des travailleurs au cours de l'exercice (personnel propre)</t>
  </si>
  <si>
    <t>NO_NOTE31_18_1</t>
  </si>
  <si>
    <t>NO_NOTE31_18_2</t>
  </si>
  <si>
    <t>NO_NOTE31_18_3</t>
  </si>
  <si>
    <t>NO_NOTE31_18_4</t>
  </si>
  <si>
    <t>NO_NOTE31_18_5</t>
  </si>
  <si>
    <t>NO_NOTE31_19_1</t>
  </si>
  <si>
    <t>NO_NOTE31_19_2</t>
  </si>
  <si>
    <t>NO_NOTE31_19_3</t>
  </si>
  <si>
    <t>NO_NOTE31_19_4</t>
  </si>
  <si>
    <t>NO_NOTE31_19_5</t>
  </si>
  <si>
    <t>Masse salariale distribuée au cours de l'exercice (6)</t>
  </si>
  <si>
    <t>NO_NOTE31_20_1</t>
  </si>
  <si>
    <t>NO_NOTE31_20_2</t>
  </si>
  <si>
    <t>NO_NOTE31_20_3</t>
  </si>
  <si>
    <t>NO_NOTE31_20_4</t>
  </si>
  <si>
    <t>NO_NOTE31_20_5</t>
  </si>
  <si>
    <t>Avantages sociaux versés au cours de l'exercice (7) [Sécurité sociale, œuvres sociales]</t>
  </si>
  <si>
    <t>NO_NOTE31_21_1</t>
  </si>
  <si>
    <t>NO_NOTE31_21_2</t>
  </si>
  <si>
    <t>NO_NOTE31_21_3</t>
  </si>
  <si>
    <t>NO_NOTE31_21_4</t>
  </si>
  <si>
    <t>NO_NOTE31_21_5</t>
  </si>
  <si>
    <t>Personnel extérieur facturé à l'entité (compte 667)</t>
  </si>
  <si>
    <t>NO_NOTE31_22_1</t>
  </si>
  <si>
    <t>NO_NOTE31_22_2</t>
  </si>
  <si>
    <t>NO_NOTE31_22_3</t>
  </si>
  <si>
    <t>NO_NOTE31_22_4</t>
  </si>
  <si>
    <t>NO_NOTE31_22_5</t>
  </si>
  <si>
    <t>NO_NOTE34_3_1</t>
  </si>
  <si>
    <t>NO_NOTE34_3_2</t>
  </si>
  <si>
    <t>NO_NOTE34_3_3</t>
  </si>
  <si>
    <t>NO_NOTE34_4_1</t>
  </si>
  <si>
    <t>NO_NOTE34_4_2</t>
  </si>
  <si>
    <t>NO_NOTE34_4_3</t>
  </si>
  <si>
    <t>NO_NOTE34_5_1</t>
  </si>
  <si>
    <t>NO_NOTE34_5_2</t>
  </si>
  <si>
    <t>NO_NOTE34_5_3</t>
  </si>
  <si>
    <t>NO_NOTE34_6_1</t>
  </si>
  <si>
    <t>NO_NOTE34_6_2</t>
  </si>
  <si>
    <t>NO_NOTE34_6_3</t>
  </si>
  <si>
    <t>NO_NOTE34_7_1</t>
  </si>
  <si>
    <t>NO_NOTE34_7_2</t>
  </si>
  <si>
    <t>NO_NOTE34_7_3</t>
  </si>
  <si>
    <t>NO_NOTE34_8_1</t>
  </si>
  <si>
    <t>NO_NOTE34_8_2</t>
  </si>
  <si>
    <t>NO_NOTE34_8_3</t>
  </si>
  <si>
    <t>NO_NOTE34_9_1</t>
  </si>
  <si>
    <t>NO_NOTE34_9_2</t>
  </si>
  <si>
    <t>NO_NOTE34_9_3</t>
  </si>
  <si>
    <t>NO_NOTE34_10_1</t>
  </si>
  <si>
    <t>NO_NOTE34_10_2</t>
  </si>
  <si>
    <t>NO_NOTE34_10_3</t>
  </si>
  <si>
    <t>NO_NOTE34_11_1</t>
  </si>
  <si>
    <t>NO_NOTE34_11_2</t>
  </si>
  <si>
    <t>NO_NOTE34_11_3</t>
  </si>
  <si>
    <t>NO_NOTE34_13_1</t>
  </si>
  <si>
    <t>NO_NOTE34_13_2</t>
  </si>
  <si>
    <t>NO_NOTE34_14_1</t>
  </si>
  <si>
    <t>NO_NOTE34_14_2</t>
  </si>
  <si>
    <t>NO_NOTE34_15_1</t>
  </si>
  <si>
    <t>NO_NOTE34_15_2</t>
  </si>
  <si>
    <t>NO_NOTE34_16_1</t>
  </si>
  <si>
    <t>NO_NOTE34_16_2</t>
  </si>
  <si>
    <t>NO_NOTE34_16_3</t>
  </si>
  <si>
    <t>NO_NOTE34_17_1</t>
  </si>
  <si>
    <t>NO_NOTE34_17_2</t>
  </si>
  <si>
    <t>NO_NOTE34_18_1</t>
  </si>
  <si>
    <t>NO_NOTE34_18_2</t>
  </si>
  <si>
    <t>NO_NOTE34_19_1</t>
  </si>
  <si>
    <t>NO_NOTE34_19_2</t>
  </si>
  <si>
    <t>NO_NOTE34_20_1</t>
  </si>
  <si>
    <t>NO_NOTE34_20_2</t>
  </si>
  <si>
    <t>NO_NOTE34_21_1</t>
  </si>
  <si>
    <t>NO_NOTE34_21_2</t>
  </si>
  <si>
    <t>NO_NOTE34_22_1</t>
  </si>
  <si>
    <t>NO_NOTE34_22_2</t>
  </si>
  <si>
    <t>NO_NOTE34_23_1</t>
  </si>
  <si>
    <t>NO_NOTE34_23_2</t>
  </si>
  <si>
    <t>NO_NOTE34_24_1</t>
  </si>
  <si>
    <t>NO_NOTE34_24_2</t>
  </si>
  <si>
    <t>NO_NOTE34_25_1</t>
  </si>
  <si>
    <t>NO_NOTE34_25_2</t>
  </si>
  <si>
    <t>NO_NOTE34_26_1</t>
  </si>
  <si>
    <t>NO_NOTE34_26_2</t>
  </si>
  <si>
    <t>NO_NOTE34_27_1</t>
  </si>
  <si>
    <t>NO_NOTE34_27_2</t>
  </si>
  <si>
    <t>NO_NOTE34_27_3</t>
  </si>
  <si>
    <t>NO_NOTE34_28_1</t>
  </si>
  <si>
    <t>NO_NOTE34_28_2</t>
  </si>
  <si>
    <t>NO_NOTE34_28_3</t>
  </si>
  <si>
    <t>NO_NOTE34_29_1</t>
  </si>
  <si>
    <t>NO_NOTE34_29_2</t>
  </si>
  <si>
    <t>NO_NOTE34_29_3</t>
  </si>
  <si>
    <t>NO_NOTE34_31_1</t>
  </si>
  <si>
    <t>NO_NOTE34_31_2</t>
  </si>
  <si>
    <t>NO_NOTE34_31_3</t>
  </si>
  <si>
    <t>NO_NOTE34_32_1</t>
  </si>
  <si>
    <t>NO_NOTE34_32_2</t>
  </si>
  <si>
    <t>NO_NOTE34_32_3</t>
  </si>
  <si>
    <t>NO_NOTE34_34_1</t>
  </si>
  <si>
    <t>NO_NOTE34_34_2</t>
  </si>
  <si>
    <t>NO_NOTE34_34_3</t>
  </si>
  <si>
    <t>NO_NOTE34_35_1</t>
  </si>
  <si>
    <t>NO_NOTE34_35_2</t>
  </si>
  <si>
    <t>NO_NOTE34_35_3</t>
  </si>
  <si>
    <t>NO_NOTE34_36_1</t>
  </si>
  <si>
    <t>NO_NOTE34_36_2</t>
  </si>
  <si>
    <t>NO_NOTE34_36_3</t>
  </si>
  <si>
    <t>NO_NOTE34_37_1</t>
  </si>
  <si>
    <t>NO_NOTE34_37_2</t>
  </si>
  <si>
    <t>NO_NOTE34_37_3</t>
  </si>
  <si>
    <t>NO_NOTE34_38_1</t>
  </si>
  <si>
    <t>NO_NOTE34_38_2</t>
  </si>
  <si>
    <t>NO_NOTE34_38_3</t>
  </si>
  <si>
    <t>NO_NOTE34_39_1</t>
  </si>
  <si>
    <t>NO_NOTE34_39_2</t>
  </si>
  <si>
    <t>NO_NOTE34_39_3</t>
  </si>
  <si>
    <t>NO_NOTE34_40_1</t>
  </si>
  <si>
    <t>NO_NOTE34_40_2</t>
  </si>
  <si>
    <t>NO_NOTE34_40_3</t>
  </si>
  <si>
    <t>NO_NOTE34_41_1</t>
  </si>
  <si>
    <t>NO_NOTE34_41_2</t>
  </si>
  <si>
    <t>NO_NOTE34_41_3</t>
  </si>
  <si>
    <t>NO_NOTE34_42_1</t>
  </si>
  <si>
    <t>NO_NOTE34_42_2</t>
  </si>
  <si>
    <t>NO_NOTE34_42_3</t>
  </si>
  <si>
    <t>NO_NOTE34_43_1</t>
  </si>
  <si>
    <t>NO_NOTE34_43_2</t>
  </si>
  <si>
    <t>NO_NOTE34_43_3</t>
  </si>
  <si>
    <t>NO_NOTE34_44_1</t>
  </si>
  <si>
    <t>NO_NOTE34_44_2</t>
  </si>
  <si>
    <t>NO_NOTE34_44_3</t>
  </si>
  <si>
    <t>NO_NOTE34_45_1</t>
  </si>
  <si>
    <t>NO_NOTE34_45_2</t>
  </si>
  <si>
    <t>NO_NOTE34_45_3</t>
  </si>
  <si>
    <t>NO_NOTE34_46_1</t>
  </si>
  <si>
    <t>NO_NOTE34_46_2</t>
  </si>
  <si>
    <t>NO_NOTE34_46_3</t>
  </si>
  <si>
    <t>NO_NOTE34_47_1</t>
  </si>
  <si>
    <t>NO_NOTE34_47_2</t>
  </si>
  <si>
    <t>NO_NOTE34_47_3</t>
  </si>
  <si>
    <t>NO_NOTE34_49_1</t>
  </si>
  <si>
    <t>NO_NOTE34_49_2</t>
  </si>
  <si>
    <t>NO_NOTE34_49_3</t>
  </si>
  <si>
    <t>NO_NOTE34_50_1</t>
  </si>
  <si>
    <t>NO_NOTE34_50_2</t>
  </si>
  <si>
    <t>NO_NOTE34_50_3</t>
  </si>
  <si>
    <t>NO_NOTE34_51_1</t>
  </si>
  <si>
    <t>NO_NOTE34_51_2</t>
  </si>
  <si>
    <t>NO_NOTE34_51_3</t>
  </si>
  <si>
    <t>NO_NOTE34_52_1</t>
  </si>
  <si>
    <t>NO_NOTE34_52_2</t>
  </si>
  <si>
    <t>NO_NOTE34_52_3</t>
  </si>
  <si>
    <t>NO_NOTE34_54_1</t>
  </si>
  <si>
    <t>NO_NOTE34_54_2</t>
  </si>
  <si>
    <t>NO_NOTE34_54_3</t>
  </si>
  <si>
    <t>NO_NOTE34_55_1</t>
  </si>
  <si>
    <t>NO_NOTE34_55_2</t>
  </si>
  <si>
    <t>NO_NOTE34_55_3</t>
  </si>
  <si>
    <t>NO_NOTE34_56_1</t>
  </si>
  <si>
    <t>NO_NOTE34_56_2</t>
  </si>
  <si>
    <t>NO_NOTE34_56_3</t>
  </si>
  <si>
    <t>A : RESULTAT NET COMPTABLE DE L'EXERCICE</t>
  </si>
  <si>
    <t>D : RESULTAT IMPOSABLE AVANT DEDUCTION DES DEFICITS (A+B-C)</t>
  </si>
  <si>
    <t>E : DEFICITS  ANTERIEURS A L'EXERCICE</t>
  </si>
  <si>
    <t>F : AMORTISSEMENTS REGULIEREMENT DIFFERES</t>
  </si>
  <si>
    <t>G : AMORTISSEMENTS DE L'EXERCICE A DIFFERER</t>
  </si>
  <si>
    <t>H : RESULTAT FISCAL DE L'EXERCICE (D-E-F+G)</t>
  </si>
  <si>
    <t>I: IMPOTS SUR LE RESULTAT</t>
  </si>
  <si>
    <t>Valeurs</t>
  </si>
  <si>
    <t>B - EV. POSTERIEURS A LA DATE DE CLOTURE NE DONNANT PAS LIEU A DES AJUSTEMENTS DES ETATS FINANCIERS</t>
  </si>
  <si>
    <t>NO_CHARGES_6011_1</t>
  </si>
  <si>
    <t>NO_CHARGES_6011_2</t>
  </si>
  <si>
    <t>NO_CHARGES_6011_3</t>
  </si>
  <si>
    <t>NO_CHARGES_6011_4</t>
  </si>
  <si>
    <t>NO_CHARGES_6012_1</t>
  </si>
  <si>
    <t>NO_CHARGES_6012_2</t>
  </si>
  <si>
    <t>NO_CHARGES_6012_3</t>
  </si>
  <si>
    <t>NO_CHARGES_6012_4</t>
  </si>
  <si>
    <t>NO_CHARGES_6013_1</t>
  </si>
  <si>
    <t>NO_CHARGES_6013_2</t>
  </si>
  <si>
    <t>NO_CHARGES_6013_3</t>
  </si>
  <si>
    <t>NO_CHARGES_6013_4</t>
  </si>
  <si>
    <t>NO_CHARGES_6014_1</t>
  </si>
  <si>
    <t>NO_CHARGES_6014_2</t>
  </si>
  <si>
    <t>NO_CHARGES_6014_3</t>
  </si>
  <si>
    <t>NO_CHARGES_6014_4</t>
  </si>
  <si>
    <t>NO_CHARGES_6015_1</t>
  </si>
  <si>
    <t>NO_CHARGES_6015_2</t>
  </si>
  <si>
    <t>NO_CHARGES_6015_3</t>
  </si>
  <si>
    <t>NO_CHARGES_6015_4</t>
  </si>
  <si>
    <t>NO_CHARGES_6019_1</t>
  </si>
  <si>
    <t>NO_CHARGES_6019_2</t>
  </si>
  <si>
    <t>NO_CHARGES_6019_3</t>
  </si>
  <si>
    <t>NO_CHARGES_6019_4</t>
  </si>
  <si>
    <t>NO_CHARGES_RA_1</t>
  </si>
  <si>
    <t>NO_CHARGES_RA_2</t>
  </si>
  <si>
    <t>NO_CHARGES_RA_3</t>
  </si>
  <si>
    <t>NO_CHARGES_RA_4</t>
  </si>
  <si>
    <t>NO_CHARGES_6031_1</t>
  </si>
  <si>
    <t>NO_CHARGES_6031_2</t>
  </si>
  <si>
    <t>NO_CHARGES_6031_3</t>
  </si>
  <si>
    <t>NO_CHARGES_6031_4</t>
  </si>
  <si>
    <t>NO_CHARGES_RB_1</t>
  </si>
  <si>
    <t>NO_CHARGES_RB_2</t>
  </si>
  <si>
    <t>NO_CHARGES_RB_3</t>
  </si>
  <si>
    <t>NO_CHARGES_RB_4</t>
  </si>
  <si>
    <t>NO_CHARGES_6021_1</t>
  </si>
  <si>
    <t>NO_CHARGES_6021_2</t>
  </si>
  <si>
    <t>NO_CHARGES_6021_3</t>
  </si>
  <si>
    <t>NO_CHARGES_6021_4</t>
  </si>
  <si>
    <t>NO_CHARGES_6022_1</t>
  </si>
  <si>
    <t>NO_CHARGES_6022_2</t>
  </si>
  <si>
    <t>NO_CHARGES_6022_3</t>
  </si>
  <si>
    <t>NO_CHARGES_6022_4</t>
  </si>
  <si>
    <t>NO_CHARGES_6023_1</t>
  </si>
  <si>
    <t>NO_CHARGES_6023_2</t>
  </si>
  <si>
    <t>NO_CHARGES_6023_3</t>
  </si>
  <si>
    <t>NO_CHARGES_6023_4</t>
  </si>
  <si>
    <t>NO_CHARGES_6024_1</t>
  </si>
  <si>
    <t>NO_CHARGES_6024_2</t>
  </si>
  <si>
    <t>NO_CHARGES_6024_3</t>
  </si>
  <si>
    <t>NO_CHARGES_6024_4</t>
  </si>
  <si>
    <t>NO_CHARGES_6025_1</t>
  </si>
  <si>
    <t>NO_CHARGES_6025_2</t>
  </si>
  <si>
    <t>NO_CHARGES_6025_3</t>
  </si>
  <si>
    <t>NO_CHARGES_6025_4</t>
  </si>
  <si>
    <t>NO_CHARGES_6029_1</t>
  </si>
  <si>
    <t>NO_CHARGES_6029_2</t>
  </si>
  <si>
    <t>NO_CHARGES_6029_3</t>
  </si>
  <si>
    <t>NO_CHARGES_6029_4</t>
  </si>
  <si>
    <t>NO_CHARGES_RC_1</t>
  </si>
  <si>
    <t>NO_CHARGES_RC_2</t>
  </si>
  <si>
    <t>NO_CHARGES_RC_3</t>
  </si>
  <si>
    <t>NO_CHARGES_RC_4</t>
  </si>
  <si>
    <t>NO_CHARGES_6032_1</t>
  </si>
  <si>
    <t>NO_CHARGES_6032_2</t>
  </si>
  <si>
    <t>NO_CHARGES_6032_3</t>
  </si>
  <si>
    <t>NO_CHARGES_6032_4</t>
  </si>
  <si>
    <t>NO_CHARGES_RD_1</t>
  </si>
  <si>
    <t>NO_CHARGES_RD_2</t>
  </si>
  <si>
    <t>NO_CHARGES_RD_3</t>
  </si>
  <si>
    <t>NO_CHARGES_RD_4</t>
  </si>
  <si>
    <t>NO_CHARGES_6041_1</t>
  </si>
  <si>
    <t>NO_CHARGES_6041_2</t>
  </si>
  <si>
    <t>NO_CHARGES_6041_3</t>
  </si>
  <si>
    <t>NO_CHARGES_6041_4</t>
  </si>
  <si>
    <t>NO_CHARGES_6042_1</t>
  </si>
  <si>
    <t>NO_CHARGES_6042_2</t>
  </si>
  <si>
    <t>NO_CHARGES_6042_3</t>
  </si>
  <si>
    <t>NO_CHARGES_6042_4</t>
  </si>
  <si>
    <t>NO_CHARGES_6043_1</t>
  </si>
  <si>
    <t>NO_CHARGES_6043_2</t>
  </si>
  <si>
    <t>NO_CHARGES_6043_3</t>
  </si>
  <si>
    <t>NO_CHARGES_6043_4</t>
  </si>
  <si>
    <t>NO_CHARGES_6044_1</t>
  </si>
  <si>
    <t>NO_CHARGES_6044_2</t>
  </si>
  <si>
    <t>NO_CHARGES_6044_3</t>
  </si>
  <si>
    <t>NO_CHARGES_6044_4</t>
  </si>
  <si>
    <t>NO_CHARGES_6045_1</t>
  </si>
  <si>
    <t>NO_CHARGES_6045_2</t>
  </si>
  <si>
    <t>NO_CHARGES_6045_3</t>
  </si>
  <si>
    <t>NO_CHARGES_6045_4</t>
  </si>
  <si>
    <t>NO_CHARGES_6046_1</t>
  </si>
  <si>
    <t>NO_CHARGES_6046_2</t>
  </si>
  <si>
    <t>NO_CHARGES_6046_3</t>
  </si>
  <si>
    <t>NO_CHARGES_6046_4</t>
  </si>
  <si>
    <t>NO_CHARGES_6047_1</t>
  </si>
  <si>
    <t>NO_CHARGES_6047_2</t>
  </si>
  <si>
    <t>NO_CHARGES_6047_3</t>
  </si>
  <si>
    <t>NO_CHARGES_6047_4</t>
  </si>
  <si>
    <t>NO_CHARGES_6049_1</t>
  </si>
  <si>
    <t>NO_CHARGES_6049_2</t>
  </si>
  <si>
    <t>NO_CHARGES_6049_3</t>
  </si>
  <si>
    <t>NO_CHARGES_6049_4</t>
  </si>
  <si>
    <t>NO_CHARGES_6051_1</t>
  </si>
  <si>
    <t>NO_CHARGES_6051_2</t>
  </si>
  <si>
    <t>NO_CHARGES_6051_3</t>
  </si>
  <si>
    <t>NO_CHARGES_6051_4</t>
  </si>
  <si>
    <t>NO_CHARGES_6052_1</t>
  </si>
  <si>
    <t>NO_CHARGES_6052_2</t>
  </si>
  <si>
    <t>NO_CHARGES_6052_3</t>
  </si>
  <si>
    <t>NO_CHARGES_6052_4</t>
  </si>
  <si>
    <t>NO_CHARGES_6053_1</t>
  </si>
  <si>
    <t>NO_CHARGES_6053_2</t>
  </si>
  <si>
    <t>NO_CHARGES_6053_3</t>
  </si>
  <si>
    <t>NO_CHARGES_6053_4</t>
  </si>
  <si>
    <t>NO_CHARGES_6054_1</t>
  </si>
  <si>
    <t>NO_CHARGES_6054_2</t>
  </si>
  <si>
    <t>NO_CHARGES_6054_3</t>
  </si>
  <si>
    <t>NO_CHARGES_6054_4</t>
  </si>
  <si>
    <t>NO_CHARGES_6055_1</t>
  </si>
  <si>
    <t>NO_CHARGES_6055_2</t>
  </si>
  <si>
    <t>NO_CHARGES_6055_3</t>
  </si>
  <si>
    <t>NO_CHARGES_6055_4</t>
  </si>
  <si>
    <t>NO_CHARGES_6056_1</t>
  </si>
  <si>
    <t>NO_CHARGES_6056_2</t>
  </si>
  <si>
    <t>NO_CHARGES_6056_3</t>
  </si>
  <si>
    <t>NO_CHARGES_6056_4</t>
  </si>
  <si>
    <t>NO_CHARGES_6057_1</t>
  </si>
  <si>
    <t>NO_CHARGES_6057_2</t>
  </si>
  <si>
    <t>NO_CHARGES_6057_3</t>
  </si>
  <si>
    <t>NO_CHARGES_6057_4</t>
  </si>
  <si>
    <t>NO_CHARGES_6058_1</t>
  </si>
  <si>
    <t>NO_CHARGES_6058_2</t>
  </si>
  <si>
    <t>NO_CHARGES_6058_3</t>
  </si>
  <si>
    <t>NO_CHARGES_6058_4</t>
  </si>
  <si>
    <t>NO_CHARGES_6059_1</t>
  </si>
  <si>
    <t>NO_CHARGES_6059_2</t>
  </si>
  <si>
    <t>NO_CHARGES_6059_3</t>
  </si>
  <si>
    <t>NO_CHARGES_6059_4</t>
  </si>
  <si>
    <t>NO_CHARGES_6081_1</t>
  </si>
  <si>
    <t>NO_CHARGES_6081_2</t>
  </si>
  <si>
    <t>NO_CHARGES_6081_3</t>
  </si>
  <si>
    <t>NO_CHARGES_6081_4</t>
  </si>
  <si>
    <t>NO_CHARGES_6082_1</t>
  </si>
  <si>
    <t>NO_CHARGES_6082_2</t>
  </si>
  <si>
    <t>NO_CHARGES_6082_3</t>
  </si>
  <si>
    <t>NO_CHARGES_6082_4</t>
  </si>
  <si>
    <t>NO_CHARGES_6083_1</t>
  </si>
  <si>
    <t>NO_CHARGES_6083_2</t>
  </si>
  <si>
    <t>NO_CHARGES_6083_3</t>
  </si>
  <si>
    <t>NO_CHARGES_6083_4</t>
  </si>
  <si>
    <t>NO_CHARGES_6085_1</t>
  </si>
  <si>
    <t>NO_CHARGES_6085_2</t>
  </si>
  <si>
    <t>NO_CHARGES_6085_3</t>
  </si>
  <si>
    <t>NO_CHARGES_6085_4</t>
  </si>
  <si>
    <t>NO_CHARGES_6089_1</t>
  </si>
  <si>
    <t>NO_CHARGES_6089_2</t>
  </si>
  <si>
    <t>NO_CHARGES_6089_3</t>
  </si>
  <si>
    <t>NO_CHARGES_6089_4</t>
  </si>
  <si>
    <t>NO_CHARGES_RE_1</t>
  </si>
  <si>
    <t>NO_CHARGES_RE_2</t>
  </si>
  <si>
    <t>NO_CHARGES_RE_3</t>
  </si>
  <si>
    <t>NO_CHARGES_RE_4</t>
  </si>
  <si>
    <t>NO_CHARGES_6033_1</t>
  </si>
  <si>
    <t>NO_CHARGES_6033_2</t>
  </si>
  <si>
    <t>NO_CHARGES_6033_3</t>
  </si>
  <si>
    <t>NO_CHARGES_6033_4</t>
  </si>
  <si>
    <t>NO_CHARGES_RF_1</t>
  </si>
  <si>
    <t>NO_CHARGES_RF_2</t>
  </si>
  <si>
    <t>NO_CHARGES_RF_3</t>
  </si>
  <si>
    <t>NO_CHARGES_RF_4</t>
  </si>
  <si>
    <t>NO_CHARGES_612_1</t>
  </si>
  <si>
    <t>NO_CHARGES_612_2</t>
  </si>
  <si>
    <t>NO_CHARGES_612_3</t>
  </si>
  <si>
    <t>NO_CHARGES_612_4</t>
  </si>
  <si>
    <t>NO_CHARGES_613_1</t>
  </si>
  <si>
    <t>NO_CHARGES_613_2</t>
  </si>
  <si>
    <t>NO_CHARGES_613_3</t>
  </si>
  <si>
    <t>NO_CHARGES_613_4</t>
  </si>
  <si>
    <t>NO_CHARGES_614_1</t>
  </si>
  <si>
    <t>NO_CHARGES_614_2</t>
  </si>
  <si>
    <t>NO_CHARGES_614_3</t>
  </si>
  <si>
    <t>NO_CHARGES_614_4</t>
  </si>
  <si>
    <t>NO_CHARGES_616_1</t>
  </si>
  <si>
    <t>NO_CHARGES_616_2</t>
  </si>
  <si>
    <t>NO_CHARGES_616_3</t>
  </si>
  <si>
    <t>NO_CHARGES_616_4</t>
  </si>
  <si>
    <t>NO_CHARGES_6181_1</t>
  </si>
  <si>
    <t>NO_CHARGES_6181_2</t>
  </si>
  <si>
    <t>NO_CHARGES_6181_3</t>
  </si>
  <si>
    <t>NO_CHARGES_6181_4</t>
  </si>
  <si>
    <t>NO_CHARGES_6182_1</t>
  </si>
  <si>
    <t>NO_CHARGES_6182_2</t>
  </si>
  <si>
    <t>NO_CHARGES_6182_3</t>
  </si>
  <si>
    <t>NO_CHARGES_6182_4</t>
  </si>
  <si>
    <t>NO_CHARGES_6183_1</t>
  </si>
  <si>
    <t>NO_CHARGES_6183_2</t>
  </si>
  <si>
    <t>NO_CHARGES_6183_3</t>
  </si>
  <si>
    <t>NO_CHARGES_6183_4</t>
  </si>
  <si>
    <t>NO_CHARGES_619_1</t>
  </si>
  <si>
    <t>NO_CHARGES_619_2</t>
  </si>
  <si>
    <t>NO_CHARGES_619_3</t>
  </si>
  <si>
    <t>NO_CHARGES_619_4</t>
  </si>
  <si>
    <t>NO_CHARGES_RG_1</t>
  </si>
  <si>
    <t>NO_CHARGES_RG_2</t>
  </si>
  <si>
    <t>NO_CHARGES_RG_3</t>
  </si>
  <si>
    <t>NO_CHARGES_RG_4</t>
  </si>
  <si>
    <t>NO_CHARGES_621_1</t>
  </si>
  <si>
    <t>NO_CHARGES_621_2</t>
  </si>
  <si>
    <t>NO_CHARGES_621_3</t>
  </si>
  <si>
    <t>NO_CHARGES_621_4</t>
  </si>
  <si>
    <t>NO_CHARGES_6221_1</t>
  </si>
  <si>
    <t>NO_CHARGES_6221_2</t>
  </si>
  <si>
    <t>NO_CHARGES_6221_3</t>
  </si>
  <si>
    <t>NO_CHARGES_6221_4</t>
  </si>
  <si>
    <t>NO_CHARGES_6222_1</t>
  </si>
  <si>
    <t>NO_CHARGES_6222_2</t>
  </si>
  <si>
    <t>NO_CHARGES_6222_3</t>
  </si>
  <si>
    <t>NO_CHARGES_6222_4</t>
  </si>
  <si>
    <t>NO_CHARGES_6223_1</t>
  </si>
  <si>
    <t>NO_CHARGES_6223_2</t>
  </si>
  <si>
    <t>NO_CHARGES_6223_3</t>
  </si>
  <si>
    <t>NO_CHARGES_6223_4</t>
  </si>
  <si>
    <t>NO_CHARGES_6224_1</t>
  </si>
  <si>
    <t>NO_CHARGES_6224_2</t>
  </si>
  <si>
    <t>NO_CHARGES_6224_3</t>
  </si>
  <si>
    <t>NO_CHARGES_6224_4</t>
  </si>
  <si>
    <t>NO_CHARGES_6225_1</t>
  </si>
  <si>
    <t>NO_CHARGES_6225_2</t>
  </si>
  <si>
    <t>NO_CHARGES_6225_3</t>
  </si>
  <si>
    <t>NO_CHARGES_6225_4</t>
  </si>
  <si>
    <t>NO_CHARGES_6226_1</t>
  </si>
  <si>
    <t>NO_CHARGES_6226_2</t>
  </si>
  <si>
    <t>NO_CHARGES_6226_3</t>
  </si>
  <si>
    <t>NO_CHARGES_6226_4</t>
  </si>
  <si>
    <t>NO_CHARGES_6228_1</t>
  </si>
  <si>
    <t>NO_CHARGES_6228_2</t>
  </si>
  <si>
    <t>NO_CHARGES_6228_3</t>
  </si>
  <si>
    <t>NO_CHARGES_6228_4</t>
  </si>
  <si>
    <t>NO_CHARGES_6232_1</t>
  </si>
  <si>
    <t>NO_CHARGES_6232_2</t>
  </si>
  <si>
    <t>NO_CHARGES_6232_3</t>
  </si>
  <si>
    <t>NO_CHARGES_6232_4</t>
  </si>
  <si>
    <t>NO_CHARGES_6233_1</t>
  </si>
  <si>
    <t>NO_CHARGES_6233_2</t>
  </si>
  <si>
    <t>NO_CHARGES_6233_3</t>
  </si>
  <si>
    <t>NO_CHARGES_6233_4</t>
  </si>
  <si>
    <t>NO_CHARGES_6234_1</t>
  </si>
  <si>
    <t>NO_CHARGES_6234_2</t>
  </si>
  <si>
    <t>NO_CHARGES_6234_3</t>
  </si>
  <si>
    <t>NO_CHARGES_6234_4</t>
  </si>
  <si>
    <t>NO_CHARGES_6238_1</t>
  </si>
  <si>
    <t>NO_CHARGES_6238_2</t>
  </si>
  <si>
    <t>NO_CHARGES_6238_3</t>
  </si>
  <si>
    <t>NO_CHARGES_6238_4</t>
  </si>
  <si>
    <t>NO_CHARGES_6241_1</t>
  </si>
  <si>
    <t>NO_CHARGES_6241_2</t>
  </si>
  <si>
    <t>NO_CHARGES_6241_3</t>
  </si>
  <si>
    <t>NO_CHARGES_6241_4</t>
  </si>
  <si>
    <t>NO_CHARGES_6242_1</t>
  </si>
  <si>
    <t>NO_CHARGES_6242_2</t>
  </si>
  <si>
    <t>NO_CHARGES_6242_3</t>
  </si>
  <si>
    <t>NO_CHARGES_6242_4</t>
  </si>
  <si>
    <t>NO_CHARGES_6243_1</t>
  </si>
  <si>
    <t>NO_CHARGES_6243_2</t>
  </si>
  <si>
    <t>NO_CHARGES_6243_3</t>
  </si>
  <si>
    <t>NO_CHARGES_6243_4</t>
  </si>
  <si>
    <t>NO_CHARGES_6244_1</t>
  </si>
  <si>
    <t>NO_CHARGES_6244_2</t>
  </si>
  <si>
    <t>NO_CHARGES_6244_3</t>
  </si>
  <si>
    <t>NO_CHARGES_6244_4</t>
  </si>
  <si>
    <t>NO_CHARGES_6248_1</t>
  </si>
  <si>
    <t>NO_CHARGES_6248_2</t>
  </si>
  <si>
    <t>NO_CHARGES_6248_3</t>
  </si>
  <si>
    <t>NO_CHARGES_6248_4</t>
  </si>
  <si>
    <t>NO_CHARGES_6251_1</t>
  </si>
  <si>
    <t>NO_CHARGES_6251_2</t>
  </si>
  <si>
    <t>NO_CHARGES_6251_3</t>
  </si>
  <si>
    <t>NO_CHARGES_6251_4</t>
  </si>
  <si>
    <t>NO_CHARGES_6252_1</t>
  </si>
  <si>
    <t>NO_CHARGES_6252_2</t>
  </si>
  <si>
    <t>NO_CHARGES_6252_3</t>
  </si>
  <si>
    <t>NO_CHARGES_6252_4</t>
  </si>
  <si>
    <t>NO_CHARGES_6253_1</t>
  </si>
  <si>
    <t>NO_CHARGES_6253_2</t>
  </si>
  <si>
    <t>NO_CHARGES_6253_3</t>
  </si>
  <si>
    <t>NO_CHARGES_6253_4</t>
  </si>
  <si>
    <t>NO_CHARGES_6254_1</t>
  </si>
  <si>
    <t>NO_CHARGES_6254_2</t>
  </si>
  <si>
    <t>NO_CHARGES_6254_3</t>
  </si>
  <si>
    <t>NO_CHARGES_6254_4</t>
  </si>
  <si>
    <t>NO_CHARGES_6255_1</t>
  </si>
  <si>
    <t>NO_CHARGES_6255_2</t>
  </si>
  <si>
    <t>NO_CHARGES_6255_3</t>
  </si>
  <si>
    <t>NO_CHARGES_6255_4</t>
  </si>
  <si>
    <t>NO_CHARGES_6257_1</t>
  </si>
  <si>
    <t>NO_CHARGES_6257_2</t>
  </si>
  <si>
    <t>NO_CHARGES_6257_3</t>
  </si>
  <si>
    <t>NO_CHARGES_6257_4</t>
  </si>
  <si>
    <t>NO_CHARGES_6258_1</t>
  </si>
  <si>
    <t>NO_CHARGES_6258_2</t>
  </si>
  <si>
    <t>NO_CHARGES_6258_3</t>
  </si>
  <si>
    <t>NO_CHARGES_6258_4</t>
  </si>
  <si>
    <t>NO_CHARGES_6261_1</t>
  </si>
  <si>
    <t>NO_CHARGES_6261_2</t>
  </si>
  <si>
    <t>NO_CHARGES_6261_3</t>
  </si>
  <si>
    <t>NO_CHARGES_6261_4</t>
  </si>
  <si>
    <t>NO_CHARGES_6265_1</t>
  </si>
  <si>
    <t>NO_CHARGES_6265_2</t>
  </si>
  <si>
    <t>NO_CHARGES_6265_3</t>
  </si>
  <si>
    <t>NO_CHARGES_6265_4</t>
  </si>
  <si>
    <t>NO_CHARGES_6266_1</t>
  </si>
  <si>
    <t>NO_CHARGES_6266_2</t>
  </si>
  <si>
    <t>NO_CHARGES_6266_3</t>
  </si>
  <si>
    <t>NO_CHARGES_6266_4</t>
  </si>
  <si>
    <t>NO_CHARGES_6271_1</t>
  </si>
  <si>
    <t>NO_CHARGES_6271_2</t>
  </si>
  <si>
    <t>NO_CHARGES_6271_3</t>
  </si>
  <si>
    <t>NO_CHARGES_6271_4</t>
  </si>
  <si>
    <t>NO_CHARGES_6272_1</t>
  </si>
  <si>
    <t>NO_CHARGES_6272_2</t>
  </si>
  <si>
    <t>NO_CHARGES_6272_3</t>
  </si>
  <si>
    <t>NO_CHARGES_6272_4</t>
  </si>
  <si>
    <t>NO_CHARGES_6273_1</t>
  </si>
  <si>
    <t>NO_CHARGES_6273_2</t>
  </si>
  <si>
    <t>NO_CHARGES_6273_3</t>
  </si>
  <si>
    <t>NO_CHARGES_6273_4</t>
  </si>
  <si>
    <t>NO_CHARGES_6274_1</t>
  </si>
  <si>
    <t>NO_CHARGES_6274_2</t>
  </si>
  <si>
    <t>NO_CHARGES_6274_3</t>
  </si>
  <si>
    <t>NO_CHARGES_6274_4</t>
  </si>
  <si>
    <t>NO_CHARGES_6275_1</t>
  </si>
  <si>
    <t>NO_CHARGES_6275_2</t>
  </si>
  <si>
    <t>NO_CHARGES_6275_3</t>
  </si>
  <si>
    <t>NO_CHARGES_6275_4</t>
  </si>
  <si>
    <t>NO_CHARGES_6276_1</t>
  </si>
  <si>
    <t>NO_CHARGES_6276_2</t>
  </si>
  <si>
    <t>NO_CHARGES_6276_3</t>
  </si>
  <si>
    <t>NO_CHARGES_6276_4</t>
  </si>
  <si>
    <t>NO_CHARGES_6277_1</t>
  </si>
  <si>
    <t>NO_CHARGES_6277_2</t>
  </si>
  <si>
    <t>NO_CHARGES_6277_3</t>
  </si>
  <si>
    <t>NO_CHARGES_6277_4</t>
  </si>
  <si>
    <t>NO_CHARGES_6278_1</t>
  </si>
  <si>
    <t>NO_CHARGES_6278_2</t>
  </si>
  <si>
    <t>NO_CHARGES_6278_3</t>
  </si>
  <si>
    <t>NO_CHARGES_6278_4</t>
  </si>
  <si>
    <t>NO_CHARGES_6281_1</t>
  </si>
  <si>
    <t>NO_CHARGES_6281_2</t>
  </si>
  <si>
    <t>NO_CHARGES_6281_3</t>
  </si>
  <si>
    <t>NO_CHARGES_6281_4</t>
  </si>
  <si>
    <t>NO_CHARGES_6282_1</t>
  </si>
  <si>
    <t>NO_CHARGES_6282_2</t>
  </si>
  <si>
    <t>NO_CHARGES_6282_3</t>
  </si>
  <si>
    <t>NO_CHARGES_6282_4</t>
  </si>
  <si>
    <t>NO_CHARGES_6283_1</t>
  </si>
  <si>
    <t>NO_CHARGES_6283_2</t>
  </si>
  <si>
    <t>NO_CHARGES_6283_3</t>
  </si>
  <si>
    <t>NO_CHARGES_6283_4</t>
  </si>
  <si>
    <t>NO_CHARGES_6284_1</t>
  </si>
  <si>
    <t>NO_CHARGES_6284_2</t>
  </si>
  <si>
    <t>NO_CHARGES_6284_3</t>
  </si>
  <si>
    <t>NO_CHARGES_6284_4</t>
  </si>
  <si>
    <t>NO_CHARGES_6288_1</t>
  </si>
  <si>
    <t>NO_CHARGES_6288_2</t>
  </si>
  <si>
    <t>NO_CHARGES_6288_3</t>
  </si>
  <si>
    <t>NO_CHARGES_6288_4</t>
  </si>
  <si>
    <t>NO_CHARGES_6311_1</t>
  </si>
  <si>
    <t>NO_CHARGES_6311_2</t>
  </si>
  <si>
    <t>NO_CHARGES_6311_3</t>
  </si>
  <si>
    <t>NO_CHARGES_6311_4</t>
  </si>
  <si>
    <t>NO_CHARGES_6312_1</t>
  </si>
  <si>
    <t>NO_CHARGES_6312_2</t>
  </si>
  <si>
    <t>NO_CHARGES_6312_3</t>
  </si>
  <si>
    <t>NO_CHARGES_6312_4</t>
  </si>
  <si>
    <t>NO_CHARGES_6313_1</t>
  </si>
  <si>
    <t>NO_CHARGES_6313_2</t>
  </si>
  <si>
    <t>NO_CHARGES_6313_3</t>
  </si>
  <si>
    <t>NO_CHARGES_6313_4</t>
  </si>
  <si>
    <t>NO_CHARGES_6314_1</t>
  </si>
  <si>
    <t>NO_CHARGES_6314_2</t>
  </si>
  <si>
    <t>NO_CHARGES_6314_3</t>
  </si>
  <si>
    <t>NO_CHARGES_6314_4</t>
  </si>
  <si>
    <t>NO_CHARGES_6315_1</t>
  </si>
  <si>
    <t>NO_CHARGES_6315_2</t>
  </si>
  <si>
    <t>NO_CHARGES_6315_3</t>
  </si>
  <si>
    <t>NO_CHARGES_6315_4</t>
  </si>
  <si>
    <t>NO_CHARGES_6316_1</t>
  </si>
  <si>
    <t>NO_CHARGES_6316_2</t>
  </si>
  <si>
    <t>NO_CHARGES_6316_3</t>
  </si>
  <si>
    <t>NO_CHARGES_6316_4</t>
  </si>
  <si>
    <t>NO_CHARGES_6317_1</t>
  </si>
  <si>
    <t>NO_CHARGES_6317_2</t>
  </si>
  <si>
    <t>NO_CHARGES_6317_3</t>
  </si>
  <si>
    <t>NO_CHARGES_6317_4</t>
  </si>
  <si>
    <t>NO_CHARGES_6318_1</t>
  </si>
  <si>
    <t>NO_CHARGES_6318_2</t>
  </si>
  <si>
    <t>NO_CHARGES_6318_3</t>
  </si>
  <si>
    <t>NO_CHARGES_6318_4</t>
  </si>
  <si>
    <t>NO_CHARGES_6322_1</t>
  </si>
  <si>
    <t>NO_CHARGES_6322_2</t>
  </si>
  <si>
    <t>NO_CHARGES_6322_3</t>
  </si>
  <si>
    <t>NO_CHARGES_6322_4</t>
  </si>
  <si>
    <t>NO_CHARGES_6324_1</t>
  </si>
  <si>
    <t>NO_CHARGES_6324_2</t>
  </si>
  <si>
    <t>NO_CHARGES_6324_3</t>
  </si>
  <si>
    <t>NO_CHARGES_6324_4</t>
  </si>
  <si>
    <t>NO_CHARGES_6325_1</t>
  </si>
  <si>
    <t>NO_CHARGES_6325_2</t>
  </si>
  <si>
    <t>NO_CHARGES_6325_3</t>
  </si>
  <si>
    <t>NO_CHARGES_6325_4</t>
  </si>
  <si>
    <t>NO_CHARGES_6326_1</t>
  </si>
  <si>
    <t>NO_CHARGES_6326_2</t>
  </si>
  <si>
    <t>NO_CHARGES_6326_3</t>
  </si>
  <si>
    <t>NO_CHARGES_6326_4</t>
  </si>
  <si>
    <t>NO_CHARGES_6327_1</t>
  </si>
  <si>
    <t>NO_CHARGES_6327_2</t>
  </si>
  <si>
    <t>NO_CHARGES_6327_3</t>
  </si>
  <si>
    <t>NO_CHARGES_6327_4</t>
  </si>
  <si>
    <t>NO_CHARGES_6328_1</t>
  </si>
  <si>
    <t>NO_CHARGES_6328_2</t>
  </si>
  <si>
    <t>NO_CHARGES_6328_3</t>
  </si>
  <si>
    <t>NO_CHARGES_6328_4</t>
  </si>
  <si>
    <t>NO_CHARGES_633_1</t>
  </si>
  <si>
    <t>NO_CHARGES_633_2</t>
  </si>
  <si>
    <t>NO_CHARGES_633_3</t>
  </si>
  <si>
    <t>NO_CHARGES_633_4</t>
  </si>
  <si>
    <t>NO_CHARGES_6342_1</t>
  </si>
  <si>
    <t>NO_CHARGES_6342_2</t>
  </si>
  <si>
    <t>NO_CHARGES_6342_3</t>
  </si>
  <si>
    <t>NO_CHARGES_6342_4</t>
  </si>
  <si>
    <t>NO_CHARGES_6343_1</t>
  </si>
  <si>
    <t>NO_CHARGES_6343_2</t>
  </si>
  <si>
    <t>NO_CHARGES_6343_3</t>
  </si>
  <si>
    <t>NO_CHARGES_6343_4</t>
  </si>
  <si>
    <t>NO_CHARGES_6344_1</t>
  </si>
  <si>
    <t>NO_CHARGES_6344_2</t>
  </si>
  <si>
    <t>NO_CHARGES_6344_3</t>
  </si>
  <si>
    <t>NO_CHARGES_6344_4</t>
  </si>
  <si>
    <t>NO_CHARGES_6345_1</t>
  </si>
  <si>
    <t>NO_CHARGES_6345_2</t>
  </si>
  <si>
    <t>NO_CHARGES_6345_3</t>
  </si>
  <si>
    <t>NO_CHARGES_6345_4</t>
  </si>
  <si>
    <t>NO_CHARGES_6346_1</t>
  </si>
  <si>
    <t>NO_CHARGES_6346_2</t>
  </si>
  <si>
    <t>NO_CHARGES_6346_3</t>
  </si>
  <si>
    <t>NO_CHARGES_6346_4</t>
  </si>
  <si>
    <t>NO_CHARGES_6351_1</t>
  </si>
  <si>
    <t>NO_CHARGES_6351_2</t>
  </si>
  <si>
    <t>NO_CHARGES_6351_3</t>
  </si>
  <si>
    <t>NO_CHARGES_6351_4</t>
  </si>
  <si>
    <t>NO_CHARGES_6358_1</t>
  </si>
  <si>
    <t>NO_CHARGES_6358_2</t>
  </si>
  <si>
    <t>NO_CHARGES_6358_3</t>
  </si>
  <si>
    <t>NO_CHARGES_6358_4</t>
  </si>
  <si>
    <t>NO_CHARGES_6371_1</t>
  </si>
  <si>
    <t>NO_CHARGES_6371_2</t>
  </si>
  <si>
    <t>NO_CHARGES_6371_3</t>
  </si>
  <si>
    <t>NO_CHARGES_6371_4</t>
  </si>
  <si>
    <t>NO_CHARGES_6372_1</t>
  </si>
  <si>
    <t>NO_CHARGES_6372_2</t>
  </si>
  <si>
    <t>NO_CHARGES_6372_3</t>
  </si>
  <si>
    <t>NO_CHARGES_6372_4</t>
  </si>
  <si>
    <t>NO_CHARGES_6381_1</t>
  </si>
  <si>
    <t>NO_CHARGES_6381_2</t>
  </si>
  <si>
    <t>NO_CHARGES_6381_3</t>
  </si>
  <si>
    <t>NO_CHARGES_6381_4</t>
  </si>
  <si>
    <t>NO_CHARGES_6382_1</t>
  </si>
  <si>
    <t>NO_CHARGES_6382_2</t>
  </si>
  <si>
    <t>NO_CHARGES_6382_3</t>
  </si>
  <si>
    <t>NO_CHARGES_6382_4</t>
  </si>
  <si>
    <t>NO_CHARGES_6383_1</t>
  </si>
  <si>
    <t>NO_CHARGES_6383_2</t>
  </si>
  <si>
    <t>NO_CHARGES_6383_3</t>
  </si>
  <si>
    <t>NO_CHARGES_6383_4</t>
  </si>
  <si>
    <t>NO_CHARGES_6384_1</t>
  </si>
  <si>
    <t>NO_CHARGES_6384_2</t>
  </si>
  <si>
    <t>NO_CHARGES_6384_3</t>
  </si>
  <si>
    <t>NO_CHARGES_6384_4</t>
  </si>
  <si>
    <t>NO_CHARGES_6385_1</t>
  </si>
  <si>
    <t>NO_CHARGES_6385_2</t>
  </si>
  <si>
    <t>NO_CHARGES_6385_3</t>
  </si>
  <si>
    <t>NO_CHARGES_6385_4</t>
  </si>
  <si>
    <t>NO_CHARGES_6388_1</t>
  </si>
  <si>
    <t>NO_CHARGES_6388_2</t>
  </si>
  <si>
    <t>NO_CHARGES_6388_3</t>
  </si>
  <si>
    <t>NO_CHARGES_6388_4</t>
  </si>
  <si>
    <t>NO_CHARGES_RH_1</t>
  </si>
  <si>
    <t>NO_CHARGES_RH_2</t>
  </si>
  <si>
    <t>NO_CHARGES_RH_3</t>
  </si>
  <si>
    <t>NO_CHARGES_RH_4</t>
  </si>
  <si>
    <t>NO_CHARGES_6411_1</t>
  </si>
  <si>
    <t>NO_CHARGES_6411_2</t>
  </si>
  <si>
    <t>NO_CHARGES_6411_3</t>
  </si>
  <si>
    <t>NO_CHARGES_6411_4</t>
  </si>
  <si>
    <t>NO_CHARGES_6412_1</t>
  </si>
  <si>
    <t>NO_CHARGES_6412_2</t>
  </si>
  <si>
    <t>NO_CHARGES_6412_3</t>
  </si>
  <si>
    <t>NO_CHARGES_6412_4</t>
  </si>
  <si>
    <t>NO_CHARGES_6413_1</t>
  </si>
  <si>
    <t>NO_CHARGES_6413_2</t>
  </si>
  <si>
    <t>NO_CHARGES_6413_3</t>
  </si>
  <si>
    <t>NO_CHARGES_6413_4</t>
  </si>
  <si>
    <t>NO_CHARGES_6414_1</t>
  </si>
  <si>
    <t>NO_CHARGES_6414_2</t>
  </si>
  <si>
    <t>NO_CHARGES_6414_3</t>
  </si>
  <si>
    <t>NO_CHARGES_6414_4</t>
  </si>
  <si>
    <t>NO_CHARGES_6415_1</t>
  </si>
  <si>
    <t>NO_CHARGES_6415_2</t>
  </si>
  <si>
    <t>NO_CHARGES_6415_3</t>
  </si>
  <si>
    <t>NO_CHARGES_6415_4</t>
  </si>
  <si>
    <t>NO_CHARGES_6418_1</t>
  </si>
  <si>
    <t>NO_CHARGES_6418_2</t>
  </si>
  <si>
    <t>NO_CHARGES_6418_3</t>
  </si>
  <si>
    <t>NO_CHARGES_6418_4</t>
  </si>
  <si>
    <t>NO_CHARGES_645_1</t>
  </si>
  <si>
    <t>NO_CHARGES_645_2</t>
  </si>
  <si>
    <t>NO_CHARGES_645_3</t>
  </si>
  <si>
    <t>NO_CHARGES_645_4</t>
  </si>
  <si>
    <t>NO_CHARGES_6461_1</t>
  </si>
  <si>
    <t>NO_CHARGES_6461_2</t>
  </si>
  <si>
    <t>NO_CHARGES_6461_3</t>
  </si>
  <si>
    <t>NO_CHARGES_6461_4</t>
  </si>
  <si>
    <t>NO_CHARGES_6462_1</t>
  </si>
  <si>
    <t>NO_CHARGES_6462_2</t>
  </si>
  <si>
    <t>NO_CHARGES_6462_3</t>
  </si>
  <si>
    <t>NO_CHARGES_6462_4</t>
  </si>
  <si>
    <t>NO_CHARGES_6463_1</t>
  </si>
  <si>
    <t>NO_CHARGES_6463_2</t>
  </si>
  <si>
    <t>NO_CHARGES_6463_3</t>
  </si>
  <si>
    <t>NO_CHARGES_6463_4</t>
  </si>
  <si>
    <t>NO_CHARGES_6464_1</t>
  </si>
  <si>
    <t>NO_CHARGES_6464_2</t>
  </si>
  <si>
    <t>NO_CHARGES_6464_3</t>
  </si>
  <si>
    <t>NO_CHARGES_6464_4</t>
  </si>
  <si>
    <t>NO_CHARGES_6468_1</t>
  </si>
  <si>
    <t>NO_CHARGES_6468_2</t>
  </si>
  <si>
    <t>NO_CHARGES_6468_3</t>
  </si>
  <si>
    <t>NO_CHARGES_6468_4</t>
  </si>
  <si>
    <t>NO_CHARGES_6471_1</t>
  </si>
  <si>
    <t>NO_CHARGES_6471_2</t>
  </si>
  <si>
    <t>NO_CHARGES_6471_3</t>
  </si>
  <si>
    <t>NO_CHARGES_6471_4</t>
  </si>
  <si>
    <t>NO_CHARGES_6472_1</t>
  </si>
  <si>
    <t>NO_CHARGES_6472_2</t>
  </si>
  <si>
    <t>NO_CHARGES_6472_3</t>
  </si>
  <si>
    <t>NO_CHARGES_6472_4</t>
  </si>
  <si>
    <t>NO_CHARGES_6473_1</t>
  </si>
  <si>
    <t>NO_CHARGES_6473_2</t>
  </si>
  <si>
    <t>NO_CHARGES_6473_3</t>
  </si>
  <si>
    <t>NO_CHARGES_6473_4</t>
  </si>
  <si>
    <t>NO_CHARGES_6474_1</t>
  </si>
  <si>
    <t>NO_CHARGES_6474_2</t>
  </si>
  <si>
    <t>NO_CHARGES_6474_3</t>
  </si>
  <si>
    <t>NO_CHARGES_6474_4</t>
  </si>
  <si>
    <t>NO_CHARGES_6478_1</t>
  </si>
  <si>
    <t>NO_CHARGES_6478_2</t>
  </si>
  <si>
    <t>NO_CHARGES_6478_3</t>
  </si>
  <si>
    <t>NO_CHARGES_6478_4</t>
  </si>
  <si>
    <t>NO_CHARGES_648_1</t>
  </si>
  <si>
    <t>NO_CHARGES_648_2</t>
  </si>
  <si>
    <t>NO_CHARGES_648_3</t>
  </si>
  <si>
    <t>NO_CHARGES_648_4</t>
  </si>
  <si>
    <t>NO_CHARGES_RI_1</t>
  </si>
  <si>
    <t>NO_CHARGES_RI_2</t>
  </si>
  <si>
    <t>NO_CHARGES_RI_3</t>
  </si>
  <si>
    <t>NO_CHARGES_RI_4</t>
  </si>
  <si>
    <t>NO_CHARGES_6511_1</t>
  </si>
  <si>
    <t>NO_CHARGES_6511_2</t>
  </si>
  <si>
    <t>NO_CHARGES_6511_3</t>
  </si>
  <si>
    <t>NO_CHARGES_6511_4</t>
  </si>
  <si>
    <t>NO_CHARGES_6515_1</t>
  </si>
  <si>
    <t>NO_CHARGES_6515_2</t>
  </si>
  <si>
    <t>NO_CHARGES_6515_3</t>
  </si>
  <si>
    <t>NO_CHARGES_6515_4</t>
  </si>
  <si>
    <t>NO_CHARGES_6521_1</t>
  </si>
  <si>
    <t>NO_CHARGES_6521_2</t>
  </si>
  <si>
    <t>NO_CHARGES_6521_3</t>
  </si>
  <si>
    <t>NO_CHARGES_6521_4</t>
  </si>
  <si>
    <t>NO_CHARGES_6525_1</t>
  </si>
  <si>
    <t>NO_CHARGES_6525_2</t>
  </si>
  <si>
    <t>NO_CHARGES_6525_3</t>
  </si>
  <si>
    <t>NO_CHARGES_6525_4</t>
  </si>
  <si>
    <t>NO_CHARGES_6541_1</t>
  </si>
  <si>
    <t>NO_CHARGES_6541_2</t>
  </si>
  <si>
    <t>NO_CHARGES_6541_3</t>
  </si>
  <si>
    <t>NO_CHARGES_6541_4</t>
  </si>
  <si>
    <t>NO_CHARGES_6542_1</t>
  </si>
  <si>
    <t>NO_CHARGES_6542_2</t>
  </si>
  <si>
    <t>NO_CHARGES_6542_3</t>
  </si>
  <si>
    <t>NO_CHARGES_6542_4</t>
  </si>
  <si>
    <t>NO_CHARGES_656_1</t>
  </si>
  <si>
    <t>NO_CHARGES_656_2</t>
  </si>
  <si>
    <t>NO_CHARGES_656_3</t>
  </si>
  <si>
    <t>NO_CHARGES_656_4</t>
  </si>
  <si>
    <t>NO_CHARGES_657_1</t>
  </si>
  <si>
    <t>NO_CHARGES_657_2</t>
  </si>
  <si>
    <t>NO_CHARGES_657_3</t>
  </si>
  <si>
    <t>NO_CHARGES_657_4</t>
  </si>
  <si>
    <t>NO_CHARGES_6581_1</t>
  </si>
  <si>
    <t>NO_CHARGES_6581_2</t>
  </si>
  <si>
    <t>NO_CHARGES_6581_3</t>
  </si>
  <si>
    <t>NO_CHARGES_6581_4</t>
  </si>
  <si>
    <t>NO_CHARGES_6582_1</t>
  </si>
  <si>
    <t>NO_CHARGES_6582_2</t>
  </si>
  <si>
    <t>NO_CHARGES_6582_3</t>
  </si>
  <si>
    <t>NO_CHARGES_6582_4</t>
  </si>
  <si>
    <t>NO_CHARGES_6583_1</t>
  </si>
  <si>
    <t>NO_CHARGES_6583_2</t>
  </si>
  <si>
    <t>NO_CHARGES_6583_3</t>
  </si>
  <si>
    <t>NO_CHARGES_6583_4</t>
  </si>
  <si>
    <t>NO_CHARGES_6588_1</t>
  </si>
  <si>
    <t>NO_CHARGES_6588_2</t>
  </si>
  <si>
    <t>NO_CHARGES_6588_3</t>
  </si>
  <si>
    <t>NO_CHARGES_6588_4</t>
  </si>
  <si>
    <t>NO_CHARGES_6591_1</t>
  </si>
  <si>
    <t>NO_CHARGES_6591_2</t>
  </si>
  <si>
    <t>NO_CHARGES_6591_3</t>
  </si>
  <si>
    <t>NO_CHARGES_6591_4</t>
  </si>
  <si>
    <t>NO_CHARGES_6593_1</t>
  </si>
  <si>
    <t>NO_CHARGES_6593_2</t>
  </si>
  <si>
    <t>NO_CHARGES_6593_3</t>
  </si>
  <si>
    <t>NO_CHARGES_6593_4</t>
  </si>
  <si>
    <t>NO_CHARGES_6594_1</t>
  </si>
  <si>
    <t>NO_CHARGES_6594_2</t>
  </si>
  <si>
    <t>NO_CHARGES_6594_3</t>
  </si>
  <si>
    <t>NO_CHARGES_6594_4</t>
  </si>
  <si>
    <t>NO_CHARGES_6598_1</t>
  </si>
  <si>
    <t>NO_CHARGES_6598_2</t>
  </si>
  <si>
    <t>NO_CHARGES_6598_3</t>
  </si>
  <si>
    <t>NO_CHARGES_6598_4</t>
  </si>
  <si>
    <t>NO_CHARGES_RJ_1</t>
  </si>
  <si>
    <t>NO_CHARGES_RJ_2</t>
  </si>
  <si>
    <t>NO_CHARGES_RJ_3</t>
  </si>
  <si>
    <t>NO_CHARGES_RJ_4</t>
  </si>
  <si>
    <t>NO_CHARGES_6611_1</t>
  </si>
  <si>
    <t>NO_CHARGES_6611_2</t>
  </si>
  <si>
    <t>NO_CHARGES_6611_3</t>
  </si>
  <si>
    <t>NO_CHARGES_6611_4</t>
  </si>
  <si>
    <t>NO_CHARGES_6612_1</t>
  </si>
  <si>
    <t>NO_CHARGES_6612_2</t>
  </si>
  <si>
    <t>NO_CHARGES_6612_3</t>
  </si>
  <si>
    <t>NO_CHARGES_6612_4</t>
  </si>
  <si>
    <t>NO_CHARGES_6613_1</t>
  </si>
  <si>
    <t>NO_CHARGES_6613_2</t>
  </si>
  <si>
    <t>NO_CHARGES_6613_3</t>
  </si>
  <si>
    <t>NO_CHARGES_6613_4</t>
  </si>
  <si>
    <t>NO_CHARGES_6614_1</t>
  </si>
  <si>
    <t>NO_CHARGES_6614_2</t>
  </si>
  <si>
    <t>NO_CHARGES_6614_3</t>
  </si>
  <si>
    <t>NO_CHARGES_6614_4</t>
  </si>
  <si>
    <t>NO_CHARGES_6615_1</t>
  </si>
  <si>
    <t>NO_CHARGES_6615_2</t>
  </si>
  <si>
    <t>NO_CHARGES_6615_3</t>
  </si>
  <si>
    <t>NO_CHARGES_6615_4</t>
  </si>
  <si>
    <t>NO_CHARGES_6616_1</t>
  </si>
  <si>
    <t>NO_CHARGES_6616_2</t>
  </si>
  <si>
    <t>NO_CHARGES_6616_3</t>
  </si>
  <si>
    <t>NO_CHARGES_6616_4</t>
  </si>
  <si>
    <t>NO_CHARGES_6617_1</t>
  </si>
  <si>
    <t>NO_CHARGES_6617_2</t>
  </si>
  <si>
    <t>NO_CHARGES_6617_3</t>
  </si>
  <si>
    <t>NO_CHARGES_6617_4</t>
  </si>
  <si>
    <t>NO_CHARGES_6618_1</t>
  </si>
  <si>
    <t>NO_CHARGES_6618_2</t>
  </si>
  <si>
    <t>NO_CHARGES_6618_3</t>
  </si>
  <si>
    <t>NO_CHARGES_6618_4</t>
  </si>
  <si>
    <t>NO_CHARGES_6621_1</t>
  </si>
  <si>
    <t>NO_CHARGES_6621_2</t>
  </si>
  <si>
    <t>NO_CHARGES_6621_3</t>
  </si>
  <si>
    <t>NO_CHARGES_6621_4</t>
  </si>
  <si>
    <t>NO_CHARGES_6622_1</t>
  </si>
  <si>
    <t>NO_CHARGES_6622_2</t>
  </si>
  <si>
    <t>NO_CHARGES_6622_3</t>
  </si>
  <si>
    <t>NO_CHARGES_6622_4</t>
  </si>
  <si>
    <t>NO_CHARGES_6623_1</t>
  </si>
  <si>
    <t>NO_CHARGES_6623_2</t>
  </si>
  <si>
    <t>NO_CHARGES_6623_3</t>
  </si>
  <si>
    <t>NO_CHARGES_6623_4</t>
  </si>
  <si>
    <t>NO_CHARGES_6624_1</t>
  </si>
  <si>
    <t>NO_CHARGES_6624_2</t>
  </si>
  <si>
    <t>NO_CHARGES_6624_3</t>
  </si>
  <si>
    <t>NO_CHARGES_6624_4</t>
  </si>
  <si>
    <t>NO_CHARGES_6625_1</t>
  </si>
  <si>
    <t>NO_CHARGES_6625_2</t>
  </si>
  <si>
    <t>NO_CHARGES_6625_3</t>
  </si>
  <si>
    <t>NO_CHARGES_6625_4</t>
  </si>
  <si>
    <t>NO_CHARGES_6626_1</t>
  </si>
  <si>
    <t>NO_CHARGES_6626_2</t>
  </si>
  <si>
    <t>NO_CHARGES_6626_3</t>
  </si>
  <si>
    <t>NO_CHARGES_6626_4</t>
  </si>
  <si>
    <t>NO_CHARGES_6627_1</t>
  </si>
  <si>
    <t>NO_CHARGES_6627_2</t>
  </si>
  <si>
    <t>NO_CHARGES_6627_3</t>
  </si>
  <si>
    <t>NO_CHARGES_6627_4</t>
  </si>
  <si>
    <t>NO_CHARGES_6628_1</t>
  </si>
  <si>
    <t>NO_CHARGES_6628_2</t>
  </si>
  <si>
    <t>NO_CHARGES_6628_3</t>
  </si>
  <si>
    <t>NO_CHARGES_6628_4</t>
  </si>
  <si>
    <t>NO_CHARGES_6631_1</t>
  </si>
  <si>
    <t>NO_CHARGES_6631_2</t>
  </si>
  <si>
    <t>NO_CHARGES_6631_3</t>
  </si>
  <si>
    <t>NO_CHARGES_6631_4</t>
  </si>
  <si>
    <t>NO_CHARGES_6632_1</t>
  </si>
  <si>
    <t>NO_CHARGES_6632_2</t>
  </si>
  <si>
    <t>NO_CHARGES_6632_3</t>
  </si>
  <si>
    <t>NO_CHARGES_6632_4</t>
  </si>
  <si>
    <t>NO_CHARGES_6633_1</t>
  </si>
  <si>
    <t>NO_CHARGES_6633_2</t>
  </si>
  <si>
    <t>NO_CHARGES_6633_3</t>
  </si>
  <si>
    <t>NO_CHARGES_6633_4</t>
  </si>
  <si>
    <t>NO_CHARGES_6634_1</t>
  </si>
  <si>
    <t>NO_CHARGES_6634_2</t>
  </si>
  <si>
    <t>NO_CHARGES_6634_3</t>
  </si>
  <si>
    <t>NO_CHARGES_6634_4</t>
  </si>
  <si>
    <t>NO_CHARGES_6638_1</t>
  </si>
  <si>
    <t>NO_CHARGES_6638_2</t>
  </si>
  <si>
    <t>NO_CHARGES_6638_3</t>
  </si>
  <si>
    <t>NO_CHARGES_6638_4</t>
  </si>
  <si>
    <t>NO_CHARGES_6641_1</t>
  </si>
  <si>
    <t>NO_CHARGES_6641_2</t>
  </si>
  <si>
    <t>NO_CHARGES_6641_3</t>
  </si>
  <si>
    <t>NO_CHARGES_6641_4</t>
  </si>
  <si>
    <t>NO_CHARGES_6642_1</t>
  </si>
  <si>
    <t>NO_CHARGES_6642_2</t>
  </si>
  <si>
    <t>NO_CHARGES_6642_3</t>
  </si>
  <si>
    <t>NO_CHARGES_6642_4</t>
  </si>
  <si>
    <t>NO_CHARGES_6661_1</t>
  </si>
  <si>
    <t>NO_CHARGES_6661_2</t>
  </si>
  <si>
    <t>NO_CHARGES_6661_3</t>
  </si>
  <si>
    <t>NO_CHARGES_6661_4</t>
  </si>
  <si>
    <t>NO_CHARGES_6662_1</t>
  </si>
  <si>
    <t>NO_CHARGES_6662_2</t>
  </si>
  <si>
    <t>NO_CHARGES_6662_3</t>
  </si>
  <si>
    <t>NO_CHARGES_6662_4</t>
  </si>
  <si>
    <t>NO_CHARGES_6671_1</t>
  </si>
  <si>
    <t>NO_CHARGES_6671_2</t>
  </si>
  <si>
    <t>NO_CHARGES_6671_3</t>
  </si>
  <si>
    <t>NO_CHARGES_6671_4</t>
  </si>
  <si>
    <t>NO_CHARGES_6672_1</t>
  </si>
  <si>
    <t>NO_CHARGES_6672_2</t>
  </si>
  <si>
    <t>NO_CHARGES_6672_3</t>
  </si>
  <si>
    <t>NO_CHARGES_6672_4</t>
  </si>
  <si>
    <t>NO_CHARGES_6681_1</t>
  </si>
  <si>
    <t>NO_CHARGES_6681_2</t>
  </si>
  <si>
    <t>NO_CHARGES_6681_3</t>
  </si>
  <si>
    <t>NO_CHARGES_6681_4</t>
  </si>
  <si>
    <t>NO_CHARGES_6682_1</t>
  </si>
  <si>
    <t>NO_CHARGES_6682_2</t>
  </si>
  <si>
    <t>NO_CHARGES_6682_3</t>
  </si>
  <si>
    <t>NO_CHARGES_6682_4</t>
  </si>
  <si>
    <t>NO_CHARGES_6683_1</t>
  </si>
  <si>
    <t>NO_CHARGES_6683_2</t>
  </si>
  <si>
    <t>NO_CHARGES_6683_3</t>
  </si>
  <si>
    <t>NO_CHARGES_6683_4</t>
  </si>
  <si>
    <t>NO_CHARGES_6684_1</t>
  </si>
  <si>
    <t>NO_CHARGES_6684_2</t>
  </si>
  <si>
    <t>NO_CHARGES_6684_3</t>
  </si>
  <si>
    <t>NO_CHARGES_6684_4</t>
  </si>
  <si>
    <t>NO_CHARGES_6685_1</t>
  </si>
  <si>
    <t>NO_CHARGES_6685_2</t>
  </si>
  <si>
    <t>NO_CHARGES_6685_3</t>
  </si>
  <si>
    <t>NO_CHARGES_6685_4</t>
  </si>
  <si>
    <t>NO_CHARGES_6686_1</t>
  </si>
  <si>
    <t>NO_CHARGES_6686_2</t>
  </si>
  <si>
    <t>NO_CHARGES_6686_3</t>
  </si>
  <si>
    <t>NO_CHARGES_6686_4</t>
  </si>
  <si>
    <t>NO_CHARGES_6687_1</t>
  </si>
  <si>
    <t>NO_CHARGES_6687_2</t>
  </si>
  <si>
    <t>NO_CHARGES_6687_3</t>
  </si>
  <si>
    <t>NO_CHARGES_6687_4</t>
  </si>
  <si>
    <t>NO_CHARGES_6688_1</t>
  </si>
  <si>
    <t>NO_CHARGES_6688_2</t>
  </si>
  <si>
    <t>NO_CHARGES_6688_3</t>
  </si>
  <si>
    <t>NO_CHARGES_6688_4</t>
  </si>
  <si>
    <t>NO_CHARGES_RK_1</t>
  </si>
  <si>
    <t>NO_CHARGES_RK_2</t>
  </si>
  <si>
    <t>NO_CHARGES_RK_3</t>
  </si>
  <si>
    <t>NO_CHARGES_RK_4</t>
  </si>
  <si>
    <t>NO_CHARGES_6711_1</t>
  </si>
  <si>
    <t>NO_CHARGES_6711_2</t>
  </si>
  <si>
    <t>NO_CHARGES_6711_3</t>
  </si>
  <si>
    <t>NO_CHARGES_6711_4</t>
  </si>
  <si>
    <t>NO_CHARGES_6712_1</t>
  </si>
  <si>
    <t>NO_CHARGES_6712_2</t>
  </si>
  <si>
    <t>NO_CHARGES_6712_3</t>
  </si>
  <si>
    <t>NO_CHARGES_6712_4</t>
  </si>
  <si>
    <t>NO_CHARGES_6713_1</t>
  </si>
  <si>
    <t>NO_CHARGES_6713_2</t>
  </si>
  <si>
    <t>NO_CHARGES_6713_3</t>
  </si>
  <si>
    <t>NO_CHARGES_6713_4</t>
  </si>
  <si>
    <t>NO_CHARGES_6714_1</t>
  </si>
  <si>
    <t>NO_CHARGES_6714_2</t>
  </si>
  <si>
    <t>NO_CHARGES_6714_3</t>
  </si>
  <si>
    <t>NO_CHARGES_6714_4</t>
  </si>
  <si>
    <t>NO_CHARGES_6721_1</t>
  </si>
  <si>
    <t>NO_CHARGES_6721_2</t>
  </si>
  <si>
    <t>NO_CHARGES_6721_3</t>
  </si>
  <si>
    <t>NO_CHARGES_6721_4</t>
  </si>
  <si>
    <t>NO_CHARGES_6722_1</t>
  </si>
  <si>
    <t>NO_CHARGES_6722_2</t>
  </si>
  <si>
    <t>NO_CHARGES_6722_3</t>
  </si>
  <si>
    <t>NO_CHARGES_6722_4</t>
  </si>
  <si>
    <t>NO_CHARGES_6723_1</t>
  </si>
  <si>
    <t>NO_CHARGES_6723_2</t>
  </si>
  <si>
    <t>NO_CHARGES_6723_3</t>
  </si>
  <si>
    <t>NO_CHARGES_6723_4</t>
  </si>
  <si>
    <t>NO_CHARGES_6728_1</t>
  </si>
  <si>
    <t>NO_CHARGES_6728_2</t>
  </si>
  <si>
    <t>NO_CHARGES_6728_3</t>
  </si>
  <si>
    <t>NO_CHARGES_6728_4</t>
  </si>
  <si>
    <t>NO_CHARGES_673_1</t>
  </si>
  <si>
    <t>NO_CHARGES_673_2</t>
  </si>
  <si>
    <t>NO_CHARGES_673_3</t>
  </si>
  <si>
    <t>NO_CHARGES_673_4</t>
  </si>
  <si>
    <t>NO_CHARGES_6741_1</t>
  </si>
  <si>
    <t>NO_CHARGES_6741_2</t>
  </si>
  <si>
    <t>NO_CHARGES_6741_3</t>
  </si>
  <si>
    <t>NO_CHARGES_6741_4</t>
  </si>
  <si>
    <t>NO_CHARGES_6742_1</t>
  </si>
  <si>
    <t>NO_CHARGES_6742_2</t>
  </si>
  <si>
    <t>NO_CHARGES_6742_3</t>
  </si>
  <si>
    <t>NO_CHARGES_6742_4</t>
  </si>
  <si>
    <t>NO_CHARGES_6743_1</t>
  </si>
  <si>
    <t>NO_CHARGES_6743_2</t>
  </si>
  <si>
    <t>NO_CHARGES_6743_3</t>
  </si>
  <si>
    <t>NO_CHARGES_6743_4</t>
  </si>
  <si>
    <t>NO_CHARGES_6744_1</t>
  </si>
  <si>
    <t>NO_CHARGES_6744_2</t>
  </si>
  <si>
    <t>NO_CHARGES_6744_3</t>
  </si>
  <si>
    <t>NO_CHARGES_6744_4</t>
  </si>
  <si>
    <t>NO_CHARGES_6745_1</t>
  </si>
  <si>
    <t>NO_CHARGES_6745_2</t>
  </si>
  <si>
    <t>NO_CHARGES_6745_3</t>
  </si>
  <si>
    <t>NO_CHARGES_6745_4</t>
  </si>
  <si>
    <t>NO_CHARGES_6748_1</t>
  </si>
  <si>
    <t>NO_CHARGES_6748_2</t>
  </si>
  <si>
    <t>NO_CHARGES_6748_3</t>
  </si>
  <si>
    <t>NO_CHARGES_6748_4</t>
  </si>
  <si>
    <t>NO_CHARGES_675_1</t>
  </si>
  <si>
    <t>NO_CHARGES_675_2</t>
  </si>
  <si>
    <t>NO_CHARGES_675_3</t>
  </si>
  <si>
    <t>NO_CHARGES_675_4</t>
  </si>
  <si>
    <t>NO_CHARGES_676_1</t>
  </si>
  <si>
    <t>NO_CHARGES_676_2</t>
  </si>
  <si>
    <t>NO_CHARGES_676_3</t>
  </si>
  <si>
    <t>NO_CHARGES_676_4</t>
  </si>
  <si>
    <t>NO_CHARGES_6771_1</t>
  </si>
  <si>
    <t>NO_CHARGES_6771_2</t>
  </si>
  <si>
    <t>NO_CHARGES_6771_3</t>
  </si>
  <si>
    <t>NO_CHARGES_6771_4</t>
  </si>
  <si>
    <t>NO_CHARGES_6772_1</t>
  </si>
  <si>
    <t>NO_CHARGES_6772_2</t>
  </si>
  <si>
    <t>NO_CHARGES_6772_3</t>
  </si>
  <si>
    <t>NO_CHARGES_6772_4</t>
  </si>
  <si>
    <t>NO_CHARGES_6781_1</t>
  </si>
  <si>
    <t>NO_CHARGES_6781_2</t>
  </si>
  <si>
    <t>NO_CHARGES_6781_3</t>
  </si>
  <si>
    <t>NO_CHARGES_6781_4</t>
  </si>
  <si>
    <t>NO_CHARGES_6782_1</t>
  </si>
  <si>
    <t>NO_CHARGES_6782_2</t>
  </si>
  <si>
    <t>NO_CHARGES_6782_3</t>
  </si>
  <si>
    <t>NO_CHARGES_6782_4</t>
  </si>
  <si>
    <t>NO_CHARGES_6784_1</t>
  </si>
  <si>
    <t>NO_CHARGES_6784_2</t>
  </si>
  <si>
    <t>NO_CHARGES_6784_3</t>
  </si>
  <si>
    <t>NO_CHARGES_6784_4</t>
  </si>
  <si>
    <t>NO_CHARGES_6791_1</t>
  </si>
  <si>
    <t>NO_CHARGES_6791_2</t>
  </si>
  <si>
    <t>NO_CHARGES_6791_3</t>
  </si>
  <si>
    <t>NO_CHARGES_6791_4</t>
  </si>
  <si>
    <t>NO_CHARGES_6795_1</t>
  </si>
  <si>
    <t>NO_CHARGES_6795_2</t>
  </si>
  <si>
    <t>NO_CHARGES_6795_3</t>
  </si>
  <si>
    <t>NO_CHARGES_6795_4</t>
  </si>
  <si>
    <t>NO_CHARGES_6798_1</t>
  </si>
  <si>
    <t>NO_CHARGES_6798_2</t>
  </si>
  <si>
    <t>NO_CHARGES_6798_3</t>
  </si>
  <si>
    <t>NO_CHARGES_6798_4</t>
  </si>
  <si>
    <t>NO_CHARGES_RM_1</t>
  </si>
  <si>
    <t>NO_CHARGES_RM_2</t>
  </si>
  <si>
    <t>NO_CHARGES_RM_3</t>
  </si>
  <si>
    <t>NO_CHARGES_RM_4</t>
  </si>
  <si>
    <t>NO_CHARGES_6812_1</t>
  </si>
  <si>
    <t>NO_CHARGES_6812_2</t>
  </si>
  <si>
    <t>NO_CHARGES_6812_3</t>
  </si>
  <si>
    <t>NO_CHARGES_6812_4</t>
  </si>
  <si>
    <t>NO_CHARGES_6813_1</t>
  </si>
  <si>
    <t>NO_CHARGES_6813_2</t>
  </si>
  <si>
    <t>NO_CHARGES_6813_3</t>
  </si>
  <si>
    <t>NO_CHARGES_6813_4</t>
  </si>
  <si>
    <t>NO_CHARGES_6911_1</t>
  </si>
  <si>
    <t>NO_CHARGES_6911_2</t>
  </si>
  <si>
    <t>NO_CHARGES_6911_3</t>
  </si>
  <si>
    <t>NO_CHARGES_6911_4</t>
  </si>
  <si>
    <t>NO_CHARGES_6913_1</t>
  </si>
  <si>
    <t>NO_CHARGES_6913_2</t>
  </si>
  <si>
    <t>NO_CHARGES_6913_3</t>
  </si>
  <si>
    <t>NO_CHARGES_6913_4</t>
  </si>
  <si>
    <t>NO_CHARGES_6914_1</t>
  </si>
  <si>
    <t>NO_CHARGES_6914_2</t>
  </si>
  <si>
    <t>NO_CHARGES_6914_3</t>
  </si>
  <si>
    <t>NO_CHARGES_6914_4</t>
  </si>
  <si>
    <t>NO_CHARGES_RL_1</t>
  </si>
  <si>
    <t>NO_CHARGES_RL_2</t>
  </si>
  <si>
    <t>NO_CHARGES_RL_3</t>
  </si>
  <si>
    <t>NO_CHARGES_RL_4</t>
  </si>
  <si>
    <t>NO_CHARGES_6971_1</t>
  </si>
  <si>
    <t>NO_CHARGES_6971_2</t>
  </si>
  <si>
    <t>NO_CHARGES_6971_3</t>
  </si>
  <si>
    <t>NO_CHARGES_6971_4</t>
  </si>
  <si>
    <t>NO_CHARGES_6972_1</t>
  </si>
  <si>
    <t>NO_CHARGES_6972_2</t>
  </si>
  <si>
    <t>NO_CHARGES_6972_3</t>
  </si>
  <si>
    <t>NO_CHARGES_6972_4</t>
  </si>
  <si>
    <t>NO_CHARGES_RN_1</t>
  </si>
  <si>
    <t>NO_CHARGES_RN_2</t>
  </si>
  <si>
    <t>NO_CHARGES_RN_3</t>
  </si>
  <si>
    <t>NO_CHARGES_RN_4</t>
  </si>
  <si>
    <t>NO_CHARGES_1_1</t>
  </si>
  <si>
    <t>NO_CHARGES_1_2</t>
  </si>
  <si>
    <t>NO_CHARGES_1_3</t>
  </si>
  <si>
    <t>NO_CHARGES_1_4</t>
  </si>
  <si>
    <t>NO_TVA_1_1</t>
  </si>
  <si>
    <t>NO_TVA_1_2</t>
  </si>
  <si>
    <t>NO_TVA_2_1</t>
  </si>
  <si>
    <t>NO_TVA_2_2</t>
  </si>
  <si>
    <t>NO_TVA_3_1</t>
  </si>
  <si>
    <t>NO_TVA_3_2</t>
  </si>
  <si>
    <t>NO_TVA_4_1</t>
  </si>
  <si>
    <t>NO_TVA_4_2</t>
  </si>
  <si>
    <t>NO_TVA_5_1</t>
  </si>
  <si>
    <t>NO_TVA_5_2</t>
  </si>
  <si>
    <t>NO_TVA_6_1</t>
  </si>
  <si>
    <t>NO_TVA_6_2</t>
  </si>
  <si>
    <t>NO_TVA_7_1</t>
  </si>
  <si>
    <t>NO_TVA_7_2</t>
  </si>
  <si>
    <t>NO_TVA_8_1</t>
  </si>
  <si>
    <t>NO_TVA_8_2</t>
  </si>
  <si>
    <t>NO_TVA_9_1</t>
  </si>
  <si>
    <t>NO_TVA_9_2</t>
  </si>
  <si>
    <t>NO_TVA_10_1</t>
  </si>
  <si>
    <t>NO_TVA_10_2</t>
  </si>
  <si>
    <t>NO_TVA_11_1</t>
  </si>
  <si>
    <t>NO_TVA_11_2</t>
  </si>
  <si>
    <t>NO_TVA_12_1</t>
  </si>
  <si>
    <t>NO_TVA_12_2</t>
  </si>
  <si>
    <t>NO_TVA_13_1</t>
  </si>
  <si>
    <t>NO_TVA_13_2</t>
  </si>
  <si>
    <t>NO_TVA_14_1</t>
  </si>
  <si>
    <t>NO_TVA_14_2</t>
  </si>
  <si>
    <t>NO_TVA_15_1</t>
  </si>
  <si>
    <t>NO_TVA_15_2</t>
  </si>
  <si>
    <t>NO_TVA_16_1</t>
  </si>
  <si>
    <t>NO_TVA_16_2</t>
  </si>
  <si>
    <t>NO_TVA_17_1</t>
  </si>
  <si>
    <t>NO_TVA_17_2</t>
  </si>
  <si>
    <t>NO_TVA_18_1</t>
  </si>
  <si>
    <t>NO_TVA_18_2</t>
  </si>
  <si>
    <t>NO_TVA_19_1</t>
  </si>
  <si>
    <t>NO_TVA_19_2</t>
  </si>
  <si>
    <t>NO_TVA2_1_1</t>
  </si>
  <si>
    <t>NO_TVA2_1_2</t>
  </si>
  <si>
    <t>NO_TVA2_2_1</t>
  </si>
  <si>
    <t>NO_TVA2_2_2</t>
  </si>
  <si>
    <t>NO_TVA2_3_1</t>
  </si>
  <si>
    <t>NO_TVA2_3_2</t>
  </si>
  <si>
    <t>Redevances pour brevets, concessions, licences, marques et droits similaires</t>
  </si>
  <si>
    <t>Montant autres Etats de l'UEMOA</t>
  </si>
  <si>
    <t>NO_SUPPL1A1_1_1</t>
  </si>
  <si>
    <t>Montant autres Etats de la Région hors de l'UEMOA</t>
  </si>
  <si>
    <t>NO_SUPPL1A1_1_2</t>
  </si>
  <si>
    <t>Redevances pour location de terrains agricoles</t>
  </si>
  <si>
    <t>NO_SUPPL1A1_2_1</t>
  </si>
  <si>
    <t>NO_SUPPL1A1_2_2</t>
  </si>
  <si>
    <t>CADRE SUPERIEURS</t>
  </si>
  <si>
    <t>M - EFFECTIF - AUTRE ETATS DE L'UEMOA</t>
  </si>
  <si>
    <t>NO_SUPPL1C_1_1</t>
  </si>
  <si>
    <t>F - EFFECTIF - AUTRE ETATS DE L'UEMOA</t>
  </si>
  <si>
    <t>NO_SUPPL1C_1_2</t>
  </si>
  <si>
    <t>M - MASSE SALARIALE - AUTRE ETATS DE L'UEMOA</t>
  </si>
  <si>
    <t>NO_SUPPL1C_1_3</t>
  </si>
  <si>
    <t>F - MASSE SALARIALE - AUTRE ETATS DE L'UEMOA</t>
  </si>
  <si>
    <t>NO_SUPPL1C_1_4</t>
  </si>
  <si>
    <t>TECHNICIENS SUPERIEURS ET CADRES MOYENS</t>
  </si>
  <si>
    <t>NO_SUPPL1C_2_1</t>
  </si>
  <si>
    <t>NO_SUPPL1C_2_2</t>
  </si>
  <si>
    <t>NO_SUPPL1C_2_3</t>
  </si>
  <si>
    <t>NO_SUPPL1C_2_4</t>
  </si>
  <si>
    <t>TECHNICIENS, AGENTS DE MAITRISE ET OUVRIERS QUALIFIES</t>
  </si>
  <si>
    <t>NO_SUPPL1C_3_1</t>
  </si>
  <si>
    <t>NO_SUPPL1C_3_2</t>
  </si>
  <si>
    <t>NO_SUPPL1C_3_3</t>
  </si>
  <si>
    <t>NO_SUPPL1C_3_4</t>
  </si>
  <si>
    <t>EMPLOYES, MANŒUVRES, OUVRIERS ET APPRENTIS</t>
  </si>
  <si>
    <t>NO_SUPPL1C_4_1</t>
  </si>
  <si>
    <t>NO_SUPPL1C_4_2</t>
  </si>
  <si>
    <t>NO_SUPPL1C_4_3</t>
  </si>
  <si>
    <t>NO_SUPPL1C_4_4</t>
  </si>
  <si>
    <t>NO_SUPPL1C_5_1</t>
  </si>
  <si>
    <t>NO_SUPPL1C_5_2</t>
  </si>
  <si>
    <t>NO_SUPPL1C_5_3</t>
  </si>
  <si>
    <t>NO_SUPPL1C_5_4</t>
  </si>
  <si>
    <t>NO_SUPPL1C_6_1</t>
  </si>
  <si>
    <t>NO_SUPPL1C_6_2</t>
  </si>
  <si>
    <t>NO_SUPPL1C_6_3</t>
  </si>
  <si>
    <t>NO_SUPPL1C_6_4</t>
  </si>
  <si>
    <t>NO_SUPPL1C_7_1</t>
  </si>
  <si>
    <t>NO_SUPPL1C_7_2</t>
  </si>
  <si>
    <t>NO_SUPPL1C_7_3</t>
  </si>
  <si>
    <t>NO_SUPPL1C_7_4</t>
  </si>
  <si>
    <t>NO_SUPPL1D_1_1</t>
  </si>
  <si>
    <t>Achats de marchandises au groupe dans l'UEMOA</t>
  </si>
  <si>
    <t>NO_SUPPL1D_2_1</t>
  </si>
  <si>
    <t>NO_SUPPL1D_3_1</t>
  </si>
  <si>
    <t>NO_SUPPL1D_4_1</t>
  </si>
  <si>
    <t>NO_SUPPL1D_5_1</t>
  </si>
  <si>
    <t>NO_SUPPL1D_6_1</t>
  </si>
  <si>
    <t>NO_SUPPL3_1_1</t>
  </si>
  <si>
    <t>NO_SUPPL3_1_2</t>
  </si>
  <si>
    <t>NO_SUPPL3_2_1</t>
  </si>
  <si>
    <t>NO_SUPPL3_2_2</t>
  </si>
  <si>
    <t>NO_SUPPL3_3_1</t>
  </si>
  <si>
    <t>NO_SUPPL3_3_2</t>
  </si>
  <si>
    <t>NO_SUPPL3_4_1</t>
  </si>
  <si>
    <t>NO_SUPPL3_4_2</t>
  </si>
  <si>
    <t>NO_SUPPL5_1_1</t>
  </si>
  <si>
    <t>Achats de mat. premières et fournitures liées</t>
  </si>
  <si>
    <t>NO_SUPPL5_1_2</t>
  </si>
  <si>
    <t>Achats stockés de mat. et fournitures consommables</t>
  </si>
  <si>
    <t>NO_SUPPL5_1_3</t>
  </si>
  <si>
    <t>NO_SUPPL5_1_4</t>
  </si>
  <si>
    <t>NO_SUPPL5_1_5</t>
  </si>
  <si>
    <t>NO_SUPPL5_1_6</t>
  </si>
  <si>
    <t>NO_SUPPL5_1_7</t>
  </si>
  <si>
    <t>NO_SUPPL5_2_1</t>
  </si>
  <si>
    <t>NO_SUPPL5_2_2</t>
  </si>
  <si>
    <t>NO_SUPPL5_2_3</t>
  </si>
  <si>
    <t>NO_SUPPL5_2_4</t>
  </si>
  <si>
    <t>NO_SUPPL5_2_5</t>
  </si>
  <si>
    <t>NO_SUPPL5_2_6</t>
  </si>
  <si>
    <t>NO_SUPPL5_2_7</t>
  </si>
  <si>
    <t>NO_SUPPL5_3_1</t>
  </si>
  <si>
    <t>NO_SUPPL5_3_2</t>
  </si>
  <si>
    <t>NO_SUPPL5_3_3</t>
  </si>
  <si>
    <t>NO_SUPPL5_3_4</t>
  </si>
  <si>
    <t>NO_SUPPL5_3_5</t>
  </si>
  <si>
    <t>NO_SUPPL5_3_6</t>
  </si>
  <si>
    <t>NO_SUPPL5_3_7</t>
  </si>
  <si>
    <t>NO_SUPPL5_4_1</t>
  </si>
  <si>
    <t>NO_SUPPL5_4_2</t>
  </si>
  <si>
    <t>NO_SUPPL5_4_3</t>
  </si>
  <si>
    <t>NO_SUPPL5_4_4</t>
  </si>
  <si>
    <t>NO_SUPPL5_4_5</t>
  </si>
  <si>
    <t>NO_SUPPL5_4_6</t>
  </si>
  <si>
    <t>NO_SUPPL5_4_7</t>
  </si>
  <si>
    <t>NO_SUPPL5_5_1</t>
  </si>
  <si>
    <t>NO_SUPPL5_5_2</t>
  </si>
  <si>
    <t>NO_SUPPL5_5_3</t>
  </si>
  <si>
    <t>NO_SUPPL5_5_4</t>
  </si>
  <si>
    <t>NO_SUPPL5_5_5</t>
  </si>
  <si>
    <t>NO_SUPPL5_5_6</t>
  </si>
  <si>
    <t>NO_SUPPL5_5_7</t>
  </si>
  <si>
    <t>NO_SUPPL5_6_1</t>
  </si>
  <si>
    <t>NO_SUPPL5_6_2</t>
  </si>
  <si>
    <t>NO_SUPPL5_6_3</t>
  </si>
  <si>
    <t>NO_SUPPL5_6_4</t>
  </si>
  <si>
    <t>NO_SUPPL5_6_5</t>
  </si>
  <si>
    <t>NO_SUPPL5_6_6</t>
  </si>
  <si>
    <t>NO_SUPPL5_6_7</t>
  </si>
  <si>
    <t>NO_SUPPL5_7_1</t>
  </si>
  <si>
    <t>NO_SUPPL5_7_2</t>
  </si>
  <si>
    <t>NO_SUPPL5_7_3</t>
  </si>
  <si>
    <t>NO_SUPPL5_7_4</t>
  </si>
  <si>
    <t>NO_SUPPL5_7_5</t>
  </si>
  <si>
    <t>NO_SUPPL5_7_6</t>
  </si>
  <si>
    <t>NO_SUPPL5_7_7</t>
  </si>
  <si>
    <t>Forfait (Barème)</t>
  </si>
  <si>
    <t>NO_SUPPL6_1_1</t>
  </si>
  <si>
    <t>Montant réel</t>
  </si>
  <si>
    <t>NO_SUPPL6_1_2</t>
  </si>
  <si>
    <t>NO_SUPPL6_2_1</t>
  </si>
  <si>
    <t>NO_SUPPL6_2_2</t>
  </si>
  <si>
    <t>NO_SUPPL6_3_1</t>
  </si>
  <si>
    <t>NO_SUPPL6_3_2</t>
  </si>
  <si>
    <t>NO_SUPPL6_4_1</t>
  </si>
  <si>
    <t>NO_SUPPL6_4_2</t>
  </si>
  <si>
    <t>NO_SUPPL6_5_1</t>
  </si>
  <si>
    <t>NO_SUPPL6_5_2</t>
  </si>
  <si>
    <t>NO_SUPPL6_6_1</t>
  </si>
  <si>
    <t>NO_SUPPL6_6_2</t>
  </si>
  <si>
    <t>NO_SUPPL6_7_1</t>
  </si>
  <si>
    <t>NO_SUPPL6_7_2</t>
  </si>
  <si>
    <t>NO_SUPPL6_8_1</t>
  </si>
  <si>
    <t>NO_SUPPL6_8_2</t>
  </si>
  <si>
    <t>NO_SUPPL6_9_1</t>
  </si>
  <si>
    <t>NO_SUPPL6_9_2</t>
  </si>
  <si>
    <t>NO_SUPPL6_10_1</t>
  </si>
  <si>
    <t>NO_SUPPL6_10_2</t>
  </si>
  <si>
    <t>NO_SUPPL6_11_1</t>
  </si>
  <si>
    <t>NO_SUPPL6_11_2</t>
  </si>
  <si>
    <t>NO_SUPPL6_12_1</t>
  </si>
  <si>
    <t>NO_SUPPL6_12_2</t>
  </si>
  <si>
    <t>NO_SUPPL6_13_1</t>
  </si>
  <si>
    <t>NO_SUPPL6_13_2</t>
  </si>
  <si>
    <t>NO_SUPPL6_14_1</t>
  </si>
  <si>
    <t>NO_SUPPL6_14_2</t>
  </si>
  <si>
    <t>NO_SUPPL6_15_1</t>
  </si>
  <si>
    <t>NO_SUPPL6_15_2</t>
  </si>
  <si>
    <t>NO_SUPPL6_16_1</t>
  </si>
  <si>
    <t>NO_SUPPL6_16_2</t>
  </si>
  <si>
    <t>NO_SUPPL6_17_1</t>
  </si>
  <si>
    <t>NO_SUPPL6_17_2</t>
  </si>
  <si>
    <t>NO_SUPPL6_18_1</t>
  </si>
  <si>
    <t>NO_SUPPL6_18_2</t>
  </si>
  <si>
    <t>NO_NOTE3A</t>
  </si>
  <si>
    <t>NO_COMMENT_13_1</t>
  </si>
  <si>
    <t>NO_NOTE3B</t>
  </si>
  <si>
    <t>NO_COMMENT_14_1</t>
  </si>
  <si>
    <t>NO_NOTE3C</t>
  </si>
  <si>
    <t>NO_COMMENT_15_1</t>
  </si>
  <si>
    <t>NO_NOTE3D</t>
  </si>
  <si>
    <t>NO_COMMENT_17_1</t>
  </si>
  <si>
    <t>NO_NOTE5A</t>
  </si>
  <si>
    <t>NO_COMMENT_23_1</t>
  </si>
  <si>
    <t>NO_NOTE5B</t>
  </si>
  <si>
    <t>NO_COMMENT_24_1</t>
  </si>
  <si>
    <t>NO_NOTE6</t>
  </si>
  <si>
    <t>NO_COMMENT_25_1</t>
  </si>
  <si>
    <t>NO_NOTE7</t>
  </si>
  <si>
    <t>NO_COMMENT_26_1</t>
  </si>
  <si>
    <t>NO_NOTE8</t>
  </si>
  <si>
    <t>NO_COMMENT_27_1</t>
  </si>
  <si>
    <t>NO_NOTE9</t>
  </si>
  <si>
    <t>NO_COMMENT_34_1</t>
  </si>
  <si>
    <t>NO_NOTE10</t>
  </si>
  <si>
    <t>NO_COMMENT_35_1</t>
  </si>
  <si>
    <t>NO_NOTE11</t>
  </si>
  <si>
    <t>NO_COMMENT_36_1</t>
  </si>
  <si>
    <t>NO_NOTE14</t>
  </si>
  <si>
    <t>NO_COMMENT_44_1</t>
  </si>
  <si>
    <t>NO_NOTE15A</t>
  </si>
  <si>
    <t>NO_COMMENT_45_1</t>
  </si>
  <si>
    <t>NO_NOTE15B</t>
  </si>
  <si>
    <t>NO_COMMENT_46_1</t>
  </si>
  <si>
    <t>NO_NOTE16A</t>
  </si>
  <si>
    <t>NO_COMMENT_47_1</t>
  </si>
  <si>
    <t>NO_NOTE16B1</t>
  </si>
  <si>
    <t>NO_COMMENT_48_1</t>
  </si>
  <si>
    <t>NO_NOTE16B2</t>
  </si>
  <si>
    <t>NO_COMMENT_49_1</t>
  </si>
  <si>
    <t>NO_NOTE16B3</t>
  </si>
  <si>
    <t>NO_COMMENT_50_1</t>
  </si>
  <si>
    <t>NO_NOTE16BBIS1</t>
  </si>
  <si>
    <t>NO_COMMENT_51_1</t>
  </si>
  <si>
    <t>NO_NOTE16BBIS2</t>
  </si>
  <si>
    <t>NO_COMMENT_52_1</t>
  </si>
  <si>
    <t>NO_NOTE17</t>
  </si>
  <si>
    <t>NO_COMMENT_56_1</t>
  </si>
  <si>
    <t>NO_NOTE18</t>
  </si>
  <si>
    <t>NO_COMMENT_57_1</t>
  </si>
  <si>
    <t>NO_NOTE19</t>
  </si>
  <si>
    <t>NO_COMMENT_58_1</t>
  </si>
  <si>
    <t>NO_NOTE20</t>
  </si>
  <si>
    <t>NO_COMMENT_59_1</t>
  </si>
  <si>
    <t>NO_NOTE22</t>
  </si>
  <si>
    <t>NO_COMMENT_62_1</t>
  </si>
  <si>
    <t>NO_NOTE23</t>
  </si>
  <si>
    <t>NO_COMMENT_63_1</t>
  </si>
  <si>
    <t>NO_NOTE24</t>
  </si>
  <si>
    <t>NO_COMMENT_64_1</t>
  </si>
  <si>
    <t>NO_NOTE25</t>
  </si>
  <si>
    <t>NO_COMMENT_65_1</t>
  </si>
  <si>
    <t>NO_NOTE26</t>
  </si>
  <si>
    <t>NO_COMMENT_66_1</t>
  </si>
  <si>
    <t>NO_NOTE27A</t>
  </si>
  <si>
    <t>NO_COMMENT_67_1</t>
  </si>
  <si>
    <t>NO_NOTE28</t>
  </si>
  <si>
    <t>NO_COMMENT_72_1</t>
  </si>
  <si>
    <t>NO_NOTE29</t>
  </si>
  <si>
    <t>NO_COMMENT_73_1</t>
  </si>
  <si>
    <t>H40</t>
  </si>
  <si>
    <t>H41</t>
  </si>
  <si>
    <t>G40</t>
  </si>
  <si>
    <t>G41</t>
  </si>
  <si>
    <t>G42</t>
  </si>
  <si>
    <t>H42</t>
  </si>
  <si>
    <t>G43</t>
  </si>
  <si>
    <t>H43</t>
  </si>
  <si>
    <t>G44</t>
  </si>
  <si>
    <t>H44</t>
  </si>
  <si>
    <t>G45</t>
  </si>
  <si>
    <t>H45</t>
  </si>
  <si>
    <t>D12</t>
  </si>
  <si>
    <t>D13</t>
  </si>
  <si>
    <t>D14</t>
  </si>
  <si>
    <t>E14</t>
  </si>
  <si>
    <t>D15</t>
  </si>
  <si>
    <t>E15</t>
  </si>
  <si>
    <t>D16</t>
  </si>
  <si>
    <t>E16</t>
  </si>
  <si>
    <t>D17</t>
  </si>
  <si>
    <t>E17</t>
  </si>
  <si>
    <t>E18</t>
  </si>
  <si>
    <t>D19</t>
  </si>
  <si>
    <t>E19</t>
  </si>
  <si>
    <t>D20</t>
  </si>
  <si>
    <t>E20</t>
  </si>
  <si>
    <t>D21</t>
  </si>
  <si>
    <t>E21</t>
  </si>
  <si>
    <t>D22</t>
  </si>
  <si>
    <t>D23</t>
  </si>
  <si>
    <t>E23</t>
  </si>
  <si>
    <t>D24</t>
  </si>
  <si>
    <t>E24</t>
  </si>
  <si>
    <t>D25</t>
  </si>
  <si>
    <t>E25</t>
  </si>
  <si>
    <t>D26</t>
  </si>
  <si>
    <t>E26</t>
  </si>
  <si>
    <t>D27</t>
  </si>
  <si>
    <t>E27</t>
  </si>
  <si>
    <t>D28</t>
  </si>
  <si>
    <t>E28</t>
  </si>
  <si>
    <t>D29</t>
  </si>
  <si>
    <t>E29</t>
  </si>
  <si>
    <t>D30</t>
  </si>
  <si>
    <t>E30</t>
  </si>
  <si>
    <t>K11</t>
  </si>
  <si>
    <t>K12</t>
  </si>
  <si>
    <t>K13</t>
  </si>
  <si>
    <t>L13</t>
  </si>
  <si>
    <t>K14</t>
  </si>
  <si>
    <t>L14</t>
  </si>
  <si>
    <t>K15</t>
  </si>
  <si>
    <t>L15</t>
  </si>
  <si>
    <t>A15</t>
  </si>
  <si>
    <t>A16</t>
  </si>
  <si>
    <t>K9</t>
  </si>
  <si>
    <t>K16</t>
  </si>
  <si>
    <t>K17</t>
  </si>
  <si>
    <t>K18</t>
  </si>
  <si>
    <t>K19</t>
  </si>
  <si>
    <t>K20</t>
  </si>
  <si>
    <t>K21</t>
  </si>
  <si>
    <t>K22</t>
  </si>
  <si>
    <t>K23</t>
  </si>
  <si>
    <t>K24</t>
  </si>
  <si>
    <t>E31</t>
  </si>
  <si>
    <t>E32</t>
  </si>
  <si>
    <t>E33</t>
  </si>
  <si>
    <t>E34</t>
  </si>
  <si>
    <t>E35</t>
  </si>
  <si>
    <t>E36</t>
  </si>
  <si>
    <t>E37</t>
  </si>
  <si>
    <t>E38</t>
  </si>
  <si>
    <t>E39</t>
  </si>
  <si>
    <t>K26</t>
  </si>
  <si>
    <t>K27</t>
  </si>
  <si>
    <t>K28</t>
  </si>
  <si>
    <t>K29</t>
  </si>
  <si>
    <t>M12</t>
  </si>
  <si>
    <t>N12</t>
  </si>
  <si>
    <t>O12</t>
  </si>
  <si>
    <t>P12</t>
  </si>
  <si>
    <t>Q12</t>
  </si>
  <si>
    <t>R12</t>
  </si>
  <si>
    <t>M13</t>
  </si>
  <si>
    <t>O13</t>
  </si>
  <si>
    <t>P13</t>
  </si>
  <si>
    <t>Q13</t>
  </si>
  <si>
    <t>R13</t>
  </si>
  <si>
    <t>M14</t>
  </si>
  <si>
    <t>N14</t>
  </si>
  <si>
    <t>O14</t>
  </si>
  <si>
    <t>P14</t>
  </si>
  <si>
    <t>Q14</t>
  </si>
  <si>
    <t>R14</t>
  </si>
  <si>
    <t>M15</t>
  </si>
  <si>
    <t>N15</t>
  </si>
  <si>
    <t>O15</t>
  </si>
  <si>
    <t>P15</t>
  </si>
  <si>
    <t>Q15</t>
  </si>
  <si>
    <t>R15</t>
  </si>
  <si>
    <t>L16</t>
  </si>
  <si>
    <t>M16</t>
  </si>
  <si>
    <t>N16</t>
  </si>
  <si>
    <t>O16</t>
  </si>
  <si>
    <t>P16</t>
  </si>
  <si>
    <t>Q16</t>
  </si>
  <si>
    <t>R16</t>
  </si>
  <si>
    <t>L17</t>
  </si>
  <si>
    <t>M17</t>
  </si>
  <si>
    <t>N17</t>
  </si>
  <si>
    <t>O17</t>
  </si>
  <si>
    <t>P17</t>
  </si>
  <si>
    <t>Q17</t>
  </si>
  <si>
    <t>R17</t>
  </si>
  <si>
    <t>L18</t>
  </si>
  <si>
    <t>M18</t>
  </si>
  <si>
    <t>N18</t>
  </si>
  <si>
    <t>O18</t>
  </si>
  <si>
    <t>P18</t>
  </si>
  <si>
    <t>Q18</t>
  </si>
  <si>
    <t>R18</t>
  </si>
  <si>
    <t>M22</t>
  </si>
  <si>
    <t>L23</t>
  </si>
  <si>
    <t>M23</t>
  </si>
  <si>
    <t>L24</t>
  </si>
  <si>
    <t>M24</t>
  </si>
  <si>
    <t>L25</t>
  </si>
  <si>
    <t>M25</t>
  </si>
  <si>
    <t>L26</t>
  </si>
  <si>
    <t>M26</t>
  </si>
  <si>
    <t>L27</t>
  </si>
  <si>
    <t>M27</t>
  </si>
  <si>
    <t>L28</t>
  </si>
  <si>
    <t>S22</t>
  </si>
  <si>
    <t>R24</t>
  </si>
  <si>
    <t>S24</t>
  </si>
  <si>
    <t>R25</t>
  </si>
  <si>
    <t>S25</t>
  </si>
  <si>
    <t>L19</t>
  </si>
  <si>
    <t>L20</t>
  </si>
  <si>
    <t>L21</t>
  </si>
  <si>
    <t>L29</t>
  </si>
  <si>
    <t>K30</t>
  </si>
  <si>
    <t>K31</t>
  </si>
  <si>
    <t>F40</t>
  </si>
  <si>
    <t>F42</t>
  </si>
  <si>
    <t>F43</t>
  </si>
  <si>
    <t>F44</t>
  </si>
  <si>
    <t>F45</t>
  </si>
  <si>
    <t>F46</t>
  </si>
  <si>
    <t>F47</t>
  </si>
  <si>
    <t>F48</t>
  </si>
  <si>
    <t>F49</t>
  </si>
  <si>
    <t>F50</t>
  </si>
  <si>
    <t>F51</t>
  </si>
  <si>
    <t>F52</t>
  </si>
  <si>
    <t>F53</t>
  </si>
  <si>
    <t>I53</t>
  </si>
  <si>
    <t>F54</t>
  </si>
  <si>
    <t>I54</t>
  </si>
  <si>
    <t>F55</t>
  </si>
  <si>
    <t>I55</t>
  </si>
  <si>
    <t>I56</t>
  </si>
  <si>
    <t>F57</t>
  </si>
  <si>
    <t>I57</t>
  </si>
  <si>
    <t>F58</t>
  </si>
  <si>
    <t>I58</t>
  </si>
  <si>
    <t>C9</t>
  </si>
  <si>
    <t>G46</t>
  </si>
  <si>
    <t>H46</t>
  </si>
  <si>
    <t>G47</t>
  </si>
  <si>
    <t>H47</t>
  </si>
  <si>
    <t>G48</t>
  </si>
  <si>
    <t>H48</t>
  </si>
  <si>
    <t>G49</t>
  </si>
  <si>
    <t>H49</t>
  </si>
  <si>
    <t>G50</t>
  </si>
  <si>
    <t>G51</t>
  </si>
  <si>
    <t>G52</t>
  </si>
  <si>
    <t>H52</t>
  </si>
  <si>
    <t>G53</t>
  </si>
  <si>
    <t>H53</t>
  </si>
  <si>
    <t>J53</t>
  </si>
  <si>
    <t>G54</t>
  </si>
  <si>
    <t>H54</t>
  </si>
  <si>
    <t>J54</t>
  </si>
  <si>
    <t>G55</t>
  </si>
  <si>
    <t>H55</t>
  </si>
  <si>
    <t>J55</t>
  </si>
  <si>
    <t>G56</t>
  </si>
  <si>
    <t>H56</t>
  </si>
  <si>
    <t>J56</t>
  </si>
  <si>
    <t>G57</t>
  </si>
  <si>
    <t>H57</t>
  </si>
  <si>
    <t>J57</t>
  </si>
  <si>
    <t>G58</t>
  </si>
  <si>
    <t>H58</t>
  </si>
  <si>
    <t>J58</t>
  </si>
  <si>
    <t>G59</t>
  </si>
  <si>
    <t>H59</t>
  </si>
  <si>
    <t>I59</t>
  </si>
  <si>
    <t>J59</t>
  </si>
  <si>
    <t>G60</t>
  </si>
  <si>
    <t>H60</t>
  </si>
  <si>
    <t>I60</t>
  </si>
  <si>
    <t>J60</t>
  </si>
  <si>
    <t>G61</t>
  </si>
  <si>
    <t>H61</t>
  </si>
  <si>
    <t>I61</t>
  </si>
  <si>
    <t>J61</t>
  </si>
  <si>
    <t>G62</t>
  </si>
  <si>
    <t>H62</t>
  </si>
  <si>
    <t>I62</t>
  </si>
  <si>
    <t>J62</t>
  </si>
  <si>
    <t>G63</t>
  </si>
  <si>
    <t>H63</t>
  </si>
  <si>
    <t>I63</t>
  </si>
  <si>
    <t>J63</t>
  </si>
  <si>
    <t>G64</t>
  </si>
  <si>
    <t>H64</t>
  </si>
  <si>
    <t>I64</t>
  </si>
  <si>
    <t>J64</t>
  </si>
  <si>
    <t>G65</t>
  </si>
  <si>
    <t>H65</t>
  </si>
  <si>
    <t>I65</t>
  </si>
  <si>
    <t>J65</t>
  </si>
  <si>
    <t>G66</t>
  </si>
  <si>
    <t>H66</t>
  </si>
  <si>
    <t>I66</t>
  </si>
  <si>
    <t>J66</t>
  </si>
  <si>
    <t>G67</t>
  </si>
  <si>
    <t>H67</t>
  </si>
  <si>
    <t>I67</t>
  </si>
  <si>
    <t>J67</t>
  </si>
  <si>
    <t>G68</t>
  </si>
  <si>
    <t>H68</t>
  </si>
  <si>
    <t>I68</t>
  </si>
  <si>
    <t>J68</t>
  </si>
  <si>
    <t>G69</t>
  </si>
  <si>
    <t>H69</t>
  </si>
  <si>
    <t>I69</t>
  </si>
  <si>
    <t>J69</t>
  </si>
  <si>
    <t>G70</t>
  </si>
  <si>
    <t>H70</t>
  </si>
  <si>
    <t>I70</t>
  </si>
  <si>
    <t>J70</t>
  </si>
  <si>
    <t>G71</t>
  </si>
  <si>
    <t>H71</t>
  </si>
  <si>
    <t>I71</t>
  </si>
  <si>
    <t>J71</t>
  </si>
  <si>
    <t>G72</t>
  </si>
  <si>
    <t>H72</t>
  </si>
  <si>
    <t>I72</t>
  </si>
  <si>
    <t>J72</t>
  </si>
  <si>
    <t>G73</t>
  </si>
  <si>
    <t>H73</t>
  </si>
  <si>
    <t>I73</t>
  </si>
  <si>
    <t>J73</t>
  </si>
  <si>
    <t>G85</t>
  </si>
  <si>
    <t>H85</t>
  </si>
  <si>
    <t>I85</t>
  </si>
  <si>
    <t>J85</t>
  </si>
  <si>
    <t>G86</t>
  </si>
  <si>
    <t>H86</t>
  </si>
  <si>
    <t>I86</t>
  </si>
  <si>
    <t>J86</t>
  </si>
  <si>
    <t>G87</t>
  </si>
  <si>
    <t>H87</t>
  </si>
  <si>
    <t>I87</t>
  </si>
  <si>
    <t>J87</t>
  </si>
  <si>
    <t>G88</t>
  </si>
  <si>
    <t>H88</t>
  </si>
  <si>
    <t>I88</t>
  </si>
  <si>
    <t>J88</t>
  </si>
  <si>
    <t>G89</t>
  </si>
  <si>
    <t>H89</t>
  </si>
  <si>
    <t>I89</t>
  </si>
  <si>
    <t>J89</t>
  </si>
  <si>
    <t>G90</t>
  </si>
  <si>
    <t>H90</t>
  </si>
  <si>
    <t>I90</t>
  </si>
  <si>
    <t>J90</t>
  </si>
  <si>
    <t>G91</t>
  </si>
  <si>
    <t>H91</t>
  </si>
  <si>
    <t>I91</t>
  </si>
  <si>
    <t>J91</t>
  </si>
  <si>
    <t>G92</t>
  </si>
  <si>
    <t>H92</t>
  </si>
  <si>
    <t>I92</t>
  </si>
  <si>
    <t>J92</t>
  </si>
  <si>
    <t>G93</t>
  </si>
  <si>
    <t>H93</t>
  </si>
  <si>
    <t>I93</t>
  </si>
  <si>
    <t>J93</t>
  </si>
  <si>
    <t>G94</t>
  </si>
  <si>
    <t>H94</t>
  </si>
  <si>
    <t>I94</t>
  </si>
  <si>
    <t>J94</t>
  </si>
  <si>
    <t>G95</t>
  </si>
  <si>
    <t>H95</t>
  </si>
  <si>
    <t>I95</t>
  </si>
  <si>
    <t>J95</t>
  </si>
  <si>
    <t>G96</t>
  </si>
  <si>
    <t>H96</t>
  </si>
  <si>
    <t>I96</t>
  </si>
  <si>
    <t>J96</t>
  </si>
  <si>
    <t>G97</t>
  </si>
  <si>
    <t>H97</t>
  </si>
  <si>
    <t>I97</t>
  </si>
  <si>
    <t>J97</t>
  </si>
  <si>
    <t>G98</t>
  </si>
  <si>
    <t>H98</t>
  </si>
  <si>
    <t>I98</t>
  </si>
  <si>
    <t>J98</t>
  </si>
  <si>
    <t>G99</t>
  </si>
  <si>
    <t>H99</t>
  </si>
  <si>
    <t>I99</t>
  </si>
  <si>
    <t>J99</t>
  </si>
  <si>
    <t>G100</t>
  </si>
  <si>
    <t>H100</t>
  </si>
  <si>
    <t>I100</t>
  </si>
  <si>
    <t>J100</t>
  </si>
  <si>
    <t>G101</t>
  </si>
  <si>
    <t>H101</t>
  </si>
  <si>
    <t>I101</t>
  </si>
  <si>
    <t>J101</t>
  </si>
  <si>
    <t>G102</t>
  </si>
  <si>
    <t>H102</t>
  </si>
  <si>
    <t>I102</t>
  </si>
  <si>
    <t>J102</t>
  </si>
  <si>
    <t>G103</t>
  </si>
  <si>
    <t>H103</t>
  </si>
  <si>
    <t>I103</t>
  </si>
  <si>
    <t>J103</t>
  </si>
  <si>
    <t>G104</t>
  </si>
  <si>
    <t>H104</t>
  </si>
  <si>
    <t>I104</t>
  </si>
  <si>
    <t>J104</t>
  </si>
  <si>
    <t>G105</t>
  </si>
  <si>
    <t>H105</t>
  </si>
  <si>
    <t>I105</t>
  </si>
  <si>
    <t>J105</t>
  </si>
  <si>
    <t>G106</t>
  </si>
  <si>
    <t>H106</t>
  </si>
  <si>
    <t>I106</t>
  </si>
  <si>
    <t>J106</t>
  </si>
  <si>
    <t>G107</t>
  </si>
  <si>
    <t>H107</t>
  </si>
  <si>
    <t>I107</t>
  </si>
  <si>
    <t>J107</t>
  </si>
  <si>
    <t>G108</t>
  </si>
  <si>
    <t>H108</t>
  </si>
  <si>
    <t>I108</t>
  </si>
  <si>
    <t>J108</t>
  </si>
  <si>
    <t>G109</t>
  </si>
  <si>
    <t>H109</t>
  </si>
  <si>
    <t>I109</t>
  </si>
  <si>
    <t>J109</t>
  </si>
  <si>
    <t>G110</t>
  </si>
  <si>
    <t>H110</t>
  </si>
  <si>
    <t>I110</t>
  </si>
  <si>
    <t>J110</t>
  </si>
  <si>
    <t>G111</t>
  </si>
  <si>
    <t>H111</t>
  </si>
  <si>
    <t>I111</t>
  </si>
  <si>
    <t>J111</t>
  </si>
  <si>
    <t>G112</t>
  </si>
  <si>
    <t>H112</t>
  </si>
  <si>
    <t>I112</t>
  </si>
  <si>
    <t>J112</t>
  </si>
  <si>
    <t>G113</t>
  </si>
  <si>
    <t>H113</t>
  </si>
  <si>
    <t>I113</t>
  </si>
  <si>
    <t>J113</t>
  </si>
  <si>
    <t>G114</t>
  </si>
  <si>
    <t>H114</t>
  </si>
  <si>
    <t>I114</t>
  </si>
  <si>
    <t>J114</t>
  </si>
  <si>
    <t>G115</t>
  </si>
  <si>
    <t>H115</t>
  </si>
  <si>
    <t>I115</t>
  </si>
  <si>
    <t>J115</t>
  </si>
  <si>
    <t>G116</t>
  </si>
  <si>
    <t>H116</t>
  </si>
  <si>
    <t>I116</t>
  </si>
  <si>
    <t>J116</t>
  </si>
  <si>
    <t>G117</t>
  </si>
  <si>
    <t>H117</t>
  </si>
  <si>
    <t>I117</t>
  </si>
  <si>
    <t>J117</t>
  </si>
  <si>
    <t>G118</t>
  </si>
  <si>
    <t>H118</t>
  </si>
  <si>
    <t>I118</t>
  </si>
  <si>
    <t>J118</t>
  </si>
  <si>
    <t>G119</t>
  </si>
  <si>
    <t>H119</t>
  </si>
  <si>
    <t>I119</t>
  </si>
  <si>
    <t>J119</t>
  </si>
  <si>
    <t>G120</t>
  </si>
  <si>
    <t>H120</t>
  </si>
  <si>
    <t>I120</t>
  </si>
  <si>
    <t>J120</t>
  </si>
  <si>
    <t>G121</t>
  </si>
  <si>
    <t>H121</t>
  </si>
  <si>
    <t>I121</t>
  </si>
  <si>
    <t>J121</t>
  </si>
  <si>
    <t>G122</t>
  </si>
  <si>
    <t>H122</t>
  </si>
  <si>
    <t>I122</t>
  </si>
  <si>
    <t>J122</t>
  </si>
  <si>
    <t>G123</t>
  </si>
  <si>
    <t>H123</t>
  </si>
  <si>
    <t>I123</t>
  </si>
  <si>
    <t>J123</t>
  </si>
  <si>
    <t>G124</t>
  </si>
  <si>
    <t>H124</t>
  </si>
  <si>
    <t>I124</t>
  </si>
  <si>
    <t>J124</t>
  </si>
  <si>
    <t>G125</t>
  </si>
  <si>
    <t>H125</t>
  </si>
  <si>
    <t>I125</t>
  </si>
  <si>
    <t>J125</t>
  </si>
  <si>
    <t>G126</t>
  </si>
  <si>
    <t>H126</t>
  </si>
  <si>
    <t>I126</t>
  </si>
  <si>
    <t>J126</t>
  </si>
  <si>
    <t>G127</t>
  </si>
  <si>
    <t>H127</t>
  </si>
  <si>
    <t>I127</t>
  </si>
  <si>
    <t>J127</t>
  </si>
  <si>
    <t>G128</t>
  </si>
  <si>
    <t>H128</t>
  </si>
  <si>
    <t>I128</t>
  </si>
  <si>
    <t>J128</t>
  </si>
  <si>
    <t>G129</t>
  </si>
  <si>
    <t>H129</t>
  </si>
  <si>
    <t>I129</t>
  </si>
  <si>
    <t>J129</t>
  </si>
  <si>
    <t>G130</t>
  </si>
  <si>
    <t>H130</t>
  </si>
  <si>
    <t>I130</t>
  </si>
  <si>
    <t>J130</t>
  </si>
  <si>
    <t>G131</t>
  </si>
  <si>
    <t>H131</t>
  </si>
  <si>
    <t>I131</t>
  </si>
  <si>
    <t>J131</t>
  </si>
  <si>
    <t>G132</t>
  </si>
  <si>
    <t>H132</t>
  </si>
  <si>
    <t>I132</t>
  </si>
  <si>
    <t>J132</t>
  </si>
  <si>
    <t>G133</t>
  </si>
  <si>
    <t>H133</t>
  </si>
  <si>
    <t>I133</t>
  </si>
  <si>
    <t>J133</t>
  </si>
  <si>
    <t>G134</t>
  </si>
  <si>
    <t>H134</t>
  </si>
  <si>
    <t>I134</t>
  </si>
  <si>
    <t>J134</t>
  </si>
  <si>
    <t>G135</t>
  </si>
  <si>
    <t>H135</t>
  </si>
  <si>
    <t>I135</t>
  </si>
  <si>
    <t>J135</t>
  </si>
  <si>
    <t>G136</t>
  </si>
  <si>
    <t>H136</t>
  </si>
  <si>
    <t>I136</t>
  </si>
  <si>
    <t>J136</t>
  </si>
  <si>
    <t>G137</t>
  </si>
  <si>
    <t>H137</t>
  </si>
  <si>
    <t>I137</t>
  </si>
  <si>
    <t>J137</t>
  </si>
  <si>
    <t>G138</t>
  </si>
  <si>
    <t>H138</t>
  </si>
  <si>
    <t>I138</t>
  </si>
  <si>
    <t>J138</t>
  </si>
  <si>
    <t>G139</t>
  </si>
  <si>
    <t>H139</t>
  </si>
  <si>
    <t>I139</t>
  </si>
  <si>
    <t>J139</t>
  </si>
  <si>
    <t>G140</t>
  </si>
  <si>
    <t>H140</t>
  </si>
  <si>
    <t>I140</t>
  </si>
  <si>
    <t>J140</t>
  </si>
  <si>
    <t>G141</t>
  </si>
  <si>
    <t>H141</t>
  </si>
  <si>
    <t>I141</t>
  </si>
  <si>
    <t>J141</t>
  </si>
  <si>
    <t>G142</t>
  </si>
  <si>
    <t>H142</t>
  </si>
  <si>
    <t>I142</t>
  </si>
  <si>
    <t>J142</t>
  </si>
  <si>
    <t>G143</t>
  </si>
  <si>
    <t>H143</t>
  </si>
  <si>
    <t>I143</t>
  </si>
  <si>
    <t>J143</t>
  </si>
  <si>
    <t>G144</t>
  </si>
  <si>
    <t>H144</t>
  </si>
  <si>
    <t>I144</t>
  </si>
  <si>
    <t>J144</t>
  </si>
  <si>
    <t>G145</t>
  </si>
  <si>
    <t>H145</t>
  </si>
  <si>
    <t>I145</t>
  </si>
  <si>
    <t>J145</t>
  </si>
  <si>
    <t>G146</t>
  </si>
  <si>
    <t>H146</t>
  </si>
  <si>
    <t>I146</t>
  </si>
  <si>
    <t>J146</t>
  </si>
  <si>
    <t>G147</t>
  </si>
  <si>
    <t>H147</t>
  </si>
  <si>
    <t>I147</t>
  </si>
  <si>
    <t>J147</t>
  </si>
  <si>
    <t>G148</t>
  </si>
  <si>
    <t>H148</t>
  </si>
  <si>
    <t>I148</t>
  </si>
  <si>
    <t>J148</t>
  </si>
  <si>
    <t>G160</t>
  </si>
  <si>
    <t>H160</t>
  </si>
  <si>
    <t>I160</t>
  </si>
  <si>
    <t>J160</t>
  </si>
  <si>
    <t>G161</t>
  </si>
  <si>
    <t>H161</t>
  </si>
  <si>
    <t>I161</t>
  </si>
  <si>
    <t>J161</t>
  </si>
  <si>
    <t>G162</t>
  </si>
  <si>
    <t>H162</t>
  </si>
  <si>
    <t>I162</t>
  </si>
  <si>
    <t>J162</t>
  </si>
  <si>
    <t>G163</t>
  </si>
  <si>
    <t>H163</t>
  </si>
  <si>
    <t>I163</t>
  </si>
  <si>
    <t>J163</t>
  </si>
  <si>
    <t>G164</t>
  </si>
  <si>
    <t>H164</t>
  </si>
  <si>
    <t>I164</t>
  </si>
  <si>
    <t>J164</t>
  </si>
  <si>
    <t>G165</t>
  </si>
  <si>
    <t>H165</t>
  </si>
  <si>
    <t>I165</t>
  </si>
  <si>
    <t>J165</t>
  </si>
  <si>
    <t>G166</t>
  </si>
  <si>
    <t>H166</t>
  </si>
  <si>
    <t>I166</t>
  </si>
  <si>
    <t>J166</t>
  </si>
  <si>
    <t>G167</t>
  </si>
  <si>
    <t>H167</t>
  </si>
  <si>
    <t>I167</t>
  </si>
  <si>
    <t>J167</t>
  </si>
  <si>
    <t>G168</t>
  </si>
  <si>
    <t>H168</t>
  </si>
  <si>
    <t>I168</t>
  </si>
  <si>
    <t>J168</t>
  </si>
  <si>
    <t>G169</t>
  </si>
  <si>
    <t>H169</t>
  </si>
  <si>
    <t>I169</t>
  </si>
  <si>
    <t>J169</t>
  </si>
  <si>
    <t>G170</t>
  </si>
  <si>
    <t>H170</t>
  </si>
  <si>
    <t>I170</t>
  </si>
  <si>
    <t>J170</t>
  </si>
  <si>
    <t>G171</t>
  </si>
  <si>
    <t>H171</t>
  </si>
  <si>
    <t>I171</t>
  </si>
  <si>
    <t>J171</t>
  </si>
  <si>
    <t>G172</t>
  </si>
  <si>
    <t>H172</t>
  </si>
  <si>
    <t>I172</t>
  </si>
  <si>
    <t>J172</t>
  </si>
  <si>
    <t>G173</t>
  </si>
  <si>
    <t>H173</t>
  </si>
  <si>
    <t>I173</t>
  </si>
  <si>
    <t>J173</t>
  </si>
  <si>
    <t>G174</t>
  </si>
  <si>
    <t>H174</t>
  </si>
  <si>
    <t>I174</t>
  </si>
  <si>
    <t>J174</t>
  </si>
  <si>
    <t>G175</t>
  </si>
  <si>
    <t>H175</t>
  </si>
  <si>
    <t>I175</t>
  </si>
  <si>
    <t>J175</t>
  </si>
  <si>
    <t>G176</t>
  </si>
  <si>
    <t>H176</t>
  </si>
  <si>
    <t>I176</t>
  </si>
  <si>
    <t>J176</t>
  </si>
  <si>
    <t>G177</t>
  </si>
  <si>
    <t>H177</t>
  </si>
  <si>
    <t>I177</t>
  </si>
  <si>
    <t>J177</t>
  </si>
  <si>
    <t>G178</t>
  </si>
  <si>
    <t>H178</t>
  </si>
  <si>
    <t>I178</t>
  </si>
  <si>
    <t>J178</t>
  </si>
  <si>
    <t>G179</t>
  </si>
  <si>
    <t>H179</t>
  </si>
  <si>
    <t>I179</t>
  </si>
  <si>
    <t>J179</t>
  </si>
  <si>
    <t>G180</t>
  </si>
  <si>
    <t>H180</t>
  </si>
  <si>
    <t>I180</t>
  </si>
  <si>
    <t>J180</t>
  </si>
  <si>
    <t>G181</t>
  </si>
  <si>
    <t>H181</t>
  </si>
  <si>
    <t>I181</t>
  </si>
  <si>
    <t>J181</t>
  </si>
  <si>
    <t>G182</t>
  </si>
  <si>
    <t>H182</t>
  </si>
  <si>
    <t>I182</t>
  </si>
  <si>
    <t>J182</t>
  </si>
  <si>
    <t>G183</t>
  </si>
  <si>
    <t>H183</t>
  </si>
  <si>
    <t>I183</t>
  </si>
  <si>
    <t>J183</t>
  </si>
  <si>
    <t>G184</t>
  </si>
  <si>
    <t>H184</t>
  </si>
  <si>
    <t>I184</t>
  </si>
  <si>
    <t>J184</t>
  </si>
  <si>
    <t>G185</t>
  </si>
  <si>
    <t>H185</t>
  </si>
  <si>
    <t>I185</t>
  </si>
  <si>
    <t>J185</t>
  </si>
  <si>
    <t>G186</t>
  </si>
  <si>
    <t>H186</t>
  </si>
  <si>
    <t>I186</t>
  </si>
  <si>
    <t>J186</t>
  </si>
  <si>
    <t>G187</t>
  </si>
  <si>
    <t>H187</t>
  </si>
  <si>
    <t>I187</t>
  </si>
  <si>
    <t>J187</t>
  </si>
  <si>
    <t>G188</t>
  </si>
  <si>
    <t>H188</t>
  </si>
  <si>
    <t>I188</t>
  </si>
  <si>
    <t>J188</t>
  </si>
  <si>
    <t>G189</t>
  </si>
  <si>
    <t>H189</t>
  </si>
  <si>
    <t>I189</t>
  </si>
  <si>
    <t>J189</t>
  </si>
  <si>
    <t>G190</t>
  </si>
  <si>
    <t>H190</t>
  </si>
  <si>
    <t>I190</t>
  </si>
  <si>
    <t>J190</t>
  </si>
  <si>
    <t>G191</t>
  </si>
  <si>
    <t>H191</t>
  </si>
  <si>
    <t>I191</t>
  </si>
  <si>
    <t>J191</t>
  </si>
  <si>
    <t>G192</t>
  </si>
  <si>
    <t>H192</t>
  </si>
  <si>
    <t>I192</t>
  </si>
  <si>
    <t>J192</t>
  </si>
  <si>
    <t>G193</t>
  </si>
  <si>
    <t>H193</t>
  </si>
  <si>
    <t>I193</t>
  </si>
  <si>
    <t>J193</t>
  </si>
  <si>
    <t>G194</t>
  </si>
  <si>
    <t>H194</t>
  </si>
  <si>
    <t>I194</t>
  </si>
  <si>
    <t>J194</t>
  </si>
  <si>
    <t>G195</t>
  </si>
  <si>
    <t>H195</t>
  </si>
  <si>
    <t>I195</t>
  </si>
  <si>
    <t>J195</t>
  </si>
  <si>
    <t>G196</t>
  </si>
  <si>
    <t>H196</t>
  </si>
  <si>
    <t>I196</t>
  </si>
  <si>
    <t>J196</t>
  </si>
  <si>
    <t>G197</t>
  </si>
  <si>
    <t>H197</t>
  </si>
  <si>
    <t>I197</t>
  </si>
  <si>
    <t>J197</t>
  </si>
  <si>
    <t>G198</t>
  </si>
  <si>
    <t>H198</t>
  </si>
  <si>
    <t>I198</t>
  </si>
  <si>
    <t>J198</t>
  </si>
  <si>
    <t>G199</t>
  </si>
  <si>
    <t>H199</t>
  </si>
  <si>
    <t>I199</t>
  </si>
  <si>
    <t>J199</t>
  </si>
  <si>
    <t>G200</t>
  </si>
  <si>
    <t>H200</t>
  </si>
  <si>
    <t>I200</t>
  </si>
  <si>
    <t>J200</t>
  </si>
  <si>
    <t>G201</t>
  </si>
  <si>
    <t>H201</t>
  </si>
  <si>
    <t>I201</t>
  </si>
  <si>
    <t>J201</t>
  </si>
  <si>
    <t>G202</t>
  </si>
  <si>
    <t>H202</t>
  </si>
  <si>
    <t>I202</t>
  </si>
  <si>
    <t>J202</t>
  </si>
  <si>
    <t>G203</t>
  </si>
  <si>
    <t>H203</t>
  </si>
  <si>
    <t>I203</t>
  </si>
  <si>
    <t>J203</t>
  </si>
  <si>
    <t>G204</t>
  </si>
  <si>
    <t>H204</t>
  </si>
  <si>
    <t>I204</t>
  </si>
  <si>
    <t>J204</t>
  </si>
  <si>
    <t>G205</t>
  </si>
  <si>
    <t>H205</t>
  </si>
  <si>
    <t>I205</t>
  </si>
  <si>
    <t>J205</t>
  </si>
  <si>
    <t>G206</t>
  </si>
  <si>
    <t>H206</t>
  </si>
  <si>
    <t>I206</t>
  </si>
  <si>
    <t>J206</t>
  </si>
  <si>
    <t>G207</t>
  </si>
  <si>
    <t>H207</t>
  </si>
  <si>
    <t>I207</t>
  </si>
  <si>
    <t>J207</t>
  </si>
  <si>
    <t>G208</t>
  </si>
  <si>
    <t>H208</t>
  </si>
  <si>
    <t>I208</t>
  </si>
  <si>
    <t>J208</t>
  </si>
  <si>
    <t>G209</t>
  </si>
  <si>
    <t>H209</t>
  </si>
  <si>
    <t>I209</t>
  </si>
  <si>
    <t>J209</t>
  </si>
  <si>
    <t>G210</t>
  </si>
  <si>
    <t>H210</t>
  </si>
  <si>
    <t>I210</t>
  </si>
  <si>
    <t>J210</t>
  </si>
  <si>
    <t>G211</t>
  </si>
  <si>
    <t>H211</t>
  </si>
  <si>
    <t>I211</t>
  </si>
  <si>
    <t>J211</t>
  </si>
  <si>
    <t>G212</t>
  </si>
  <si>
    <t>H212</t>
  </si>
  <si>
    <t>I212</t>
  </si>
  <si>
    <t>J212</t>
  </si>
  <si>
    <t>G213</t>
  </si>
  <si>
    <t>H213</t>
  </si>
  <si>
    <t>I213</t>
  </si>
  <si>
    <t>J213</t>
  </si>
  <si>
    <t>G214</t>
  </si>
  <si>
    <t>H214</t>
  </si>
  <si>
    <t>I214</t>
  </si>
  <si>
    <t>J214</t>
  </si>
  <si>
    <t>G215</t>
  </si>
  <si>
    <t>H215</t>
  </si>
  <si>
    <t>I215</t>
  </si>
  <si>
    <t>J215</t>
  </si>
  <si>
    <t>G216</t>
  </si>
  <si>
    <t>H216</t>
  </si>
  <si>
    <t>I216</t>
  </si>
  <si>
    <t>J216</t>
  </si>
  <si>
    <t>G217</t>
  </si>
  <si>
    <t>H217</t>
  </si>
  <si>
    <t>I217</t>
  </si>
  <si>
    <t>J217</t>
  </si>
  <si>
    <t>G218</t>
  </si>
  <si>
    <t>H218</t>
  </si>
  <si>
    <t>I218</t>
  </si>
  <si>
    <t>J218</t>
  </si>
  <si>
    <t>G219</t>
  </si>
  <si>
    <t>H219</t>
  </si>
  <si>
    <t>I219</t>
  </si>
  <si>
    <t>J219</t>
  </si>
  <si>
    <t>G220</t>
  </si>
  <si>
    <t>H220</t>
  </si>
  <si>
    <t>I220</t>
  </si>
  <si>
    <t>J220</t>
  </si>
  <si>
    <t>G221</t>
  </si>
  <si>
    <t>H221</t>
  </si>
  <si>
    <t>I221</t>
  </si>
  <si>
    <t>J221</t>
  </si>
  <si>
    <t>G233</t>
  </si>
  <si>
    <t>H233</t>
  </si>
  <si>
    <t>I233</t>
  </si>
  <si>
    <t>J233</t>
  </si>
  <si>
    <t>G234</t>
  </si>
  <si>
    <t>H234</t>
  </si>
  <si>
    <t>I234</t>
  </si>
  <si>
    <t>J234</t>
  </si>
  <si>
    <t>G235</t>
  </si>
  <si>
    <t>H235</t>
  </si>
  <si>
    <t>I235</t>
  </si>
  <si>
    <t>J235</t>
  </si>
  <si>
    <t>G236</t>
  </si>
  <si>
    <t>H236</t>
  </si>
  <si>
    <t>I236</t>
  </si>
  <si>
    <t>J236</t>
  </si>
  <si>
    <t>G237</t>
  </si>
  <si>
    <t>H237</t>
  </si>
  <si>
    <t>I237</t>
  </si>
  <si>
    <t>J237</t>
  </si>
  <si>
    <t>G238</t>
  </si>
  <si>
    <t>H238</t>
  </si>
  <si>
    <t>I238</t>
  </si>
  <si>
    <t>J238</t>
  </si>
  <si>
    <t>G239</t>
  </si>
  <si>
    <t>H239</t>
  </si>
  <si>
    <t>I239</t>
  </si>
  <si>
    <t>J239</t>
  </si>
  <si>
    <t>G240</t>
  </si>
  <si>
    <t>H240</t>
  </si>
  <si>
    <t>I240</t>
  </si>
  <si>
    <t>J240</t>
  </si>
  <si>
    <t>G241</t>
  </si>
  <si>
    <t>H241</t>
  </si>
  <si>
    <t>I241</t>
  </si>
  <si>
    <t>J241</t>
  </si>
  <si>
    <t>A27</t>
  </si>
  <si>
    <t>A29</t>
  </si>
  <si>
    <t>A31</t>
  </si>
  <si>
    <t>A38</t>
  </si>
  <si>
    <t>A40</t>
  </si>
  <si>
    <t>A42</t>
  </si>
  <si>
    <t>A44</t>
  </si>
  <si>
    <t>A54</t>
  </si>
  <si>
    <t>A56</t>
  </si>
  <si>
    <t>A58</t>
  </si>
  <si>
    <t>A60</t>
  </si>
  <si>
    <t>A67</t>
  </si>
  <si>
    <t>A69</t>
  </si>
  <si>
    <t>A74</t>
  </si>
  <si>
    <t>A76</t>
  </si>
  <si>
    <t>A86</t>
  </si>
  <si>
    <t>A88</t>
  </si>
  <si>
    <t>A90</t>
  </si>
  <si>
    <t>A92</t>
  </si>
  <si>
    <t>A99</t>
  </si>
  <si>
    <t>A101</t>
  </si>
  <si>
    <t>A103</t>
  </si>
  <si>
    <t>A105</t>
  </si>
  <si>
    <t>A107</t>
  </si>
  <si>
    <t>A114</t>
  </si>
  <si>
    <t>NO_NOTE4B_1</t>
  </si>
  <si>
    <t>Localisation (ville / pays)</t>
  </si>
  <si>
    <t>NO_NOTE4B_2</t>
  </si>
  <si>
    <t>Valeur d'acquisition</t>
  </si>
  <si>
    <t>NO_NOTE4B_3</t>
  </si>
  <si>
    <t>NO_NOTE4B_4</t>
  </si>
  <si>
    <t>Montant des capitaux propres filiale</t>
  </si>
  <si>
    <t>NO_NOTE4B_5</t>
  </si>
  <si>
    <t>Résultat dernier exercice filiale (1)</t>
  </si>
  <si>
    <t>NO_NOTE4B_6</t>
  </si>
  <si>
    <t>NO_NOTE4B_7</t>
  </si>
  <si>
    <t>NO_NOTE8A2_1</t>
  </si>
  <si>
    <t>NO_NOTE8A2_2</t>
  </si>
  <si>
    <t>NO_NOTE8A3_1</t>
  </si>
  <si>
    <t>NO_NOTE8A3_2</t>
  </si>
  <si>
    <t>NO_NOTE12A1_1</t>
  </si>
  <si>
    <t>NO_NOTE12A1_2</t>
  </si>
  <si>
    <t>Montant en devises</t>
  </si>
  <si>
    <t>NO_NOTE12A1_3</t>
  </si>
  <si>
    <t>Cours UML Année acquisition</t>
  </si>
  <si>
    <t>NO_NOTE12A1_4</t>
  </si>
  <si>
    <t>Cours UML 31/12</t>
  </si>
  <si>
    <t>NO_NOTE12A1_5</t>
  </si>
  <si>
    <t>Variation en valeur</t>
  </si>
  <si>
    <t>NO_NOTE12A1_6</t>
  </si>
  <si>
    <t>Ecart de conversion passif</t>
  </si>
  <si>
    <t>NO_NOTE12A2_1</t>
  </si>
  <si>
    <t>NO_NOTE12A2_2</t>
  </si>
  <si>
    <t>NO_NOTE12A2_3</t>
  </si>
  <si>
    <t>NO_NOTE12A2_4</t>
  </si>
  <si>
    <t>NO_NOTE12A2_5</t>
  </si>
  <si>
    <t>NO_NOTE12A2_6</t>
  </si>
  <si>
    <t>NO_NOTE12B1_1</t>
  </si>
  <si>
    <t>NO_NOTE12B1_2</t>
  </si>
  <si>
    <t>NO_NOTE12B1_3</t>
  </si>
  <si>
    <t>NO_NOTE12B1_4</t>
  </si>
  <si>
    <t>NO_NOTE12B2_1</t>
  </si>
  <si>
    <t>NO_NOTE12B2_2</t>
  </si>
  <si>
    <t>NO_NOTE12B2_3</t>
  </si>
  <si>
    <t>NO_NOTE12B2_4</t>
  </si>
  <si>
    <t>Actif éventuel (litiges)</t>
  </si>
  <si>
    <t>NO_NOTE16C2_1</t>
  </si>
  <si>
    <t>NO_NOTE16C2_2</t>
  </si>
  <si>
    <t>NO_NOTE16C2_3</t>
  </si>
  <si>
    <t>Passif éventuel (litiges)</t>
  </si>
  <si>
    <t>NO_NOTE16C3_1</t>
  </si>
  <si>
    <t>NO_NOTE16C3_2</t>
  </si>
  <si>
    <t>NO_NOTE16C3_3</t>
  </si>
  <si>
    <t>NO_NOTE21B_1</t>
  </si>
  <si>
    <t>NO_NOTE21B_2</t>
  </si>
  <si>
    <t>NO_NOTE21B_3</t>
  </si>
  <si>
    <t>NO_NOTE21B_4</t>
  </si>
  <si>
    <t>Détail des charges HAO constatées (compte 831)</t>
  </si>
  <si>
    <t>NO_NOTE30B_1</t>
  </si>
  <si>
    <t>NO_NOTE30B_2</t>
  </si>
  <si>
    <t>NO_NOTE30B_3</t>
  </si>
  <si>
    <t>NO_NOTE30B_4</t>
  </si>
  <si>
    <t>Détail des produits HAO constatés (compte 841)</t>
  </si>
  <si>
    <t>NO_NOTE30C_1</t>
  </si>
  <si>
    <t>NO_NOTE30C_2</t>
  </si>
  <si>
    <t>NO_NOTE30C_3</t>
  </si>
  <si>
    <t>NO_NOTE30C_4</t>
  </si>
  <si>
    <t>Désignation du produit</t>
  </si>
  <si>
    <t>NO_NOTE32_1</t>
  </si>
  <si>
    <t>Unité de qté</t>
  </si>
  <si>
    <t>NO_NOTE32_2</t>
  </si>
  <si>
    <t>Qté - Prod. vendue dans le pays</t>
  </si>
  <si>
    <t>NO_NOTE32_3</t>
  </si>
  <si>
    <t>Val. - Prod. vendue dans le pays</t>
  </si>
  <si>
    <t>NO_NOTE32_4</t>
  </si>
  <si>
    <t>Qté - Prod. vendue dans autres pays OHADA</t>
  </si>
  <si>
    <t>NO_NOTE32_5</t>
  </si>
  <si>
    <t>Val. - Prod. vendue dans autres pays OHADA</t>
  </si>
  <si>
    <t>NO_NOTE32_6</t>
  </si>
  <si>
    <t>Qté - Prod. vendue hors OHADA</t>
  </si>
  <si>
    <t>NO_NOTE32_7</t>
  </si>
  <si>
    <t>Val. - Prod. vendue hors OHADA</t>
  </si>
  <si>
    <t>NO_NOTE32_8</t>
  </si>
  <si>
    <t>Qté - Prod. Immobilisée</t>
  </si>
  <si>
    <t>NO_NOTE32_9</t>
  </si>
  <si>
    <t>Val. - Prod. Immobilisée</t>
  </si>
  <si>
    <t>NO_NOTE32_10</t>
  </si>
  <si>
    <t>Qté - Stock ouverture de l'exercice</t>
  </si>
  <si>
    <t>NO_NOTE32_11</t>
  </si>
  <si>
    <t>Val. - Stock ouverture de l'exercice</t>
  </si>
  <si>
    <t>NO_NOTE32_12</t>
  </si>
  <si>
    <t>Qté - Stock clôture de l'exercice</t>
  </si>
  <si>
    <t>NO_NOTE32_13</t>
  </si>
  <si>
    <t>Val. - Stock clôture de l'exercice</t>
  </si>
  <si>
    <t>NO_NOTE32_14</t>
  </si>
  <si>
    <t>Désignation des matières et produits</t>
  </si>
  <si>
    <t>NO_NOTE33_1</t>
  </si>
  <si>
    <t>NO_NOTE33_2</t>
  </si>
  <si>
    <t>Qté - Produits de l'Etat</t>
  </si>
  <si>
    <t>NO_NOTE33_3</t>
  </si>
  <si>
    <t>Val. - Produits de l'Etat</t>
  </si>
  <si>
    <t>NO_NOTE33_4</t>
  </si>
  <si>
    <t>Qté - Produits importés achétés dans l'Etat</t>
  </si>
  <si>
    <t>NO_NOTE33_5</t>
  </si>
  <si>
    <t>Val. - Produits importés achétés dans l'Etat</t>
  </si>
  <si>
    <t>NO_NOTE33_6</t>
  </si>
  <si>
    <t>Qté - Produits importés achétés hors de l'Etat</t>
  </si>
  <si>
    <t>NO_NOTE33_7</t>
  </si>
  <si>
    <t>Val. - Produits importés achétés hors de l'Etat</t>
  </si>
  <si>
    <t>NO_NOTE33_8</t>
  </si>
  <si>
    <t>Variation des stocks (valeur)</t>
  </si>
  <si>
    <t>NO_NOTE33_9</t>
  </si>
  <si>
    <t>I - C1 - BIENS ACQUIS D'OCCASION</t>
  </si>
  <si>
    <t>NO_SUPPL1A2_1</t>
  </si>
  <si>
    <t>NO_SUPPL1A2_2</t>
  </si>
  <si>
    <t>NO_SUPPL1A2_3</t>
  </si>
  <si>
    <t>NO_SUPPL1B_1</t>
  </si>
  <si>
    <t>NO_SUPPL1B_2</t>
  </si>
  <si>
    <t>Qté - PROD. VENDUE DANS LES AUTRES ETATS DE L'UEMOA</t>
  </si>
  <si>
    <t>NO_SUPPL1B_3</t>
  </si>
  <si>
    <t>Val. - PROD. VENDUE DANS LES AUTRES ETATS DE L'UEMOA</t>
  </si>
  <si>
    <t>NO_SUPPL1B_4</t>
  </si>
  <si>
    <t>Qté - PROD. VENDUE DANS LES AUTRES ETATS DE LA REGION HORS UEMOA</t>
  </si>
  <si>
    <t>NO_SUPPL1B_5</t>
  </si>
  <si>
    <t>Val. - PROD. VENDUE DANS LES AUTRES ETATS DE LA REGION HORS UEMOA</t>
  </si>
  <si>
    <t>NO_SUPPL1B_6</t>
  </si>
  <si>
    <t>NO_SUPPL2_1</t>
  </si>
  <si>
    <t>NO_SUPPL2_2</t>
  </si>
  <si>
    <t>N° de Compte Contribuable</t>
  </si>
  <si>
    <t>NO_SUPPL2_3</t>
  </si>
  <si>
    <t>Part des résultats</t>
  </si>
  <si>
    <t>NO_SUPPL2_4</t>
  </si>
  <si>
    <t>Rémunération, avantages en nature et part de l'IMF</t>
  </si>
  <si>
    <t>NO_SUPPL2_5</t>
  </si>
  <si>
    <t>Total imposable au nom de chaque associé</t>
  </si>
  <si>
    <t>NO_SUPPL2_6</t>
  </si>
  <si>
    <t>NO_SUPPL2_7</t>
  </si>
  <si>
    <t>N° DE COMPTE</t>
  </si>
  <si>
    <t>NO_SUPPL4_1</t>
  </si>
  <si>
    <t>DESIGNATION DES IMMO.</t>
  </si>
  <si>
    <t>NO_SUPPL4_2</t>
  </si>
  <si>
    <t>TAUX AMORT. (%)</t>
  </si>
  <si>
    <t>NO_SUPPL4_3</t>
  </si>
  <si>
    <t>NO_SUPPL4_4</t>
  </si>
  <si>
    <t>VALEUR D'ACQUISITION</t>
  </si>
  <si>
    <t>NO_SUPPL4_5</t>
  </si>
  <si>
    <t>AMORT. ANTERIEURS</t>
  </si>
  <si>
    <t>NO_SUPPL4_6</t>
  </si>
  <si>
    <t>AMORT. DE L'EXERCICE</t>
  </si>
  <si>
    <t>NO_SUPPL4_7</t>
  </si>
  <si>
    <t>TOTAL DES AMORT.</t>
  </si>
  <si>
    <t>NO_SUPPL4_8</t>
  </si>
  <si>
    <t>VALEUR RESIDUELLE</t>
  </si>
  <si>
    <t>NO_SUPPL4_9</t>
  </si>
  <si>
    <t>NO_SUPPL4_10</t>
  </si>
  <si>
    <t>NO_SUPPL4_11</t>
  </si>
  <si>
    <t>NO_SUPPL4_12</t>
  </si>
  <si>
    <t>NO_SUPPL7A_1</t>
  </si>
  <si>
    <t>NO_SUPPL7A_2</t>
  </si>
  <si>
    <t>NO_SUPPL7A_3</t>
  </si>
  <si>
    <t>NO_SUPPL7B_1</t>
  </si>
  <si>
    <t>NO_SUPPL7B_2</t>
  </si>
  <si>
    <t>NO_SUPPL7B_3</t>
  </si>
  <si>
    <t>Réserves d'attribution gratuite d'actions au personnel salarié et aux dirigeants</t>
  </si>
  <si>
    <t>L10</t>
  </si>
  <si>
    <t>M11</t>
  </si>
  <si>
    <t>N11</t>
  </si>
  <si>
    <t>O11</t>
  </si>
  <si>
    <t>B10</t>
  </si>
  <si>
    <t>C18</t>
  </si>
  <si>
    <t>0 points</t>
  </si>
  <si>
    <t>NO_NOTE15A_7_6</t>
  </si>
  <si>
    <t>NO_NOTE15A_8_6</t>
  </si>
  <si>
    <t>NO_NOTE15A_10_6</t>
  </si>
  <si>
    <t>NO_NOTE15A_11_6</t>
  </si>
  <si>
    <t>NO_NOTE15A_12_6</t>
  </si>
  <si>
    <t>NO_NOTE15A_13_6</t>
  </si>
  <si>
    <t>NO_NOTE15A_14_6</t>
  </si>
  <si>
    <t>NO_NOTE15A_15_6</t>
  </si>
  <si>
    <t>NO_NOTE15A_16_6</t>
  </si>
  <si>
    <t>Tableau ayant un nombre de lignes fixe (ex : tableau de résultat).</t>
  </si>
  <si>
    <t>Le code DGI permettant d'identifier le tableau.</t>
  </si>
  <si>
    <t>F65</t>
  </si>
  <si>
    <t>Malis provenant d'attribution gratuite d'actions au personnel salarié et aux dirigeants</t>
  </si>
  <si>
    <t>F59</t>
  </si>
  <si>
    <t>F60</t>
  </si>
  <si>
    <t>F62</t>
  </si>
  <si>
    <t>F63</t>
  </si>
  <si>
    <t>F64</t>
  </si>
  <si>
    <t>G242</t>
  </si>
  <si>
    <t>H242</t>
  </si>
  <si>
    <t>I242</t>
  </si>
  <si>
    <t>J242</t>
  </si>
  <si>
    <t>G243</t>
  </si>
  <si>
    <t>H243</t>
  </si>
  <si>
    <t>I243</t>
  </si>
  <si>
    <t>J243</t>
  </si>
  <si>
    <t>G244</t>
  </si>
  <si>
    <t>H244</t>
  </si>
  <si>
    <t>I244</t>
  </si>
  <si>
    <t>J244</t>
  </si>
  <si>
    <t>G245</t>
  </si>
  <si>
    <t>H245</t>
  </si>
  <si>
    <t>I245</t>
  </si>
  <si>
    <t>J245</t>
  </si>
  <si>
    <t>G246</t>
  </si>
  <si>
    <t>H246</t>
  </si>
  <si>
    <t>I246</t>
  </si>
  <si>
    <t>J246</t>
  </si>
  <si>
    <t>G247</t>
  </si>
  <si>
    <t>H247</t>
  </si>
  <si>
    <t>I247</t>
  </si>
  <si>
    <t>J247</t>
  </si>
  <si>
    <t>G248</t>
  </si>
  <si>
    <t>H248</t>
  </si>
  <si>
    <t>I248</t>
  </si>
  <si>
    <t>J248</t>
  </si>
  <si>
    <t>G249</t>
  </si>
  <si>
    <t>H249</t>
  </si>
  <si>
    <t>I249</t>
  </si>
  <si>
    <t>J249</t>
  </si>
  <si>
    <t>G250</t>
  </si>
  <si>
    <t>H250</t>
  </si>
  <si>
    <t>I250</t>
  </si>
  <si>
    <t>J250</t>
  </si>
  <si>
    <t>G251</t>
  </si>
  <si>
    <t>H251</t>
  </si>
  <si>
    <t>I251</t>
  </si>
  <si>
    <t>J251</t>
  </si>
  <si>
    <t>G252</t>
  </si>
  <si>
    <t>H252</t>
  </si>
  <si>
    <t>I252</t>
  </si>
  <si>
    <t>J252</t>
  </si>
  <si>
    <t>G253</t>
  </si>
  <si>
    <t>H253</t>
  </si>
  <si>
    <t>I253</t>
  </si>
  <si>
    <t>J253</t>
  </si>
  <si>
    <t>G254</t>
  </si>
  <si>
    <t>H254</t>
  </si>
  <si>
    <t>I254</t>
  </si>
  <si>
    <t>J254</t>
  </si>
  <si>
    <t>G255</t>
  </si>
  <si>
    <t>H255</t>
  </si>
  <si>
    <t>I255</t>
  </si>
  <si>
    <t>J255</t>
  </si>
  <si>
    <t>G256</t>
  </si>
  <si>
    <t>H256</t>
  </si>
  <si>
    <t>I256</t>
  </si>
  <si>
    <t>J256</t>
  </si>
  <si>
    <t>G257</t>
  </si>
  <si>
    <t>H257</t>
  </si>
  <si>
    <t>I257</t>
  </si>
  <si>
    <t>J257</t>
  </si>
  <si>
    <t>G258</t>
  </si>
  <si>
    <t>H258</t>
  </si>
  <si>
    <t>I258</t>
  </si>
  <si>
    <t>J258</t>
  </si>
  <si>
    <t>G259</t>
  </si>
  <si>
    <t>H259</t>
  </si>
  <si>
    <t>I259</t>
  </si>
  <si>
    <t>J259</t>
  </si>
  <si>
    <t>G260</t>
  </si>
  <si>
    <t>H260</t>
  </si>
  <si>
    <t>I260</t>
  </si>
  <si>
    <t>J260</t>
  </si>
  <si>
    <t>G261</t>
  </si>
  <si>
    <t>H261</t>
  </si>
  <si>
    <t>I261</t>
  </si>
  <si>
    <t>J261</t>
  </si>
  <si>
    <t>G262</t>
  </si>
  <si>
    <t>H262</t>
  </si>
  <si>
    <t>I262</t>
  </si>
  <si>
    <t>J262</t>
  </si>
  <si>
    <t>G263</t>
  </si>
  <si>
    <t>H263</t>
  </si>
  <si>
    <t>I263</t>
  </si>
  <si>
    <t>J263</t>
  </si>
  <si>
    <t>G264</t>
  </si>
  <si>
    <t>H264</t>
  </si>
  <si>
    <t>I264</t>
  </si>
  <si>
    <t>J264</t>
  </si>
  <si>
    <t>G265</t>
  </si>
  <si>
    <t>H265</t>
  </si>
  <si>
    <t>I265</t>
  </si>
  <si>
    <t>J265</t>
  </si>
  <si>
    <t>G266</t>
  </si>
  <si>
    <t>H266</t>
  </si>
  <si>
    <t>I266</t>
  </si>
  <si>
    <t>J266</t>
  </si>
  <si>
    <t>G267</t>
  </si>
  <si>
    <t>H267</t>
  </si>
  <si>
    <t>I267</t>
  </si>
  <si>
    <t>J267</t>
  </si>
  <si>
    <t>G268</t>
  </si>
  <si>
    <t>H268</t>
  </si>
  <si>
    <t>I268</t>
  </si>
  <si>
    <t>J268</t>
  </si>
  <si>
    <t>G269</t>
  </si>
  <si>
    <t>H269</t>
  </si>
  <si>
    <t>I269</t>
  </si>
  <si>
    <t>J269</t>
  </si>
  <si>
    <t>G270</t>
  </si>
  <si>
    <t>H270</t>
  </si>
  <si>
    <t>I270</t>
  </si>
  <si>
    <t>J270</t>
  </si>
  <si>
    <t>G271</t>
  </si>
  <si>
    <t>H271</t>
  </si>
  <si>
    <t>I271</t>
  </si>
  <si>
    <t>J271</t>
  </si>
  <si>
    <t>G272</t>
  </si>
  <si>
    <t>H272</t>
  </si>
  <si>
    <t>I272</t>
  </si>
  <si>
    <t>J272</t>
  </si>
  <si>
    <t>G273</t>
  </si>
  <si>
    <t>H273</t>
  </si>
  <si>
    <t>I273</t>
  </si>
  <si>
    <t>J273</t>
  </si>
  <si>
    <t>B70</t>
  </si>
  <si>
    <t>C70</t>
  </si>
  <si>
    <t>D70</t>
  </si>
  <si>
    <t>B71</t>
  </si>
  <si>
    <t>C71</t>
  </si>
  <si>
    <t>D71</t>
  </si>
  <si>
    <t>B72</t>
  </si>
  <si>
    <t>C72</t>
  </si>
  <si>
    <t>D72</t>
  </si>
  <si>
    <t>B73</t>
  </si>
  <si>
    <t>C73</t>
  </si>
  <si>
    <t>D73</t>
  </si>
  <si>
    <t>B74</t>
  </si>
  <si>
    <t>C74</t>
  </si>
  <si>
    <t>D74</t>
  </si>
  <si>
    <t>B75</t>
  </si>
  <si>
    <t>C75</t>
  </si>
  <si>
    <t>D75</t>
  </si>
  <si>
    <t>B76</t>
  </si>
  <si>
    <t>C76</t>
  </si>
  <si>
    <t>D76</t>
  </si>
  <si>
    <t>M68</t>
  </si>
  <si>
    <t>M71</t>
  </si>
  <si>
    <t>M72</t>
  </si>
  <si>
    <t>M73</t>
  </si>
  <si>
    <t>G275</t>
  </si>
  <si>
    <t>H275</t>
  </si>
  <si>
    <t>I275</t>
  </si>
  <si>
    <t>J275</t>
  </si>
  <si>
    <t>L9</t>
  </si>
  <si>
    <t>N9</t>
  </si>
  <si>
    <t>P9</t>
  </si>
  <si>
    <t>P10</t>
  </si>
  <si>
    <t>A116</t>
  </si>
  <si>
    <t>A118</t>
  </si>
  <si>
    <t>A120</t>
  </si>
  <si>
    <t>A122</t>
  </si>
  <si>
    <t>A129</t>
  </si>
  <si>
    <t>M10</t>
  </si>
  <si>
    <t>N19</t>
  </si>
  <si>
    <t>N20</t>
  </si>
  <si>
    <t>N21</t>
  </si>
  <si>
    <t>N22</t>
  </si>
  <si>
    <t>N23</t>
  </si>
  <si>
    <t>N24</t>
  </si>
  <si>
    <t>S12</t>
  </si>
  <si>
    <t>S13</t>
  </si>
  <si>
    <t>S14</t>
  </si>
  <si>
    <t>S15</t>
  </si>
  <si>
    <t>S16</t>
  </si>
  <si>
    <t>S17</t>
  </si>
  <si>
    <t>S18</t>
  </si>
  <si>
    <t>F70</t>
  </si>
  <si>
    <t>F71</t>
  </si>
  <si>
    <t>F72</t>
  </si>
  <si>
    <t>F73</t>
  </si>
  <si>
    <t>F74</t>
  </si>
  <si>
    <t>F75</t>
  </si>
  <si>
    <t>F76</t>
  </si>
  <si>
    <t>M76</t>
  </si>
  <si>
    <t>NO_NOTE27B3_YH_1</t>
  </si>
  <si>
    <t>NO_NOTE27B3_YH_2</t>
  </si>
  <si>
    <t>NO_NOTE27B3_YI_1</t>
  </si>
  <si>
    <t>NO_NOTE27B3_YI_2</t>
  </si>
  <si>
    <t>NO_NOTE27B3_YJ_1</t>
  </si>
  <si>
    <t>NO_NOTE27B3_YJ_2</t>
  </si>
  <si>
    <t>NO_NOTE27B3_YK_1</t>
  </si>
  <si>
    <t>NO_NOTE27B3_YK_2</t>
  </si>
  <si>
    <t>NO_NOTE27B3_YL_1</t>
  </si>
  <si>
    <t>NO_NOTE27B3_YL_2</t>
  </si>
  <si>
    <t>NO_NOTE27B3_YM_1</t>
  </si>
  <si>
    <t>NO_NOTE27B3_YM_2</t>
  </si>
  <si>
    <t>NO_NOTE27B3_YN_1</t>
  </si>
  <si>
    <t>NO_NOTE27B3_YN_2</t>
  </si>
  <si>
    <t>M28</t>
  </si>
  <si>
    <t>NO_NOTE35_2_1</t>
  </si>
  <si>
    <t>NO_NOTE35_3_1</t>
  </si>
  <si>
    <t>NO_NOTE35_4_1</t>
  </si>
  <si>
    <t>NO_NOTE35_5_1</t>
  </si>
  <si>
    <t>Égalité de traitement :</t>
  </si>
  <si>
    <t>NO_NOTE35_6_1</t>
  </si>
  <si>
    <t>NO_NOTE35_8_1</t>
  </si>
  <si>
    <t>NO_NOTE35_9_1</t>
  </si>
  <si>
    <t>NO_NOTE35_10_1</t>
  </si>
  <si>
    <t>NO_NOTE35_11_1</t>
  </si>
  <si>
    <t>NO_NOTE35_12_1</t>
  </si>
  <si>
    <t>NO_NOTE35_14_1</t>
  </si>
  <si>
    <t>Relations entretenues avec les personnes ou organisations intéressées par l'activité de la société</t>
  </si>
  <si>
    <t>NO_NOTE35_15_1</t>
  </si>
  <si>
    <t>NO_NOTE35_16_1</t>
  </si>
  <si>
    <t>A19</t>
  </si>
  <si>
    <t>A37</t>
  </si>
  <si>
    <t>A47</t>
  </si>
  <si>
    <t>A50</t>
  </si>
  <si>
    <t>A53</t>
  </si>
  <si>
    <t>A62</t>
  </si>
  <si>
    <t>A65</t>
  </si>
  <si>
    <t>NATURE DU CONTRAT</t>
  </si>
  <si>
    <t>I</t>
  </si>
  <si>
    <t>TABLEAU</t>
  </si>
  <si>
    <t>CHAMP</t>
  </si>
  <si>
    <r>
      <rPr>
        <u/>
        <sz val="14"/>
        <color theme="1"/>
        <rFont val="Calibri"/>
        <family val="2"/>
        <scheme val="minor"/>
      </rPr>
      <t>Note :</t>
    </r>
    <r>
      <rPr>
        <sz val="14"/>
        <color theme="1"/>
        <rFont val="Calibri"/>
        <family val="2"/>
        <scheme val="minor"/>
      </rPr>
      <t xml:space="preserve"> La génération peut prendre </t>
    </r>
    <r>
      <rPr>
        <b/>
        <sz val="14"/>
        <color theme="1"/>
        <rFont val="Calibri"/>
        <family val="2"/>
        <scheme val="minor"/>
      </rPr>
      <t>plusieurs minutes</t>
    </r>
    <r>
      <rPr>
        <sz val="14"/>
        <color theme="1"/>
        <rFont val="Calibri"/>
        <family val="2"/>
        <scheme val="minor"/>
      </rPr>
      <t>.</t>
    </r>
  </si>
  <si>
    <t>NATURE DES ACTIONS OU PARTS</t>
  </si>
  <si>
    <t>Ordinaires</t>
  </si>
  <si>
    <t>Préférences</t>
  </si>
  <si>
    <t>Montant global à étaler au 1er janvier de l'année N</t>
  </si>
  <si>
    <t>Total exercice N</t>
  </si>
  <si>
    <t>Total exercice N+1</t>
  </si>
  <si>
    <t>Total exercice N+2</t>
  </si>
  <si>
    <t>Total exercice N+3</t>
  </si>
  <si>
    <t>Total exercice N+4</t>
  </si>
  <si>
    <t>Montant global à étaler au 1er janvier N</t>
  </si>
  <si>
    <t>DATE DE DEBUT DE L'EXERCICE COMPTABLE</t>
  </si>
  <si>
    <t>DATE DE FIN DE L'EXERCICE COMPTABLE</t>
  </si>
  <si>
    <t>DATE D'ARRETE EFFECTIF DES COMPTES</t>
  </si>
  <si>
    <t>EXERCICE PRECEDENT CLOS LE</t>
  </si>
  <si>
    <t>Etats financiers approuvés par l'Assemblée Générale</t>
  </si>
  <si>
    <t>FR2A</t>
  </si>
  <si>
    <t>Forme juridique :</t>
  </si>
  <si>
    <t>Régime fiscal :</t>
  </si>
  <si>
    <t>Pays du siège social :</t>
  </si>
  <si>
    <t>NO_FR2A_ZZ1_1</t>
  </si>
  <si>
    <t>NO_FR2A_ZZ2_1</t>
  </si>
  <si>
    <t>Nombre d'établissements hors du pays pour lesquels une comptabilité distincte est tenue :</t>
  </si>
  <si>
    <t>NO_FR2A_ZZ3_1</t>
  </si>
  <si>
    <t>NO_FR2A_ZZ4_1</t>
  </si>
  <si>
    <t>Contrôle de l'entité</t>
  </si>
  <si>
    <t>NO_FR2A_1_1</t>
  </si>
  <si>
    <t>Fiche R2 - Divers</t>
  </si>
  <si>
    <t>FR2B</t>
  </si>
  <si>
    <t>FR3A</t>
  </si>
  <si>
    <t>Fiche R3 - Dirigeants</t>
  </si>
  <si>
    <t>FR3B</t>
  </si>
  <si>
    <t>Fiche R3 - Membres du conseil d'administration</t>
  </si>
  <si>
    <t>Etats financiers approuvés par l'Assemblée
Générale (Oui/Non)</t>
  </si>
  <si>
    <t>Contrôle de l'Entité</t>
  </si>
  <si>
    <t>Code nomenclature
d'activité</t>
  </si>
  <si>
    <t>Entité sous contrôle public</t>
  </si>
  <si>
    <t>Entité sous contrôle privé national</t>
  </si>
  <si>
    <t>Entité sous contrôle privé étranger</t>
  </si>
  <si>
    <t>00</t>
  </si>
  <si>
    <t>01</t>
  </si>
  <si>
    <t>02</t>
  </si>
  <si>
    <t>03</t>
  </si>
  <si>
    <t>04</t>
  </si>
  <si>
    <t>05</t>
  </si>
  <si>
    <t>06</t>
  </si>
  <si>
    <t>07</t>
  </si>
  <si>
    <t>08</t>
  </si>
  <si>
    <t>09</t>
  </si>
  <si>
    <t>10</t>
  </si>
  <si>
    <t>11</t>
  </si>
  <si>
    <t>12</t>
  </si>
  <si>
    <t>13</t>
  </si>
  <si>
    <t>14</t>
  </si>
  <si>
    <t>15</t>
  </si>
  <si>
    <t>16</t>
  </si>
  <si>
    <t>Désignation de l'activité</t>
  </si>
  <si>
    <t>NO_FR2B_1</t>
  </si>
  <si>
    <t>Code nomenclature d'activité</t>
  </si>
  <si>
    <t>NO_FR2B_2</t>
  </si>
  <si>
    <t>Chiffre d'affaires HT (CA HT) ou Valeur ajoutée (VA)</t>
  </si>
  <si>
    <t>NO_FR2B_3</t>
  </si>
  <si>
    <t>% activité dans le CA HT ou la VA</t>
  </si>
  <si>
    <t>NO_FR2B_4</t>
  </si>
  <si>
    <t>NO_FR3A_1</t>
  </si>
  <si>
    <t>NO_FR3A_2</t>
  </si>
  <si>
    <t>NO_FR3A_3</t>
  </si>
  <si>
    <t>NO_FR3A_4</t>
  </si>
  <si>
    <t>N° d'identification fiscale</t>
  </si>
  <si>
    <t>NO_FR3A_5</t>
  </si>
  <si>
    <t>NO_FR3A_6</t>
  </si>
  <si>
    <t>NO_FR3B_1</t>
  </si>
  <si>
    <t>NO_FR3B_2</t>
  </si>
  <si>
    <t>NO_FR3B_3</t>
  </si>
  <si>
    <t>NO_FR3B_4</t>
  </si>
  <si>
    <t>Q9</t>
  </si>
  <si>
    <t>N8</t>
  </si>
  <si>
    <t>S8</t>
  </si>
  <si>
    <t>U12</t>
  </si>
  <si>
    <t>C14</t>
  </si>
  <si>
    <t>C26</t>
  </si>
  <si>
    <t>C32</t>
  </si>
  <si>
    <t>C35</t>
  </si>
  <si>
    <t>Q11</t>
  </si>
  <si>
    <t>Q20</t>
  </si>
  <si>
    <t>P29</t>
  </si>
  <si>
    <t>Q47</t>
  </si>
  <si>
    <t>C50</t>
  </si>
  <si>
    <t>C53</t>
  </si>
  <si>
    <t>C56</t>
  </si>
  <si>
    <t>A17</t>
  </si>
  <si>
    <t>C11</t>
  </si>
  <si>
    <t>A - CHANGEMENTS DE METHODES COMPTABLES</t>
  </si>
  <si>
    <t>NO_NOTE39_1_1</t>
  </si>
  <si>
    <t xml:space="preserve">B - CHANGEMENTS D'ESTIMATIONS </t>
  </si>
  <si>
    <t>NO_NOTE39_2_1</t>
  </si>
  <si>
    <t>C - CORRECTIONS D'ERREURS</t>
  </si>
  <si>
    <t>NO_NOTE39_3_1</t>
  </si>
  <si>
    <t>W11</t>
  </si>
  <si>
    <t>FR1</t>
  </si>
  <si>
    <t>NO_FR1_ZA1_1</t>
  </si>
  <si>
    <t>NO_FR1_ZA2_1</t>
  </si>
  <si>
    <t>NO_FR1_ZB_1</t>
  </si>
  <si>
    <t>NO_FR1_ZC_1</t>
  </si>
  <si>
    <t>DUREE EXERCICE PRECEDENT EN MOIS</t>
  </si>
  <si>
    <t>NO_FR1_ZD_1</t>
  </si>
  <si>
    <t>NO_FR1_ZE1_1</t>
  </si>
  <si>
    <t>NO_FR1_ZE2_1</t>
  </si>
  <si>
    <t>NO_FR1_ZF_1</t>
  </si>
  <si>
    <t>NO_FR1_ZG_1</t>
  </si>
  <si>
    <t>NO_FR1_ZH_1</t>
  </si>
  <si>
    <t>NO_FR1_ZL_1</t>
  </si>
  <si>
    <t>NO_FR1_ZN_1</t>
  </si>
  <si>
    <t>NO_FR1_ZS_1</t>
  </si>
  <si>
    <t>NO_FR1_ZT_1</t>
  </si>
  <si>
    <t>NO_FR1_ZU_1</t>
  </si>
  <si>
    <t>NO_FR1_ZV_1</t>
  </si>
  <si>
    <t>Fiche R1</t>
  </si>
  <si>
    <t>A131</t>
  </si>
  <si>
    <t>A133</t>
  </si>
  <si>
    <t>#1</t>
  </si>
  <si>
    <t>#2</t>
  </si>
  <si>
    <t>#3</t>
  </si>
  <si>
    <t>#4</t>
  </si>
  <si>
    <t>#5</t>
  </si>
  <si>
    <t>Renseignez votre NCC et l'exercice concerné ci-dessus.</t>
  </si>
  <si>
    <t>GENERER LE FICHIER XML POUR E-IMPOTS</t>
  </si>
  <si>
    <t>Comment générer un fichier XML pour e-impots ?</t>
  </si>
  <si>
    <t>Cliquez sur le bouton "Générer le fichier XML" ci-dessous.</t>
  </si>
  <si>
    <t>Comment utiliser le fichier XML géneré ?</t>
  </si>
  <si>
    <r>
      <t xml:space="preserve">Le fichier XML géneré est déposé dans le répertoire </t>
    </r>
    <r>
      <rPr>
        <b/>
        <sz val="11"/>
        <color theme="1"/>
        <rFont val="Calibri"/>
        <family val="2"/>
        <scheme val="minor"/>
      </rPr>
      <t>/Documents</t>
    </r>
    <r>
      <rPr>
        <sz val="11"/>
        <color theme="1"/>
        <rFont val="Calibri"/>
        <family val="2"/>
        <scheme val="minor"/>
      </rPr>
      <t xml:space="preserve"> de votre poste de travail.</t>
    </r>
  </si>
  <si>
    <t>IMPORTANT</t>
  </si>
  <si>
    <t>A l'étape 1 de la déclaration de vos états financiers, vous pouvez charger le fichier dans la section "Import des états financiers au format XML".</t>
  </si>
  <si>
    <t>Tous les champs déjà saisis dans e-impots seront écrasés lors de l'import.</t>
  </si>
  <si>
    <t>Les onglets grisés (GARDE, RECEVABILITE, FICHE R4, NOTES DGI - INS) et les champs grisés de l'onglet FICHE R1 peuvent être ignorés. 
Les informations qu'ils contiennent ne seront pas exportées dans le fichier XML.</t>
  </si>
  <si>
    <t xml:space="preserve">Remplissez les onglets du fichier qui vous concernent. 
</t>
  </si>
  <si>
    <t>Veuillez sélectionner le type de contrôle dans la liste :</t>
  </si>
  <si>
    <t>AH29</t>
  </si>
  <si>
    <t>N64</t>
  </si>
  <si>
    <t xml:space="preserve">Qualité </t>
  </si>
  <si>
    <t xml:space="preserve">Adresse e-mail </t>
  </si>
  <si>
    <t>Téléphone</t>
  </si>
  <si>
    <t>Adresse</t>
  </si>
  <si>
    <t>Nom</t>
  </si>
  <si>
    <t>Personne à contacter en cas de demande :</t>
  </si>
  <si>
    <t>Salarié de l'entité ou professionnel comptable inscrit à l'Ordre des Experts-comptables ayant établi les états financiers :</t>
  </si>
  <si>
    <t>NO_FR1_ZO1_1</t>
  </si>
  <si>
    <t>NO_FR1_ZO2_1</t>
  </si>
  <si>
    <t>NO_FR1_ZO3_1</t>
  </si>
  <si>
    <t>E-mail</t>
  </si>
  <si>
    <t>NO_FR1_ZO4_1</t>
  </si>
  <si>
    <t>NO_FR1_ZO5_1</t>
  </si>
  <si>
    <t>NO_FR1_ZP1_1</t>
  </si>
  <si>
    <t>NO_FR1_ZP2_1</t>
  </si>
  <si>
    <t>NO_FR1_ZP3_1</t>
  </si>
  <si>
    <t>NO_FR1_ZP4_1</t>
  </si>
  <si>
    <t>K32</t>
  </si>
  <si>
    <t>S32</t>
  </si>
  <si>
    <t>K35</t>
  </si>
  <si>
    <t>O35</t>
  </si>
  <si>
    <t>NOTE38A</t>
  </si>
  <si>
    <t>NO_NOTE38A_1_1</t>
  </si>
  <si>
    <t>NO_NOTE38A_2_1</t>
  </si>
  <si>
    <t>NOTE38B</t>
  </si>
  <si>
    <t>NO_NOTE38B_1_1</t>
  </si>
  <si>
    <t>NO_NOTE38B_2_1</t>
  </si>
  <si>
    <t>NO_NOTE38B_3_1</t>
  </si>
  <si>
    <t>Événements postérieurs à la clôture de l'exercice - Partie 1</t>
  </si>
  <si>
    <t>Événements postérieurs à la clôture de l'exercice - Partie 2</t>
  </si>
  <si>
    <t>Amortissements non déductibles</t>
  </si>
  <si>
    <t>Provisions non déductibles</t>
  </si>
  <si>
    <t>Intérêts excédentaires des comptes courants d'associés</t>
  </si>
  <si>
    <t>Rémunérations allouées à l'exploitant individuel et aux associés des sociétés de personnes</t>
  </si>
  <si>
    <t>Avantages en nature de l'exploitant individuel et des associés de personnes</t>
  </si>
  <si>
    <t>Impôts non déductibles (IMF - BIC - IGR...impôts non payés...)</t>
  </si>
  <si>
    <t>Amendes et pénalités de toute nature</t>
  </si>
  <si>
    <t>Plus-values exonérées non réinvesties</t>
  </si>
  <si>
    <t>Dons et subventions</t>
  </si>
  <si>
    <t>Rémunérations des gérants majoritaires de SARL</t>
  </si>
  <si>
    <t>Indemnités de fonction et autres rémunérations allouées aux administrateurs</t>
  </si>
  <si>
    <t>Autres charges non déductibles</t>
  </si>
  <si>
    <t>TOTAL DES REINTEGRATIONS</t>
  </si>
  <si>
    <t>Provisions antérieurement taxées ou définitivement exonérées réintégrées</t>
  </si>
  <si>
    <t>Réfactions sur produits financiers</t>
  </si>
  <si>
    <t>Réfactions sur produits d'actions</t>
  </si>
  <si>
    <t>Déductions Art. 110 du CGI</t>
  </si>
  <si>
    <t>Divers</t>
  </si>
  <si>
    <t>TOTAL DES DEDUCTIONS</t>
  </si>
  <si>
    <t>NOTE37</t>
  </si>
  <si>
    <t>NO_NOTE37_1_2</t>
  </si>
  <si>
    <t>NO_NOTE37_3_2</t>
  </si>
  <si>
    <t>NO_NOTE37_4_2</t>
  </si>
  <si>
    <t>NO_NOTE37_5_2</t>
  </si>
  <si>
    <t>NO_NOTE37_6_2</t>
  </si>
  <si>
    <t>NO_NOTE37_7_2</t>
  </si>
  <si>
    <t>NO_NOTE37_8_2</t>
  </si>
  <si>
    <t>NO_NOTE37_9_2</t>
  </si>
  <si>
    <t>NO_NOTE37_10_2</t>
  </si>
  <si>
    <t>NO_NOTE37_11_2</t>
  </si>
  <si>
    <t>NO_NOTE37_12_2</t>
  </si>
  <si>
    <t>NO_NOTE37_13_2</t>
  </si>
  <si>
    <t>NO_NOTE37_14_2</t>
  </si>
  <si>
    <t>NO_NOTE37_15_2</t>
  </si>
  <si>
    <t>NO_NOTE37_17_2</t>
  </si>
  <si>
    <t>NO_NOTE37_18_2</t>
  </si>
  <si>
    <t>NO_NOTE37_19_2</t>
  </si>
  <si>
    <t>NO_NOTE37_20_2</t>
  </si>
  <si>
    <t>NO_NOTE37_21_2</t>
  </si>
  <si>
    <t>NO_NOTE37_22_2</t>
  </si>
  <si>
    <t>NO_NOTE37_23_2</t>
  </si>
  <si>
    <t>NO_NOTE37_24_2</t>
  </si>
  <si>
    <t>NO_NOTE37_25_2</t>
  </si>
  <si>
    <t>NO_NOTE37_26_2</t>
  </si>
  <si>
    <t>NO_NOTE37_27_2</t>
  </si>
  <si>
    <t>NO_NOTE37_28_1</t>
  </si>
  <si>
    <t>NO_NOTE37_28_2</t>
  </si>
  <si>
    <t>D36</t>
  </si>
  <si>
    <t>FICHE  R1 : FICHE D'IDENTIFICATION ET RENSEIGNEMENTS DIVERS 1 (1)</t>
  </si>
  <si>
    <r>
      <rPr>
        <b/>
        <sz val="9"/>
        <color theme="1"/>
        <rFont val="Arial"/>
        <family val="2"/>
      </rPr>
      <t xml:space="preserve">Transferts de charges financières : </t>
    </r>
    <r>
      <rPr>
        <sz val="9"/>
        <color theme="1"/>
        <rFont val="Arial"/>
        <family val="2"/>
      </rPr>
      <t xml:space="preserve">
</t>
    </r>
    <r>
      <rPr>
        <i/>
        <sz val="9"/>
        <color theme="1"/>
        <rFont val="Arial"/>
        <family val="2"/>
      </rPr>
      <t>détailler la nature des charges transférées et leurs comptes de provenance (1)</t>
    </r>
  </si>
  <si>
    <t>Cette feuille ne peut pas être modifiée, elle sera remplie automatiquement avec les valeurs saisies dans l'onglet BILAN.</t>
  </si>
  <si>
    <t>ACTIF (1)</t>
  </si>
  <si>
    <r>
      <rPr>
        <sz val="9"/>
        <color theme="1"/>
        <rFont val="Arial"/>
        <family val="2"/>
      </rPr>
      <t>Terrains</t>
    </r>
    <r>
      <rPr>
        <i/>
        <sz val="9"/>
        <color theme="1"/>
        <rFont val="Arial"/>
        <family val="2"/>
      </rPr>
      <t xml:space="preserve">
</t>
    </r>
    <r>
      <rPr>
        <i/>
        <sz val="8"/>
        <color theme="1"/>
        <rFont val="Arial"/>
        <family val="2"/>
      </rPr>
      <t>dont Placement Net :</t>
    </r>
  </si>
  <si>
    <r>
      <rPr>
        <sz val="9"/>
        <color theme="1"/>
        <rFont val="Arial"/>
        <family val="2"/>
      </rPr>
      <t>Bâtiments</t>
    </r>
    <r>
      <rPr>
        <i/>
        <sz val="9"/>
        <color theme="1"/>
        <rFont val="Arial"/>
        <family val="2"/>
      </rPr>
      <t xml:space="preserve">
</t>
    </r>
    <r>
      <rPr>
        <i/>
        <sz val="8"/>
        <color theme="1"/>
        <rFont val="Arial"/>
        <family val="2"/>
      </rPr>
      <t>dont Placement Net :</t>
    </r>
  </si>
  <si>
    <r>
      <rPr>
        <sz val="9"/>
        <color theme="1"/>
        <rFont val="Arial"/>
        <family val="2"/>
      </rPr>
      <t>Terrains</t>
    </r>
    <r>
      <rPr>
        <i/>
        <sz val="9"/>
        <color theme="1"/>
        <rFont val="Arial"/>
        <family val="2"/>
      </rPr>
      <t xml:space="preserve">
dont Placement Net:</t>
    </r>
  </si>
  <si>
    <r>
      <rPr>
        <sz val="9"/>
        <color theme="1"/>
        <rFont val="Arial"/>
        <family val="2"/>
      </rPr>
      <t xml:space="preserve">Bâtiments
</t>
    </r>
    <r>
      <rPr>
        <i/>
        <sz val="9"/>
        <color theme="1"/>
        <rFont val="Arial"/>
        <family val="2"/>
      </rPr>
      <t>dont Placement Net:</t>
    </r>
  </si>
  <si>
    <t>PASSIF (1)</t>
  </si>
  <si>
    <t>(1) Les champs grisés ne seront pas exportés dans le XML. Lors de la transmission de vos états financiers dans e-impots, ces champs seront automatiquement remplis avec les informations qui se trouvent dans la partie "Mon compte" de votre compte e-impots. Veillez à compléter et mettre à jour ces informations avant de transmettre vos états financiers.</t>
  </si>
  <si>
    <t>Note n°/référence
aux autres parties
des états financiers</t>
  </si>
  <si>
    <r>
      <rPr>
        <vertAlign val="superscript"/>
        <sz val="10"/>
        <color theme="1"/>
        <rFont val="Times New Roman"/>
        <family val="1"/>
      </rPr>
      <t>(1)</t>
    </r>
    <r>
      <rPr>
        <sz val="10"/>
        <color theme="1"/>
        <rFont val="Times New Roman"/>
        <family val="1"/>
      </rPr>
      <t xml:space="preserve"> Les détails supplémentaires doivent être apportés dans l'onglet COMMENTAIRE ou ajoutés en pièce-jointe sur e-impots.</t>
    </r>
  </si>
  <si>
    <t xml:space="preserve">  TOTAL (1)</t>
  </si>
  <si>
    <t>(1) Attention : Cette feuille ne sera pas exportée dans le XML. Une fiche récapitulative sera générée automatiquement dans le PDF de vos états financiers disponible sur eimpots. Les  pages ayant au moins un tableau renseigné seront considérées comme applicables, les autres comme non-applicables.</t>
  </si>
  <si>
    <t>Provisions réglementées relatives aux stocks</t>
  </si>
  <si>
    <t>Autres provisions et fonds réglementés</t>
  </si>
  <si>
    <t>Chiffre d'affaires HT (CA HT)</t>
  </si>
  <si>
    <t>Valeur ajoutée (VA)</t>
  </si>
  <si>
    <t>Année du dernier exercice filiale</t>
  </si>
  <si>
    <t>(1): Préciser dans la colonne suivante s'il s'agit du résultat de l'exercice N ou du résultat de l'exercice N-1</t>
  </si>
  <si>
    <t>(2) Insérer ici (ou en pièce-jointe sur e-impots) la déclaration de l'impôt sur le résultat.</t>
  </si>
  <si>
    <t>NO_FR1_ZI_1</t>
  </si>
  <si>
    <r>
      <t xml:space="preserve">C - Montants des avantages en nature et
en espèces comptabilisés en comptes </t>
    </r>
    <r>
      <rPr>
        <sz val="8"/>
        <rFont val="Arial"/>
        <family val="2"/>
      </rPr>
      <t>de charges</t>
    </r>
    <r>
      <rPr>
        <sz val="8"/>
        <color theme="1"/>
        <rFont val="Arial"/>
        <family val="2"/>
      </rPr>
      <t xml:space="preserve"> de personnel</t>
    </r>
  </si>
  <si>
    <t>Unité de mesure de l'activité</t>
  </si>
  <si>
    <t>FR2C</t>
  </si>
  <si>
    <t>NO_FR2C_1_1</t>
  </si>
  <si>
    <t>Fiche R2 - Unité de mesure de l'activité</t>
  </si>
  <si>
    <t>Y25</t>
  </si>
  <si>
    <t>NO_NOTE4B_8</t>
  </si>
  <si>
    <t>P28</t>
  </si>
  <si>
    <t>Y28</t>
  </si>
  <si>
    <t>AH28</t>
  </si>
  <si>
    <t>NO_SUPPL6</t>
  </si>
  <si>
    <t>NO_COMMENT_106_1</t>
  </si>
  <si>
    <t>NO_NOTE3CBIS</t>
  </si>
  <si>
    <t>NO_COMMENT_16_1</t>
  </si>
  <si>
    <t>NO_NOTE1B</t>
  </si>
  <si>
    <t>NO_COMMENT_11_1</t>
  </si>
  <si>
    <t>NO_NOTE4B</t>
  </si>
  <si>
    <t>NO_COMMENT_22_1</t>
  </si>
  <si>
    <t>FR2D</t>
  </si>
  <si>
    <t>Fiche R2 - Total de l'activité de l'entité</t>
  </si>
  <si>
    <t>Y30</t>
  </si>
  <si>
    <t>NOTE3E4</t>
  </si>
  <si>
    <t>Total des éléments réévalués par postes du bilan</t>
  </si>
  <si>
    <t>NOTE13C</t>
  </si>
  <si>
    <t>Total du capital</t>
  </si>
  <si>
    <t>NOTE32BIS</t>
  </si>
  <si>
    <t>Total de la production de l'exercice</t>
  </si>
  <si>
    <t>NOTE33BIS</t>
  </si>
  <si>
    <t>Total des achats destinés à la production</t>
  </si>
  <si>
    <t>SUPPL1BBIS</t>
  </si>
  <si>
    <t>SUPPL2BIS</t>
  </si>
  <si>
    <t>Total de la répartition du résultat fiscal des sociétés de personnes</t>
  </si>
  <si>
    <t>K65</t>
  </si>
  <si>
    <t>SUPPL4BIS</t>
  </si>
  <si>
    <t>Total des amortissements et inventaire des immobilisations</t>
  </si>
  <si>
    <t>Total de l'activité de l'entité</t>
  </si>
  <si>
    <t>Chiffre d'affaires HT ou Valeur ajoutée (VA)</t>
  </si>
  <si>
    <t>NO_FR2D_1_1</t>
  </si>
  <si>
    <t>NO_FR2D_1_2</t>
  </si>
  <si>
    <t>Total général des éléments réévalués</t>
  </si>
  <si>
    <t>Montants en coûts_x000D_ historiques</t>
  </si>
  <si>
    <t>NO_NOTE3E4_1_1</t>
  </si>
  <si>
    <t>NO_NOTE3E4_1_2</t>
  </si>
  <si>
    <t>NO_NOTE3E4_1_3</t>
  </si>
  <si>
    <t>NO_NOTE3E4_1_4</t>
  </si>
  <si>
    <t>NO_NOTE13C_1_1</t>
  </si>
  <si>
    <t>NO_NOTE32BIS_1_1</t>
  </si>
  <si>
    <t>NO_NOTE32BIS_1_2</t>
  </si>
  <si>
    <t>NO_NOTE32BIS_1_3</t>
  </si>
  <si>
    <t>NO_NOTE32BIS_1_4</t>
  </si>
  <si>
    <t>NO_NOTE32BIS_1_5</t>
  </si>
  <si>
    <t>NO_NOTE32BIS_1_6</t>
  </si>
  <si>
    <t>NO_NOTE32BIS_1_7</t>
  </si>
  <si>
    <t>NO_NOTE32BIS_1_8</t>
  </si>
  <si>
    <t>NO_NOTE32BIS_1_9</t>
  </si>
  <si>
    <t>NO_NOTE32BIS_1_10</t>
  </si>
  <si>
    <t>NO_NOTE32BIS_1_11</t>
  </si>
  <si>
    <t>NO_NOTE32BIS_1_12</t>
  </si>
  <si>
    <t>NO_NOTE33BIS_1_1</t>
  </si>
  <si>
    <t>NO_NOTE33BIS_1_2</t>
  </si>
  <si>
    <t>NO_NOTE33BIS_1_3</t>
  </si>
  <si>
    <t>NO_NOTE33BIS_1_4</t>
  </si>
  <si>
    <t>NO_NOTE33BIS_1_5</t>
  </si>
  <si>
    <t>NO_NOTE33BIS_1_6</t>
  </si>
  <si>
    <t>NO_NOTE33BIS_1_7</t>
  </si>
  <si>
    <t>Qté - PROD. VENDUE DANS LES AUTRES PAYS DE L'UEMOA</t>
  </si>
  <si>
    <t>NO_SUPPL1BBIS_1_1</t>
  </si>
  <si>
    <t>Val. - PROD. VENDUE DANS LES AUTRES PAYS DE L'UEMOA</t>
  </si>
  <si>
    <t>NO_SUPPL1BBIS_1_2</t>
  </si>
  <si>
    <t>Qté - PROD. VENDUE DANS AUTRES PAYS DE LA REGION HORS UEMOA</t>
  </si>
  <si>
    <t>NO_SUPPL1BBIS_1_3</t>
  </si>
  <si>
    <t>Val. - PROD. VENDUE DANS AUTRES PAYS DE LA REGION HORS UEMOA</t>
  </si>
  <si>
    <t>NO_SUPPL1BBIS_1_4</t>
  </si>
  <si>
    <t>Total de la répartition du résultat fiscal</t>
  </si>
  <si>
    <t>NO_SUPPL2BIS_1_1</t>
  </si>
  <si>
    <t>Total imposable</t>
  </si>
  <si>
    <t>NO_SUPPL2BIS_1_2</t>
  </si>
  <si>
    <t>NO_SUPPL2BIS_1_3</t>
  </si>
  <si>
    <t>NO_SUPPL4BIS_1_1</t>
  </si>
  <si>
    <t>NO_SUPPL4BIS_1_2</t>
  </si>
  <si>
    <t>NO_SUPPL4BIS_1_3</t>
  </si>
  <si>
    <t>NO_SUPPL4BIS_1_4</t>
  </si>
  <si>
    <t>NO_SUPPL4BIS_1_5</t>
  </si>
  <si>
    <t>NO_SUPPL4BIS_1_6</t>
  </si>
  <si>
    <t>NO_SUPPL4BIS_1_7</t>
  </si>
  <si>
    <t>NO_SUPPL4BIS_1_8</t>
  </si>
  <si>
    <t>+ Encaissements liés aux cessions d'immobilisations incorporelles et corporelles</t>
  </si>
  <si>
    <t>+ Encaissements liés aux cessions d'immobilisations financières</t>
  </si>
  <si>
    <t>Montant brut (1)</t>
  </si>
  <si>
    <t>Hypothèques (2)</t>
  </si>
  <si>
    <t>Nantissements (2)</t>
  </si>
  <si>
    <t>Gages/autres (2)</t>
  </si>
  <si>
    <t>Créances à plus d'un an et 2 ans au plus</t>
  </si>
  <si>
    <t>Créances à plus de 2 ans</t>
  </si>
  <si>
    <t>Dettes à plus d'un an et 2 ans au plus</t>
  </si>
  <si>
    <t>Dettes à plus de 2 ans</t>
  </si>
  <si>
    <t>+ Valeurs comptables des cessions courantes d'immobilisation  (compte 654)</t>
  </si>
  <si>
    <t>- Produits des cessions courantes d'immobilisation (compte 754)</t>
  </si>
  <si>
    <t>- Distributions de dividendes opérées durant l'exercice</t>
  </si>
  <si>
    <t>Rentabilité économique = Résultat d'exploitation (a) / Capitaux propres + dettes financières</t>
  </si>
  <si>
    <t>Endettement financier brut (Dettes financières* + Trésorerie - passif)</t>
  </si>
  <si>
    <t>Taux</t>
  </si>
  <si>
    <t>6013</t>
  </si>
  <si>
    <t>6014</t>
  </si>
  <si>
    <t>6015</t>
  </si>
  <si>
    <t>6019</t>
  </si>
  <si>
    <t>6031</t>
  </si>
  <si>
    <t>6021</t>
  </si>
  <si>
    <t>6022</t>
  </si>
  <si>
    <t>6023</t>
  </si>
  <si>
    <t>6024</t>
  </si>
  <si>
    <t>6025</t>
  </si>
  <si>
    <t>6029</t>
  </si>
  <si>
    <t>6032</t>
  </si>
  <si>
    <t>6041</t>
  </si>
  <si>
    <t>6042</t>
  </si>
  <si>
    <t>6043</t>
  </si>
  <si>
    <t>6044</t>
  </si>
  <si>
    <t>6045</t>
  </si>
  <si>
    <t>6046</t>
  </si>
  <si>
    <t>6047</t>
  </si>
  <si>
    <t>6049</t>
  </si>
  <si>
    <t>6051</t>
  </si>
  <si>
    <t>6052</t>
  </si>
  <si>
    <t>6053</t>
  </si>
  <si>
    <t>6054</t>
  </si>
  <si>
    <t>6055</t>
  </si>
  <si>
    <t>6056</t>
  </si>
  <si>
    <t>6057</t>
  </si>
  <si>
    <t>6058</t>
  </si>
  <si>
    <t>6059</t>
  </si>
  <si>
    <t>6081</t>
  </si>
  <si>
    <t>6082</t>
  </si>
  <si>
    <t>6083</t>
  </si>
  <si>
    <t>6085</t>
  </si>
  <si>
    <t>6089</t>
  </si>
  <si>
    <t>6033</t>
  </si>
  <si>
    <t>612</t>
  </si>
  <si>
    <t>613</t>
  </si>
  <si>
    <t>614</t>
  </si>
  <si>
    <t>616</t>
  </si>
  <si>
    <t>6181</t>
  </si>
  <si>
    <t>6182</t>
  </si>
  <si>
    <t>6183</t>
  </si>
  <si>
    <t>619</t>
  </si>
  <si>
    <t>621</t>
  </si>
  <si>
    <t>6221</t>
  </si>
  <si>
    <t>6222</t>
  </si>
  <si>
    <t>6223</t>
  </si>
  <si>
    <t>6224</t>
  </si>
  <si>
    <t>6225</t>
  </si>
  <si>
    <t>6226</t>
  </si>
  <si>
    <t>6228</t>
  </si>
  <si>
    <t>6232</t>
  </si>
  <si>
    <t>6233</t>
  </si>
  <si>
    <t>6234</t>
  </si>
  <si>
    <t>6238</t>
  </si>
  <si>
    <t>6241</t>
  </si>
  <si>
    <t>6242</t>
  </si>
  <si>
    <t>6243</t>
  </si>
  <si>
    <t>6244</t>
  </si>
  <si>
    <t>6248</t>
  </si>
  <si>
    <t>6251</t>
  </si>
  <si>
    <t>6252</t>
  </si>
  <si>
    <t>6253</t>
  </si>
  <si>
    <t>6254</t>
  </si>
  <si>
    <t>6255</t>
  </si>
  <si>
    <t>6257</t>
  </si>
  <si>
    <t>6258</t>
  </si>
  <si>
    <t>6261</t>
  </si>
  <si>
    <t>6265</t>
  </si>
  <si>
    <t>6266</t>
  </si>
  <si>
    <t>6271</t>
  </si>
  <si>
    <t>6272</t>
  </si>
  <si>
    <t>6273</t>
  </si>
  <si>
    <t>6274</t>
  </si>
  <si>
    <t>6275</t>
  </si>
  <si>
    <t>6276</t>
  </si>
  <si>
    <t>6277</t>
  </si>
  <si>
    <t>6278</t>
  </si>
  <si>
    <t>6281</t>
  </si>
  <si>
    <t>6282</t>
  </si>
  <si>
    <t>6283</t>
  </si>
  <si>
    <t>6284</t>
  </si>
  <si>
    <t>6288</t>
  </si>
  <si>
    <t>6311</t>
  </si>
  <si>
    <t>6312</t>
  </si>
  <si>
    <t>6313</t>
  </si>
  <si>
    <t>6314</t>
  </si>
  <si>
    <t>6315</t>
  </si>
  <si>
    <t>6316</t>
  </si>
  <si>
    <t>6317</t>
  </si>
  <si>
    <t>6318</t>
  </si>
  <si>
    <t>6322</t>
  </si>
  <si>
    <t>6324</t>
  </si>
  <si>
    <t>6325</t>
  </si>
  <si>
    <t>6326</t>
  </si>
  <si>
    <t>6327</t>
  </si>
  <si>
    <t>6328</t>
  </si>
  <si>
    <t>633</t>
  </si>
  <si>
    <t>6342</t>
  </si>
  <si>
    <t>6343</t>
  </si>
  <si>
    <t>6344</t>
  </si>
  <si>
    <t>6345</t>
  </si>
  <si>
    <t>6346</t>
  </si>
  <si>
    <t>6351</t>
  </si>
  <si>
    <t>6358</t>
  </si>
  <si>
    <t>6371</t>
  </si>
  <si>
    <t>6372</t>
  </si>
  <si>
    <t>6381</t>
  </si>
  <si>
    <t>6382</t>
  </si>
  <si>
    <t>6383</t>
  </si>
  <si>
    <t>6384</t>
  </si>
  <si>
    <t>6385</t>
  </si>
  <si>
    <t>6388</t>
  </si>
  <si>
    <t>6411</t>
  </si>
  <si>
    <t>6412</t>
  </si>
  <si>
    <t>6413</t>
  </si>
  <si>
    <t>6414</t>
  </si>
  <si>
    <t>6415</t>
  </si>
  <si>
    <t>6418</t>
  </si>
  <si>
    <t>645</t>
  </si>
  <si>
    <t>6461</t>
  </si>
  <si>
    <t>6462</t>
  </si>
  <si>
    <t>6463</t>
  </si>
  <si>
    <t>6464</t>
  </si>
  <si>
    <t>6468</t>
  </si>
  <si>
    <t>6471</t>
  </si>
  <si>
    <t>6472</t>
  </si>
  <si>
    <t>6473</t>
  </si>
  <si>
    <t>6474</t>
  </si>
  <si>
    <t>6478</t>
  </si>
  <si>
    <t>648</t>
  </si>
  <si>
    <t>6511</t>
  </si>
  <si>
    <t>6515</t>
  </si>
  <si>
    <t>6521</t>
  </si>
  <si>
    <t>6525</t>
  </si>
  <si>
    <t>6541</t>
  </si>
  <si>
    <t>6542</t>
  </si>
  <si>
    <t>656</t>
  </si>
  <si>
    <t>657</t>
  </si>
  <si>
    <t>6581</t>
  </si>
  <si>
    <t>6582</t>
  </si>
  <si>
    <t>6583</t>
  </si>
  <si>
    <t>6588</t>
  </si>
  <si>
    <t>6591</t>
  </si>
  <si>
    <t>6593</t>
  </si>
  <si>
    <t>6594</t>
  </si>
  <si>
    <t>6598</t>
  </si>
  <si>
    <t>6611</t>
  </si>
  <si>
    <t>6612</t>
  </si>
  <si>
    <t>6613</t>
  </si>
  <si>
    <t>6614</t>
  </si>
  <si>
    <t>6615</t>
  </si>
  <si>
    <t>6616</t>
  </si>
  <si>
    <t>6617</t>
  </si>
  <si>
    <t>6618</t>
  </si>
  <si>
    <t>6621</t>
  </si>
  <si>
    <t>6622</t>
  </si>
  <si>
    <t>6623</t>
  </si>
  <si>
    <t>6624</t>
  </si>
  <si>
    <t>6625</t>
  </si>
  <si>
    <t>6626</t>
  </si>
  <si>
    <t>6627</t>
  </si>
  <si>
    <t>6628</t>
  </si>
  <si>
    <t>6631</t>
  </si>
  <si>
    <t>6632</t>
  </si>
  <si>
    <t>6633</t>
  </si>
  <si>
    <t>6634</t>
  </si>
  <si>
    <t>6638</t>
  </si>
  <si>
    <t>6641</t>
  </si>
  <si>
    <t>6642</t>
  </si>
  <si>
    <t>6661</t>
  </si>
  <si>
    <t>6662</t>
  </si>
  <si>
    <t>6671</t>
  </si>
  <si>
    <t>6672</t>
  </si>
  <si>
    <t>6681</t>
  </si>
  <si>
    <t>6682</t>
  </si>
  <si>
    <t>6683</t>
  </si>
  <si>
    <t>6684</t>
  </si>
  <si>
    <t>6685</t>
  </si>
  <si>
    <t>6686</t>
  </si>
  <si>
    <t>6687</t>
  </si>
  <si>
    <t>6688</t>
  </si>
  <si>
    <t>6711</t>
  </si>
  <si>
    <t>6712</t>
  </si>
  <si>
    <t>6713</t>
  </si>
  <si>
    <t>6714</t>
  </si>
  <si>
    <t>6721</t>
  </si>
  <si>
    <t>6722</t>
  </si>
  <si>
    <t>6723</t>
  </si>
  <si>
    <t>6728</t>
  </si>
  <si>
    <t>673</t>
  </si>
  <si>
    <t>6741</t>
  </si>
  <si>
    <t>6742</t>
  </si>
  <si>
    <t>6743</t>
  </si>
  <si>
    <t>6744</t>
  </si>
  <si>
    <t>6745</t>
  </si>
  <si>
    <t>Intérêts bancaires et sur opérations de financement (escompte...)</t>
  </si>
  <si>
    <t>6748</t>
  </si>
  <si>
    <t>675</t>
  </si>
  <si>
    <t>676</t>
  </si>
  <si>
    <t>6771</t>
  </si>
  <si>
    <t>6772</t>
  </si>
  <si>
    <t>6781</t>
  </si>
  <si>
    <t>6782</t>
  </si>
  <si>
    <t>6784</t>
  </si>
  <si>
    <t>6791</t>
  </si>
  <si>
    <t>6795</t>
  </si>
  <si>
    <t>6798</t>
  </si>
  <si>
    <t>6812</t>
  </si>
  <si>
    <t>6813</t>
  </si>
  <si>
    <t>6911</t>
  </si>
  <si>
    <t>6913</t>
  </si>
  <si>
    <t>6914</t>
  </si>
  <si>
    <t>6971</t>
  </si>
  <si>
    <t>6972</t>
  </si>
  <si>
    <t>NO_NOTE12A2</t>
  </si>
  <si>
    <t>NO_COMMENT_38_1</t>
  </si>
  <si>
    <t>NO_NOTE12B2</t>
  </si>
  <si>
    <t>NO_COMMENT_40_1</t>
  </si>
  <si>
    <t>NO_NOTE13C</t>
  </si>
  <si>
    <t>NO_COMMENT_43_1</t>
  </si>
  <si>
    <t>NO_NOTE16C3</t>
  </si>
  <si>
    <t>NO_COMMENT_55_1</t>
  </si>
  <si>
    <t>NO_NOTE21B</t>
  </si>
  <si>
    <t>NO_COMMENT_61_1</t>
  </si>
  <si>
    <t>NO_NOTE27B4</t>
  </si>
  <si>
    <t>NO_COMMENT_71_1</t>
  </si>
  <si>
    <t>NO_NOTE30C</t>
  </si>
  <si>
    <t>NO_COMMENT_76_1</t>
  </si>
  <si>
    <t>- Variation des créances</t>
  </si>
  <si>
    <t>- Remboursements des Emprunts et Autres dettes financières</t>
  </si>
  <si>
    <t>+ dettes financières* et Autres ressources assimilées (b)</t>
  </si>
  <si>
    <t>'+ dettes financières* et Autres ressources assimilées (b)</t>
  </si>
  <si>
    <t>- dont Placement Net</t>
  </si>
  <si>
    <t>+ Flux de trésorerie des activités de FINANCEMENT</t>
  </si>
  <si>
    <t>= Variation de LA TRESORERIE NETTE de LA PERIODE</t>
  </si>
  <si>
    <t>- trésorerie - Actif</t>
  </si>
  <si>
    <t>= ENDETTEMENT FINANCIER Net</t>
  </si>
  <si>
    <t>6011</t>
  </si>
  <si>
    <t>6012</t>
  </si>
  <si>
    <t>Fiche R2 - Détail de l'activité de l'entité</t>
  </si>
  <si>
    <t>Détail des éléments réévalués par postes du bilan</t>
  </si>
  <si>
    <t>Détail du capital</t>
  </si>
  <si>
    <t>Détail de la production de l'exercice</t>
  </si>
  <si>
    <t>Détail des achats destinés à la production</t>
  </si>
  <si>
    <t>Détail de la répartition du résultat fiscal des sociétés de personnes</t>
  </si>
  <si>
    <t>Autres nationalités (2)</t>
  </si>
  <si>
    <t>Qualité (1)</t>
  </si>
  <si>
    <t>AH30</t>
  </si>
  <si>
    <t>L65</t>
  </si>
  <si>
    <t>M65</t>
  </si>
  <si>
    <t>N65</t>
  </si>
  <si>
    <t>A24</t>
  </si>
  <si>
    <t>A51</t>
  </si>
  <si>
    <t>A71</t>
  </si>
  <si>
    <t>A83</t>
  </si>
  <si>
    <t>A135</t>
  </si>
  <si>
    <t>A137</t>
  </si>
  <si>
    <t>NO_FR1_ZK2_1</t>
  </si>
  <si>
    <t>NO_FR1_ZK3_1</t>
  </si>
  <si>
    <t>NO_FR1_ZK4_1</t>
  </si>
  <si>
    <t>NO_FR1_ZK1_1</t>
  </si>
  <si>
    <t>Q23</t>
  </si>
  <si>
    <r>
      <t>Forme juridique (</t>
    </r>
    <r>
      <rPr>
        <vertAlign val="superscript"/>
        <sz val="9"/>
        <rFont val="Arial"/>
        <family val="2"/>
      </rPr>
      <t>1</t>
    </r>
    <r>
      <rPr>
        <sz val="9"/>
        <rFont val="Arial"/>
        <family val="2"/>
      </rPr>
      <t>) :</t>
    </r>
  </si>
  <si>
    <r>
      <t>Régime fiscal (</t>
    </r>
    <r>
      <rPr>
        <vertAlign val="superscript"/>
        <sz val="9"/>
        <rFont val="Arial"/>
        <family val="2"/>
      </rPr>
      <t>1</t>
    </r>
    <r>
      <rPr>
        <sz val="9"/>
        <rFont val="Arial"/>
        <family val="2"/>
      </rPr>
      <t>) :</t>
    </r>
  </si>
  <si>
    <r>
      <t>Pays du siège social (</t>
    </r>
    <r>
      <rPr>
        <vertAlign val="superscript"/>
        <sz val="9"/>
        <rFont val="Arial"/>
        <family val="2"/>
      </rPr>
      <t>1</t>
    </r>
    <r>
      <rPr>
        <sz val="9"/>
        <rFont val="Arial"/>
        <family val="2"/>
      </rPr>
      <t>) :</t>
    </r>
  </si>
  <si>
    <r>
      <t>(</t>
    </r>
    <r>
      <rPr>
        <vertAlign val="superscript"/>
        <sz val="8"/>
        <rFont val="Arial"/>
        <family val="2"/>
      </rPr>
      <t>1</t>
    </r>
    <r>
      <rPr>
        <sz val="8"/>
        <rFont val="Arial"/>
        <family val="2"/>
      </rPr>
      <t>) Note 36 (TABLE DES CODES)</t>
    </r>
  </si>
  <si>
    <r>
      <t>(</t>
    </r>
    <r>
      <rPr>
        <vertAlign val="superscript"/>
        <sz val="8"/>
        <rFont val="Arial"/>
        <family val="2"/>
      </rPr>
      <t>2</t>
    </r>
    <r>
      <rPr>
        <sz val="8"/>
        <rFont val="Arial"/>
        <family val="2"/>
      </rPr>
      <t>) Pour la 3e colonne, choisir CA HT ou VA dans l'en-tête du tableau - En Côte d'Ivoire, pour les besoins de l'INS, on préfèrera le chiffre d'affaires.</t>
    </r>
  </si>
  <si>
    <t>ACTIVITE DE L'ENTITE (2)</t>
  </si>
  <si>
    <r>
      <t>(</t>
    </r>
    <r>
      <rPr>
        <vertAlign val="superscript"/>
        <sz val="8"/>
        <rFont val="Arial"/>
        <family val="2"/>
      </rPr>
      <t>3</t>
    </r>
    <r>
      <rPr>
        <sz val="8"/>
        <rFont val="Arial"/>
        <family val="2"/>
      </rPr>
      <t>) Lister de manière précise les activités dans l'ordre décroissant du C.A.HT ou de la valeur ajoutée (V.A).</t>
    </r>
  </si>
  <si>
    <r>
      <t>(</t>
    </r>
    <r>
      <rPr>
        <vertAlign val="superscript"/>
        <sz val="8"/>
        <rFont val="Arial"/>
        <family val="2"/>
      </rPr>
      <t>5</t>
    </r>
    <r>
      <rPr>
        <sz val="8"/>
        <rFont val="Arial"/>
        <family val="2"/>
      </rPr>
      <t>) Note 36 Suite (Nomenclature)</t>
    </r>
  </si>
  <si>
    <t>Code nomenclature
d'activité (5)</t>
  </si>
  <si>
    <t>Désignation de l'activité (3) (4)</t>
  </si>
  <si>
    <t>Bilan - Actif</t>
  </si>
  <si>
    <t>Bilan - Passif</t>
  </si>
  <si>
    <t>Complément NOTE 32 - Total</t>
  </si>
  <si>
    <t>Complément NOTE 32 - Détail</t>
  </si>
  <si>
    <t>La structure de ce fichier ne peut pas être modifiée. 
Si vous avez besoin d'ajouter des informations supplémentaires, veuillez les ajouter dans l'onglet COMMENTAIRE ou en tant que pièce jointe dans e-impots.</t>
  </si>
  <si>
    <t>FR1 &amp; FR2B</t>
  </si>
  <si>
    <t>NO_FR2A_ZX_1</t>
  </si>
  <si>
    <t>NO_FR2A_ZY_1</t>
  </si>
  <si>
    <t>Achats de marchandises hors Région (2)</t>
  </si>
  <si>
    <t>Achats de marchandises dans les autres Etats parties de  la Région (2)</t>
  </si>
  <si>
    <t>DESIGNATION DU PRODUIT (1)</t>
  </si>
  <si>
    <t>(1) Le montant du "non-ventilé" doit être inférieur ou égal à 1% du total des produits</t>
  </si>
  <si>
    <t>DESIGNATION DES MATIERES ET PRODUITS (1)</t>
  </si>
  <si>
    <t>(1) Le montant du "non-ventilé" doit être inférieur ou égal  à 1% du total des achats</t>
  </si>
  <si>
    <t>(4) Le résultat, lorsqu'il est négatif, doit comporter le signe "-". Il sera automatiquement affiché entre parenthèses et sans le "-".</t>
  </si>
  <si>
    <t>DETTES GARANTIES PAR DES SURETES REELLES (2000 caractères maximum)</t>
  </si>
  <si>
    <t>IMMOBILISATIONS (BRUTES) (2000 caractères maximum)</t>
  </si>
  <si>
    <t>BIENS PRIS EN LOCATION-ACQUISITION (2000 caractères maximum)</t>
  </si>
  <si>
    <t>IMMOBILISATIONS (AMORTISSEMENTS) (2000 caractères maximum)</t>
  </si>
  <si>
    <t>IMMOBILISATIONS (DEPRECIATIONS) (2000 caractères maximum)</t>
  </si>
  <si>
    <t>IMMOBILISATIONS (PLUS-VALUES ET MOINS- VALUES DE CESSION) (2000 caractères maximum)</t>
  </si>
  <si>
    <t>IMMOBILISATIONS FINANCIERES (2000 caractères maximum)</t>
  </si>
  <si>
    <t>ACTIF CIRCULANT HAO (2000 caractères maximum)</t>
  </si>
  <si>
    <t>DETTES CIRCULANTES HAO (2000 caractères maximum)</t>
  </si>
  <si>
    <t>STOCKS ET EN COURS (2000 caractères maximum)</t>
  </si>
  <si>
    <t>CLIENTS (2000 caractères maximum)</t>
  </si>
  <si>
    <t>AUTRES CREANCES (2000 caractères maximum)</t>
  </si>
  <si>
    <t>TITRES DE PLACEMENT (2000 caractères maximum)</t>
  </si>
  <si>
    <t>VALEURS A ENCAISSER (2000 caractères maximum)</t>
  </si>
  <si>
    <t>DISPONIBILITES (2000 caractères maximum)</t>
  </si>
  <si>
    <t>ECARTS DE CONVERSION (2000 caractères maximum)</t>
  </si>
  <si>
    <t>TRANSFERTS DE CHARGES (2000 caractères maximum)</t>
  </si>
  <si>
    <t>CAPITAL (2000 caractères maximum)</t>
  </si>
  <si>
    <t>PRIMES ET RESERVES (2000 caractères maximum)</t>
  </si>
  <si>
    <t>TOTAL SUBVENTIONS D'INVESTISSEMENT ET PROVISIONS REGLEMENTEES (2000 caractères maximum)</t>
  </si>
  <si>
    <t>AUTRES FONDS PROPRES (2000 caractères maximum)</t>
  </si>
  <si>
    <t>DETTES FINANCIERES ET RESSOURCES ASSIMILEES (2000 caractères maximum)</t>
  </si>
  <si>
    <t>HYPOTHESES ACTUARIELLES (2000 caractères maximum)</t>
  </si>
  <si>
    <t>VARIATION DE LA VALEUR DE L'ENGAGEM ENT DE RETRAITE AU COURS DE L'EXERCICE (2000 caractères maximum)</t>
  </si>
  <si>
    <t>ANALYSE DE SENSIBILITE DES HY POTHESES ACTUARIELLES (2000 caractères maximum)</t>
  </si>
  <si>
    <t>ACTIF/PASSIF NET COMPTABILISE AU TITRE DES REGIMES FINANCES (2000 caractères maximum)</t>
  </si>
  <si>
    <t>VALEUR ACTUELLE DES ACTI FS DU REGIME (2000 caractères maximum)</t>
  </si>
  <si>
    <t>ACTIFS ET PASSIFS EVENTUELS (2000 caractères maximum)</t>
  </si>
  <si>
    <t>FOURNISSEURS D'EXPLOITATION (2000 caractères maximum)</t>
  </si>
  <si>
    <t>DETTES  FISCALES ET SOCIALES (2000 caractères maximum)</t>
  </si>
  <si>
    <t>AUTRES DETTES ET PROVISIONS POUR RISQUES A COURT TERME (2000 caractères maximum)</t>
  </si>
  <si>
    <t>BANQUES, CREDIT D'ESCOMPTE ET DE TRESORERIE (2000 caractères maximum)</t>
  </si>
  <si>
    <t>CHIFFRE D'AFFAIRES  ET AUTRES PRODUITS (2000 caractères maximum)</t>
  </si>
  <si>
    <t>ACHATS (2000 caractères maximum)</t>
  </si>
  <si>
    <t>TRANSPORTS (2000 caractères maximum)</t>
  </si>
  <si>
    <t>SERVICES EXTERIEURS (2000 caractères maximum)</t>
  </si>
  <si>
    <t>IMPOTS ET TAXES (2000 caractères maximum)</t>
  </si>
  <si>
    <t>AUTRES CHARGES (2000 caractères maximum)</t>
  </si>
  <si>
    <t>CHARGES DE PERSONNEL (2000 caractères maximum)</t>
  </si>
  <si>
    <t>EFFECTIFS, MASSE SALARIALE ET PERSONNEL EXTERIEUR (2000 caractères maximum)</t>
  </si>
  <si>
    <t>DOTATIONS ET CHARGES POUR PROVISIONS ET DEPRECIATIONS (2000 caractères maximum)</t>
  </si>
  <si>
    <t>CHARGES ET REVENUS FINANCIERS (2000 caractères maximum)</t>
  </si>
  <si>
    <t>AUTRES  CHARGES ET PRODUITS HAO (2000 caractères maximum)</t>
  </si>
  <si>
    <t>DETAIL DES AVANTAGES EN NATURE ET EN ESPECES IMPOSES ALLOUES AU PERSONNEL (2000 caractères maximum)</t>
  </si>
  <si>
    <t>A - DECLARATION DE CONFORMITE AU SYSCOHADA ET FAITS MARQUANTS DE L'EXERCICE (2000 caractères maximum)</t>
  </si>
  <si>
    <t>B - REGLES ET METHODES COMPTABLES (2000 caractères maximum)</t>
  </si>
  <si>
    <t>C- DEROGATION AUX POSTULATS ET CONVENTIONS COMPTABLES (2000 caractères maximum)</t>
  </si>
  <si>
    <t>D - INFORMATIONS COMPLEMENTAIRES RELATIVES AU BILAN, AU COMPTE DE RESULTAT ET
AU TABLEAU DES FLUX DE TRESORERIE (2000 caractères maximum)</t>
  </si>
  <si>
    <t>Nature et date des réévaluations (2000 caractères maximum) :</t>
  </si>
  <si>
    <t>Méthode de réévaluation utilisée (2000 caractères maximum) :</t>
  </si>
  <si>
    <t>Traitement fiscal de l'écart de réévaluation et des amortissements supplémentaires (2000 caractères maximum) :</t>
  </si>
  <si>
    <t>Emploi (2000 caractères maximum) :</t>
  </si>
  <si>
    <t>Relations sociales (2000 caractères maximum) :</t>
  </si>
  <si>
    <t>Santé et sécurité (2000 caractères maximum) :</t>
  </si>
  <si>
    <t>Formation (2000 caractères maximum) :</t>
  </si>
  <si>
    <r>
      <t xml:space="preserve">Égalité de traitement (2000 caractères maximum) </t>
    </r>
    <r>
      <rPr>
        <sz val="8"/>
        <color theme="1"/>
        <rFont val="Arial"/>
        <family val="2"/>
      </rPr>
      <t>:</t>
    </r>
  </si>
  <si>
    <t>Politique générale en matière environnementale (2000 caractères maximum) :</t>
  </si>
  <si>
    <t>Pollution et gestion des déchets (2000 caractères maximum) :</t>
  </si>
  <si>
    <t>Utilisation durable des ressources (2000 caractères maximum) :</t>
  </si>
  <si>
    <t>Changement climatique (2000 caractères maximum) :</t>
  </si>
  <si>
    <t>Protection de la biodiversité (2000 caractères maximum) :</t>
  </si>
  <si>
    <t>Impact territorial, économique et social de l'activité de la société (2000 caractères maximum) :</t>
  </si>
  <si>
    <t>Relations entretenues avec les personnes ou les organisations intéressées par l'activité de la société (associations d'insertion, établissements d'enseignement...) (2000 caractères maximum) :</t>
  </si>
  <si>
    <t>Sous-traitance et fournisseurs (2000 caractères maximum) :</t>
  </si>
  <si>
    <t xml:space="preserve">Commentaire (2000 caractères maximum) : </t>
  </si>
  <si>
    <t>A – CHANGEMENTS DE METHODES COMPTABLES (2000 caractères maximum)</t>
  </si>
  <si>
    <t>B – CHANGEMENTS D’ESTIMATIONS (2000 caractères maximum)</t>
  </si>
  <si>
    <t>C – CORRECTIONS D’ERREURS (2000 caractères maximum)</t>
  </si>
  <si>
    <t>Nationalité &amp; Pays de résidence</t>
  </si>
  <si>
    <t>Afghanistan</t>
  </si>
  <si>
    <t>Albanie</t>
  </si>
  <si>
    <t>Antarctique</t>
  </si>
  <si>
    <t>Algérie</t>
  </si>
  <si>
    <t>Samoa Américaines</t>
  </si>
  <si>
    <t>Andorre</t>
  </si>
  <si>
    <t>Angola</t>
  </si>
  <si>
    <t>Antigua-et-Barbuda</t>
  </si>
  <si>
    <t>Azerbaïdjan</t>
  </si>
  <si>
    <t>Argentine</t>
  </si>
  <si>
    <t>Australie</t>
  </si>
  <si>
    <t>Autriche</t>
  </si>
  <si>
    <t>Bahamas</t>
  </si>
  <si>
    <t>Bahreïn</t>
  </si>
  <si>
    <t>Bangladesh</t>
  </si>
  <si>
    <t>Arménie</t>
  </si>
  <si>
    <t>Barbade</t>
  </si>
  <si>
    <t>Belgique</t>
  </si>
  <si>
    <t>Bermudes</t>
  </si>
  <si>
    <t>Bhoutan</t>
  </si>
  <si>
    <t>Bolivie</t>
  </si>
  <si>
    <t>Bosnie-Herzégovine</t>
  </si>
  <si>
    <t>Botswana</t>
  </si>
  <si>
    <t>Île Bouvet</t>
  </si>
  <si>
    <t>Brésil</t>
  </si>
  <si>
    <t>Belize</t>
  </si>
  <si>
    <t>Territoire Britannique de l'Océan Indien</t>
  </si>
  <si>
    <t>Îles Salomon</t>
  </si>
  <si>
    <t>Îles Vierges Britanniques</t>
  </si>
  <si>
    <t>Brunéi Darussalam</t>
  </si>
  <si>
    <t>Bulgarie</t>
  </si>
  <si>
    <t>Myanmar</t>
  </si>
  <si>
    <t>Burundi</t>
  </si>
  <si>
    <t>Bélarus</t>
  </si>
  <si>
    <t>Cambodge</t>
  </si>
  <si>
    <t>Cameroun</t>
  </si>
  <si>
    <t>Canada</t>
  </si>
  <si>
    <t>Cap-vert</t>
  </si>
  <si>
    <t>Îles Caïmanes</t>
  </si>
  <si>
    <t>République Centrafricaine</t>
  </si>
  <si>
    <t>Sri Lanka</t>
  </si>
  <si>
    <t>Tchad</t>
  </si>
  <si>
    <t>Chili</t>
  </si>
  <si>
    <t>Chine</t>
  </si>
  <si>
    <t>Île Christmas</t>
  </si>
  <si>
    <t>Îles Cocos (Keeling)</t>
  </si>
  <si>
    <t>Colombie</t>
  </si>
  <si>
    <t>Comores</t>
  </si>
  <si>
    <t>Mayotte</t>
  </si>
  <si>
    <t>République du Congo</t>
  </si>
  <si>
    <t>République Démocratique du Congo</t>
  </si>
  <si>
    <t>Îles Cook</t>
  </si>
  <si>
    <t>Costa Rica</t>
  </si>
  <si>
    <t>Croatie</t>
  </si>
  <si>
    <t>Cuba</t>
  </si>
  <si>
    <t>Chypre</t>
  </si>
  <si>
    <t>République Tchèque</t>
  </si>
  <si>
    <t>Bénin</t>
  </si>
  <si>
    <t>Danemark</t>
  </si>
  <si>
    <t>Dominique</t>
  </si>
  <si>
    <t>République Dominicaine</t>
  </si>
  <si>
    <t>Équateur</t>
  </si>
  <si>
    <t>El Salvador</t>
  </si>
  <si>
    <t>Guinée Équatoriale</t>
  </si>
  <si>
    <t>Éthiopie</t>
  </si>
  <si>
    <t>Érythrée</t>
  </si>
  <si>
    <t>Estonie</t>
  </si>
  <si>
    <t>Îles Féroé</t>
  </si>
  <si>
    <t>Îles (malvinas) Falkland</t>
  </si>
  <si>
    <t>Géorgie du Sud et les Îles Sandwich du Sud</t>
  </si>
  <si>
    <t>Fidji</t>
  </si>
  <si>
    <t>Finlande</t>
  </si>
  <si>
    <t>Îles Åland</t>
  </si>
  <si>
    <t>France</t>
  </si>
  <si>
    <t>Guyane Française</t>
  </si>
  <si>
    <t>Polynésie Française</t>
  </si>
  <si>
    <t>Terres Australes Françaises</t>
  </si>
  <si>
    <t>Djibouti</t>
  </si>
  <si>
    <t>Gabon</t>
  </si>
  <si>
    <t>Géorgie</t>
  </si>
  <si>
    <t>Gambie</t>
  </si>
  <si>
    <t>Territoire Palestinien Occupé</t>
  </si>
  <si>
    <t>Allemagne</t>
  </si>
  <si>
    <t>Ghana</t>
  </si>
  <si>
    <t>Gibraltar</t>
  </si>
  <si>
    <t>Kiribati</t>
  </si>
  <si>
    <t>Groenland</t>
  </si>
  <si>
    <t>Grenade</t>
  </si>
  <si>
    <t>Guadeloupe</t>
  </si>
  <si>
    <t>Guam</t>
  </si>
  <si>
    <t>Guatemala</t>
  </si>
  <si>
    <t>Guyana</t>
  </si>
  <si>
    <t>Haïti</t>
  </si>
  <si>
    <t>Îles Heard et Mcdonald</t>
  </si>
  <si>
    <t>Saint-Siège (état de la Cité du Vatican)</t>
  </si>
  <si>
    <t>Honduras</t>
  </si>
  <si>
    <t>Hong-Kong</t>
  </si>
  <si>
    <t>Islande</t>
  </si>
  <si>
    <t>Inde</t>
  </si>
  <si>
    <t>Indonésie</t>
  </si>
  <si>
    <t>République Islamique d'Iran</t>
  </si>
  <si>
    <t>Italie</t>
  </si>
  <si>
    <t>Côte d'Ivoire</t>
  </si>
  <si>
    <t>Jamaïque</t>
  </si>
  <si>
    <t>Jordanie</t>
  </si>
  <si>
    <t>Kenya</t>
  </si>
  <si>
    <t>République de Corée</t>
  </si>
  <si>
    <t>Kirghizistan</t>
  </si>
  <si>
    <t>République Démocratique Populaire Lao</t>
  </si>
  <si>
    <t>Lesotho</t>
  </si>
  <si>
    <t>Lettonie</t>
  </si>
  <si>
    <t>Libéria</t>
  </si>
  <si>
    <t>Jamahiriya Arabe Libyenne</t>
  </si>
  <si>
    <t>Lituanie</t>
  </si>
  <si>
    <t>Luxembourg</t>
  </si>
  <si>
    <t>Macao</t>
  </si>
  <si>
    <t>Malawi</t>
  </si>
  <si>
    <t>Maldives</t>
  </si>
  <si>
    <t>Mali</t>
  </si>
  <si>
    <t>Malte</t>
  </si>
  <si>
    <t>Martinique</t>
  </si>
  <si>
    <t>Mauritanie</t>
  </si>
  <si>
    <t>Maurice</t>
  </si>
  <si>
    <t>Mexique</t>
  </si>
  <si>
    <t>Monaco</t>
  </si>
  <si>
    <t>Mongolie</t>
  </si>
  <si>
    <t>République de Moldova</t>
  </si>
  <si>
    <t>Montserrat</t>
  </si>
  <si>
    <t>Maroc</t>
  </si>
  <si>
    <t>Mozambique</t>
  </si>
  <si>
    <t>Oman</t>
  </si>
  <si>
    <t>Namibie</t>
  </si>
  <si>
    <t>Nauru</t>
  </si>
  <si>
    <t>Népal</t>
  </si>
  <si>
    <t>Antilles Néerlandaises</t>
  </si>
  <si>
    <t>Aruba</t>
  </si>
  <si>
    <t>Nouvelle-Calédonie</t>
  </si>
  <si>
    <t>Nouvelle-Zélande</t>
  </si>
  <si>
    <t>Niger</t>
  </si>
  <si>
    <t>Nigéria</t>
  </si>
  <si>
    <t>Niué</t>
  </si>
  <si>
    <t>Île Norfolk</t>
  </si>
  <si>
    <t>Norvège</t>
  </si>
  <si>
    <t>Îles Mariannes du Nord</t>
  </si>
  <si>
    <t>Îles Mineures Éloignées des États-Unis</t>
  </si>
  <si>
    <t>Palaos</t>
  </si>
  <si>
    <t>Pakistan</t>
  </si>
  <si>
    <t>Panama</t>
  </si>
  <si>
    <t>Paraguay</t>
  </si>
  <si>
    <t>Pérou</t>
  </si>
  <si>
    <t>Philippines</t>
  </si>
  <si>
    <t>Pitcairn</t>
  </si>
  <si>
    <t>Pologne</t>
  </si>
  <si>
    <t>Portugal</t>
  </si>
  <si>
    <t>Guinée-Bissau</t>
  </si>
  <si>
    <t>Timor-Leste</t>
  </si>
  <si>
    <t>Porto Rico</t>
  </si>
  <si>
    <t>Qatar</t>
  </si>
  <si>
    <t>Réunion</t>
  </si>
  <si>
    <t>Roumanie</t>
  </si>
  <si>
    <t>Fédération de Russie</t>
  </si>
  <si>
    <t>Rwanda</t>
  </si>
  <si>
    <t>Sainte-Hélène</t>
  </si>
  <si>
    <t>Saint-Kitts-et-Nevis</t>
  </si>
  <si>
    <t>Anguilla</t>
  </si>
  <si>
    <t>Sainte-Lucie</t>
  </si>
  <si>
    <t>Saint-Pierre-et-Miquelon</t>
  </si>
  <si>
    <t>Saint-Vincent-et-les Grenadines</t>
  </si>
  <si>
    <t>Saint-Marin</t>
  </si>
  <si>
    <t>Sao Tomé-et-Principe</t>
  </si>
  <si>
    <t>Arabie Saoudite</t>
  </si>
  <si>
    <t>Sénégal</t>
  </si>
  <si>
    <t>Seychelles</t>
  </si>
  <si>
    <t>Sierra Leone</t>
  </si>
  <si>
    <t>Singapour</t>
  </si>
  <si>
    <t>Slovaquie</t>
  </si>
  <si>
    <t>Viet Nam</t>
  </si>
  <si>
    <t>Slovénie</t>
  </si>
  <si>
    <t>Somalie</t>
  </si>
  <si>
    <t>Afrique du Sud</t>
  </si>
  <si>
    <t>Zimbabwe</t>
  </si>
  <si>
    <t>Espagne</t>
  </si>
  <si>
    <t>Sahara Occidental</t>
  </si>
  <si>
    <t>Soudan</t>
  </si>
  <si>
    <t>Suriname</t>
  </si>
  <si>
    <t>Svalbard etÎle Jan Mayen</t>
  </si>
  <si>
    <t>Swaziland</t>
  </si>
  <si>
    <t>Suède</t>
  </si>
  <si>
    <t>Suisse</t>
  </si>
  <si>
    <t>République Arabe Syrienne</t>
  </si>
  <si>
    <t>Tadjikistan</t>
  </si>
  <si>
    <t>Thaïlande</t>
  </si>
  <si>
    <t>Togo</t>
  </si>
  <si>
    <t>Tokelau</t>
  </si>
  <si>
    <t>Tonga</t>
  </si>
  <si>
    <t>Trinité-et-Tobago</t>
  </si>
  <si>
    <t>Émirats Arabes Unis</t>
  </si>
  <si>
    <t>Tunisie</t>
  </si>
  <si>
    <t>Turquie</t>
  </si>
  <si>
    <t>Turkménistan</t>
  </si>
  <si>
    <t>Îles Turks et Caïques</t>
  </si>
  <si>
    <t>Tuvalu</t>
  </si>
  <si>
    <t>Ouganda</t>
  </si>
  <si>
    <t>Ukraine</t>
  </si>
  <si>
    <t>L'ex-République Yougoslave de Macédoine</t>
  </si>
  <si>
    <t>Égypte</t>
  </si>
  <si>
    <t>Royaume-Uni</t>
  </si>
  <si>
    <t>Île de Man</t>
  </si>
  <si>
    <t>République-Unie de Tanzanie</t>
  </si>
  <si>
    <t>États-Unis</t>
  </si>
  <si>
    <t>Îles Vierges des États-Unis</t>
  </si>
  <si>
    <t>Burkina Faso</t>
  </si>
  <si>
    <t>Uruguay</t>
  </si>
  <si>
    <t>Ouzbékistan</t>
  </si>
  <si>
    <t>Venezuela</t>
  </si>
  <si>
    <t>Wallis et Futuna</t>
  </si>
  <si>
    <t>Samoa</t>
  </si>
  <si>
    <t>Yémen</t>
  </si>
  <si>
    <t>Zambie</t>
  </si>
  <si>
    <t>Guinée</t>
  </si>
  <si>
    <t>Grèce</t>
  </si>
  <si>
    <t>Hongrie</t>
  </si>
  <si>
    <t>Iraq</t>
  </si>
  <si>
    <t>Israël</t>
  </si>
  <si>
    <t>Japon</t>
  </si>
  <si>
    <t>Kazakhstan</t>
  </si>
  <si>
    <t>Koweït</t>
  </si>
  <si>
    <t>Liban</t>
  </si>
  <si>
    <t>Liechtenstein</t>
  </si>
  <si>
    <t>Malaisie</t>
  </si>
  <si>
    <t>Madagascar</t>
  </si>
  <si>
    <t>Îles Marshall</t>
  </si>
  <si>
    <t>États Fédérés de Micronésie</t>
  </si>
  <si>
    <t>Pays-Bas</t>
  </si>
  <si>
    <t>Nicaragua</t>
  </si>
  <si>
    <t>République Populaire Démocratique de Corée</t>
  </si>
  <si>
    <t>Papouasie-Nouvelle-Guinée</t>
  </si>
  <si>
    <t>Taïwan</t>
  </si>
  <si>
    <t>Vanuatu</t>
  </si>
  <si>
    <t>Irlande</t>
  </si>
  <si>
    <t>Curaçao</t>
  </si>
  <si>
    <t>Monténégro</t>
  </si>
  <si>
    <t>Serbie-et-Monténégro</t>
  </si>
  <si>
    <t>Serbie</t>
  </si>
  <si>
    <t>0,00%</t>
  </si>
  <si>
    <t>M69</t>
  </si>
  <si>
    <r>
      <t xml:space="preserve">Tous les montants sont à exprimer en Francs CFA 
</t>
    </r>
    <r>
      <rPr>
        <sz val="16"/>
        <color theme="1"/>
        <rFont val="Calibri"/>
        <family val="2"/>
        <scheme val="minor"/>
      </rPr>
      <t>(sauf mention contraire)</t>
    </r>
  </si>
  <si>
    <t>Version 1.1 - Juillet 2020</t>
  </si>
  <si>
    <t/>
  </si>
  <si>
    <t>17</t>
  </si>
  <si>
    <t>Siège</t>
  </si>
  <si>
    <t>Forme</t>
  </si>
  <si>
    <t>COUVERTURE</t>
  </si>
  <si>
    <t>SECURITE</t>
  </si>
  <si>
    <t>SA publique</t>
  </si>
  <si>
    <t>GARDE</t>
  </si>
  <si>
    <t>Admin</t>
  </si>
  <si>
    <t>TAFIROHA SN</t>
  </si>
  <si>
    <t>Burkina</t>
  </si>
  <si>
    <t>SA</t>
  </si>
  <si>
    <t>RECEVABILITE</t>
  </si>
  <si>
    <t>SAS</t>
  </si>
  <si>
    <t>NOTE36 (TABLE DES CODES)</t>
  </si>
  <si>
    <t>Centrafrique</t>
  </si>
  <si>
    <t>SARL</t>
  </si>
  <si>
    <t>NOTE36 Suite (Nomenclature)</t>
  </si>
  <si>
    <t>SCS</t>
  </si>
  <si>
    <t>C5C93DC3DB71D91160FCEB9982356D30</t>
  </si>
  <si>
    <t>Congo</t>
  </si>
  <si>
    <t>SNC</t>
  </si>
  <si>
    <t>SP</t>
  </si>
  <si>
    <t>GIE</t>
  </si>
  <si>
    <t>Guinée Bissau</t>
  </si>
  <si>
    <t>Association</t>
  </si>
  <si>
    <t>Guinée Conakry</t>
  </si>
  <si>
    <t>Autre forme juridique</t>
  </si>
  <si>
    <t>Guinée Equatoriale</t>
  </si>
  <si>
    <t>Régime</t>
  </si>
  <si>
    <t>GARDE (DGI-INS)</t>
  </si>
  <si>
    <t>NOTES DGI - INS</t>
  </si>
  <si>
    <t>NOM</t>
  </si>
  <si>
    <t>Mot de Passe</t>
  </si>
  <si>
    <t>Entreprise</t>
  </si>
  <si>
    <t>parametrage</t>
  </si>
  <si>
    <t>CODE ACTIVITE</t>
  </si>
  <si>
    <t>Plan comptable</t>
  </si>
  <si>
    <t>Sommaire</t>
  </si>
  <si>
    <t>TABLE DE CONVERSION</t>
  </si>
  <si>
    <t>*B@rn1986*</t>
  </si>
  <si>
    <t>CODES</t>
  </si>
  <si>
    <t>ACTIVITES</t>
  </si>
  <si>
    <t>Sous-compte</t>
  </si>
  <si>
    <t>Désignation</t>
  </si>
  <si>
    <t>CLASSE</t>
  </si>
  <si>
    <t>Section</t>
  </si>
  <si>
    <t>Compte</t>
  </si>
  <si>
    <t>Table de Compte</t>
  </si>
  <si>
    <t>Capital souscrit, non appelé</t>
  </si>
  <si>
    <t>CAPITAL</t>
  </si>
  <si>
    <t>Capital souscrit, appelé, non versé</t>
  </si>
  <si>
    <t>CAPITAL SOCIAL</t>
  </si>
  <si>
    <t>Capital souscrit, appelé, versé, non amorti</t>
  </si>
  <si>
    <t>101</t>
  </si>
  <si>
    <t>Capital souscrit, appelé, versé, amorti</t>
  </si>
  <si>
    <t>Capital souscrit soumis à des conditions particulières</t>
  </si>
  <si>
    <t>Dotation initiale</t>
  </si>
  <si>
    <t>Dotations complémentaires</t>
  </si>
  <si>
    <t>Autres dotations</t>
  </si>
  <si>
    <t>CAPITAL PAR DOTATION</t>
  </si>
  <si>
    <t>CAPITAL PERSONNEL</t>
  </si>
  <si>
    <t>102</t>
  </si>
  <si>
    <t>Apports temporaires</t>
  </si>
  <si>
    <t>Opérations courantes</t>
  </si>
  <si>
    <t>Rémunérations, impôts et autres charges personnelles</t>
  </si>
  <si>
    <t>Prélèvements d’autoconsommation</t>
  </si>
  <si>
    <t>COMPTE DE L'EXPLOITANT</t>
  </si>
  <si>
    <t>Autres prélèvements</t>
  </si>
  <si>
    <t>104</t>
  </si>
  <si>
    <t xml:space="preserve">Primes d'apport </t>
  </si>
  <si>
    <t>Primes de fusion</t>
  </si>
  <si>
    <t>Primes de conversion</t>
  </si>
  <si>
    <t>PRIMES LIEES AU CAPITAL SOCIAL</t>
  </si>
  <si>
    <t>Ecarts de réévaluation légale</t>
  </si>
  <si>
    <t>105</t>
  </si>
  <si>
    <t>Ecarts de réévaluation libre</t>
  </si>
  <si>
    <t>APPORTEURS, CAPITAL SOUSCRIT, NON APPELE</t>
  </si>
  <si>
    <t>RESERVE LEGALE</t>
  </si>
  <si>
    <t>RESERVES STATUTAIRES OU CONTRACTUELLES</t>
  </si>
  <si>
    <t>ECARTS DE REEVALUATION</t>
  </si>
  <si>
    <t>Réserves d’attribution gratuite d’actions au personnel salarié et aux dirigeants</t>
  </si>
  <si>
    <t>106</t>
  </si>
  <si>
    <t>Réserves consécutives à l'octroi de subventions d'investissement</t>
  </si>
  <si>
    <t>Réserves des valeurs mobilières donnant accès au capital</t>
  </si>
  <si>
    <t>RESERVES</t>
  </si>
  <si>
    <t>Réserves facultatives</t>
  </si>
  <si>
    <t>Réserves diverses</t>
  </si>
  <si>
    <t>REPORT A NOUVEAU CREDITEUR</t>
  </si>
  <si>
    <t>RESERVES REGLEMENTEES</t>
  </si>
  <si>
    <t>Perte nette à reporter</t>
  </si>
  <si>
    <t>113</t>
  </si>
  <si>
    <t>Perte - Amortissements réputés différés</t>
  </si>
  <si>
    <t>Résultat en instance d'affectation : Bénéfice</t>
  </si>
  <si>
    <t>Résultat en instance d'affectation : Perte</t>
  </si>
  <si>
    <t>RESULTAT NET : BENEFICE</t>
  </si>
  <si>
    <t>MARGE COMMERCIALE (MC)</t>
  </si>
  <si>
    <t>AUTRES RESERVES</t>
  </si>
  <si>
    <t>VALEUR AJOUTEE (V.A.)</t>
  </si>
  <si>
    <t>118</t>
  </si>
  <si>
    <t>EXCEDENT BRUT D'EXPLOITATION (E.B.E.)</t>
  </si>
  <si>
    <t>RESULTAT D'EXPLOITATION (R.E.)</t>
  </si>
  <si>
    <t>REPORT A NOUVEAU</t>
  </si>
  <si>
    <t>RESULTAT FINANCIER (R.F.)</t>
  </si>
  <si>
    <t>RESULTAT DES ACTIVITES ORDINAIRES (R.A.O.)</t>
  </si>
  <si>
    <t>REPORT A NOUVEAU DEBITEUR</t>
  </si>
  <si>
    <t>Résultat de fusion</t>
  </si>
  <si>
    <t>129</t>
  </si>
  <si>
    <t>Résultat d'apport partiel d'actif</t>
  </si>
  <si>
    <t>Résultat de scission</t>
  </si>
  <si>
    <t>RESULTAT NET DE L'EXERCICE</t>
  </si>
  <si>
    <t>Résultat de liquidation</t>
  </si>
  <si>
    <t>RESULTAT EN INSTANCE D’AFFECTATION</t>
  </si>
  <si>
    <t>RESULTAT NET : PERTE</t>
  </si>
  <si>
    <t>130</t>
  </si>
  <si>
    <t>AUTRES SUBVENTIONS D'INVESTISSEMENT</t>
  </si>
  <si>
    <t>RESULTAT HORS ACTIVITES ORDINAIRES (R.H.A.O.)</t>
  </si>
  <si>
    <t>AMORTISSEMENTS DEROGATOIRES</t>
  </si>
  <si>
    <t>138</t>
  </si>
  <si>
    <t>PLUS-VALUES DE CESSION A REINVESTIR</t>
  </si>
  <si>
    <t>Fonds National</t>
  </si>
  <si>
    <t>Prélèvement pour le Budget</t>
  </si>
  <si>
    <t>PROVISIONS SPECIALES DE REEVALUATION</t>
  </si>
  <si>
    <t>PROVISIONS REGLEMENTEES RELATIVES AUX IMMOBILISATIONS</t>
  </si>
  <si>
    <t>SUBVENTIONS D'INVESTISSEMENT</t>
  </si>
  <si>
    <t>Reconstitution des gisements miniers et pétroliers</t>
  </si>
  <si>
    <t xml:space="preserve">SUBVENTIONS D'EQUIPEMENT </t>
  </si>
  <si>
    <t>Hausse de prix</t>
  </si>
  <si>
    <t>141</t>
  </si>
  <si>
    <t>Fluctuation des cours</t>
  </si>
  <si>
    <t>PROVISIONS POUR INVESTISSEMENT</t>
  </si>
  <si>
    <t>AUTRES PROVISIONS ET FONDS REGLEMENTES</t>
  </si>
  <si>
    <t>Emprunts obligataires ordinaires</t>
  </si>
  <si>
    <t>Emprunts obligataires convertibles en actions</t>
  </si>
  <si>
    <t>Emprunts obligataires remboursables en actions</t>
  </si>
  <si>
    <t>EMPRUNTS ET DETTES AUPRES DES ETABLISSEMENTS DE CREDIT</t>
  </si>
  <si>
    <t>AVANCES RECUES DE L'ETAT</t>
  </si>
  <si>
    <t>PROVISIONS REGLEMENTEES ET FONDS ASSIMILES</t>
  </si>
  <si>
    <t>AVANCES RECUES ET COMPTES COURANTS BLOQUES</t>
  </si>
  <si>
    <t>Dépôts</t>
  </si>
  <si>
    <t>Cautionnements</t>
  </si>
  <si>
    <t>FONDS REGLEMENTES</t>
  </si>
  <si>
    <t>sur emprunts obligataires</t>
  </si>
  <si>
    <t>153</t>
  </si>
  <si>
    <t>sur emprunts et dettes auprès des établissements de crédit</t>
  </si>
  <si>
    <t>sur avances reçues de l'Etat</t>
  </si>
  <si>
    <t>sur avances reçues et comptes courants bloqués</t>
  </si>
  <si>
    <t>sur dépôts et cautionnements reçus</t>
  </si>
  <si>
    <t>155</t>
  </si>
  <si>
    <t>sur avances assorties de conditions particulières</t>
  </si>
  <si>
    <t>PROVISIONS REGLEMENTEES RELATIVES AUX STOCKS</t>
  </si>
  <si>
    <t>sur autres emprunts et dettes</t>
  </si>
  <si>
    <t>156</t>
  </si>
  <si>
    <t>Avances bloquées pour augmentation du capital</t>
  </si>
  <si>
    <t>Avances conditionnées par l'Etat</t>
  </si>
  <si>
    <t>Avances conditionnées par les autres organismes africains</t>
  </si>
  <si>
    <t>Avances conditionnées par les organismes internationaux</t>
  </si>
  <si>
    <t>EMPRUNTS ET DETTES ASSIMILEES</t>
  </si>
  <si>
    <t>Rentes viagères capitalisées</t>
  </si>
  <si>
    <t>EMPRUNTS OBLIGATAIRES</t>
  </si>
  <si>
    <t>Billets de fonds</t>
  </si>
  <si>
    <t>161</t>
  </si>
  <si>
    <t>Dettes consécutives à des titres empruntés</t>
  </si>
  <si>
    <t>Emprunts participatifs</t>
  </si>
  <si>
    <t>Emprunts et dettes contractés auprès des autres tiers</t>
  </si>
  <si>
    <t>DETTES DE LOCATION-ACQUISITION / CREDIT-BAIL IMMOBILIER</t>
  </si>
  <si>
    <t>DETTES DE LOCATION-ACQUISITION / CREDIT-BAIL MOBILIER</t>
  </si>
  <si>
    <t>DETTES DE LOCATION-ACQUISITION / LOCATION-VENTE</t>
  </si>
  <si>
    <t>DEPOTS ET CAUTIONNEMENTS RECUES</t>
  </si>
  <si>
    <t>sur dettes de location-acquisition / crédit-bail immobilier</t>
  </si>
  <si>
    <t>165</t>
  </si>
  <si>
    <t>sur dettes  de  location-acquisition  / crédit-bail mobilier</t>
  </si>
  <si>
    <t>sur dettes  de location-acquisition / location-vente</t>
  </si>
  <si>
    <t>INTERETS COURUS</t>
  </si>
  <si>
    <t>sur autres dettes  de location-acquisition</t>
  </si>
  <si>
    <t>166</t>
  </si>
  <si>
    <t>AUTRES DETTES DE LOCATION-ACQUISITION</t>
  </si>
  <si>
    <t>Dettes liées à des participations (groupe)</t>
  </si>
  <si>
    <t>Dettes liées à des participations (hors groupe)</t>
  </si>
  <si>
    <t>DETTES LIEES A DES SOCIETES EN PARTICIPATION</t>
  </si>
  <si>
    <t>INTERETS COURUS SUR DETTES LIEES A DES PARTICIPATIONS</t>
  </si>
  <si>
    <t>COMPTES PERMANENTS BLOQUES DES ETABLISSEMENTS ET SUCCURSALES</t>
  </si>
  <si>
    <t>COMPTES PERMANENTS NON BLOQUES DES ETABLISSEMENTS ET SUCCURSALES</t>
  </si>
  <si>
    <t>AVANCES ASSORTIES DE CONDITIONS PARTICULIERES</t>
  </si>
  <si>
    <t>COMPTES DE LIAISON CHARGES</t>
  </si>
  <si>
    <t>167</t>
  </si>
  <si>
    <t>COMPTES DE LIAISON PRODUITS</t>
  </si>
  <si>
    <t>COMPTES DE LIAISON DES SOCIETES EN PARTICIPATION</t>
  </si>
  <si>
    <t>PROVISIONS POUR LITIGES</t>
  </si>
  <si>
    <t>PROVISIONS POUR GARANTIES DONNEES AUX CLIENTS</t>
  </si>
  <si>
    <t>AUTRES EMPRUNTS ET DETTES</t>
  </si>
  <si>
    <t>PROVISIONS POUR PERTES SUR MARCHES A ACHEVEMENT FUTUR</t>
  </si>
  <si>
    <t>168</t>
  </si>
  <si>
    <t>PROVISIONS POUR PERTES DE CHANGE</t>
  </si>
  <si>
    <t>PROVISIONS POUR IMPOTS</t>
  </si>
  <si>
    <t>Provisions pour pensions et obligations similaires –engagement de retraite</t>
  </si>
  <si>
    <t>Actif du régime de retraite</t>
  </si>
  <si>
    <t>PROVISIONS POUR RESTRUCTURATION</t>
  </si>
  <si>
    <t xml:space="preserve">DETTES DE LOCATION-ACQUISITION </t>
  </si>
  <si>
    <t>Provisions de propre assureur</t>
  </si>
  <si>
    <t>Provisions pour droits à réduction ou avantage en nature  (Chèques cadeaux, cartes de fidélité…)</t>
  </si>
  <si>
    <t xml:space="preserve">Provisions pour divers risques et charges </t>
  </si>
  <si>
    <t>FRAIS  DE DEVELOPPEMENT</t>
  </si>
  <si>
    <t>176</t>
  </si>
  <si>
    <t>Brevets</t>
  </si>
  <si>
    <t>Licences</t>
  </si>
  <si>
    <t>Concessions de service public</t>
  </si>
  <si>
    <t>Autres concessions et droits similaires</t>
  </si>
  <si>
    <t>Logiciels</t>
  </si>
  <si>
    <t>DETTES LIEES A DES PARTICIPATIONS ET COMPTES  DE LIAISON DES  ETABLISSEMENTS ET SOCIETES EN PARTICIPATION</t>
  </si>
  <si>
    <t>Sites internet</t>
  </si>
  <si>
    <t>18</t>
  </si>
  <si>
    <t>DETTES LIEES A DES PARTICIPATIONS</t>
  </si>
  <si>
    <t xml:space="preserve">MARQUES </t>
  </si>
  <si>
    <t>181</t>
  </si>
  <si>
    <t xml:space="preserve">FONDS COMMERCIAL </t>
  </si>
  <si>
    <t>DROIT AU BAIL</t>
  </si>
  <si>
    <t>INVESTISSEMENTS DE CREATION</t>
  </si>
  <si>
    <t>Frais de prospection et d’évaluation de ressources minérales</t>
  </si>
  <si>
    <t>Coûts d’obtention du contrat</t>
  </si>
  <si>
    <t>Fichiers clients, notices, titres de journaux et magazines</t>
  </si>
  <si>
    <t>Coûts des franchises</t>
  </si>
  <si>
    <t>Divers droits et valeurs incorporels</t>
  </si>
  <si>
    <t xml:space="preserve">Frais de développement </t>
  </si>
  <si>
    <t>PROVISIONS POUR RISQUES ET CHARGES</t>
  </si>
  <si>
    <t xml:space="preserve">Logiciels et sites internet </t>
  </si>
  <si>
    <t>19</t>
  </si>
  <si>
    <t>Autres droits et valeurs incorporels</t>
  </si>
  <si>
    <t>Terrains d'exploitation agricole</t>
  </si>
  <si>
    <t>Terrains d'exploitation forestière</t>
  </si>
  <si>
    <t>Autres terrains</t>
  </si>
  <si>
    <t>Terrains à bâtir</t>
  </si>
  <si>
    <t>Autres terrains nus</t>
  </si>
  <si>
    <t>196</t>
  </si>
  <si>
    <t>pour bâtiments industriels et agricoles</t>
  </si>
  <si>
    <t>pour bâtiments administratifs et commerciaux</t>
  </si>
  <si>
    <t>pour bâtiments affectés aux autres opérations professionnelles</t>
  </si>
  <si>
    <t>AUTRES PROVISIONS POUR RISQUES ET CHARGES</t>
  </si>
  <si>
    <t>pour bâtiments affectés aux autres opérations non professionnelles</t>
  </si>
  <si>
    <t>198</t>
  </si>
  <si>
    <t>Autres terrains bâtis</t>
  </si>
  <si>
    <t>Plantation d'arbres et d'arbustes</t>
  </si>
  <si>
    <t>Améliorations du fonds</t>
  </si>
  <si>
    <t>Autres travaux</t>
  </si>
  <si>
    <t>Carrières</t>
  </si>
  <si>
    <t>Parkings</t>
  </si>
  <si>
    <t>21</t>
  </si>
  <si>
    <t>TERRAINS MIS EN CONCESSION</t>
  </si>
  <si>
    <t>BREVETS, LICENCES, CONCESSIONS ET DROITS SIMILAIRES</t>
  </si>
  <si>
    <t xml:space="preserve">Terrains  - immeubles de placement </t>
  </si>
  <si>
    <t>212</t>
  </si>
  <si>
    <t>Terrains des logements affectés au personnel</t>
  </si>
  <si>
    <t>Terrains de location - acquisition</t>
  </si>
  <si>
    <t>Divers terrains</t>
  </si>
  <si>
    <t>Terrains agricoles et forestiers</t>
  </si>
  <si>
    <t>LOGICIELS ET SITES INTERNET</t>
  </si>
  <si>
    <t>Terrains nus</t>
  </si>
  <si>
    <t>213</t>
  </si>
  <si>
    <t xml:space="preserve">Terrains de  carrières - tréfonds </t>
  </si>
  <si>
    <t>Bâtiments industriels</t>
  </si>
  <si>
    <t>Bâtiments agricoles</t>
  </si>
  <si>
    <t>Bâtiments administratifs et commerciaux</t>
  </si>
  <si>
    <t>Bâtiments affectés au logement du personnel</t>
  </si>
  <si>
    <t>AUTRES DROITS ET VALEURS INCORPORELS</t>
  </si>
  <si>
    <t xml:space="preserve">Bâtiments - immeubles de placement </t>
  </si>
  <si>
    <t>218</t>
  </si>
  <si>
    <t>Bâtiments de location - acquisition</t>
  </si>
  <si>
    <t>IMMOBILISATIONS INCORPORELLES EN COURS</t>
  </si>
  <si>
    <t>219</t>
  </si>
  <si>
    <t>Voies de terre</t>
  </si>
  <si>
    <t>Voies de fer</t>
  </si>
  <si>
    <t>TERRAINS</t>
  </si>
  <si>
    <t>Voies d’eau</t>
  </si>
  <si>
    <t>22</t>
  </si>
  <si>
    <t>TERRAINS AGRICOLES ET FORESTIERS</t>
  </si>
  <si>
    <t>Barrages, Digues</t>
  </si>
  <si>
    <t>221</t>
  </si>
  <si>
    <t>Pistes d’aérodrome</t>
  </si>
  <si>
    <t>Autres ouvrages d’infrastructures</t>
  </si>
  <si>
    <t>Installations complexes spécialisées sur sol propre</t>
  </si>
  <si>
    <t>TERRAINS NUS</t>
  </si>
  <si>
    <t>Installations complexes spécialisées sur sol d’autrui</t>
  </si>
  <si>
    <t>222</t>
  </si>
  <si>
    <t>Installations à caractère spécifique sur sol propre</t>
  </si>
  <si>
    <t>Installations à caractère spécifique sur sol d’autrui</t>
  </si>
  <si>
    <t>TERRAINS BATIS</t>
  </si>
  <si>
    <t>Aménagements et agencements des bâtiments</t>
  </si>
  <si>
    <t>223</t>
  </si>
  <si>
    <t>Installations générales</t>
  </si>
  <si>
    <t>Autres aménagements de bureaux</t>
  </si>
  <si>
    <t>BATIMENTS INDUSTRIELS, AGRICOLES ET COMMERCIAUX MIS EN CONCESSION</t>
  </si>
  <si>
    <t>AUTRES INSTALLATIONS ET AGENCEMENTS</t>
  </si>
  <si>
    <t>Bâtiments en cours</t>
  </si>
  <si>
    <t>TRAVAUX DE MISE EN VALEUR DES TERRAINS</t>
  </si>
  <si>
    <t>Installations en cours</t>
  </si>
  <si>
    <t>224</t>
  </si>
  <si>
    <t>Ouvrages d’infrastructure en cours</t>
  </si>
  <si>
    <t>Aménagements, agencements et installations techniques  en cours</t>
  </si>
  <si>
    <t>Aménagements de bureaux en cours</t>
  </si>
  <si>
    <t xml:space="preserve">TERRAINS DE CARRIERES – TREFONDS </t>
  </si>
  <si>
    <t>Autres installations et agencements en cours</t>
  </si>
  <si>
    <t>225</t>
  </si>
  <si>
    <t>Matériel industriel</t>
  </si>
  <si>
    <t>TERRAINS AMENAGES</t>
  </si>
  <si>
    <t>Outillage industriel</t>
  </si>
  <si>
    <t>226</t>
  </si>
  <si>
    <t>Matériel commercial</t>
  </si>
  <si>
    <t>Outillage commercial</t>
  </si>
  <si>
    <t>AUTRES TERRAINS</t>
  </si>
  <si>
    <t>Matériel et outillage industriel et commercial de location – acquisition</t>
  </si>
  <si>
    <t>228</t>
  </si>
  <si>
    <t>Matériel agricole</t>
  </si>
  <si>
    <t>Outillage agricole</t>
  </si>
  <si>
    <t>Matériel et outillage agricole de location – acquisition</t>
  </si>
  <si>
    <t>MATERIEL D’EMBALLAGE RECUPERABLE ET IDENTIFIABLE</t>
  </si>
  <si>
    <t>AMENAGEMENTS DE TERRAINS EN COURS</t>
  </si>
  <si>
    <t>Matériel de bureau</t>
  </si>
  <si>
    <t>229</t>
  </si>
  <si>
    <t>Matériel informatique</t>
  </si>
  <si>
    <t>Matériel bureautique</t>
  </si>
  <si>
    <t>Mobilier de bureau</t>
  </si>
  <si>
    <t>Matériel et mobilier - immeubles de placement</t>
  </si>
  <si>
    <t>BATIMENTS, INSTALLATIONS TECHNIQUES ET AGENCEMENTS</t>
  </si>
  <si>
    <t>Matériel et mobilier de location - acquisition</t>
  </si>
  <si>
    <t>23</t>
  </si>
  <si>
    <t>BATIMENTS INDUSTRIELS, AGRICOLES, ADMINISTRATIFS  ET COMMERCIAUX SUR SOL PROPRE</t>
  </si>
  <si>
    <t>Matériel et mobilier des logements du personnel</t>
  </si>
  <si>
    <t>231</t>
  </si>
  <si>
    <t>Matériel automobile</t>
  </si>
  <si>
    <t>Matériel ferroviaire</t>
  </si>
  <si>
    <t>Matériel fluvial, lagunaire</t>
  </si>
  <si>
    <t>Matériel naval</t>
  </si>
  <si>
    <t>Matériel aérien</t>
  </si>
  <si>
    <t>Matériel de transport de location - acquisition</t>
  </si>
  <si>
    <t>BATIMENTS INDUSTRIELS, AGRICOLES, ADMINISTRATIFS ET COMMERCIAUX SUR SOL D’AUTRUI</t>
  </si>
  <si>
    <t>Matériel hippomobile</t>
  </si>
  <si>
    <t>232</t>
  </si>
  <si>
    <t>Autres matériels de transport</t>
  </si>
  <si>
    <t>Cheptel, animaux de trait</t>
  </si>
  <si>
    <t>Cheptel, animaux reproducteurs</t>
  </si>
  <si>
    <t>Animaux de garde</t>
  </si>
  <si>
    <t>Plantations agricoles</t>
  </si>
  <si>
    <t>Autres actifs biologiques</t>
  </si>
  <si>
    <t>OUVRAGES D’INFRASTRUCTURE</t>
  </si>
  <si>
    <t>Agencements et aménagements du matériel</t>
  </si>
  <si>
    <t>233</t>
  </si>
  <si>
    <t>Agencements et aménagements des actifs biologiques</t>
  </si>
  <si>
    <t>Autres agencements, aménagements du matériel et actifs biologiques</t>
  </si>
  <si>
    <t>Collections et œuvres d’art</t>
  </si>
  <si>
    <t>Divers matériels et mobiliers</t>
  </si>
  <si>
    <t>Matériel et outillage industriel et commercial</t>
  </si>
  <si>
    <t>Matériel et outillage agricole</t>
  </si>
  <si>
    <t>AMENAGEMENTS, AGENCEMENTS ET INSTALLATIONS TECHNIQUES</t>
  </si>
  <si>
    <t>Matériel d’emballage récupérable et identifiable</t>
  </si>
  <si>
    <t>234</t>
  </si>
  <si>
    <t>Matériel et mobilier de bureau</t>
  </si>
  <si>
    <t xml:space="preserve">Actifs biologiques </t>
  </si>
  <si>
    <t>Agencements et aménagements du matériel et des actifs biologiques</t>
  </si>
  <si>
    <t xml:space="preserve">Autres matériels et actifs biologiques </t>
  </si>
  <si>
    <t>AMENAGEMENTS DE BUREAUX</t>
  </si>
  <si>
    <t>AVANCES ET ACOMPTES VERSES SUR IMMOBILISATIONS INCORPORELLES</t>
  </si>
  <si>
    <t>235</t>
  </si>
  <si>
    <t>AVANCES ET ACOMPTES VERSES SUR IMMOBILISATIONS CORPORELLES</t>
  </si>
  <si>
    <t>TITRES DE PARTICIPATION DANS DES ENTITES SOUS CONTROLE EXCLUSIF</t>
  </si>
  <si>
    <t>TITRES DE PARTICIPATION DANS DES ENTITES SOUS CONTROLE  CONJOINT</t>
  </si>
  <si>
    <t>TITRES DE PARTICIPATION DANS DES ENTITESCONFERANT UNE INFLUENCE NOTABLE</t>
  </si>
  <si>
    <t>BATIMENTS AMENAGEMENTS, AGENCEMENTS  ET INSTALLATIONS EN COURS</t>
  </si>
  <si>
    <t>PARTICIPATIONS DANS DES ORGANISMES PROFESSIONNELS</t>
  </si>
  <si>
    <t>239</t>
  </si>
  <si>
    <t>PARTS DANS DES GROUPEMENTS D’INTERET ECONOMIQUE (G.I.E.)</t>
  </si>
  <si>
    <t>AUTRES TITRES DE PARTICIPATION</t>
  </si>
  <si>
    <t>Prêts participatifs</t>
  </si>
  <si>
    <t>Prêts aux associés</t>
  </si>
  <si>
    <t>Créances de location-financement</t>
  </si>
  <si>
    <t>MATERIEL, MOBILIER ET ACTIFS BIOLOGIQUES</t>
  </si>
  <si>
    <t>Titres prêtés</t>
  </si>
  <si>
    <t>24</t>
  </si>
  <si>
    <t>MATERIEL ET OUTILLAGE INDUSTRIEL ET COMMERCIAL</t>
  </si>
  <si>
    <t>Autres prêts et créances</t>
  </si>
  <si>
    <t>241</t>
  </si>
  <si>
    <t>Prêts immobiliers</t>
  </si>
  <si>
    <t>Prêts mobiliers et d’installation</t>
  </si>
  <si>
    <t>Autres prêts au personnel</t>
  </si>
  <si>
    <t>Retenues de garantie</t>
  </si>
  <si>
    <t>Fonds réglementé</t>
  </si>
  <si>
    <t>MATERIEL ET OUTILLAGE AGRICOLE</t>
  </si>
  <si>
    <t>Créances sur le concédant</t>
  </si>
  <si>
    <t>242</t>
  </si>
  <si>
    <t>Autres créances sur l’Etat</t>
  </si>
  <si>
    <t>Titres immobilisés de l’activité de portefeuille (T.I.A.P.)</t>
  </si>
  <si>
    <t>Certificats d’investissement</t>
  </si>
  <si>
    <t xml:space="preserve">MATERIEL ET MOBILIER </t>
  </si>
  <si>
    <t>Parts de fonds commun de placement (F.C.P.)</t>
  </si>
  <si>
    <t>244</t>
  </si>
  <si>
    <t>Actions ou parts propres</t>
  </si>
  <si>
    <t>Autres titres immobilisés</t>
  </si>
  <si>
    <t>Dépôts pour loyers d’avance</t>
  </si>
  <si>
    <t>Dépôts pour l’électricité</t>
  </si>
  <si>
    <t>Dépôts pour l’eau</t>
  </si>
  <si>
    <t>Dépôts pour le gaz</t>
  </si>
  <si>
    <t>MATERIEL DE TRANSPORT</t>
  </si>
  <si>
    <t>Dépôts pour le téléphone, le télex, la télécopie</t>
  </si>
  <si>
    <t>245</t>
  </si>
  <si>
    <t>Cautionnements sur marchés publics</t>
  </si>
  <si>
    <t>Cautionnements sur autres opérations</t>
  </si>
  <si>
    <t>Autres dépôts et cautionnements</t>
  </si>
  <si>
    <t>Prêts et créances non commerciales</t>
  </si>
  <si>
    <t>Prêts au personnel</t>
  </si>
  <si>
    <t>Créances sur l'Etat</t>
  </si>
  <si>
    <t>Dépôts et cautionnements versés</t>
  </si>
  <si>
    <t xml:space="preserve">ACTIFS BIOLOGIQUES </t>
  </si>
  <si>
    <t>246</t>
  </si>
  <si>
    <t>Créances rattachées à des participations</t>
  </si>
  <si>
    <t>Créances rattachées à des participations (groupe)</t>
  </si>
  <si>
    <t>Créances rattachées à des participations (hors groupe)</t>
  </si>
  <si>
    <t>Créances rattachées à des sociétés en participation</t>
  </si>
  <si>
    <t>AGENCEMENTS, AMENAGEMENTS DU MATERIEL ET DES ACTIFS BIOLOGIQUES</t>
  </si>
  <si>
    <t>Avances à des Groupements d'intérêt économique (G.I.E.)</t>
  </si>
  <si>
    <t>247</t>
  </si>
  <si>
    <t>Créances diverses groupe</t>
  </si>
  <si>
    <t>Créances diverses hors groupe</t>
  </si>
  <si>
    <t>Banques dépôts à terme</t>
  </si>
  <si>
    <t>AUTRES MATERIELS ET MOBILIERS</t>
  </si>
  <si>
    <t>Or et métaux précieux (1)</t>
  </si>
  <si>
    <t>248</t>
  </si>
  <si>
    <t>Amortissements des frais de développement</t>
  </si>
  <si>
    <t>MATERIELS ET ACTIFS BIOLOGIQUES EN COURS</t>
  </si>
  <si>
    <t>Amortissements des brevets, licences, concessions et droits similaires</t>
  </si>
  <si>
    <t>249</t>
  </si>
  <si>
    <t>Amortissements des logiciels et sites internet</t>
  </si>
  <si>
    <t>Amortissements des marques</t>
  </si>
  <si>
    <t>Amortissements du fonds commercial</t>
  </si>
  <si>
    <t>Amortissements du droit au bail</t>
  </si>
  <si>
    <t>Amortissements des investissements de création</t>
  </si>
  <si>
    <t>Amortissements des autres droits et valeurs incorporels</t>
  </si>
  <si>
    <t>Amortissements des travaux de mise en valeur des terrains</t>
  </si>
  <si>
    <t>Amortissements des bâtiments industriels, agricoles, administratifs et commerciaux sur sol propre</t>
  </si>
  <si>
    <t>Amortissements des bâtiments industriels, agricoles, administratifs et commerciaux sur sol d'autrui</t>
  </si>
  <si>
    <t>25</t>
  </si>
  <si>
    <t>Amortissements des ouvrages d'infrastructure</t>
  </si>
  <si>
    <t>Amortissements des aménagements, agencements et installations techniques</t>
  </si>
  <si>
    <t>TITRES DE PARTICIPATION</t>
  </si>
  <si>
    <t>Amortissements des aménagements de bureaux</t>
  </si>
  <si>
    <t>26</t>
  </si>
  <si>
    <t>Amortissements des bâtiments industriels, agricoles et commerciaux mis en concession</t>
  </si>
  <si>
    <t>Amortissements des autres installations et agencements</t>
  </si>
  <si>
    <t>Amortissements du matériel et outillage industriel et commercial</t>
  </si>
  <si>
    <t>Amortissements du matériel et outillage agricole</t>
  </si>
  <si>
    <t>Amortissements du matériel d'emballage récupérable et identifiable</t>
  </si>
  <si>
    <t xml:space="preserve">Amortissements du matériel et mobilier </t>
  </si>
  <si>
    <t>AUTRES IMMOBLISATIONS FINANCIERES</t>
  </si>
  <si>
    <t>Amortissements du matériel de transport</t>
  </si>
  <si>
    <t>27</t>
  </si>
  <si>
    <t xml:space="preserve">PRETS ET CREANCES </t>
  </si>
  <si>
    <t xml:space="preserve">Amortissements des actifs biologiques </t>
  </si>
  <si>
    <t>271</t>
  </si>
  <si>
    <t>Amortissements des agencements, aménagements du matériel et des actifs biologiques</t>
  </si>
  <si>
    <t>Amortissements des autres matériels</t>
  </si>
  <si>
    <t>Dépréciations des frais de développement</t>
  </si>
  <si>
    <t>Dépréciations des brevets, licences, concessions  et droits similaires</t>
  </si>
  <si>
    <t>Dépréciations des logiciels et sites internet</t>
  </si>
  <si>
    <t>Dépréciations des marques</t>
  </si>
  <si>
    <t>PRETS AU PERSONNEL</t>
  </si>
  <si>
    <t>Dépréciations du fonds commercial</t>
  </si>
  <si>
    <t>272</t>
  </si>
  <si>
    <t>Dépréciations du droit au bail</t>
  </si>
  <si>
    <t>Dépréciations des investissements de création</t>
  </si>
  <si>
    <t>Dépréciations des autres droits et valeurs incorporels</t>
  </si>
  <si>
    <t>CREANCES SUR L’ETAT</t>
  </si>
  <si>
    <t>Dépréciations des immobilisations incorporelles en cours</t>
  </si>
  <si>
    <t>273</t>
  </si>
  <si>
    <t>Dépréciations des terrains agricoles et forestiers</t>
  </si>
  <si>
    <t>Dépréciations des terrains nus</t>
  </si>
  <si>
    <t>Dépréciations des terrains bâtis</t>
  </si>
  <si>
    <t>Dépréciations des travaux de mise en valeur des terrains</t>
  </si>
  <si>
    <t>TITRES IMMOBILISES</t>
  </si>
  <si>
    <t>Dépréciations des terrains de carrières-tréfonds</t>
  </si>
  <si>
    <t>274</t>
  </si>
  <si>
    <t>Dépréciations des terrains aménagés</t>
  </si>
  <si>
    <t>Dépréciations des terrains mis en concession</t>
  </si>
  <si>
    <t>Dépréciations des autres terrains</t>
  </si>
  <si>
    <t>Dépréciations des aménagements de terrains en cours</t>
  </si>
  <si>
    <t>Dépréciations des bâtiments industriels, agricoles, administratifs et commerciaux sur sol propre</t>
  </si>
  <si>
    <t>Dépréciations des bâtiments industriels, agricoles, administratifs et commerciaux sur sol d'autrui</t>
  </si>
  <si>
    <t>Dépréciations des ouvrages d'infrastructures</t>
  </si>
  <si>
    <t>DEPOTS ET CAUTIONNEMENTS VERSES</t>
  </si>
  <si>
    <t>Dépréciations des aménagements, agencements et installations techniques</t>
  </si>
  <si>
    <t>275</t>
  </si>
  <si>
    <t>Dépréciations des aménagements de bureaux</t>
  </si>
  <si>
    <t>Dépréciations des bâtiments industriels, agricoles et commerciaux mis en concession</t>
  </si>
  <si>
    <t>Dépréciations des autres installations et agencements</t>
  </si>
  <si>
    <t>Dépréciations des bâtiments et installations en cours</t>
  </si>
  <si>
    <t>Dépréciations du matériel et outillage industriel et commercial</t>
  </si>
  <si>
    <t>Dépréciations du matériel et outillage agricole</t>
  </si>
  <si>
    <t>Dépréciations du matériel d'emballage récupérable et identifiable</t>
  </si>
  <si>
    <t xml:space="preserve">Dépréciations du matériel et mobilier </t>
  </si>
  <si>
    <t>Dépréciations du matériel de transport</t>
  </si>
  <si>
    <t>276</t>
  </si>
  <si>
    <t xml:space="preserve">Dépréciations des actifs biologiques  </t>
  </si>
  <si>
    <t>Dépréciations des agencements, aménagements du matériel et des actifs biologiques</t>
  </si>
  <si>
    <t>Dépréciations des autres matériels</t>
  </si>
  <si>
    <t>Dépréciations de matériel en cours</t>
  </si>
  <si>
    <t>Dépréciations des avances et acomptes versés sur immobilisations incorporelles</t>
  </si>
  <si>
    <t>Dépréciations des avances et acomptes versés sur immobilisations corporelles</t>
  </si>
  <si>
    <t>Dépréciations des titres de participation dans des entités sous contrôle exclusif</t>
  </si>
  <si>
    <t>Dépréciations des titres de participation dans des entités sous contrôle conjoint</t>
  </si>
  <si>
    <t>CREANCES RATTACHEES A DES PARTICIPATIONS ET AVANCES A DES G.I.E.</t>
  </si>
  <si>
    <t>Dépréciations des titres de participation dans des entités conférant une influence notable</t>
  </si>
  <si>
    <t>277</t>
  </si>
  <si>
    <t>Dépréciations des participations dans des organismes professionnels</t>
  </si>
  <si>
    <t>Dépréciations des parts dans des GIE</t>
  </si>
  <si>
    <t>Dépréciations des autres titres de participation</t>
  </si>
  <si>
    <t xml:space="preserve">Dépréciations des prêts et créances </t>
  </si>
  <si>
    <t>IMMOBILISATIONS FINANCIERES DIVERSES</t>
  </si>
  <si>
    <t>Dépréciations des prêts au personnel</t>
  </si>
  <si>
    <t>278</t>
  </si>
  <si>
    <t>Dépréciations des créances sur l'Etat</t>
  </si>
  <si>
    <t>Dépréciations des titres immobilisés</t>
  </si>
  <si>
    <t>Dépréciations des dépôts et cautionnements versés</t>
  </si>
  <si>
    <r>
      <t>Or et métaux précieux (</t>
    </r>
    <r>
      <rPr>
        <vertAlign val="superscript"/>
        <sz val="11"/>
        <color theme="1"/>
        <rFont val="Times New Roman"/>
        <family val="1"/>
      </rPr>
      <t>1</t>
    </r>
    <r>
      <rPr>
        <sz val="11"/>
        <color theme="1"/>
        <rFont val="Times New Roman"/>
        <family val="1"/>
      </rPr>
      <t>)</t>
    </r>
  </si>
  <si>
    <t>Dépréciations des créances rattachées à des participations et avances à des GIE</t>
  </si>
  <si>
    <t>Dépréciations des créances financières diverses</t>
  </si>
  <si>
    <t>Marchandises A1</t>
  </si>
  <si>
    <t>28</t>
  </si>
  <si>
    <t>AMORTISSEMENTS DES IMMOBILISATIONS INCORPORELLES</t>
  </si>
  <si>
    <t>Marchandises A2</t>
  </si>
  <si>
    <t>281</t>
  </si>
  <si>
    <t>Marchandises B1</t>
  </si>
  <si>
    <t>Marchandises B2</t>
  </si>
  <si>
    <t xml:space="preserve">Animaux </t>
  </si>
  <si>
    <t>Végétaux</t>
  </si>
  <si>
    <t>MARCHANDISES HORS ACTIVITES ORDINAIRES (H.A.O.)</t>
  </si>
  <si>
    <t>MATIERES A</t>
  </si>
  <si>
    <t>MATIERES B</t>
  </si>
  <si>
    <t>FOURNITURES (A,B)</t>
  </si>
  <si>
    <t>AMORTISSEMENTS DES TERRAINS</t>
  </si>
  <si>
    <t>MATIERES CONSOMMABLES</t>
  </si>
  <si>
    <t>282</t>
  </si>
  <si>
    <t>FOURNITURES D'ATELIER ET D'USINE</t>
  </si>
  <si>
    <t>AMORTISSEMENTS DES BATIMENTS, INSTALLATIONS TECHNIQUES ET AGENCEMENTS</t>
  </si>
  <si>
    <t>FOURNITURES DE MAGASIN</t>
  </si>
  <si>
    <t>283</t>
  </si>
  <si>
    <t>FOURNITURES DE BUREAU</t>
  </si>
  <si>
    <t>Autres emballages</t>
  </si>
  <si>
    <t>AUTRES MATIERES</t>
  </si>
  <si>
    <t>Produits en cours P1</t>
  </si>
  <si>
    <t>AMORTISSEMENTS DU MATERIEL</t>
  </si>
  <si>
    <t>Produits en cours P2</t>
  </si>
  <si>
    <t>284</t>
  </si>
  <si>
    <t>Travaux en cours T1</t>
  </si>
  <si>
    <t>Travaux en cours T2</t>
  </si>
  <si>
    <t>Produits intermédiaires A</t>
  </si>
  <si>
    <t>Produits intermédiaires B</t>
  </si>
  <si>
    <t>Produits résiduels A</t>
  </si>
  <si>
    <t>Produits résiduels B</t>
  </si>
  <si>
    <t>Animaux</t>
  </si>
  <si>
    <t xml:space="preserve">Végétaux   </t>
  </si>
  <si>
    <t>DEPRECIATIONS DES IMMOBILISATIONS</t>
  </si>
  <si>
    <t>Etudes en cours E1</t>
  </si>
  <si>
    <t>29</t>
  </si>
  <si>
    <t>DEPRECIATIONS DES IMMOBILISATIONS INCORPORELLES</t>
  </si>
  <si>
    <t>Etudes en cours E2</t>
  </si>
  <si>
    <t>291</t>
  </si>
  <si>
    <t>Prestations de services S1</t>
  </si>
  <si>
    <t>Prestations de services S2</t>
  </si>
  <si>
    <t>PRODUITS FINIS A</t>
  </si>
  <si>
    <t>PRODUITS FINIS B</t>
  </si>
  <si>
    <t>Autres stocks (activités annexes)</t>
  </si>
  <si>
    <t xml:space="preserve">DEPRECIATIONS DES TERRAINS </t>
  </si>
  <si>
    <t>Déchets</t>
  </si>
  <si>
    <t>292</t>
  </si>
  <si>
    <t>Rebuts</t>
  </si>
  <si>
    <t>Matières de récupération</t>
  </si>
  <si>
    <t>MARCHANDISES EN COURS DE ROUTE</t>
  </si>
  <si>
    <t>MATIERES PREMIERES ET FOURNITURES LIEES EN COURS DE ROUTE</t>
  </si>
  <si>
    <t>AUTRES APPROVISIONNEMENTS EN COURS DE ROUTE</t>
  </si>
  <si>
    <t>PRODUITS FINIS EN COURS DE ROUTE</t>
  </si>
  <si>
    <t>DEPRECIATIONS DES BATIMENTS, INSTALLATIONS TECHNIQUES ET AGENCEMENTS</t>
  </si>
  <si>
    <t>Stock en consignation</t>
  </si>
  <si>
    <t>293</t>
  </si>
  <si>
    <t>Stock en dépôt</t>
  </si>
  <si>
    <t>STOCK PROVENANT D'IMMOBILISATIONS MISES HORS SERVICE OU AU REBUT</t>
  </si>
  <si>
    <t>DEPRECIATIONS DES STOCKS DE MARCHANDISES</t>
  </si>
  <si>
    <t>DEPRECIATIONS DES STOCKS DE MATIERES PREMIERES ET FOURNITURES LIEES</t>
  </si>
  <si>
    <t>DEPRECIATIONS DES STOCKS D'AUTRES APPROVISIONNEMENTS</t>
  </si>
  <si>
    <t>DEPRECIATIONS DES PRODUCTIONS EN COURS</t>
  </si>
  <si>
    <t>DEPRECIATIONS DES SERVICES EN COURS</t>
  </si>
  <si>
    <t>DEPRECIATIONS DES STOCKS DE PRODUITS FINIS</t>
  </si>
  <si>
    <t>DEPRECIATIONS DE MATERIEL, DU MOBILIER ET DE L’ACTIF BIOLOGIQUE</t>
  </si>
  <si>
    <t>DEPRECIATIONS DES STOCKS DE PRODUITS INTERMEDIAIRES ET RESIDUELS</t>
  </si>
  <si>
    <t>294</t>
  </si>
  <si>
    <t>DEPRECIATIONS DES STOCKS EN COURS DE ROUTE, EN CONSIGNATION OU EN DEPOT</t>
  </si>
  <si>
    <t>Fournisseurs</t>
  </si>
  <si>
    <t>Fournisseurs Groupe</t>
  </si>
  <si>
    <t>Fournisseurs sous-traitants</t>
  </si>
  <si>
    <t>Fournisseurs, retenues de garantie</t>
  </si>
  <si>
    <t>Fournisseurs, Effets à payer</t>
  </si>
  <si>
    <t>Fournisseurs - Groupe, Effets à payer</t>
  </si>
  <si>
    <t>Fournisseurs sous-traitants, Effets à payer</t>
  </si>
  <si>
    <t>DEPRECIATIONS DES AVANCES ET ACOMPTES VERSES SUR IMMOBILISATIONS</t>
  </si>
  <si>
    <t>Fournisseurs dettes en compte, immobilisations incorporelles</t>
  </si>
  <si>
    <t>295</t>
  </si>
  <si>
    <t>Fournisseurs dettes en compte, immobilisations corporelles</t>
  </si>
  <si>
    <t>Fournisseurs effets à payer, immobilisations incorporelles</t>
  </si>
  <si>
    <t>DEPRECIATIONS DES TITRES DE PARTICIPATION</t>
  </si>
  <si>
    <t>Fournisseurs effets à payer, immobilisations corporelles</t>
  </si>
  <si>
    <t>296</t>
  </si>
  <si>
    <t xml:space="preserve">Fournisseurs </t>
  </si>
  <si>
    <t>Fournisseurs - Groupe</t>
  </si>
  <si>
    <t>Fournisseurs, intérêts courus</t>
  </si>
  <si>
    <t>Fournisseurs avances et acomptes versés</t>
  </si>
  <si>
    <t xml:space="preserve">Fournisseurs - Groupe avances et acomptes versés </t>
  </si>
  <si>
    <t>DEPRECIATIONS DES AUTRES IMMOBILISATIONS FINANCIERES</t>
  </si>
  <si>
    <t xml:space="preserve">Fournisseurs sous-traitants avances et acomptes versés </t>
  </si>
  <si>
    <t>297</t>
  </si>
  <si>
    <t>Fournisseurs créances pour emballages et matériels à rendre</t>
  </si>
  <si>
    <t>Fournisseurs, rabais, remises, ristournes et autres avoirs à obtenir</t>
  </si>
  <si>
    <t>Clients - Groupe</t>
  </si>
  <si>
    <t>Clients, Etat et Collectivités publiques</t>
  </si>
  <si>
    <t>Clients, organismes internationaux</t>
  </si>
  <si>
    <t>Clients, réserve de propriété</t>
  </si>
  <si>
    <t>MARCHANDISES</t>
  </si>
  <si>
    <t>Clients, retenues de garantie</t>
  </si>
  <si>
    <t>31</t>
  </si>
  <si>
    <t>MARCHANDISES A</t>
  </si>
  <si>
    <t>Clients, dégrèvement de Taxes sur la Valeur Ajoutée (T.V.A.)</t>
  </si>
  <si>
    <t>311</t>
  </si>
  <si>
    <t>Clients, Effets à recevoir</t>
  </si>
  <si>
    <t>Clients - Groupe, Effets à recevoir</t>
  </si>
  <si>
    <t>MARCHANDISES B</t>
  </si>
  <si>
    <t>Etat et Collectivités publiques, Effets à recevoir</t>
  </si>
  <si>
    <t>312</t>
  </si>
  <si>
    <t>Organismes Internationaux, Effets à recevoir</t>
  </si>
  <si>
    <t>Clients, chèques impayés</t>
  </si>
  <si>
    <t>ACTIFS BIOLOGIQUES</t>
  </si>
  <si>
    <t>Clients, Effets impayés</t>
  </si>
  <si>
    <t>313</t>
  </si>
  <si>
    <t>Clients, cartes de crédit impayées</t>
  </si>
  <si>
    <t>Clients, autres valeurs impayées</t>
  </si>
  <si>
    <t>Créances en compte, immobilisations incorporelles</t>
  </si>
  <si>
    <t>MATIERES PREMIERES ET FOURNITURES LIEES</t>
  </si>
  <si>
    <t>Créances en compte, immobilisations corporelles</t>
  </si>
  <si>
    <t>32</t>
  </si>
  <si>
    <t>Effets à recevoir, immobilisations incorporelles</t>
  </si>
  <si>
    <t>Effets à recevoir, immobilisations corporelles</t>
  </si>
  <si>
    <t>CLIENTS, EFFETS ESCOMPTES NON ECHUS</t>
  </si>
  <si>
    <t>AUTRES APPROVISIONNEMENTS</t>
  </si>
  <si>
    <t>Créances litigieuses</t>
  </si>
  <si>
    <t>33</t>
  </si>
  <si>
    <t>Créances douteuses</t>
  </si>
  <si>
    <t>Clients, factures à établir</t>
  </si>
  <si>
    <t>Clients, intérêts courus</t>
  </si>
  <si>
    <t>Clients, avances et acomptes reçus</t>
  </si>
  <si>
    <t>EMBALLAGES</t>
  </si>
  <si>
    <t>Clients - Groupe, avances et acomptes reçus</t>
  </si>
  <si>
    <t>335</t>
  </si>
  <si>
    <t>Clients, dettes pour emballages et matériels consignés</t>
  </si>
  <si>
    <t>Clients, rabais, remises, ristournes et autres avoirs à accorder</t>
  </si>
  <si>
    <t xml:space="preserve">Personnel, avances </t>
  </si>
  <si>
    <t>Personnel, acomptes</t>
  </si>
  <si>
    <t>Frais avancés et fournitures au personnel</t>
  </si>
  <si>
    <t>PRODUITS EN COURS</t>
  </si>
  <si>
    <t>PERSONNEL, REMUNERATIONS DUES</t>
  </si>
  <si>
    <t>34</t>
  </si>
  <si>
    <t>Personnel, oppositions</t>
  </si>
  <si>
    <t>341</t>
  </si>
  <si>
    <t>Personnel, saisies-arrêts</t>
  </si>
  <si>
    <t>Personnel, avis à tiers détenteur</t>
  </si>
  <si>
    <t>TRAVAUX EN COURS</t>
  </si>
  <si>
    <t>Assistance médicale</t>
  </si>
  <si>
    <t>342</t>
  </si>
  <si>
    <t>Allocations familiales</t>
  </si>
  <si>
    <t>Organismes sociaux rattachés à l'entité</t>
  </si>
  <si>
    <t>PRODUITS INTERMEDIAIRES EN COURS</t>
  </si>
  <si>
    <t>Autres oeuvres sociales internes</t>
  </si>
  <si>
    <t>343</t>
  </si>
  <si>
    <t>Délégués du personnel</t>
  </si>
  <si>
    <t>Syndicats et Comités d'entreprises, d'Etablissement</t>
  </si>
  <si>
    <t>PRODUITS RESIDUELS EN COURS</t>
  </si>
  <si>
    <t>Autres représentants du personnel</t>
  </si>
  <si>
    <t>344</t>
  </si>
  <si>
    <t>Participation aux bénéfices</t>
  </si>
  <si>
    <t>Participation au capital</t>
  </si>
  <si>
    <t>PERSONNEL – DEPOTS</t>
  </si>
  <si>
    <t>345</t>
  </si>
  <si>
    <t>Dettes provisionnées pour congés à payer</t>
  </si>
  <si>
    <t>Autres charges à payer</t>
  </si>
  <si>
    <t>SERVICES EN COURS</t>
  </si>
  <si>
    <t>Produits à recevoir</t>
  </si>
  <si>
    <t>35</t>
  </si>
  <si>
    <t>ETUDES EN COURS</t>
  </si>
  <si>
    <t>Prestations familiales</t>
  </si>
  <si>
    <t>351</t>
  </si>
  <si>
    <t>Accidents de travail</t>
  </si>
  <si>
    <t>Caisse de retraite obligatoire</t>
  </si>
  <si>
    <t>PRESTATIONS DE SERVICES EN COURS</t>
  </si>
  <si>
    <t>Caisse de retraite facultative</t>
  </si>
  <si>
    <t>352</t>
  </si>
  <si>
    <t>Autres cotisations sociales</t>
  </si>
  <si>
    <t>CAISSES DE RETRAITE COMPLEMENTAIRE</t>
  </si>
  <si>
    <t>PRODUITS FINIS</t>
  </si>
  <si>
    <t>Mutuelle</t>
  </si>
  <si>
    <t>36</t>
  </si>
  <si>
    <t>Assurances Retraite</t>
  </si>
  <si>
    <t>Charges sociales sur gratifications à payer</t>
  </si>
  <si>
    <t>363</t>
  </si>
  <si>
    <t>PRODUITS INTERMEDIAIRES ET RESIDUELS</t>
  </si>
  <si>
    <t>ETAT, IMPOT SUR LES BENEFICES</t>
  </si>
  <si>
    <t>37</t>
  </si>
  <si>
    <t>PRODUITS INTERMEDIAIRES</t>
  </si>
  <si>
    <t>Impôts et taxes d'Etat</t>
  </si>
  <si>
    <t>371</t>
  </si>
  <si>
    <t>Impôts et taxes pour les collectivités publiques</t>
  </si>
  <si>
    <t>Impôts et taxes recouvrables sur des obligataires</t>
  </si>
  <si>
    <t>PRODUITS RESIDUELS</t>
  </si>
  <si>
    <t>Impôts et taxes recouvrables sur des associés</t>
  </si>
  <si>
    <t>372</t>
  </si>
  <si>
    <t>T.V.A. facturée sur ventes</t>
  </si>
  <si>
    <t>T.V.A. facturée sur prestations de services</t>
  </si>
  <si>
    <t>373</t>
  </si>
  <si>
    <t>T.V.A. facturée sur travaux</t>
  </si>
  <si>
    <t>T.V.A. facturée sur production livrée à soi-même</t>
  </si>
  <si>
    <t>T.V.A. sur factures à établir</t>
  </si>
  <si>
    <t>STOCKS EN COURS DE ROUTE, EN CONSIGNATION OU EN DEPOT</t>
  </si>
  <si>
    <t>Etat, T.V.A. due</t>
  </si>
  <si>
    <t>38</t>
  </si>
  <si>
    <t>Etat, dégrèvement T.V.A.</t>
  </si>
  <si>
    <t>Etat, crédit de T.V.A. à reporter</t>
  </si>
  <si>
    <t>T.V.A. récupérable sur immobilisations</t>
  </si>
  <si>
    <t>T.V.A. récupérable sur achats</t>
  </si>
  <si>
    <t>STOCK EN CONSIGNATION OU EN DEPOT</t>
  </si>
  <si>
    <t>T.V.A. récupérable sur transport</t>
  </si>
  <si>
    <t>387</t>
  </si>
  <si>
    <t>T.V.A. récupérable sur services extérieurs et autres charges</t>
  </si>
  <si>
    <t>T.V.A. récupérable sur factures non parvenues</t>
  </si>
  <si>
    <t>T.V.A. transférée par d'autres entités</t>
  </si>
  <si>
    <t>DEPRECIATIONS DES STOCKS ET ENCOURS DE PRODUCTION</t>
  </si>
  <si>
    <t>ETAT, AUTRES TAXES SUR LE CHIFFRE D'AFFAIRES</t>
  </si>
  <si>
    <t>39</t>
  </si>
  <si>
    <t>Impôt Général sur le revenu</t>
  </si>
  <si>
    <t>Impôts sur salaires</t>
  </si>
  <si>
    <t>Contribution nationale</t>
  </si>
  <si>
    <t>Contribution nationale de solidarité</t>
  </si>
  <si>
    <t>Autres impôts et contributions</t>
  </si>
  <si>
    <t>Charges à payer</t>
  </si>
  <si>
    <t>Etat, obligations cautionnées</t>
  </si>
  <si>
    <t>FOURNISSEURS ET COMPTES RATTACHES</t>
  </si>
  <si>
    <t>Etat, avances et acomptes versés sur impôts</t>
  </si>
  <si>
    <t>40</t>
  </si>
  <si>
    <t>FOURNISSEURS, DETTES EN COMPTE</t>
  </si>
  <si>
    <t>Etat, fonds de dotation à recevoir</t>
  </si>
  <si>
    <t>401</t>
  </si>
  <si>
    <t>Etat, subventions d'investissement à recevoir</t>
  </si>
  <si>
    <t>Etat, subventions d'exploitation à recevoir</t>
  </si>
  <si>
    <t>Etat, subventions d'équilibre à recevoir</t>
  </si>
  <si>
    <t xml:space="preserve">Etat, avances sur subventions </t>
  </si>
  <si>
    <t>Etat, fonds réglementé provisionné</t>
  </si>
  <si>
    <t xml:space="preserve">FOURNISSEURS, EFFETS A PAYER </t>
  </si>
  <si>
    <t>OPERATIONS AVEC LES ORGANISMES AFRICAINS</t>
  </si>
  <si>
    <t>402</t>
  </si>
  <si>
    <t>OPERATIONS AVEC LES AUTRES ORGANISMES INTERNATIONAUX</t>
  </si>
  <si>
    <t>Organismes internationaux, fonds de dotation à recevoir</t>
  </si>
  <si>
    <t>Organismes internationaux, subventions à recevoir</t>
  </si>
  <si>
    <t>FOURNISSEURS, ACQUISITIONS COURANTES D’IMMOBILISATIONS</t>
  </si>
  <si>
    <t>Apporteurs, apports en nature</t>
  </si>
  <si>
    <t>404</t>
  </si>
  <si>
    <t>Apporteurs, apports en numéraire</t>
  </si>
  <si>
    <t>Apporteurs, capital appelé, non versé</t>
  </si>
  <si>
    <t>Apporteurs, compte d’apport, opérations de restructuration (fusion…)</t>
  </si>
  <si>
    <t>Apporteurs, versements reçus sur augmentation de capital</t>
  </si>
  <si>
    <t>FOURNISSEURS, FACTURES NON PARVENUES</t>
  </si>
  <si>
    <t>Apporteurs, versements anticipés</t>
  </si>
  <si>
    <t>408</t>
  </si>
  <si>
    <t>Apporteurs défaillants</t>
  </si>
  <si>
    <t>Apporteurs, titres à échanger</t>
  </si>
  <si>
    <t xml:space="preserve">Apporteurs, capital à rembourser </t>
  </si>
  <si>
    <t>Principal</t>
  </si>
  <si>
    <t>FOURNISSEURS DEBITEURS</t>
  </si>
  <si>
    <t>409</t>
  </si>
  <si>
    <t>ASSOCIES (2), DIVIDENDES A PAYER</t>
  </si>
  <si>
    <t>GROUPE, COMPTES COURANTS</t>
  </si>
  <si>
    <t>APPORTEURS RESTANT DÛ SUR CAPITAL APPELE</t>
  </si>
  <si>
    <t>CLIENTS ET COMPTES RATTACHES</t>
  </si>
  <si>
    <t>ENTITE, DIVIDENDES A RECEVOIR</t>
  </si>
  <si>
    <t>41</t>
  </si>
  <si>
    <t>Débiteurs divers</t>
  </si>
  <si>
    <t>411</t>
  </si>
  <si>
    <t xml:space="preserve">Obligataires </t>
  </si>
  <si>
    <t>Rémunérations d’administrateurs non associés</t>
  </si>
  <si>
    <t>Compte d’affacturage et de titrisation</t>
  </si>
  <si>
    <t>Débiteurs divers - retenues de garantie</t>
  </si>
  <si>
    <t>Apport, compte de fusion et opérations assimilées</t>
  </si>
  <si>
    <t>Bons de souscription d’actions et d’obligations</t>
  </si>
  <si>
    <t>CLIENTS, EFFETS A RECEVOIR EN PORTEFEUILLE</t>
  </si>
  <si>
    <t>Créances sur cessions de titres de placement</t>
  </si>
  <si>
    <t>412</t>
  </si>
  <si>
    <t>Mandants</t>
  </si>
  <si>
    <t>Mandataires</t>
  </si>
  <si>
    <t>Commettants</t>
  </si>
  <si>
    <t>CLIENTS, CHEQUES, EFFETS ET AUTRES VALEURS IMPAYES</t>
  </si>
  <si>
    <t>Commissionnaires</t>
  </si>
  <si>
    <t>413</t>
  </si>
  <si>
    <t>Etat, Collectivités publiques, fonds global d’allocation</t>
  </si>
  <si>
    <t>Compte de répartition périodique des charges</t>
  </si>
  <si>
    <t>Compte de répartition périodique des produits</t>
  </si>
  <si>
    <t xml:space="preserve">Compte-actif </t>
  </si>
  <si>
    <t>CREANCES SUR CESSIONS COURANTES D'IMMOBILISATIONS</t>
  </si>
  <si>
    <t xml:space="preserve">Compte-passif </t>
  </si>
  <si>
    <t>414</t>
  </si>
  <si>
    <t>CHARGES CONSTATEES D'AVANCE</t>
  </si>
  <si>
    <t>PRODUITS CONSTATES D'AVANCE</t>
  </si>
  <si>
    <t>Diminution des créances d’exploitation et HAO</t>
  </si>
  <si>
    <t>Diminution des créances d’exploitation</t>
  </si>
  <si>
    <t>Diminution des créances HAO</t>
  </si>
  <si>
    <t>CREANCES CLIENTS LITIGIEUSES OU DOUTEUSES</t>
  </si>
  <si>
    <t>Diminution des créances financières</t>
  </si>
  <si>
    <t>416</t>
  </si>
  <si>
    <t>Augmentation des dettes d’exploitation et HAO</t>
  </si>
  <si>
    <t xml:space="preserve">Augmentation des dettes d’exploitation </t>
  </si>
  <si>
    <t>CLIENTS, PRODUITS A RECEVOIR</t>
  </si>
  <si>
    <t>Augmentation des dettes HAO</t>
  </si>
  <si>
    <t>418</t>
  </si>
  <si>
    <t>Augmentation des dettes financières</t>
  </si>
  <si>
    <t>Différences d’évaluation sur instruments de trésorerie</t>
  </si>
  <si>
    <t>CLIENTS CREDITEURS</t>
  </si>
  <si>
    <t>Différences compensées par couverture de change</t>
  </si>
  <si>
    <t>419</t>
  </si>
  <si>
    <t>Augmentation des créances d’exploitation et HAO</t>
  </si>
  <si>
    <t xml:space="preserve">Augmentation des créances d’exploitation </t>
  </si>
  <si>
    <t>Augmentation des créances HAO</t>
  </si>
  <si>
    <t>Augmentation des créances financières</t>
  </si>
  <si>
    <t>PERSONNEL</t>
  </si>
  <si>
    <t>Diminution des dettes d’exploitation et HAO</t>
  </si>
  <si>
    <t>42</t>
  </si>
  <si>
    <t>PERSONNEL, AVANCES ET ACOMPTES</t>
  </si>
  <si>
    <t xml:space="preserve">Diminution des dettes d’exploitation </t>
  </si>
  <si>
    <t>421</t>
  </si>
  <si>
    <t>Diminution des dettes HAO</t>
  </si>
  <si>
    <t>Diminution des dettes financières</t>
  </si>
  <si>
    <t>PERSONNEL, OPPOSITIONS, SAISIES-ARRETS</t>
  </si>
  <si>
    <t>Immobilisations incorporelles</t>
  </si>
  <si>
    <t>423</t>
  </si>
  <si>
    <t>Immobilisations corporelles</t>
  </si>
  <si>
    <t xml:space="preserve">Versements restant à effectuer sur titres de participation et titres immobilisés non libérés </t>
  </si>
  <si>
    <t>Réserve de propriété (3)</t>
  </si>
  <si>
    <t>PERSONNEL, OEUVRES SOCIALES INTERNES</t>
  </si>
  <si>
    <t>Réserve de propriété - immobilisations incorporelles</t>
  </si>
  <si>
    <t>424</t>
  </si>
  <si>
    <t>Réserve de propriété - immobilisations corporelles</t>
  </si>
  <si>
    <t>Retenues de garantie  (3)</t>
  </si>
  <si>
    <t>Retenues de garantie  - immobilisations incorporelles</t>
  </si>
  <si>
    <t>REPRESENTANTS DU PERSONNEL</t>
  </si>
  <si>
    <t>Factures non parvenues (3)</t>
  </si>
  <si>
    <t>425</t>
  </si>
  <si>
    <t>Factures non parvenues - immobilisations incorporelles</t>
  </si>
  <si>
    <t>Factures non parvenues - immobilisations corporelles</t>
  </si>
  <si>
    <t>PERSONNEL, PARTICIPATION AUX BENEFICES ET AU CAPITAL</t>
  </si>
  <si>
    <t>426</t>
  </si>
  <si>
    <t>AUTRES DETTES HORS ACTIVITES ORDINAIRES (H.A.O.)</t>
  </si>
  <si>
    <t>En compte, immobilisations incorporelles</t>
  </si>
  <si>
    <t>En compte, immobilisations corporelles</t>
  </si>
  <si>
    <t>PERSONNEL, CHARGES A PAYER ET PRODUITS A RECEVOIR</t>
  </si>
  <si>
    <t>428</t>
  </si>
  <si>
    <t>ORGANISMES SOCIAUX</t>
  </si>
  <si>
    <t xml:space="preserve">Retenues de garantie </t>
  </si>
  <si>
    <t>43</t>
  </si>
  <si>
    <t>SECURITE SOCIALE</t>
  </si>
  <si>
    <t>Factures à établir</t>
  </si>
  <si>
    <t>431</t>
  </si>
  <si>
    <t>AUTRES CREANCES HORS ACTIVITES ORDINAIRES (H.A.O.)</t>
  </si>
  <si>
    <t>DEPRECIATIONS DES COMPTES FOURNISSEURS</t>
  </si>
  <si>
    <t>DEPRECIATIONS DES COMPTES PERSONNEL</t>
  </si>
  <si>
    <t>DEPRECIATIONS DES COMPTES ORGANISMES SOCIAUX</t>
  </si>
  <si>
    <t>AUTRES ORGANISMES SOCIAUX</t>
  </si>
  <si>
    <t>DEPRECIATIONS DES COMPTES ETAT ET COLLECTIVITES PUBLIQUES</t>
  </si>
  <si>
    <t>433</t>
  </si>
  <si>
    <t>DEPRECIATIONS DES COMPTES ORGANISMES INTERNATIONAUX</t>
  </si>
  <si>
    <t>Associés, comptes courants</t>
  </si>
  <si>
    <t>Associés, opérations faites en commun et GIE</t>
  </si>
  <si>
    <t>ORGANISMES SOCIAUX, CHARGES À PAYER ET PRODUITS À RECEVOIR</t>
  </si>
  <si>
    <t>438</t>
  </si>
  <si>
    <t>DEPRECIATIONS DES COMPTES DEBITEURS DIVERS</t>
  </si>
  <si>
    <t xml:space="preserve">Créances sur cessions d'immobilisations </t>
  </si>
  <si>
    <t>Autres créances H.A.O.</t>
  </si>
  <si>
    <t>ETAT ET COLLECTIVITES PUBLIQUES</t>
  </si>
  <si>
    <t>Sur opérations d'exploitation</t>
  </si>
  <si>
    <t>44</t>
  </si>
  <si>
    <t>Sur opérations H.A.O.</t>
  </si>
  <si>
    <t>ETAT, AUTRES IMPOTS ET TAXES</t>
  </si>
  <si>
    <t>Titres du Trésor à court terme</t>
  </si>
  <si>
    <t>442</t>
  </si>
  <si>
    <t>Titres d'organismes financiers</t>
  </si>
  <si>
    <t>Bons de caisse à court terme</t>
  </si>
  <si>
    <t>Frais d’acquisition des titres de Trésor et bons de caisse</t>
  </si>
  <si>
    <t>Actions cotées</t>
  </si>
  <si>
    <t>Actions non cotées</t>
  </si>
  <si>
    <t>ETAT, T.V.A. FACTUREE</t>
  </si>
  <si>
    <t>Actions démembrées (certificats d'investissement ; droits de vote)</t>
  </si>
  <si>
    <t>443</t>
  </si>
  <si>
    <t>Autres actions</t>
  </si>
  <si>
    <t>Frais d’acquisition des actions</t>
  </si>
  <si>
    <t>Obligations émises par l'entité et rachetées par elle</t>
  </si>
  <si>
    <t>Obligations cotées</t>
  </si>
  <si>
    <t>Obligations non cotées</t>
  </si>
  <si>
    <t>ETAT, T.V.A. DUE OU CREDIT DE T.V.A.</t>
  </si>
  <si>
    <t>Autres obligations</t>
  </si>
  <si>
    <t>444</t>
  </si>
  <si>
    <t>Frais d’acquisition des obligations</t>
  </si>
  <si>
    <t>Bons de souscription d'actions</t>
  </si>
  <si>
    <t>Bons de souscription d'obligations</t>
  </si>
  <si>
    <t>ETAT, T.V.A. RECUPERABLE</t>
  </si>
  <si>
    <t>TITRES NEGOCIABLES HORS REGION</t>
  </si>
  <si>
    <t>445</t>
  </si>
  <si>
    <t>Titres du Trésor et bons de caisse à court terme</t>
  </si>
  <si>
    <t>AUTRES TITRES DE PLACEMENT ET CREANCES ASSIMILEES</t>
  </si>
  <si>
    <t>EFFETS A ENCAISSER</t>
  </si>
  <si>
    <t>EFFETS A L'ENCAISSEMENT</t>
  </si>
  <si>
    <t>CHEQUES A ENCAISSER</t>
  </si>
  <si>
    <t>ETAT, IMPOTS RETENUS A LA SOURCE</t>
  </si>
  <si>
    <t>CHEQUES A L'ENCAISSEMENT</t>
  </si>
  <si>
    <t>447</t>
  </si>
  <si>
    <t>CARTES DE CREDIT A ENCAISSER</t>
  </si>
  <si>
    <t xml:space="preserve">Warrants </t>
  </si>
  <si>
    <t>Chèques de voyage</t>
  </si>
  <si>
    <t xml:space="preserve">Coupons échus </t>
  </si>
  <si>
    <t>ETAT, CHARGES A PAYER ET PRODUITS A RECEVOIR</t>
  </si>
  <si>
    <t>Intérêts échus des obligations</t>
  </si>
  <si>
    <t>448</t>
  </si>
  <si>
    <t>Banques en monnaie nationale</t>
  </si>
  <si>
    <t>Banques en devises</t>
  </si>
  <si>
    <t>ETAT, CREANCES ET DETTES DIVERSES</t>
  </si>
  <si>
    <t>BANQUES AUTRES ETATS REGION</t>
  </si>
  <si>
    <t>449</t>
  </si>
  <si>
    <t>BANQUES AUTRES ETATS ZONE MONETAIRE</t>
  </si>
  <si>
    <t>BANQUES HORS ZONE MONETAIRE</t>
  </si>
  <si>
    <t xml:space="preserve">BANQUES DEPOT  A TERME </t>
  </si>
  <si>
    <t>Banque, intérêts courus charges à payer</t>
  </si>
  <si>
    <t>Banque, intérêts courus produits à recevoir</t>
  </si>
  <si>
    <t>CHEQUES POSTAUX</t>
  </si>
  <si>
    <t>TRESOR</t>
  </si>
  <si>
    <t>SOCIETES DE GESTION ET D'INTERMEDIATION (S.G.I.)</t>
  </si>
  <si>
    <t>ORGANISMES INTERNATIONAUX</t>
  </si>
  <si>
    <t>ETABLISSEMENTS FINANCIERS, INTERETS COURUS</t>
  </si>
  <si>
    <t>45</t>
  </si>
  <si>
    <t>AUTRES ORGANISMES FINANCIERS</t>
  </si>
  <si>
    <t>OPTIONS DE TAUX D'INTERET</t>
  </si>
  <si>
    <t>ORGANISMES INTERNATIONAUX, FONDS DE DOTATION ET SUBVENTIONS A RECEVOIR</t>
  </si>
  <si>
    <t>OPTIONS DE TAUX DE CHANGE</t>
  </si>
  <si>
    <t>458</t>
  </si>
  <si>
    <t>OPTIONS DE TAUX BOURSIERS</t>
  </si>
  <si>
    <t>INSTRUMENTS DE MARCHES A TERME</t>
  </si>
  <si>
    <t>APPORTEURS, ASSOCIES ET GROUPE</t>
  </si>
  <si>
    <t>AVOIRS D'OR ET AUTRES METAUX PRECIEUX (4)</t>
  </si>
  <si>
    <t>46</t>
  </si>
  <si>
    <t>APPORTEURS, OPERATIONS SUR LE CAPITAL</t>
  </si>
  <si>
    <t>MONNAIE ELECTRONIQUE - CARTE CARBURANT</t>
  </si>
  <si>
    <t>461</t>
  </si>
  <si>
    <t>MONNAIE ELECTRONIQUE - TELEPHONE PORTABLE</t>
  </si>
  <si>
    <t>MONNAIE ELECTRONIQUE- CARTE PEAGE</t>
  </si>
  <si>
    <t>PORTE -MONNAIE ELECTRONIQUE</t>
  </si>
  <si>
    <t>AUTRES INSTRUMENTS DE MONNAIES ELECTRONIQUES</t>
  </si>
  <si>
    <t>CREDITS DE TRESORERIE</t>
  </si>
  <si>
    <t>ESCOMPTE DE CREDITS DE CAMPAGNE</t>
  </si>
  <si>
    <t>ESCOMPTE DE CREDITS ORDINAIRES</t>
  </si>
  <si>
    <t xml:space="preserve">BANQUES,  CREDITS DE TRESORERIE, INTERETS  COURUS </t>
  </si>
  <si>
    <t>Caisse en monnaie nationale</t>
  </si>
  <si>
    <t>ASSOCIES (2), COMPTES COURANTS</t>
  </si>
  <si>
    <t>Caisse en devises</t>
  </si>
  <si>
    <t>462</t>
  </si>
  <si>
    <t>en monnaie nationale</t>
  </si>
  <si>
    <t>en devises</t>
  </si>
  <si>
    <t>ASSOCIES (2), OPERATIONS FAITES EN COMMUN ET GIE</t>
  </si>
  <si>
    <t>463</t>
  </si>
  <si>
    <t>REGIES D'AVANCE</t>
  </si>
  <si>
    <t>ACCREDITIFS</t>
  </si>
  <si>
    <t>VIREMENTS DE FONDS</t>
  </si>
  <si>
    <t>AUTRES VIREMENTS INTERNES</t>
  </si>
  <si>
    <t>DEPRECIATIONS DES TITRES DE PLACEMENT</t>
  </si>
  <si>
    <t>DEBITEURS ET CREDITEURS DIVERS</t>
  </si>
  <si>
    <t>DEPRECIATIONS DES TITRES ET VALEURS A ENCAISSER</t>
  </si>
  <si>
    <t>47</t>
  </si>
  <si>
    <t xml:space="preserve">DEBITEURS ET CREDITEURS DIVERS </t>
  </si>
  <si>
    <t>DEPRECIATIONS DES COMPTES BANQUES</t>
  </si>
  <si>
    <t>471</t>
  </si>
  <si>
    <t>DEPRECIATIONS DES COMPTES ETABLISSEMENTS FINANCIERS ET ASSIMILES</t>
  </si>
  <si>
    <t>DEPRECIATIONS DES COMPTES D’INSTRUMENTS DE TRESORERIE</t>
  </si>
  <si>
    <t>PROVISIONS POUR RISQUE A COURT TERME  A CARACTERE FINANCIER</t>
  </si>
  <si>
    <t>dans la Région (5)</t>
  </si>
  <si>
    <t>hors Région (5)</t>
  </si>
  <si>
    <t>aux entités du groupe dans la Région</t>
  </si>
  <si>
    <t>aux entités du groupe hors Région</t>
  </si>
  <si>
    <t>frais sur achats (6)</t>
  </si>
  <si>
    <t xml:space="preserve">CREANCES ET DETTES SUR TITRES DE PLACEMENT </t>
  </si>
  <si>
    <t>Rabais, Remises et Ristournes obtenus (non ventilés)</t>
  </si>
  <si>
    <t>472</t>
  </si>
  <si>
    <t>INTERMEDIAIRES - OPERATIONS FAITES POUR COMPTE DE TIERS</t>
  </si>
  <si>
    <t>473</t>
  </si>
  <si>
    <t>Variations des stocks de marchandises</t>
  </si>
  <si>
    <t>Variations des stocks de matières premières et fournitures liées</t>
  </si>
  <si>
    <t>COMPTE DE REPARTITION PERIODIQUE DES CHARGES ET DES PRODUITS</t>
  </si>
  <si>
    <t>Variations des stocks d'autres approvisionnements</t>
  </si>
  <si>
    <t>474</t>
  </si>
  <si>
    <t xml:space="preserve">Matières consommables </t>
  </si>
  <si>
    <t xml:space="preserve">COMPTE TRANSITOIRE, AJUSTEMENT SPECIAL LIE A LA REVISION DU SYSCOHADA </t>
  </si>
  <si>
    <t>475</t>
  </si>
  <si>
    <t>ECARTS DE CONVERSION - ACTIF</t>
  </si>
  <si>
    <t>478</t>
  </si>
  <si>
    <t>Fournitures non stockables -Eau</t>
  </si>
  <si>
    <t>Fournitures non stockables - Electricité</t>
  </si>
  <si>
    <t>Fournitures non stockables – Autres énergies</t>
  </si>
  <si>
    <t>ECARTS DE CONVERSION - PASSIF</t>
  </si>
  <si>
    <t>479</t>
  </si>
  <si>
    <t>TRANSPORTS SUR VENTES</t>
  </si>
  <si>
    <t>TRANSPORTS POUR LE COMPTE DE TIERS</t>
  </si>
  <si>
    <t xml:space="preserve">TRANSPORTS DU PERSONNEL </t>
  </si>
  <si>
    <t>TRANSPORTS DE PLIS</t>
  </si>
  <si>
    <t>Transports entre établissements ou chantiers</t>
  </si>
  <si>
    <t>CREANCES ET DETTES HORS ACTIVITES ORDINAIRES (HAO)</t>
  </si>
  <si>
    <t>SOUS-TRAITANCE GENERALE</t>
  </si>
  <si>
    <t>48</t>
  </si>
  <si>
    <t>FOURNISSEURS D'INVESTISSEMENTS</t>
  </si>
  <si>
    <t>Locations de terrains</t>
  </si>
  <si>
    <t>481</t>
  </si>
  <si>
    <t>Locations de bâtiments</t>
  </si>
  <si>
    <t>Locations de matériels et outillages</t>
  </si>
  <si>
    <r>
      <t>Réserve de propriété (</t>
    </r>
    <r>
      <rPr>
        <vertAlign val="superscript"/>
        <sz val="11"/>
        <color rgb="FFFF0000"/>
        <rFont val="Times New Roman"/>
        <family val="1"/>
      </rPr>
      <t>3</t>
    </r>
    <r>
      <rPr>
        <sz val="11"/>
        <color rgb="FFFF0000"/>
        <rFont val="Times New Roman"/>
        <family val="1"/>
      </rPr>
      <t>)</t>
    </r>
  </si>
  <si>
    <t xml:space="preserve">Locations d'emballages </t>
  </si>
  <si>
    <t>Locations et charges locatives diverses</t>
  </si>
  <si>
    <r>
      <t>Retenues de garantie  (</t>
    </r>
    <r>
      <rPr>
        <vertAlign val="superscript"/>
        <sz val="11"/>
        <color theme="1"/>
        <rFont val="Times New Roman"/>
        <family val="1"/>
      </rPr>
      <t>3</t>
    </r>
    <r>
      <rPr>
        <sz val="11"/>
        <color theme="1"/>
        <rFont val="Times New Roman"/>
        <family val="1"/>
      </rPr>
      <t>)</t>
    </r>
  </si>
  <si>
    <r>
      <t>Factures non parvenues (</t>
    </r>
    <r>
      <rPr>
        <vertAlign val="superscript"/>
        <sz val="11"/>
        <color theme="1"/>
        <rFont val="Times New Roman"/>
        <family val="1"/>
      </rPr>
      <t>3</t>
    </r>
    <r>
      <rPr>
        <sz val="11"/>
        <color theme="1"/>
        <rFont val="Times New Roman"/>
        <family val="1"/>
      </rPr>
      <t>)</t>
    </r>
  </si>
  <si>
    <t xml:space="preserve">Autres contrats de location-acquisition </t>
  </si>
  <si>
    <t>Entretien et réparations des biens immobiliers</t>
  </si>
  <si>
    <t>Entretien et réparations des biens mobiliers</t>
  </si>
  <si>
    <t>FOURNISSEURS D'INVESTISSEMENTS, EFFETS A PAYER</t>
  </si>
  <si>
    <t>482</t>
  </si>
  <si>
    <t>Charges de démantèlement et remise en état</t>
  </si>
  <si>
    <t>Autres entretiens et réparations</t>
  </si>
  <si>
    <t>Assurances multirisques</t>
  </si>
  <si>
    <t>CREANCES SUR CESSIONS D'IMMOBILISATIONS</t>
  </si>
  <si>
    <t>Assurances matériel de transport</t>
  </si>
  <si>
    <t>485</t>
  </si>
  <si>
    <t>DEPRECIATIONS ET PROVISIONS POUR RISQUES A COURT TERME (TIERS)</t>
  </si>
  <si>
    <t>49</t>
  </si>
  <si>
    <t>Echantillons</t>
  </si>
  <si>
    <t>DEPRECIATIONS DES COMPTES CLIENTS</t>
  </si>
  <si>
    <t>491</t>
  </si>
  <si>
    <t>DEPRECIATIONS DES COMPTES  ASSOCIES ET GROUPE</t>
  </si>
  <si>
    <t>496</t>
  </si>
  <si>
    <t>DEPRECIATIONS DES COMPTES DE CREANCES H.A.O.</t>
  </si>
  <si>
    <t>498</t>
  </si>
  <si>
    <t>PROVISIONS POUR RISQUES A COURT TERME</t>
  </si>
  <si>
    <t>499</t>
  </si>
  <si>
    <t>50</t>
  </si>
  <si>
    <t>TITRES DU TRESOR ET BONS DE CAISSE A COURT TERME</t>
  </si>
  <si>
    <t>Rémunérations d’affacturage et de titrisation</t>
  </si>
  <si>
    <t>501</t>
  </si>
  <si>
    <t>FRAIS DE FORMATION DU PERSONNEL</t>
  </si>
  <si>
    <t>ACTIONS</t>
  </si>
  <si>
    <t>502</t>
  </si>
  <si>
    <t>Redevances pour sites  internet</t>
  </si>
  <si>
    <t>OBLIGATIONS</t>
  </si>
  <si>
    <t>503</t>
  </si>
  <si>
    <t>BONS DE SOUSCRIPTION</t>
  </si>
  <si>
    <t>504</t>
  </si>
  <si>
    <t>506</t>
  </si>
  <si>
    <t>IMPOTS ET TAXES INDIRECTS</t>
  </si>
  <si>
    <t>51</t>
  </si>
  <si>
    <t>AUTRES VALEURS A L'ENCAISSEMENT</t>
  </si>
  <si>
    <t>518</t>
  </si>
  <si>
    <t>AUTRES IMPOTS ET TAXES</t>
  </si>
  <si>
    <t>Autres débiteurs</t>
  </si>
  <si>
    <t>BANQUES</t>
  </si>
  <si>
    <t>52</t>
  </si>
  <si>
    <t>BANQUES LOCALES</t>
  </si>
  <si>
    <t>521</t>
  </si>
  <si>
    <t>PERTE DE CHANGE SUR CREANCES ET DETTES COMMERCIALE</t>
  </si>
  <si>
    <t>PENALITES ET AMENDES PENALES</t>
  </si>
  <si>
    <t xml:space="preserve">BANQUES, INTERETS  COURUS </t>
  </si>
  <si>
    <t>526</t>
  </si>
  <si>
    <t>sur risques à court terme</t>
  </si>
  <si>
    <t>ETABLISSEMENTS FINANCIERS ET ASSIMILES</t>
  </si>
  <si>
    <t>sur stocks</t>
  </si>
  <si>
    <t>53</t>
  </si>
  <si>
    <t>sur créances</t>
  </si>
  <si>
    <t xml:space="preserve">Autres charges pour  dépréciations et provisions pour risques à court terme  </t>
  </si>
  <si>
    <t>Appointements salaires et commissions</t>
  </si>
  <si>
    <t>Primes et gratifications</t>
  </si>
  <si>
    <t>Congés payés</t>
  </si>
  <si>
    <t>INSTRUMENTS DE TRESORERIE</t>
  </si>
  <si>
    <t>Indemnités de préavis, de licenciement et de recherche d'embauche</t>
  </si>
  <si>
    <t>54</t>
  </si>
  <si>
    <t>Indemnités de maladie versées aux travailleurs</t>
  </si>
  <si>
    <t>Supplément familial</t>
  </si>
  <si>
    <t>Avantages en nature</t>
  </si>
  <si>
    <t>Autres rémunérations directes</t>
  </si>
  <si>
    <t>INSTRUMENTS DE MONNAIE ELECTRONIQUE</t>
  </si>
  <si>
    <t>55</t>
  </si>
  <si>
    <t>BANQUES, CREDITS DE TRESORERIE ET D'ESCOMPTE</t>
  </si>
  <si>
    <t>56</t>
  </si>
  <si>
    <t>Indemnités de logement</t>
  </si>
  <si>
    <t>Indemnités de représentation</t>
  </si>
  <si>
    <t>Indemnités d'expatriation</t>
  </si>
  <si>
    <t>Indemnités de transport</t>
  </si>
  <si>
    <t>CAISSE</t>
  </si>
  <si>
    <t>Autres indemnités et avantages divers</t>
  </si>
  <si>
    <t>57</t>
  </si>
  <si>
    <t>CAISSE SIEGE SOCIAL</t>
  </si>
  <si>
    <t>571</t>
  </si>
  <si>
    <t>Rémunération du travail de l'exploitant</t>
  </si>
  <si>
    <t>CAISSE SUCCURSALE A</t>
  </si>
  <si>
    <t>Charges sociales</t>
  </si>
  <si>
    <t>572</t>
  </si>
  <si>
    <t>Personnel détaché ou prêté à l’entité</t>
  </si>
  <si>
    <t>CAISSE SUCCURSALE B</t>
  </si>
  <si>
    <t>573</t>
  </si>
  <si>
    <t>REGIES D'AVANCES, ACCREDITIFS ET VIREMENTS INTERNES</t>
  </si>
  <si>
    <t>58</t>
  </si>
  <si>
    <t>Assurances retraite et fonds de pensions</t>
  </si>
  <si>
    <t xml:space="preserve">DEPRECIATIONS ET PROVISIONS POUR RISQUE A COURT TERME </t>
  </si>
  <si>
    <t>59</t>
  </si>
  <si>
    <t>Emprunts auprès des établissements de crédit</t>
  </si>
  <si>
    <t>Dettes liées à des participations</t>
  </si>
  <si>
    <t>Intérêts dans loyers de location-acquisition/crédit-bail immobilier</t>
  </si>
  <si>
    <t>Intérêts dans loyers de location-acquisition/crédit-bail mobilier</t>
  </si>
  <si>
    <t>Intérêts dans loyers de location-acquisition/location-vente</t>
  </si>
  <si>
    <t>ACHATS ET VARIATIONS DE STOCKS</t>
  </si>
  <si>
    <t xml:space="preserve">Intérêts dans loyers des autres locations-acquisition </t>
  </si>
  <si>
    <t>60</t>
  </si>
  <si>
    <t xml:space="preserve">ACHATS DE MARCHANDISES </t>
  </si>
  <si>
    <t>ESCOMPTES ACCORDES</t>
  </si>
  <si>
    <t>601</t>
  </si>
  <si>
    <r>
      <t>dans la Région (</t>
    </r>
    <r>
      <rPr>
        <vertAlign val="superscript"/>
        <sz val="11"/>
        <color theme="1"/>
        <rFont val="Times New Roman"/>
        <family val="1"/>
      </rPr>
      <t>5</t>
    </r>
    <r>
      <rPr>
        <sz val="11"/>
        <color theme="1"/>
        <rFont val="Times New Roman"/>
        <family val="1"/>
      </rPr>
      <t>)</t>
    </r>
  </si>
  <si>
    <t>Avances reçues et dépôts créditeurs</t>
  </si>
  <si>
    <r>
      <t>hors Région (</t>
    </r>
    <r>
      <rPr>
        <vertAlign val="superscript"/>
        <sz val="11"/>
        <color theme="1"/>
        <rFont val="Times New Roman"/>
        <family val="1"/>
      </rPr>
      <t>5</t>
    </r>
    <r>
      <rPr>
        <sz val="11"/>
        <color theme="1"/>
        <rFont val="Times New Roman"/>
        <family val="1"/>
      </rPr>
      <t>)</t>
    </r>
  </si>
  <si>
    <t>Comptes courants bloqués</t>
  </si>
  <si>
    <r>
      <t>frais sur achats (</t>
    </r>
    <r>
      <rPr>
        <vertAlign val="superscript"/>
        <sz val="11"/>
        <color rgb="FFFF0000"/>
        <rFont val="Times New Roman"/>
        <family val="1"/>
      </rPr>
      <t>6</t>
    </r>
    <r>
      <rPr>
        <sz val="11"/>
        <color rgb="FFFF0000"/>
        <rFont val="Times New Roman"/>
        <family val="1"/>
      </rPr>
      <t>)</t>
    </r>
  </si>
  <si>
    <t>Intérêts sur dettes diverses</t>
  </si>
  <si>
    <t>ACHATS DE MATIERES PREMIERES ET FOURNITURES LIEES</t>
  </si>
  <si>
    <t>ESCOMPTES DES EFFETS DE COMMERCE</t>
  </si>
  <si>
    <t>602</t>
  </si>
  <si>
    <t>PERTES DE CHANGE FINANCIERES</t>
  </si>
  <si>
    <t xml:space="preserve">Malis provenant d’attribution gratuite d’actions au personnel salarié et aux dirigeants
</t>
  </si>
  <si>
    <t>sur rentes viagères</t>
  </si>
  <si>
    <t>sur opérations financières</t>
  </si>
  <si>
    <t>sur instruments de trésorerie</t>
  </si>
  <si>
    <t>VARIATIONS DES STOCKS DE BIENS ACHETES</t>
  </si>
  <si>
    <t>sur risques financiers</t>
  </si>
  <si>
    <t>603</t>
  </si>
  <si>
    <t>sur titres de placement</t>
  </si>
  <si>
    <t>ACHATS STOCKES DE MATIERES ET FOURNITURES CONSOMMABLES</t>
  </si>
  <si>
    <t>604</t>
  </si>
  <si>
    <t>dans la Région (7)</t>
  </si>
  <si>
    <t>hors Région (7)</t>
  </si>
  <si>
    <t>AUTRES ACHATS</t>
  </si>
  <si>
    <t>605</t>
  </si>
  <si>
    <t>sur internet</t>
  </si>
  <si>
    <t>Rabais, remises, ristournes accordés (non ventilés)</t>
  </si>
  <si>
    <t>ACHATS D'EMBALLAGES</t>
  </si>
  <si>
    <t>608</t>
  </si>
  <si>
    <t xml:space="preserve">TRANSPORTS </t>
  </si>
  <si>
    <t>61</t>
  </si>
  <si>
    <t>AUTRES FRAIS DE TRANSPORT</t>
  </si>
  <si>
    <t>618</t>
  </si>
  <si>
    <t xml:space="preserve">SERVICES EXTERIEURS </t>
  </si>
  <si>
    <t>62</t>
  </si>
  <si>
    <t>LOCATIONS,  CHARGES LOCATIVES</t>
  </si>
  <si>
    <t>622</t>
  </si>
  <si>
    <t>Ports, emballages perdus et autres frais facturés</t>
  </si>
  <si>
    <t>Commissions et courtages(8)</t>
  </si>
  <si>
    <t xml:space="preserve">REDEVANCES DE LOCATION-ACQUISITION </t>
  </si>
  <si>
    <t xml:space="preserve">Locations et redevances de location - financement (8) </t>
  </si>
  <si>
    <t>623</t>
  </si>
  <si>
    <t>Bonis sur reprises et cessions d'emballages</t>
  </si>
  <si>
    <t>Mise à disposition de personnel (8)</t>
  </si>
  <si>
    <t>Redevances pour brevets, logiciels, marques et droits similaires (8)</t>
  </si>
  <si>
    <t>Services exploités dans l'intérêt du personnel</t>
  </si>
  <si>
    <t>ENTRETIEN, REPARATIONS, REMISE EN ETAT ET MAINTENANCE</t>
  </si>
  <si>
    <t>Autres produits accessoires</t>
  </si>
  <si>
    <t>624</t>
  </si>
  <si>
    <t>SUR PRODUITS A L'EXPORTATION</t>
  </si>
  <si>
    <t>SUR PRODUITS A L'IMPORTATION</t>
  </si>
  <si>
    <t>SUR PRODUITS DE PEREQUATION</t>
  </si>
  <si>
    <t>INDEMNITES ET SUBVENTIONS D’EXPLOITATION (entité agricole)</t>
  </si>
  <si>
    <t>Versées par l'Etat et les collectivités publiques</t>
  </si>
  <si>
    <t>PRIMES D'ASSURANCE</t>
  </si>
  <si>
    <t>Versées par les organismes internationaux</t>
  </si>
  <si>
    <t>625</t>
  </si>
  <si>
    <t>Versées par des tiers</t>
  </si>
  <si>
    <t xml:space="preserve"> immobilisations corporelles (hors actifs biologiques)</t>
  </si>
  <si>
    <t>immobilisations corporelles (actifs biologiques)</t>
  </si>
  <si>
    <t>PRODUCTION AUTO-CONSOMMEE</t>
  </si>
  <si>
    <t>IMMOBILISATIONS FINANCIERES (9)</t>
  </si>
  <si>
    <t>ETUDES, RECHERCHES ET DOCUMENTATION</t>
  </si>
  <si>
    <t>Travaux en cours</t>
  </si>
  <si>
    <t>626</t>
  </si>
  <si>
    <t xml:space="preserve">Etudes en cours </t>
  </si>
  <si>
    <t>Prestations de services en cours</t>
  </si>
  <si>
    <t>VARIATIONS DES STOCKS DE PRODUITS FINIS</t>
  </si>
  <si>
    <t>PUBLICITE, PUBLICATIONS, RELATIONS PUBLIQUES</t>
  </si>
  <si>
    <t>627</t>
  </si>
  <si>
    <t>Produits résiduels</t>
  </si>
  <si>
    <t>PROFITS SUR CREANCES CLIENTS ET AUTRES DEBITEURS</t>
  </si>
  <si>
    <t>Quote-part transférée de pertes (comptabilité du gérant)</t>
  </si>
  <si>
    <t>Bénéfices attribués par transfert (comptabilité des associés non gérants)</t>
  </si>
  <si>
    <t>GAINS DE CHANGE SUR CREANCES ET DETTES COMMERCIALES</t>
  </si>
  <si>
    <t>FRAIS DE TELECOMMUNICATIONS</t>
  </si>
  <si>
    <t>Indemnités d’assurances reçues</t>
  </si>
  <si>
    <t>628</t>
  </si>
  <si>
    <t>Autres produits divers</t>
  </si>
  <si>
    <t xml:space="preserve">AUTRES SERVICES EXTERIEURS </t>
  </si>
  <si>
    <t xml:space="preserve">sur autres charges pour dépréciations  et provisions pour risques à court terme d’exploitation  </t>
  </si>
  <si>
    <t>63</t>
  </si>
  <si>
    <t>FRAIS BANCAIRES</t>
  </si>
  <si>
    <t>Intérêts de prêts</t>
  </si>
  <si>
    <t>631</t>
  </si>
  <si>
    <t xml:space="preserve">Intérêts sur créances diverses </t>
  </si>
  <si>
    <t>Revenus des titres de participation</t>
  </si>
  <si>
    <t>Revenus autres titres immobilisés</t>
  </si>
  <si>
    <t>ESCOMPTES OBTENUS</t>
  </si>
  <si>
    <t xml:space="preserve">Revenus des obligations </t>
  </si>
  <si>
    <t xml:space="preserve">Revenus des titres de placement </t>
  </si>
  <si>
    <t>INTERETS DANS LOYERS DE LOCATION-FINANCEMENT</t>
  </si>
  <si>
    <t>GAINS DE CHANGE FINANCIERS</t>
  </si>
  <si>
    <t>REMUNERATIONS D'INTERMEDIAIRES ET DE CONSEILS</t>
  </si>
  <si>
    <t>GAINS SUR CESSIONS DE TITRES DE PLACEMENT</t>
  </si>
  <si>
    <t>632</t>
  </si>
  <si>
    <t>sur autres charges pour dépréciations et provisions pour risques à court terme financières</t>
  </si>
  <si>
    <t>TRANSFERTS DE CHARGES D'EXPLOITATION</t>
  </si>
  <si>
    <t>REDEVANCES POUR BREVETS, LICENCES, LOGICIELS, CONCESSIONS, DROITS  ET VALEURS SIMILAIRES</t>
  </si>
  <si>
    <t>TRANSFERTS DE CHARGES FINANCIERES</t>
  </si>
  <si>
    <t>634</t>
  </si>
  <si>
    <t>pour risques et charges</t>
  </si>
  <si>
    <t>des immobilisations incorporelles</t>
  </si>
  <si>
    <t>des immobilisations corporelles</t>
  </si>
  <si>
    <t>des immobilisations financières</t>
  </si>
  <si>
    <t>COTISATIONS</t>
  </si>
  <si>
    <t>REPRISES D'AMORTISSEMENTS (10)</t>
  </si>
  <si>
    <t>635</t>
  </si>
  <si>
    <t>REPRISES DE SUBVENTIONS D’INVESTISSEMENT</t>
  </si>
  <si>
    <t>REMUNERATIONS DE PERSONNEL EXTERIEUR A L’ENTITE</t>
  </si>
  <si>
    <t>637</t>
  </si>
  <si>
    <t>AUTRES CHARGES EXTERNES</t>
  </si>
  <si>
    <t>638</t>
  </si>
  <si>
    <t>CHARGES H.A.O. CONSTATEES</t>
  </si>
  <si>
    <t>CHARGES LIEES AUX OPERATIONS DE RESTRUCTURATION</t>
  </si>
  <si>
    <t>PERTES SUR CREANCES H.A.O.</t>
  </si>
  <si>
    <t>DONS ET LIBERALITES ACCORDES</t>
  </si>
  <si>
    <t>ABANDONS DE CREANCES CONSENTIS</t>
  </si>
  <si>
    <t xml:space="preserve">CHARGES LIEES AUX OPERATIONS DE LIQUIDATION </t>
  </si>
  <si>
    <t>64</t>
  </si>
  <si>
    <t>IMPOTS ET TAXES DIRECTS</t>
  </si>
  <si>
    <t>CHARGES  POUR DEPRECIATIONS ET PROVISIONS POUR RISQUES A COURT TERME H.A.O.</t>
  </si>
  <si>
    <t>641</t>
  </si>
  <si>
    <t>PRODUITS H.A.O CONSTATES</t>
  </si>
  <si>
    <t>PRODUITS LIES AUX OPERATIONS DE RESTRUCTURATION</t>
  </si>
  <si>
    <t>INDEMNITES ET SUBVENTIONS H.A.O. (entité agricole)</t>
  </si>
  <si>
    <t>DONS ET LIBERALITES OBTENUS</t>
  </si>
  <si>
    <t>ABANDONS DE CREANCES OBTENUS</t>
  </si>
  <si>
    <t>PRODUITS LIES AUX OPERATIONS DE LIQUIDATION</t>
  </si>
  <si>
    <t>TRANSFERTS DE CHARGES H.A.O</t>
  </si>
  <si>
    <t>DROITS D'ENREGISTREMENT</t>
  </si>
  <si>
    <t xml:space="preserve">REPRISES DE CHARGES POUR DEPRECIATIONS ET PROVISIONS POUR RISQUES A COURT TERME H.A.O. </t>
  </si>
  <si>
    <t>646</t>
  </si>
  <si>
    <t>DOTATIONS AUX PROVISIONS REGLEMENTEES</t>
  </si>
  <si>
    <t>DOTATIONS AUX AMORTISSEMENTS H.A.O.</t>
  </si>
  <si>
    <t>DOTATIONS AUX DEPRECIATIONS H.A.O.</t>
  </si>
  <si>
    <t>DOTATIONS AUX PROVISIONS POUR RISQUES ET CHARGES H.A.O.</t>
  </si>
  <si>
    <t>AUTRES DOTATIONS H.A.O.</t>
  </si>
  <si>
    <t>PENALITES, AMENDES FISCALES</t>
  </si>
  <si>
    <t>REPRISES DE PROVISIONS REGLEMENTEES</t>
  </si>
  <si>
    <t>647</t>
  </si>
  <si>
    <t>REPRISES D’AMORTISSEMENTS H.A.O</t>
  </si>
  <si>
    <t>REPRISES DE DEPRECIATIONS H.A.O.</t>
  </si>
  <si>
    <t>REPRISES DE PROVISIONS POUR RISQUES ET CHARGES H.A.O.</t>
  </si>
  <si>
    <t>AUTRES REPRISES H.A.O.</t>
  </si>
  <si>
    <t>PARTICIPATION LEGALE AUX BENEFICES</t>
  </si>
  <si>
    <t>PARTICIPATION CONTRACTUELLE AUX BENEFICES</t>
  </si>
  <si>
    <t>AUTRES PARTICIPATIONS</t>
  </si>
  <si>
    <t>65</t>
  </si>
  <si>
    <t>PERTES SUR CREANCES CLIENTS ET AUTRES DEBITEURS</t>
  </si>
  <si>
    <t>ETAT</t>
  </si>
  <si>
    <t>651</t>
  </si>
  <si>
    <t>COLLECTIVITES PUBLIQUES</t>
  </si>
  <si>
    <t>GROUPE</t>
  </si>
  <si>
    <t>QUOTE-PART DE RESULTAT SUR OPERATIONS FAITES EN COMMUN</t>
  </si>
  <si>
    <t>AUTRES</t>
  </si>
  <si>
    <t>652</t>
  </si>
  <si>
    <t>Activités exercées dans l'Etat</t>
  </si>
  <si>
    <t>Activités exercées dans les autres Etats de la Région</t>
  </si>
  <si>
    <t>VALEURS COMPTABLES DES CESSIONS COURANTES D'IMMOBILISATIONS</t>
  </si>
  <si>
    <t>Activités exercées hors Région</t>
  </si>
  <si>
    <t>654</t>
  </si>
  <si>
    <t>RAPPEL D'IMPOTS SUR RESULTATS ANTERIEURS</t>
  </si>
  <si>
    <t>IMPOT MINIMUM FORFAITAIRE (I.M.F.)</t>
  </si>
  <si>
    <t>Dégrèvements</t>
  </si>
  <si>
    <t>Annulations pour pertes rétroactives</t>
  </si>
  <si>
    <t>CHARGES DIVERSES</t>
  </si>
  <si>
    <t>658</t>
  </si>
  <si>
    <t>CHARGES POUR DEPRECIATIONS ET PROVISIONS POUR RISQUES   A COURT TERME D'EXPLOITATION</t>
  </si>
  <si>
    <t>659</t>
  </si>
  <si>
    <r>
      <t xml:space="preserve">Autres charges pour  dépréciations et provisions pour risques à court terme </t>
    </r>
    <r>
      <rPr>
        <strike/>
        <sz val="11"/>
        <color rgb="FF0070C0"/>
        <rFont val="Times New Roman"/>
        <family val="1"/>
      </rPr>
      <t xml:space="preserve"> </t>
    </r>
  </si>
  <si>
    <t>66</t>
  </si>
  <si>
    <t>REMUNERATIONS DIRECTES VERSEES AU PERSONNEL NATIONAL</t>
  </si>
  <si>
    <t>661</t>
  </si>
  <si>
    <t>REMUNERATIONS DIRECTES VERSEES AU PERSONNEL NON NATIONAL</t>
  </si>
  <si>
    <t>662</t>
  </si>
  <si>
    <t>INDEMNITES FORFAITAIRES VERSEES AU PERSONNEL</t>
  </si>
  <si>
    <t>663</t>
  </si>
  <si>
    <t>CHARGES SOCIALES</t>
  </si>
  <si>
    <t>664</t>
  </si>
  <si>
    <t>REMUNERATIONS ET CHARGES SOCIALES DE L'EXPLOITANT INDIVIDUEL</t>
  </si>
  <si>
    <t>666</t>
  </si>
  <si>
    <t>REMUNERATION TRANSFEREE DE PERSONNEL EXTERIEUR</t>
  </si>
  <si>
    <t>667</t>
  </si>
  <si>
    <t>AUTRES CHARGES SOCIALES</t>
  </si>
  <si>
    <t>668</t>
  </si>
  <si>
    <t>FRAIS FINANCIERS ET CHARGES ASSIMILEES</t>
  </si>
  <si>
    <t>67</t>
  </si>
  <si>
    <t>INTERETS DES EMPRUNTS</t>
  </si>
  <si>
    <t>671</t>
  </si>
  <si>
    <t xml:space="preserve">INTERETS DANS LOYERS DE LOCATION ACQUISITION </t>
  </si>
  <si>
    <t>672</t>
  </si>
  <si>
    <t>AUTRES INTERETS</t>
  </si>
  <si>
    <t>674</t>
  </si>
  <si>
    <t>PERTES SUR TITRES DE PLACEMENT</t>
  </si>
  <si>
    <t>677</t>
  </si>
  <si>
    <t>PERTES ET CHARGES SUR RISQUES FINANCIERS</t>
  </si>
  <si>
    <t>678</t>
  </si>
  <si>
    <t>CHARGES POUR DEPRECIATIONS  ET PROVISIONS POUR RISQUES A COURT TERME FINANCIERES</t>
  </si>
  <si>
    <t>679</t>
  </si>
  <si>
    <t>DOTATIONS AUX AMORTISSEMENTS</t>
  </si>
  <si>
    <t>68</t>
  </si>
  <si>
    <t>DOTATIONS AUX AMORTISSEMENTS D'EXPLOITATION</t>
  </si>
  <si>
    <t>681</t>
  </si>
  <si>
    <t>DOTATIONS AUX PROVISIONS ET AUX DEPRECIATIONS</t>
  </si>
  <si>
    <t>69</t>
  </si>
  <si>
    <t>DOTATIONS AUX PROVISIONS ET AUX DEPRECIATIONS  D'EXPLOITATION</t>
  </si>
  <si>
    <t>691</t>
  </si>
  <si>
    <t>DOTATIONS AUX PROVISIONS ET AUX DEPRECIATIONS  FINANCIERES</t>
  </si>
  <si>
    <t>697</t>
  </si>
  <si>
    <t>VENTES</t>
  </si>
  <si>
    <t>70</t>
  </si>
  <si>
    <t>VENTES DE MARCHANDISES</t>
  </si>
  <si>
    <t>701</t>
  </si>
  <si>
    <r>
      <t>dans la Région (</t>
    </r>
    <r>
      <rPr>
        <vertAlign val="superscript"/>
        <sz val="11"/>
        <color theme="1"/>
        <rFont val="Times New Roman"/>
        <family val="1"/>
      </rPr>
      <t>7</t>
    </r>
    <r>
      <rPr>
        <sz val="11"/>
        <color theme="1"/>
        <rFont val="Times New Roman"/>
        <family val="1"/>
      </rPr>
      <t>)</t>
    </r>
  </si>
  <si>
    <r>
      <t>hors Région (</t>
    </r>
    <r>
      <rPr>
        <vertAlign val="superscript"/>
        <sz val="11"/>
        <color theme="1"/>
        <rFont val="Times New Roman"/>
        <family val="1"/>
      </rPr>
      <t>7</t>
    </r>
    <r>
      <rPr>
        <sz val="11"/>
        <color theme="1"/>
        <rFont val="Times New Roman"/>
        <family val="1"/>
      </rPr>
      <t>)</t>
    </r>
  </si>
  <si>
    <t>VENTES DE PRODUITS FINIS</t>
  </si>
  <si>
    <t>702</t>
  </si>
  <si>
    <t>VENTES DE PRODUITS INTERMEDIAIRES</t>
  </si>
  <si>
    <t>703</t>
  </si>
  <si>
    <t>VENTES DE PRODUITS RESIDUELS</t>
  </si>
  <si>
    <t>704</t>
  </si>
  <si>
    <t>TRAVAUX FACTURES</t>
  </si>
  <si>
    <t>705</t>
  </si>
  <si>
    <t>SERVICES VENDUS</t>
  </si>
  <si>
    <t>706</t>
  </si>
  <si>
    <r>
      <t>hors Région (</t>
    </r>
    <r>
      <rPr>
        <vertAlign val="superscript"/>
        <sz val="11"/>
        <color theme="1"/>
        <rFont val="Times New Roman"/>
        <family val="1"/>
      </rPr>
      <t>7)</t>
    </r>
  </si>
  <si>
    <t>PRODUITS ACCESSOIRES</t>
  </si>
  <si>
    <t>707</t>
  </si>
  <si>
    <r>
      <t>Commissions et courtages(</t>
    </r>
    <r>
      <rPr>
        <vertAlign val="superscript"/>
        <sz val="11"/>
        <color theme="1"/>
        <rFont val="Times New Roman"/>
        <family val="1"/>
      </rPr>
      <t>8</t>
    </r>
    <r>
      <rPr>
        <sz val="11"/>
        <color theme="1"/>
        <rFont val="Times New Roman"/>
        <family val="1"/>
      </rPr>
      <t>)</t>
    </r>
  </si>
  <si>
    <r>
      <t>Locations et redevances de location - financement (</t>
    </r>
    <r>
      <rPr>
        <vertAlign val="superscript"/>
        <sz val="11"/>
        <color rgb="FF0070C0"/>
        <rFont val="Times New Roman"/>
        <family val="1"/>
      </rPr>
      <t>8</t>
    </r>
    <r>
      <rPr>
        <sz val="11"/>
        <color rgb="FF0070C0"/>
        <rFont val="Times New Roman"/>
        <family val="1"/>
      </rPr>
      <t xml:space="preserve">) </t>
    </r>
  </si>
  <si>
    <r>
      <t>Mise à disposition de personnel (</t>
    </r>
    <r>
      <rPr>
        <vertAlign val="superscript"/>
        <sz val="11"/>
        <color theme="1"/>
        <rFont val="Times New Roman"/>
        <family val="1"/>
      </rPr>
      <t>8</t>
    </r>
    <r>
      <rPr>
        <sz val="11"/>
        <color theme="1"/>
        <rFont val="Times New Roman"/>
        <family val="1"/>
      </rPr>
      <t>)</t>
    </r>
  </si>
  <si>
    <r>
      <t>Redevances pour brevets, logiciels, marques et droits similaires (</t>
    </r>
    <r>
      <rPr>
        <vertAlign val="superscript"/>
        <sz val="11"/>
        <color theme="1"/>
        <rFont val="Times New Roman"/>
        <family val="1"/>
      </rPr>
      <t>8</t>
    </r>
    <r>
      <rPr>
        <sz val="11"/>
        <color theme="1"/>
        <rFont val="Times New Roman"/>
        <family val="1"/>
      </rPr>
      <t>)</t>
    </r>
  </si>
  <si>
    <t>SUBVENTIONS D'EXPLOITATION</t>
  </si>
  <si>
    <t>71</t>
  </si>
  <si>
    <t>AUTRES SUBVENTIONS D'EXPLOITATION</t>
  </si>
  <si>
    <t>718</t>
  </si>
  <si>
    <t>PRODUCTION IMMOBILISEE</t>
  </si>
  <si>
    <t>72</t>
  </si>
  <si>
    <t>722</t>
  </si>
  <si>
    <t>VARIATIONS DES STOCKS DE BIENS ET DE SERVICES PRODUITS</t>
  </si>
  <si>
    <t>73</t>
  </si>
  <si>
    <t>VARIATIONS DES STOCKS DE PRODUITS EN COURS</t>
  </si>
  <si>
    <t>734</t>
  </si>
  <si>
    <t>VARIATIONS DES SERVICES EN COURS</t>
  </si>
  <si>
    <t>735</t>
  </si>
  <si>
    <t>VARIATIONS DES STOCKS DE PRODUITS INTERMEDIAIRES ET RESIDUELS</t>
  </si>
  <si>
    <t>737</t>
  </si>
  <si>
    <t>AUTRES PRODUITS</t>
  </si>
  <si>
    <t>75</t>
  </si>
  <si>
    <t>752</t>
  </si>
  <si>
    <t>PRODUITS DES CESSIONS COURANTES D'IMMOBILISATIONS</t>
  </si>
  <si>
    <t>754</t>
  </si>
  <si>
    <t>PRODUITS DIVERS</t>
  </si>
  <si>
    <t>758</t>
  </si>
  <si>
    <t>REPRISES DE CHARGES POUR DEPRECIATIONS ET PROVISIONS POUR RISQUES A COURT TERME D'EXPLOITATION</t>
  </si>
  <si>
    <t>759</t>
  </si>
  <si>
    <t>REVENUS FINANCIERS ET PRODUITS ASSIMILES</t>
  </si>
  <si>
    <t>77</t>
  </si>
  <si>
    <t>INTERETS DE PRETS ET CREANCES DIVERSES</t>
  </si>
  <si>
    <t>771</t>
  </si>
  <si>
    <t>REVENUS DE PARTICIPATIONS ET AUTRES TITRES IMMOBILISES</t>
  </si>
  <si>
    <t>772</t>
  </si>
  <si>
    <t>REVENUS DE PLACEMENT</t>
  </si>
  <si>
    <t>774</t>
  </si>
  <si>
    <t>GAINS SUR RISQUES FINANCIERS</t>
  </si>
  <si>
    <t>778</t>
  </si>
  <si>
    <t xml:space="preserve">REPRISES DE CHARGES POUR DEPRECIATIONS ET PROVISIONS POUR RISQUES A COURT TERME FINANCIERES </t>
  </si>
  <si>
    <t>779</t>
  </si>
  <si>
    <t xml:space="preserve">TRANSFERTS DE CHARGES </t>
  </si>
  <si>
    <t>78</t>
  </si>
  <si>
    <t>REPRISES DE PROVISIONS, DE DEPRECIATIONS ET AUTRES</t>
  </si>
  <si>
    <t>79</t>
  </si>
  <si>
    <t>REPRISES DE PROVISIONS ET DEPRECIATIONS D'EXPLOITATION</t>
  </si>
  <si>
    <t>791</t>
  </si>
  <si>
    <t>REPRISES DE PROVISIONS ET DEPRECIATIONS  FINANCIERES</t>
  </si>
  <si>
    <t>797</t>
  </si>
  <si>
    <t>VALEURS COMPTABLES DES CESSIONS D'IMMOBILISATIONS</t>
  </si>
  <si>
    <t>81</t>
  </si>
  <si>
    <t>PRODUITS DES CESSIONS D'IMMOBILISATIONS</t>
  </si>
  <si>
    <t>82</t>
  </si>
  <si>
    <t>CHARGES HORS ACTIVITES ORDINAIRES</t>
  </si>
  <si>
    <t>83</t>
  </si>
  <si>
    <t>PRODUITS HORS ACTIVITES ORDINAIRES</t>
  </si>
  <si>
    <t>84</t>
  </si>
  <si>
    <t>DOTATIONS HORS ACTIVITES ORDINAIRES</t>
  </si>
  <si>
    <t>85</t>
  </si>
  <si>
    <t>REPRISES DE CHARGES, PROVISIONS ET DEPRECIATIONS HAO.</t>
  </si>
  <si>
    <t>86</t>
  </si>
  <si>
    <t>PARTICIPATION DES TRAVAILLEURS</t>
  </si>
  <si>
    <t>87</t>
  </si>
  <si>
    <t>SUBVENTIONS D'EQUILIBRE</t>
  </si>
  <si>
    <t>88</t>
  </si>
  <si>
    <t>IMPOTS SUR LE RESULTAT</t>
  </si>
  <si>
    <t>89</t>
  </si>
  <si>
    <t>IMPOTS SUR LES BENEFICES DE L'EXERCICE</t>
  </si>
  <si>
    <t>891</t>
  </si>
  <si>
    <t>DEGREVEMENTS ET ANNULATIONS D’IMPOTS SUR RESULTATS ANTERIEURS</t>
  </si>
  <si>
    <t>899</t>
  </si>
  <si>
    <t>CLASSE 9 : COMPTES DES ENGAGEMENTS HORS BILAN ET COMPTES DE LA COMPTABILITE ANALYTIQUE DE GESTION</t>
  </si>
  <si>
    <t>COMPTES DES ENGAGEMENTS HORS BILAN</t>
  </si>
  <si>
    <t xml:space="preserve">90          </t>
  </si>
  <si>
    <t>ENGAGEMENTS OBTENUS ET ENGAGEMENTS ACCORDES</t>
  </si>
  <si>
    <t>CONTREPARTIES DES ENGAGEMENTS</t>
  </si>
  <si>
    <r>
      <t>ENGAGEMENTS OBTENUS 901</t>
    </r>
    <r>
      <rPr>
        <sz val="11"/>
        <color theme="1"/>
        <rFont val="Times New Roman"/>
        <family val="1"/>
      </rPr>
      <t xml:space="preserve"> </t>
    </r>
    <r>
      <rPr>
        <b/>
        <sz val="11"/>
        <color indexed="8"/>
        <rFont val="Times New Roman"/>
        <family val="1"/>
      </rPr>
      <t>à</t>
    </r>
    <r>
      <rPr>
        <sz val="11"/>
        <color theme="1"/>
        <rFont val="Times New Roman"/>
        <family val="1"/>
      </rPr>
      <t xml:space="preserve"> </t>
    </r>
    <r>
      <rPr>
        <b/>
        <sz val="11"/>
        <color indexed="8"/>
        <rFont val="Times New Roman"/>
        <family val="1"/>
      </rPr>
      <t>904</t>
    </r>
  </si>
  <si>
    <t xml:space="preserve">901   </t>
  </si>
  <si>
    <t>ENGAGEMENTS DE FINANCEMENT OBTENUS</t>
  </si>
  <si>
    <t xml:space="preserve">         9011 </t>
  </si>
  <si>
    <t>Crédits confirmés obtenus</t>
  </si>
  <si>
    <t xml:space="preserve">         9012         </t>
  </si>
  <si>
    <t>Emprunts restant à encaisser</t>
  </si>
  <si>
    <t xml:space="preserve">         9013         </t>
  </si>
  <si>
    <t>Facilités de financement renouvelables</t>
  </si>
  <si>
    <t>         9014        </t>
  </si>
  <si>
    <t xml:space="preserve"> Facilités d'émission</t>
  </si>
  <si>
    <t xml:space="preserve">         9018         </t>
  </si>
  <si>
    <t>Autres engagements de financement obtenus</t>
  </si>
  <si>
    <t xml:space="preserve">902   </t>
  </si>
  <si>
    <t>ENGAGEMENTS DE GARANTIE OBTENUS</t>
  </si>
  <si>
    <t xml:space="preserve">         9021        </t>
  </si>
  <si>
    <t>Avals obtenus</t>
  </si>
  <si>
    <t xml:space="preserve">         9022        </t>
  </si>
  <si>
    <t>Cautions, garanties obtenues</t>
  </si>
  <si>
    <t xml:space="preserve">         9023        </t>
  </si>
  <si>
    <t>Hypothèques obtenues</t>
  </si>
  <si>
    <t xml:space="preserve">         9024        </t>
  </si>
  <si>
    <t>Effets endossés par des tiers</t>
  </si>
  <si>
    <t xml:space="preserve">         9028        </t>
  </si>
  <si>
    <t>Autres garanties obtenues</t>
  </si>
  <si>
    <t xml:space="preserve">903  </t>
  </si>
  <si>
    <t>ENGAGEMENTS RECIPROQUES</t>
  </si>
  <si>
    <t>        9031       </t>
  </si>
  <si>
    <t xml:space="preserve">        9032       </t>
  </si>
  <si>
    <t>Achats à terme de devises</t>
  </si>
  <si>
    <t xml:space="preserve">        9033      </t>
  </si>
  <si>
    <t xml:space="preserve">        9038      </t>
  </si>
  <si>
    <t xml:space="preserve">904  </t>
  </si>
  <si>
    <t>AUTRES ENGAGEMENTS OBTENUS</t>
  </si>
  <si>
    <t xml:space="preserve">         9041      </t>
  </si>
  <si>
    <t xml:space="preserve">         9043      </t>
  </si>
  <si>
    <t xml:space="preserve">Ventes avec clause de réserve de propriété </t>
  </si>
  <si>
    <t xml:space="preserve">         9048      </t>
  </si>
  <si>
    <t>Divers engagements obtenus</t>
  </si>
  <si>
    <r>
      <t>ENGAGEMENTS ACCORDÉS 905</t>
    </r>
    <r>
      <rPr>
        <sz val="11"/>
        <color theme="1"/>
        <rFont val="Times New Roman"/>
        <family val="1"/>
      </rPr>
      <t xml:space="preserve"> </t>
    </r>
    <r>
      <rPr>
        <b/>
        <sz val="11"/>
        <color indexed="8"/>
        <rFont val="Times New Roman"/>
        <family val="1"/>
      </rPr>
      <t>à</t>
    </r>
    <r>
      <rPr>
        <sz val="11"/>
        <color theme="1"/>
        <rFont val="Times New Roman"/>
        <family val="1"/>
      </rPr>
      <t xml:space="preserve"> </t>
    </r>
    <r>
      <rPr>
        <b/>
        <sz val="11"/>
        <color indexed="8"/>
        <rFont val="Times New Roman"/>
        <family val="1"/>
      </rPr>
      <t>908</t>
    </r>
  </si>
  <si>
    <t>ENGAGEMENTS DE FINANCEMENT ACCORDES</t>
  </si>
  <si>
    <t>Crédits accordés non décaissés</t>
  </si>
  <si>
    <t>Autres engagements de financement accordés</t>
  </si>
  <si>
    <t>ENGAGEMENTS DE GARANTIE ACCORDES</t>
  </si>
  <si>
    <t>Avals accordés</t>
  </si>
  <si>
    <t>Cautions, garanties accordées</t>
  </si>
  <si>
    <t>Hypothèques accordées</t>
  </si>
  <si>
    <t>Effets endossés par l'entité</t>
  </si>
  <si>
    <t>Autres garanties accordées</t>
  </si>
  <si>
    <t xml:space="preserve"> ENGAGEMENTS RECIPROQUES</t>
  </si>
  <si>
    <t>Ventes de marchandises à terme</t>
  </si>
  <si>
    <t>Ventes à terme de devises</t>
  </si>
  <si>
    <t>Commandes fermes aux fournisseurs</t>
  </si>
  <si>
    <t>AUTRES ENGAGEMENTS ACCORDES</t>
  </si>
  <si>
    <t>Annulations conditionnelles de dettes</t>
  </si>
  <si>
    <t>Engagements de retraite</t>
  </si>
  <si>
    <t>Achats avec clause de réserve de propriété</t>
  </si>
  <si>
    <t>Divers engagements accordés</t>
  </si>
  <si>
    <t xml:space="preserve">91       </t>
  </si>
  <si>
    <t>                911 à 914 CONTREPARTIE DES ENGAGEMENTS OBTENUS, 901 à 904</t>
  </si>
  <si>
    <t>                915 à 918 CONTREPARTIE DES ENGAGEMENTS ACCORDES, 905 à 908</t>
  </si>
  <si>
    <t>COMPTES DE LA COMPTABILITE ANALYTIQUE DE GESTION (CAGE)</t>
  </si>
  <si>
    <t>COMPTES REFLECHIS</t>
  </si>
  <si>
    <t>COMPTES DE RECLASSEMENTS</t>
  </si>
  <si>
    <t>COMPTES DE COUTS</t>
  </si>
  <si>
    <t>COMPTES DE STOCKS</t>
  </si>
  <si>
    <t>COMPTES D'ECARTS SUR COUTS PREETABLIS</t>
  </si>
  <si>
    <t>COMPTES DE DIFFERENCES DE TRAITEMENT COMPTABLE</t>
  </si>
  <si>
    <t>COMPTES DE RESULTATS</t>
  </si>
  <si>
    <t>COMPTES DE LIAISONS INTERNES</t>
  </si>
  <si>
    <t>(1) Pièces, barres, lingots, louis d'or et autres métaux précieux (argent, diamant...) acquis et que l'entité a l'intention de conserver de manière durable.</t>
  </si>
  <si>
    <t>(2) Le terme "associés" englobe les "actionnaires" et les "membres"</t>
  </si>
  <si>
    <t>(3) Créer des sous comptes distinguant les immobilisations corporelles des incorporelles</t>
  </si>
  <si>
    <t>(4 ) Pièces, barres, louis d'or et autres métaux précieux (argent, diamant...) acquis en vue d'une cession à court terme. Ils jouent donc le rôle d'instruments de trésorerie.</t>
  </si>
  <si>
    <t>(5) À l' exception des achats effectués avec les entités du groupe</t>
  </si>
  <si>
    <t>(6) l'entité peut créer des sous comptes pour les frais accessoires : douane, fret, assurance sur achats, commissions, courtages sur achats, frais de transit et autres frais accessoires</t>
  </si>
  <si>
    <t>(7) À l'exclusion des ventes faites à des entités du groupe</t>
  </si>
  <si>
    <t>(8) À inscrire au compte 706 si ces produits correspondent à une activité principale de l’entité</t>
  </si>
  <si>
    <t>(9) En cas d’offre publique d’échange (O.P.E.) ou d’achat (O.P.A.) notamment.</t>
  </si>
  <si>
    <t>(10) Cas de révision de plan d’amortissement</t>
  </si>
  <si>
    <t>Contacts</t>
  </si>
  <si>
    <t>+225 77 23 23 25</t>
  </si>
  <si>
    <t>+225 74 64 44 91</t>
  </si>
  <si>
    <t>+225 20 35 31 73</t>
  </si>
  <si>
    <t>info@befils.com</t>
  </si>
  <si>
    <t>SOMMAIRE</t>
  </si>
  <si>
    <t>ETATS COMPLEMENTAIRES</t>
  </si>
  <si>
    <t>NOTE 3E - INFORMATIONS SUR LES REEVALUATIONS EFFEC</t>
  </si>
  <si>
    <t>NOTE 18 - DETTES  FISCALES ET SOCIALES</t>
  </si>
  <si>
    <t>NOTES DGI - INS - FICHE RECAPITULATIVE DES ETATS S</t>
  </si>
  <si>
    <t>NOTE 4 - IMMOBILISATIONS FINANCIERES</t>
  </si>
  <si>
    <t>NOTE 19 - AUTRES DETTES ET PROVISIONS POUR RISQUES</t>
  </si>
  <si>
    <t>COMP-CHARGES - DETAIL DES CHARGES</t>
  </si>
  <si>
    <t>NOTE 5 - ACTIF CIRCULANT  ET DETTES CIRCULANTES HA</t>
  </si>
  <si>
    <t>NOTE 20 - BANQUES, CREDIT D'ESCOMPTE ET DE TRESORE</t>
  </si>
  <si>
    <t>COMP-TVA - ETAT TVA</t>
  </si>
  <si>
    <t>NOTE 6 - STOCKS ET ENCOURS</t>
  </si>
  <si>
    <t>NOTE 21 - CHIFFRE D'AFFAIRES  ET AUTRES PRODUITS</t>
  </si>
  <si>
    <t>COMP-TVA (2) - ETAT TVA SUPPORTE NON DEDUCTIBLE</t>
  </si>
  <si>
    <t>NOTE36 - TABLE DES CODES</t>
  </si>
  <si>
    <t>NOTE 7 - CLIENTS</t>
  </si>
  <si>
    <t>NOTE 22 - ACHATS</t>
  </si>
  <si>
    <t>SUPPL1 - ELEMENTS STATISTIQUES UEMOA</t>
  </si>
  <si>
    <t>NOTE36 Suite - Nomenclature</t>
  </si>
  <si>
    <t>NOTE 8 - AUTRES CREANCES</t>
  </si>
  <si>
    <t>NOTE 23 - TRANSPORTS</t>
  </si>
  <si>
    <t>SUPPL2 - REPARTITION DU RESULTAT FISCAL DES SOCIET</t>
  </si>
  <si>
    <t>FICHE R1 - FICHE IDENTIFICATION ET RENS. DIVERS 1</t>
  </si>
  <si>
    <t>NOTE 8A - TAB D’ETALEMENT DES CHARGES IMMOBILISEES</t>
  </si>
  <si>
    <t>NOTE 24 - SERVICES EXTERIEURS</t>
  </si>
  <si>
    <t>SUPPL3 - COMPLEMENT INFORMATIONS ENTITES INDIVIDUE</t>
  </si>
  <si>
    <t>FICHE R2 - FICHE IDENTIFICATION ET RENS. DIVERS 2</t>
  </si>
  <si>
    <t>NOTE 8B - TAB D’ETALEMENT DES PROVISIONS POUR CHAR</t>
  </si>
  <si>
    <t>NOTE 25 - IMPOTS ET TAXES</t>
  </si>
  <si>
    <t xml:space="preserve">SUPPL4 - TABLEAU DES AMORTISSEMENTS ET INVENTAIRE </t>
  </si>
  <si>
    <t>FICHE R3 - FICHE IDENTIFICATION ET RENS. DIVERS 3</t>
  </si>
  <si>
    <t>NOTE 8C - TAB D'ETALEMENT DES PROVISIONS POUR ENGA</t>
  </si>
  <si>
    <t>NOTE 26 - AUTRES CHARGES</t>
  </si>
  <si>
    <t>SUPPL5 - DETAIL DES FRAIS ACCESSOIRES SUR ACHATS</t>
  </si>
  <si>
    <t>NOTE 9 - TITRES DE PLACEMENT</t>
  </si>
  <si>
    <t>NOTE 27A - CHARGES DE PERSONNEL</t>
  </si>
  <si>
    <t>SUPPL6 - DETAIL DES AVANTAGES EN NATURE ET EN ESPE</t>
  </si>
  <si>
    <t>BILAN - ACTIF</t>
  </si>
  <si>
    <t>NOTE 10 - VALEURS A ENCAISSER</t>
  </si>
  <si>
    <t>NOTE 27B - EFFECTIFS, MASSE SALARIALE ET PERSONNEL</t>
  </si>
  <si>
    <t>SUPPL7 - CREANCES &amp; DETTES ECHUES DE L'EXERCICE</t>
  </si>
  <si>
    <t>BILAN - PASSIF</t>
  </si>
  <si>
    <t>NOTE 11 - DISPONIBILITES</t>
  </si>
  <si>
    <t xml:space="preserve">NOTE 28 - DOTATIONS ET CHARGES POUR PROVISIONS ET </t>
  </si>
  <si>
    <t>NOTE 12 - ECARTS DE CONVERSION ET TRANSFERT DE CHA</t>
  </si>
  <si>
    <t>NOTE 29 - CHARGES ET REVENUS FINANCIERS</t>
  </si>
  <si>
    <t>NOTE 13 - CAPITAL : VALEUR NOMINALE DES ACTIONS OU</t>
  </si>
  <si>
    <t>NOTE 30 - AUTRES  CHARGES ET PRODUITS HAO</t>
  </si>
  <si>
    <t xml:space="preserve">FICHE R4 - FICHE RECAPITULATIVE DES NOTES ANNEXES </t>
  </si>
  <si>
    <t>NOTE 14 - PRIMES ET RESERVES</t>
  </si>
  <si>
    <t>NOTE 31 - REPARTITION DU RESULTAT ET AUTRES ELEMEN</t>
  </si>
  <si>
    <t xml:space="preserve">NOTE 1 - DETTES GARANTIES PAR DES SURETES REELLES </t>
  </si>
  <si>
    <t>NOTE 15A - SUBVENTIONS ET PROVISIONS REGLEMENTEES</t>
  </si>
  <si>
    <t>NOTE 32 - PRODUCTION DE L'EXERCICE</t>
  </si>
  <si>
    <t>NOTE 2 - INFORMATIONS OBLIGATOIRES</t>
  </si>
  <si>
    <t>NOTE 15B - AUTRES FONDS PROPRES</t>
  </si>
  <si>
    <t>NOTE 33 - ACHATS DESTINES A LA PRODUCTION</t>
  </si>
  <si>
    <t>NOTE 3A - IMMOBILISATIONS BRUTES</t>
  </si>
  <si>
    <t>NOTE 16A - DETTES FINANCIERES ET RESSOURCES ASSIMI</t>
  </si>
  <si>
    <t>NOTE 34 - FICHE DE SYNTHESE DES PRINCIPAUX INDICAT</t>
  </si>
  <si>
    <t>NOTE 3B - BIENS PRIS EN LOCATION-ACQUISITION</t>
  </si>
  <si>
    <t>NOTE 16B - ENGAGEMENTS DE RETRAITE ET AVANTAGES AS</t>
  </si>
  <si>
    <t>NOTE 35 - LISTE DES INFORMATIONS SOCIALES, ENVIRON</t>
  </si>
  <si>
    <r>
      <rPr>
        <b/>
        <sz val="11"/>
        <color theme="0"/>
        <rFont val="Calibri"/>
        <family val="2"/>
        <scheme val="minor"/>
      </rPr>
      <t>IMPORTANT !!!</t>
    </r>
    <r>
      <rPr>
        <b/>
        <sz val="11"/>
        <color theme="5" tint="-0.249977111117893"/>
        <rFont val="Calibri"/>
        <family val="2"/>
        <scheme val="minor"/>
      </rPr>
      <t xml:space="preserve">
</t>
    </r>
    <r>
      <rPr>
        <b/>
        <sz val="11"/>
        <color theme="0"/>
        <rFont val="Calibri"/>
        <family val="2"/>
        <scheme val="minor"/>
      </rPr>
      <t>--------------------------------------------</t>
    </r>
    <r>
      <rPr>
        <b/>
        <sz val="11"/>
        <color theme="5" tint="-0.249977111117893"/>
        <rFont val="Calibri"/>
        <family val="2"/>
        <scheme val="minor"/>
      </rPr>
      <t xml:space="preserve">
</t>
    </r>
    <r>
      <rPr>
        <b/>
        <sz val="11"/>
        <color theme="7"/>
        <rFont val="Calibri"/>
        <family val="2"/>
        <scheme val="minor"/>
      </rPr>
      <t>Merci cocher les feuilles à imprimer.</t>
    </r>
    <r>
      <rPr>
        <b/>
        <sz val="11"/>
        <color theme="0"/>
        <rFont val="Calibri"/>
        <family val="2"/>
        <scheme val="minor"/>
      </rPr>
      <t xml:space="preserve">
Seules les feuilles cochées ici seront imprimées</t>
    </r>
  </si>
  <si>
    <t>NOTE 3C - IMMOBILISATIONS : AMORTISSEMENTS</t>
  </si>
  <si>
    <t>NOTE 16B BIS - ENGAGEMENTS DE RETRAITE ET AVANTAGE</t>
  </si>
  <si>
    <t>NOTE 37 - DETERMINATION IMPOT SUR RESULTAT</t>
  </si>
  <si>
    <t>NOTE 3C BIS - IMMOBILISATIONS : DEPRECIATIONS</t>
  </si>
  <si>
    <t>NOTE 16C - ACTIFS ET PASSIFS EVENTUELS</t>
  </si>
  <si>
    <t>NOTE 38 - EVENEMENTS POSTERIEURS A LA CLOTURE DE L</t>
  </si>
  <si>
    <t>NOTE 17 - FOURNISSEURS D'EXPLOITATION</t>
  </si>
  <si>
    <t>NOTE 39 - CHANGEMENTS DE METHODES COMPTABLES, D’ES</t>
  </si>
  <si>
    <t>Dénomination sociale de l'entreprise :</t>
  </si>
  <si>
    <t>N° de caisse sociale :</t>
  </si>
  <si>
    <t>N° répertoire des entreprises</t>
  </si>
  <si>
    <t xml:space="preserve">Agrément prioritaire : </t>
  </si>
  <si>
    <t xml:space="preserve">N° Code Importateur : </t>
  </si>
  <si>
    <t>N° de téléphone / Email</t>
  </si>
  <si>
    <t>Si autre forme juridique préciser</t>
  </si>
  <si>
    <t>Exercice du :</t>
  </si>
  <si>
    <t>Exercice précédent du :</t>
  </si>
  <si>
    <t>Boîte Postale de l'entreprise :</t>
  </si>
  <si>
    <t>Date d'arrêt des comptes :</t>
  </si>
  <si>
    <t xml:space="preserve">Commune / Quartier : </t>
  </si>
  <si>
    <t>Année du premier exercice :</t>
  </si>
  <si>
    <t>Greffe / N° Registre du Commerce</t>
  </si>
  <si>
    <t>Taux d'imposition BIC / BNC</t>
  </si>
  <si>
    <t>N° Identification fiscale / Télédéclarant:</t>
  </si>
  <si>
    <t>Taux IMF</t>
  </si>
  <si>
    <t>Regime Fiscal / Centre des Impôts :</t>
  </si>
  <si>
    <t>Pays Siège social / Code activité principale</t>
  </si>
  <si>
    <t>BE_Debit</t>
  </si>
  <si>
    <t>BE_Credit</t>
  </si>
  <si>
    <t>Mvt_Debit</t>
  </si>
  <si>
    <t>Mvt_Credit</t>
  </si>
  <si>
    <t>BS_Debit</t>
  </si>
  <si>
    <t>BS_Credit</t>
  </si>
  <si>
    <t>Table</t>
  </si>
  <si>
    <t>Vérif</t>
  </si>
  <si>
    <t>Ecarts de réévaluation légale : Immobilisations incorporelles</t>
  </si>
  <si>
    <t>Ecarts de réévaluation légale : Immobilisations corporelles</t>
  </si>
  <si>
    <t>Ecarts de réévaluation légale : Immobilisations financières</t>
  </si>
  <si>
    <t>Ecarts de réévaluation libre : Immobilisations incorporelles</t>
  </si>
  <si>
    <t>Ecarts de réévaluation libre : Immobilisations corporelles</t>
  </si>
  <si>
    <t>Ecarts de réévaluation libre : Immobilisations financières</t>
  </si>
  <si>
    <t>Provisions spéciales de réévaluation : Immobilisations incorporelles</t>
  </si>
  <si>
    <t>Provisions spéciales de réévaluation : Immobilisations corporelles</t>
  </si>
  <si>
    <t>Provisions spéciales de réévaluation : Immobilisations financières</t>
  </si>
  <si>
    <t>Provisions pour démantelement et remise en état : Immobilisations incorporelles</t>
  </si>
  <si>
    <t>Provisions pour démantelement et remise en état : Immobilisations corporelles</t>
  </si>
  <si>
    <t>ECA - Diminution des Créances d'exploitation</t>
  </si>
  <si>
    <t>ECA - Diminution des Créances HAO</t>
  </si>
  <si>
    <t>ECP - Augmentation des Créances d'exploitation</t>
  </si>
  <si>
    <t>ECP - Augmentation des Créances HAO</t>
  </si>
  <si>
    <t>Réserves de propriété : Immobilisations incorporelles</t>
  </si>
  <si>
    <t>Réserves de propriété : Immobilisations corporelles</t>
  </si>
  <si>
    <t>Retenues de garantie : Immobilisations incorporelles</t>
  </si>
  <si>
    <t>Retenues de garantie : Immobilisations corporelles</t>
  </si>
  <si>
    <t>Factures non parvenues : Immobilisations incorporelles</t>
  </si>
  <si>
    <t>Factures non parvenues : Immobilisations corporelles</t>
  </si>
  <si>
    <t>ABIDJAN</t>
  </si>
  <si>
    <t>ABJ</t>
  </si>
  <si>
    <t>CI-ABJ-2020-B-04044</t>
  </si>
  <si>
    <t>01/01/2019</t>
  </si>
  <si>
    <t>31/12/2019</t>
  </si>
  <si>
    <t>25/03/2020</t>
  </si>
  <si>
    <t>YOPOUGON BATIM</t>
  </si>
  <si>
    <t>NOTE 3D - IMMOBILISATIONS : PLUS-VALUES ET MOINS V</t>
  </si>
  <si>
    <t>ECART ENTRE LES</t>
  </si>
  <si>
    <t>DOTATIONS</t>
  </si>
  <si>
    <t>REPRISES</t>
  </si>
  <si>
    <t>Sens</t>
  </si>
  <si>
    <t>SI</t>
  </si>
  <si>
    <t>SF</t>
  </si>
  <si>
    <t>DATE MISE SERVICE (dd/mm/yyyy)</t>
  </si>
  <si>
    <t>OHADA</t>
  </si>
  <si>
    <t xml:space="preserve"> TABLEAU DE BORD DE CONTRÔLE DES FLUX DE TRESORERIE</t>
  </si>
  <si>
    <t>MONTANTS CALCULES</t>
  </si>
  <si>
    <t>Trésorerie-actif de N-1 (BQ+BR+BS)</t>
  </si>
  <si>
    <t>Trésorerie-passif de N-1  (DQ+DR)</t>
  </si>
  <si>
    <t xml:space="preserve">- </t>
  </si>
  <si>
    <t>Sc Compte 472 versements restant à effectuer sur titres de placement non libérés de l’année N-1 (excepté TL et RN)</t>
  </si>
  <si>
    <t>- /+</t>
  </si>
  <si>
    <t xml:space="preserve">ZA </t>
  </si>
  <si>
    <t xml:space="preserve"> Trésorerie au 1er janvier  (A)</t>
  </si>
  <si>
    <t>Excédent brut d’exploitation (poste XD compte de résultat)</t>
  </si>
  <si>
    <t>Résultat financier  (poste TK+TM+RM compte de résultat)</t>
  </si>
  <si>
    <t>Autres produits HAO du Compte de résultat : Poste TO, sauf compte 86</t>
  </si>
  <si>
    <t>autres charges HAO  du Compte de résultat : Poste RP, sauf compte 85</t>
  </si>
  <si>
    <t>Participation des travailleurs (poste RQ du compte résultat)</t>
  </si>
  <si>
    <t>Impôts sur le résultat (poste RS du compte de résultat)</t>
  </si>
  <si>
    <t>Compte 654 solde débiteur balance N</t>
  </si>
  <si>
    <t>Compte 754 solde créditeur balance N</t>
  </si>
  <si>
    <t>Capacité d’Autofinancement Globale (CAFG)</t>
  </si>
  <si>
    <t>Actif circulant HAO (Poste BA  bilan N -  BA  bilan N-1)</t>
  </si>
  <si>
    <t>Compte 485 (exclure)</t>
  </si>
  <si>
    <t>Variation des stocks</t>
  </si>
  <si>
    <t xml:space="preserve">Variation des créances  et emplois assimilé (Poste BG des bilans) </t>
  </si>
  <si>
    <t>Solde débiteur N 414, 4494, 458, 461, 467</t>
  </si>
  <si>
    <t>Solde débiteur N-1 414, 4494, 458, 461, 467</t>
  </si>
  <si>
    <t>Solde débiteurr 4781 relatif aux créances d'exploitation</t>
  </si>
  <si>
    <t>Solde débiteurr 4791 relatif aux créances d'exploitation</t>
  </si>
  <si>
    <t>FD - Variation des créances</t>
  </si>
  <si>
    <t>Variation du passif circulant (Poste DP des bilans)</t>
  </si>
  <si>
    <t>Solde créditeur N 404, 461, 465, 4726, 481, 482</t>
  </si>
  <si>
    <t>Solde créditeur N-1 404, 461, 465, 4726, 481, 482</t>
  </si>
  <si>
    <t>Solde créditeur N 4793</t>
  </si>
  <si>
    <t>Solde débiteur N 4783</t>
  </si>
  <si>
    <t>Mouvement débit 4752</t>
  </si>
  <si>
    <t>Mouvement crédit 4752</t>
  </si>
  <si>
    <t>FE - Variation du passif circulant</t>
  </si>
  <si>
    <t>FB - LES FLUX DE  TRESORERIE PROVENANT DES ACTIVITES OPERATIONNELLES (B)</t>
  </si>
  <si>
    <t xml:space="preserve">Variation des immobilisations  incorporelles nettes (poste AD) </t>
  </si>
  <si>
    <t>Mouvement débit 251</t>
  </si>
  <si>
    <t>Mouvement crédit 251</t>
  </si>
  <si>
    <t>Mouvement débit 4041, 4046</t>
  </si>
  <si>
    <t>Mouvement débit 4811</t>
  </si>
  <si>
    <t>Mouvement débit 48161, 48171, 48181</t>
  </si>
  <si>
    <t>Mouvement débit 4821</t>
  </si>
  <si>
    <t>Mouvement débit 281</t>
  </si>
  <si>
    <t>Mouvement crédit 4041, 4046</t>
  </si>
  <si>
    <t>Mouvement crédit 4811</t>
  </si>
  <si>
    <t>Mouvement crédit 48161, 48171, 48181</t>
  </si>
  <si>
    <t>Mouvement crédit 4821</t>
  </si>
  <si>
    <t>Solde débiteur 6541</t>
  </si>
  <si>
    <t>Solde débiteur 811</t>
  </si>
  <si>
    <t>Mouvement crédit 106 relatif aux immobilisations incorporelles</t>
  </si>
  <si>
    <t>Mouvement crédit 154 relatif aux immobilisations incorporelles</t>
  </si>
  <si>
    <t>Décaissements liés aux acquisitions d’immobilisations incorporelles FF</t>
  </si>
  <si>
    <t xml:space="preserve">Variation des immobilisations  corporelles nettes ( poste AI ) </t>
  </si>
  <si>
    <t>Mouvement débit 252</t>
  </si>
  <si>
    <t>Mouvement crédit 252</t>
  </si>
  <si>
    <t>Mouvement débit 4042, 4047</t>
  </si>
  <si>
    <t>Mouvement débit 4812</t>
  </si>
  <si>
    <t>Mouvement débit 48162, 48172, 48182</t>
  </si>
  <si>
    <t>Mouvement débit 4822</t>
  </si>
  <si>
    <t>Mouvement débit 282, 283, 284</t>
  </si>
  <si>
    <t>Mouvement crédit 17</t>
  </si>
  <si>
    <t>Mouvement crédit 4042, 4047</t>
  </si>
  <si>
    <t>Mouvement crédit 4812</t>
  </si>
  <si>
    <t>Mouvement crédit 48162, 48172, 48182</t>
  </si>
  <si>
    <t>Mouvement crédit 4822</t>
  </si>
  <si>
    <t>Mouvement crédit 19842</t>
  </si>
  <si>
    <t>Mouvement crédit 106 relatif aux immobilisations corporelles</t>
  </si>
  <si>
    <t>Mouvement crédit 154 relatif aux immobilisations corporelles</t>
  </si>
  <si>
    <t>Solde débiteur 6542</t>
  </si>
  <si>
    <t>Solde débiteur 812</t>
  </si>
  <si>
    <t>Décaissements liés aux acquisitions d’immobilisations corporelles</t>
  </si>
  <si>
    <t xml:space="preserve">Mouvement débit 26, 27 </t>
  </si>
  <si>
    <t>Mouvement débit 4813</t>
  </si>
  <si>
    <t>Mouvement crédit 4813</t>
  </si>
  <si>
    <t>Mouvement crédit 106 relatif aux immobilisations financières</t>
  </si>
  <si>
    <t>Mouvement crédit 154 relatif aux immobilisations financières</t>
  </si>
  <si>
    <t>Solde débiteur 4782</t>
  </si>
  <si>
    <t>Solde créditeur 4792</t>
  </si>
  <si>
    <t>Décaissements liés aux acquisitions d’immobilisations financières</t>
  </si>
  <si>
    <t>Solde créditeur 754</t>
  </si>
  <si>
    <t>Solde créditeur 821, 822</t>
  </si>
  <si>
    <t>Mouvement débit 414</t>
  </si>
  <si>
    <t>Mouvement débit 485</t>
  </si>
  <si>
    <t>Mouvement débit 4856</t>
  </si>
  <si>
    <t>Mouvement crédit 414</t>
  </si>
  <si>
    <t>Mouvement crédit 485</t>
  </si>
  <si>
    <t>Mouvement crédit 4856</t>
  </si>
  <si>
    <t>Encaissements liés aux cessions d’immobilisations incorporelles et corporelles</t>
  </si>
  <si>
    <t>Solde créditeur 826</t>
  </si>
  <si>
    <t>Mouvement débit 27</t>
  </si>
  <si>
    <t>Mouvement débit 2766</t>
  </si>
  <si>
    <t>Mouvement Crédit 4856</t>
  </si>
  <si>
    <t>Encaissements liés aux cessions d’immobilisations financières</t>
  </si>
  <si>
    <t>LES FLUX  DE TRESORERIE PROVENANT DES ACTIVITES  D’INVESTISSEMENT ( C )</t>
  </si>
  <si>
    <t>Variation du compte 101, 102, 103</t>
  </si>
  <si>
    <t>Variation du compte 1051</t>
  </si>
  <si>
    <t>Solde débiteur 109</t>
  </si>
  <si>
    <t>Solde débiteur 4613</t>
  </si>
  <si>
    <t>Solde débiteur 467</t>
  </si>
  <si>
    <t>Solde débiteur 4581</t>
  </si>
  <si>
    <t>Mouvement débit 11, 12, 131</t>
  </si>
  <si>
    <t>Mouvement crédit 103, 104</t>
  </si>
  <si>
    <t>Mouvement crédit 11, 12</t>
  </si>
  <si>
    <t>Mouvement crédit 139</t>
  </si>
  <si>
    <t>Mouvement crédit 4619</t>
  </si>
  <si>
    <t>Mouvement crédit 465</t>
  </si>
  <si>
    <t>l’Augmentation de capital par apports à nouveaux</t>
  </si>
  <si>
    <t xml:space="preserve">Variation de compte 14 </t>
  </si>
  <si>
    <t>Variation du compte 799</t>
  </si>
  <si>
    <t>Variation de compte 4582</t>
  </si>
  <si>
    <t>Variation de compte 4494</t>
  </si>
  <si>
    <t>KL</t>
  </si>
  <si>
    <t>Subventions d’investissements reçues</t>
  </si>
  <si>
    <t>Mouvement débit 4619</t>
  </si>
  <si>
    <t>Mouvement débit 103, 104</t>
  </si>
  <si>
    <t>Prélèvements sur le capital</t>
  </si>
  <si>
    <t>Mouvement débit 465</t>
  </si>
  <si>
    <t>Dividendes versés</t>
  </si>
  <si>
    <t>Flux de trésorerie provenant des capitaux propres</t>
  </si>
  <si>
    <t>Mouvement crédit 16</t>
  </si>
  <si>
    <t>Mouvement débit 4784</t>
  </si>
  <si>
    <t>Emprunts</t>
  </si>
  <si>
    <t>Mouvement crédit 181, 182, 183, 184</t>
  </si>
  <si>
    <t>Mouvement débit 16,17,181,182,183,184</t>
  </si>
  <si>
    <t>Mouvement crédit 47940</t>
  </si>
  <si>
    <t>Remboursements des emprunts et autres dettes financières</t>
  </si>
  <si>
    <t>Flux de financement provenant des capitaux  étrangers</t>
  </si>
  <si>
    <t>LES FLUX  DE TRESORERIE PROVENANT DES CAPITAUX PROPRES (F)</t>
  </si>
  <si>
    <t>VARIATION DE LA TRESORERIE NETTE DE LA PERIODE (B+C+F)</t>
  </si>
  <si>
    <t>TRESORERIE NETTE DE LA PERIODE (G+A)</t>
  </si>
  <si>
    <t>Trésorerie-actif de N</t>
  </si>
  <si>
    <t>Compte 472 versements restant à effectuer sur titres de placement non libérés de l’année N</t>
  </si>
  <si>
    <t>Trésorerie-passif de N</t>
  </si>
  <si>
    <t>Contrôle Trésorerie au 31 décembre : Trésorerie-actif N -  Trésorerie-passif N</t>
  </si>
  <si>
    <t xml:space="preserve"> En cas de déséquilibre, le montant à équilibrer au TFT est de :</t>
  </si>
  <si>
    <t>Table TFT</t>
  </si>
  <si>
    <t>TBFT</t>
  </si>
  <si>
    <t>Contrôle des écritures</t>
  </si>
  <si>
    <t>Débit</t>
  </si>
  <si>
    <t>Crédit</t>
  </si>
  <si>
    <t>Dotations aux provisions</t>
  </si>
  <si>
    <t>Compte 691</t>
  </si>
  <si>
    <t>Compte 29</t>
  </si>
  <si>
    <t>Compte 697</t>
  </si>
  <si>
    <t>Compte 19</t>
  </si>
  <si>
    <t>Compte 853</t>
  </si>
  <si>
    <t>Compte 791</t>
  </si>
  <si>
    <t>Compte 797</t>
  </si>
  <si>
    <t>Compte 863</t>
  </si>
  <si>
    <t>Compte 659</t>
  </si>
  <si>
    <t>Compte 39</t>
  </si>
  <si>
    <t>Compte 839</t>
  </si>
  <si>
    <t>Compte 49</t>
  </si>
  <si>
    <t>Compte 759</t>
  </si>
  <si>
    <t>Compte 849</t>
  </si>
  <si>
    <t>Compte 679</t>
  </si>
  <si>
    <t>Compte 59</t>
  </si>
  <si>
    <t>Compte 779</t>
  </si>
  <si>
    <t>Dotations aux amortissements</t>
  </si>
  <si>
    <t>Compte 68</t>
  </si>
  <si>
    <t>Compte 28</t>
  </si>
  <si>
    <t>Sortie d'immobilisations</t>
  </si>
  <si>
    <t>Classe 21,22,23,24,26,27 (Sauf 274)</t>
  </si>
  <si>
    <t>Compte 81</t>
  </si>
  <si>
    <t>Contrôle Mouvement</t>
  </si>
  <si>
    <t>BARNARD N'DIA</t>
  </si>
  <si>
    <t>828390F</t>
  </si>
  <si>
    <t>Capital souscrit, appelé, versé non amorti</t>
  </si>
  <si>
    <t>Apporteurs, capital souscrit, non appelé</t>
  </si>
  <si>
    <t>Réserve légale</t>
  </si>
  <si>
    <t>Résultat net</t>
  </si>
  <si>
    <t>Subvention d'investissement</t>
  </si>
  <si>
    <t>Emprunt bancaire</t>
  </si>
  <si>
    <t>Cautionnements reçus</t>
  </si>
  <si>
    <t>Provisions pour pensions et obligations similaires</t>
  </si>
  <si>
    <t>Fonds commercial</t>
  </si>
  <si>
    <t>Terrains bâtis</t>
  </si>
  <si>
    <t>Aménagement de terrain en cours</t>
  </si>
  <si>
    <t>Bâtiments industriels sur sol propre</t>
  </si>
  <si>
    <t>Bâtiments industriels sur sol d'autrui</t>
  </si>
  <si>
    <t>Autres installations et agencements</t>
  </si>
  <si>
    <t>Avance acompt.e sur immobilisation</t>
  </si>
  <si>
    <t>Dépôts et cautionnement électricité</t>
  </si>
  <si>
    <t>Dépôts et caution. Eau</t>
  </si>
  <si>
    <t>Dépôt/téléphone télex télécopie</t>
  </si>
  <si>
    <t>Autres dépôts et cautionn.</t>
  </si>
  <si>
    <t>Amortissement des bâtiments industriels</t>
  </si>
  <si>
    <t>Amortissement des instal. Générales</t>
  </si>
  <si>
    <t>Amortissement du matériel industriel</t>
  </si>
  <si>
    <t>Amortissement du matériel de bureau</t>
  </si>
  <si>
    <t>Amortissement du matériel informatique</t>
  </si>
  <si>
    <t>Amortissement du mobilier de bureau</t>
  </si>
  <si>
    <t>Amortissement du matériel automobile</t>
  </si>
  <si>
    <t>Stock marchandises</t>
  </si>
  <si>
    <t>Stock de matières premières</t>
  </si>
  <si>
    <t>Stocks emballages</t>
  </si>
  <si>
    <t>Fournisseurs fac. Noo parvenues</t>
  </si>
  <si>
    <t>Fournisse urs, avances et acomptes</t>
  </si>
  <si>
    <t>Personnel avances &amp; acomptes</t>
  </si>
  <si>
    <t>Personnel frais avances</t>
  </si>
  <si>
    <t>Personnel saisiesarrêts</t>
  </si>
  <si>
    <t>Personnel dépôts</t>
  </si>
  <si>
    <t>Pers locaux congés à payer</t>
  </si>
  <si>
    <t>Pers non national congés à payer</t>
  </si>
  <si>
    <t>Caisse sécurité sociale</t>
  </si>
  <si>
    <t>Mutuelle de sante</t>
  </si>
  <si>
    <t>Charges sociales / congés</t>
  </si>
  <si>
    <t>Etat impôt sur les sociétés</t>
  </si>
  <si>
    <t>Etat impôts et taxes</t>
  </si>
  <si>
    <t>Etat tva facrurée</t>
  </si>
  <si>
    <t>Etat tva due</t>
  </si>
  <si>
    <t>Etal impôts retenue à la source</t>
  </si>
  <si>
    <t>Compte courant associés</t>
  </si>
  <si>
    <t>Apporteurs restant dfi sur capital appel é</t>
  </si>
  <si>
    <t>Charges constatées d'avance</t>
  </si>
  <si>
    <t>Produits constatés d'avance</t>
  </si>
  <si>
    <t>Ecart conversion créances clients</t>
  </si>
  <si>
    <t>Ecart conversion emprunts</t>
  </si>
  <si>
    <t>Frs invest Immobilisation cotporelle</t>
  </si>
  <si>
    <t>Frs invest. Fnp</t>
  </si>
  <si>
    <t>Autres créances HAO</t>
  </si>
  <si>
    <t>Dépréciations comptes clients</t>
  </si>
  <si>
    <t>Banques</t>
  </si>
  <si>
    <t>Virements defonds</t>
  </si>
  <si>
    <t>Achats marchandises</t>
  </si>
  <si>
    <t>Achats matières dans la région</t>
  </si>
  <si>
    <t>Achats fournitures</t>
  </si>
  <si>
    <t>Variations stocks de marchandises</t>
  </si>
  <si>
    <t>Variation stocks matières premières</t>
  </si>
  <si>
    <t>Variation stocks emballages</t>
  </si>
  <si>
    <t>Achats carburant</t>
  </si>
  <si>
    <t>Fourniture entretien non stockables</t>
  </si>
  <si>
    <t>Achats de petit matériel &amp;outillage</t>
  </si>
  <si>
    <t>Achats d'ètudes prestations service</t>
  </si>
  <si>
    <t>Voyages et dèplacements</t>
  </si>
  <si>
    <t>Locationvéhicules et parking</t>
  </si>
  <si>
    <t>Location de machines</t>
  </si>
  <si>
    <t>Entretiens &amp;rèparations biens immobiliers</t>
  </si>
  <si>
    <t>Entretiens &amp;rèparations biens mobiliers</t>
  </si>
  <si>
    <t>Mainte.nance</t>
  </si>
  <si>
    <t>Hygiène et services assimilés</t>
  </si>
  <si>
    <t>Assurances mu ltirisques</t>
  </si>
  <si>
    <t>Frais de télèphone</t>
  </si>
  <si>
    <t>Autres frais télécommunications</t>
  </si>
  <si>
    <t>Frais virements/ règlement clients</t>
  </si>
  <si>
    <t>Honoraires expertcomptable</t>
  </si>
  <si>
    <t>Honoraires notaires</t>
  </si>
  <si>
    <t>Honoraires ana lyses</t>
  </si>
  <si>
    <t>Frais d'acte et de contentieux</t>
  </si>
  <si>
    <t>Certificat de salubrité</t>
  </si>
  <si>
    <t>Droit d 'en trée port</t>
  </si>
  <si>
    <t>Autres redevances</t>
  </si>
  <si>
    <t>Cotisation syndicale patronale</t>
  </si>
  <si>
    <t>Prestations diverses</t>
  </si>
  <si>
    <t>Droitsenregistrement aug. Capital</t>
  </si>
  <si>
    <t>Droits de timbres</t>
  </si>
  <si>
    <t>Pénalités TVA</t>
  </si>
  <si>
    <t>Salaires bruts nationaux</t>
  </si>
  <si>
    <t>Congés payés au personnelnational</t>
  </si>
  <si>
    <t>Salaires bruts non nationaux</t>
  </si>
  <si>
    <t>Congés payés au personnel .non national</t>
  </si>
  <si>
    <t>Primes de transport</t>
  </si>
  <si>
    <t>Autres indemnités&amp; avantages divers</t>
  </si>
  <si>
    <t>Charges de sécurité socialepermanents</t>
  </si>
  <si>
    <t>Charge de sécurité socialejournaliers</t>
  </si>
  <si>
    <t>Charges sociales caisse retraite</t>
  </si>
  <si>
    <t>Charges socialesmutuelle</t>
  </si>
  <si>
    <t>Charges sociales caisse retraite complémentaire</t>
  </si>
  <si>
    <t>Eqwpements personnel</t>
  </si>
  <si>
    <t>Intérêt emprunts</t>
  </si>
  <si>
    <t>Dotations aux amortissements biens corporels</t>
  </si>
  <si>
    <t>Dotations aux provisions pour risques</t>
  </si>
  <si>
    <t>Ventes marchandises</t>
  </si>
  <si>
    <t>Ventes produits finis</t>
  </si>
  <si>
    <t>Retour produits finis</t>
  </si>
  <si>
    <t>Remises et ristournes / ventes produits finis</t>
  </si>
  <si>
    <t>Location villa</t>
  </si>
  <si>
    <t>Locations groupe électrogène</t>
  </si>
  <si>
    <t>Productionimmobilisée</t>
  </si>
  <si>
    <t>Gains de change sur créances commerc iales</t>
  </si>
  <si>
    <t>Indemnités assurances</t>
  </si>
  <si>
    <t>Transfert de charges</t>
  </si>
  <si>
    <t>Valeur comptable des cessions d'imm</t>
  </si>
  <si>
    <t>Produits de cession immob corporelles</t>
  </si>
  <si>
    <t>Impôt / bénéfices</t>
  </si>
  <si>
    <t>Capital souscrit, appelé, versé, oon amorti</t>
  </si>
  <si>
    <t>Cau.tionoemeots reçus</t>
  </si>
  <si>
    <t>Provision pour pensions et obligations assimilées</t>
  </si>
  <si>
    <t>Aménagement de terraio en cours</t>
  </si>
  <si>
    <t>Installatioos générales</t>
  </si>
  <si>
    <t>Matériel infonnatique</t>
  </si>
  <si>
    <t>Dépôts et cautiono.</t>
  </si>
  <si>
    <t>Dépôt/téléphooe télex télécopie</t>
  </si>
  <si>
    <t>Autres dépôts et cautiono.</t>
  </si>
  <si>
    <t>Prêt amicale personnel</t>
  </si>
  <si>
    <t>Amortissement des bâtiments indust.</t>
  </si>
  <si>
    <t>Amortissement du matériel indust.</t>
  </si>
  <si>
    <t>Amortissement du matériel infonnatique</t>
  </si>
  <si>
    <t>Fournisseurs fac non parvenues</t>
  </si>
  <si>
    <t>Fac. Non parvenues eau</t>
  </si>
  <si>
    <t>Fac. Non parvenues téléphone</t>
  </si>
  <si>
    <t>Fac. Non parvenues électricité</t>
  </si>
  <si>
    <t>Fac. Noo parvenues transporteur</t>
  </si>
  <si>
    <t>Fac. Non parvenues avocats</t>
  </si>
  <si>
    <t>R. R.. Ristournes &amp;avoirs à accorder</t>
  </si>
  <si>
    <t>Personnel avances &amp;acomptes</t>
  </si>
  <si>
    <t>Frais médicaux</t>
  </si>
  <si>
    <t>Personnel saisies- arrêts</t>
  </si>
  <si>
    <t>Pers non nat congés à payer</t>
  </si>
  <si>
    <t>Mutuelle de sanie</t>
  </si>
  <si>
    <t>Tva facturée / prestation services</t>
  </si>
  <si>
    <t>Etat impôts retenue à la source personnel</t>
  </si>
  <si>
    <t>Etal retenue à la source prestataire</t>
  </si>
  <si>
    <t>Crédileurs divers</t>
  </si>
  <si>
    <t>Fours d'invest. Fnp</t>
  </si>
  <si>
    <t>Frs invest. effets à payer</t>
  </si>
  <si>
    <t>Dépréciations comptes clts</t>
  </si>
  <si>
    <t>Virements de fonds</t>
  </si>
  <si>
    <t>Achats matières premières</t>
  </si>
  <si>
    <t>Variation stockmatières premières</t>
  </si>
  <si>
    <t>Variation stock emballage</t>
  </si>
  <si>
    <t>Autres énergies gaz</t>
  </si>
  <si>
    <t>Achats d'études prestations service</t>
  </si>
  <si>
    <t>Petits équipements</t>
  </si>
  <si>
    <t>Transport de pLis</t>
  </si>
  <si>
    <t>Location machines</t>
  </si>
  <si>
    <t>Entretiens &amp;réparations biens mobiliers</t>
  </si>
  <si>
    <t>Mainte.nancemachines</t>
  </si>
  <si>
    <t>Hygiène et services assimi lés</t>
  </si>
  <si>
    <t>Annonces insertion</t>
  </si>
  <si>
    <t>Autres frais téléc ommunications</t>
  </si>
  <si>
    <t>Frais virements/règlement clients</t>
  </si>
  <si>
    <t>Honoraires</t>
  </si>
  <si>
    <t>Droit entrée port</t>
  </si>
  <si>
    <t>Cotisation syndicat patronal</t>
  </si>
  <si>
    <t>Autres droits</t>
  </si>
  <si>
    <t>Autres amendes pénales &amp;fiscales</t>
  </si>
  <si>
    <t>Congés payés au pers. nat.</t>
  </si>
  <si>
    <t>Autres indemnités &amp;avantages divers</t>
  </si>
  <si>
    <t>Charges de sécurité sociale-permanents</t>
  </si>
  <si>
    <t>Charges de sécurité sociale- journaliers</t>
  </si>
  <si>
    <t>Charges sociales mutuelle de sanie</t>
  </si>
  <si>
    <t>Charges sociales non nationaux</t>
  </si>
  <si>
    <t>Médecine du travai l et pharmacie</t>
  </si>
  <si>
    <t>Equipements personnel</t>
  </si>
  <si>
    <t>Dotations aux amorts biens corporels</t>
  </si>
  <si>
    <t>Avoir/ ventes produits finis</t>
  </si>
  <si>
    <t>Remise/ ventes produitsfinis</t>
  </si>
  <si>
    <t>Locationvilla</t>
  </si>
  <si>
    <t>Transfert charges fret</t>
  </si>
  <si>
    <t>Valeur compta ble des cessions d'immobilisation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</si>
</sst>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_-* #,##0.00\ _€_-;\-* #,##0.00\ _€_-;_-* &quot;-&quot;??\ _€_-;_-@_-"/>
    <numFmt numFmtId="167" formatCode="#,##0_ ;\-#,##0\ "/>
    <numFmt numFmtId="168" formatCode=";;;"/>
    <numFmt numFmtId="169" formatCode="_-* #,##0.00\ _F_-;\-* #,##0.00\ _F_-;_-* &quot;-&quot;??\ _F_-;_-@_-"/>
    <numFmt numFmtId="170" formatCode="_-* #,##0\ _F_-;\-* #,##0\ _F_-;_-* &quot;-&quot;??\ _F_-;_-@_-"/>
    <numFmt numFmtId="171" formatCode="_-* #,##0\ _€_-;\-* #,##0\ _€_-;_-* &quot;-&quot;\ _€_-;_-@_-"/>
    <numFmt numFmtId="172" formatCode="_-* #.##0\ _€_-;\-* #.##0\ _€_-;_-* &quot;-&quot;??\ _€_-;_-@_-"/>
    <numFmt numFmtId="173" formatCode="#,##0_ ;[Red]\-#,##0\ "/>
  </numFmts>
  <fonts count="20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1"/>
      <name val="Times New Roman"/>
      <family val="1"/>
    </font>
    <font>
      <b/>
      <sz val="12"/>
      <color theme="1"/>
      <name val="Calibri"/>
      <family val="2"/>
      <scheme val="minor"/>
    </font>
    <font>
      <b/>
      <sz val="11"/>
      <color theme="1"/>
      <name val="Times New Roman"/>
      <family val="1"/>
    </font>
    <font>
      <b/>
      <sz val="14"/>
      <color theme="1"/>
      <name val="Calibri"/>
      <family val="2"/>
      <scheme val="minor"/>
    </font>
    <font>
      <b/>
      <u val="double"/>
      <sz val="20"/>
      <color rgb="FFE39C1D"/>
      <name val="Times New Roman"/>
      <family val="1"/>
    </font>
    <font>
      <b/>
      <u val="double"/>
      <sz val="20"/>
      <color rgb="FFEA7116"/>
      <name val="Calibri"/>
      <family val="2"/>
      <scheme val="minor"/>
    </font>
    <font>
      <sz val="10"/>
      <color theme="1"/>
      <name val="Arial"/>
      <family val="2"/>
    </font>
    <font>
      <b/>
      <sz val="12"/>
      <color theme="1"/>
      <name val="Arial"/>
      <family val="2"/>
    </font>
    <font>
      <sz val="9"/>
      <color theme="1"/>
      <name val="Arial"/>
      <family val="2"/>
    </font>
    <font>
      <sz val="10"/>
      <color theme="1"/>
      <name val="Calibri"/>
      <family val="2"/>
      <scheme val="minor"/>
    </font>
    <font>
      <sz val="8"/>
      <color theme="1"/>
      <name val="Times New Roman"/>
      <family val="1"/>
    </font>
    <font>
      <b/>
      <sz val="11"/>
      <color theme="1"/>
      <name val="Arial"/>
      <family val="2"/>
    </font>
    <font>
      <b/>
      <sz val="10"/>
      <color theme="1"/>
      <name val="Arial"/>
      <family val="2"/>
    </font>
    <font>
      <sz val="11"/>
      <color theme="1"/>
      <name val="Arial"/>
      <family val="2"/>
    </font>
    <font>
      <b/>
      <sz val="8"/>
      <color theme="1"/>
      <name val="Arial Black"/>
      <family val="2"/>
    </font>
    <font>
      <sz val="8"/>
      <color theme="1"/>
      <name val="Arial"/>
      <family val="2"/>
    </font>
    <font>
      <b/>
      <u/>
      <sz val="12"/>
      <color theme="1"/>
      <name val="Arial"/>
      <family val="2"/>
    </font>
    <font>
      <sz val="8"/>
      <color indexed="8"/>
      <name val="Arial"/>
      <family val="2"/>
    </font>
    <font>
      <b/>
      <sz val="9"/>
      <color theme="1"/>
      <name val="Arial"/>
      <family val="2"/>
    </font>
    <font>
      <sz val="9"/>
      <color rgb="FF000000"/>
      <name val="Arial"/>
      <family val="2"/>
    </font>
    <font>
      <b/>
      <sz val="9"/>
      <color rgb="FF000000"/>
      <name val="Arial"/>
      <family val="2"/>
    </font>
    <font>
      <b/>
      <sz val="11"/>
      <color rgb="FF006600"/>
      <name val="Arial"/>
      <family val="2"/>
    </font>
    <font>
      <sz val="10"/>
      <name val="Arial"/>
      <family val="2"/>
    </font>
    <font>
      <b/>
      <sz val="10"/>
      <name val="Arial"/>
      <family val="2"/>
    </font>
    <font>
      <b/>
      <vertAlign val="superscript"/>
      <sz val="10"/>
      <name val="Arial"/>
      <family val="2"/>
    </font>
    <font>
      <b/>
      <sz val="10"/>
      <color theme="1"/>
      <name val="Calibri"/>
      <family val="2"/>
      <scheme val="minor"/>
    </font>
    <font>
      <sz val="9"/>
      <name val="Arial"/>
      <family val="2"/>
    </font>
    <font>
      <vertAlign val="superscript"/>
      <sz val="9"/>
      <name val="Arial"/>
      <family val="2"/>
    </font>
    <font>
      <b/>
      <sz val="9"/>
      <name val="Arial"/>
      <family val="2"/>
    </font>
    <font>
      <sz val="9"/>
      <color theme="1"/>
      <name val="Calibri"/>
      <family val="2"/>
      <scheme val="minor"/>
    </font>
    <font>
      <sz val="8"/>
      <color rgb="FF000000"/>
      <name val="Arial Narrow"/>
      <family val="2"/>
    </font>
    <font>
      <sz val="7"/>
      <color rgb="FF00B050"/>
      <name val="Arial Narrow"/>
      <family val="2"/>
    </font>
    <font>
      <sz val="7"/>
      <color rgb="FF000000"/>
      <name val="Arial Narrow"/>
      <family val="2"/>
    </font>
    <font>
      <sz val="7"/>
      <name val="Arial Narrow"/>
      <family val="2"/>
    </font>
    <font>
      <sz val="7"/>
      <color theme="1"/>
      <name val="Arial Narrow"/>
      <family val="2"/>
    </font>
    <font>
      <b/>
      <sz val="8"/>
      <color theme="1"/>
      <name val="Arial"/>
      <family val="2"/>
    </font>
    <font>
      <u/>
      <sz val="11"/>
      <color theme="10"/>
      <name val="Calibri"/>
      <family val="2"/>
      <scheme val="minor"/>
    </font>
    <font>
      <sz val="8"/>
      <color theme="1"/>
      <name val="Calibri"/>
      <family val="2"/>
      <scheme val="minor"/>
    </font>
    <font>
      <sz val="8"/>
      <name val="Arial"/>
      <family val="2"/>
    </font>
    <font>
      <b/>
      <sz val="8"/>
      <name val="Arial"/>
      <family val="2"/>
    </font>
    <font>
      <vertAlign val="superscript"/>
      <sz val="8"/>
      <name val="Arial"/>
      <family val="2"/>
    </font>
    <font>
      <b/>
      <sz val="11"/>
      <name val="Arial"/>
      <family val="2"/>
    </font>
    <font>
      <u/>
      <sz val="8"/>
      <name val="Arial"/>
      <family val="2"/>
    </font>
    <font>
      <b/>
      <sz val="9"/>
      <color theme="1"/>
      <name val="Calibri"/>
      <family val="2"/>
      <scheme val="minor"/>
    </font>
    <font>
      <sz val="8"/>
      <name val="Times New Roman"/>
      <family val="1"/>
    </font>
    <font>
      <sz val="11"/>
      <name val="Arial"/>
      <family val="2"/>
    </font>
    <font>
      <i/>
      <sz val="9"/>
      <color theme="1"/>
      <name val="Arial"/>
      <family val="2"/>
    </font>
    <font>
      <i/>
      <sz val="8"/>
      <color theme="1"/>
      <name val="Arial"/>
      <family val="2"/>
    </font>
    <font>
      <sz val="9"/>
      <color rgb="FF0D0D0D"/>
      <name val="Arial"/>
      <family val="2"/>
    </font>
    <font>
      <b/>
      <sz val="9"/>
      <color rgb="FF0D0D0D"/>
      <name val="Arial"/>
      <family val="2"/>
    </font>
    <font>
      <sz val="8"/>
      <color rgb="FF0D0D0D"/>
      <name val="Arial"/>
      <family val="2"/>
    </font>
    <font>
      <b/>
      <vertAlign val="superscript"/>
      <sz val="11"/>
      <color rgb="FF006600"/>
      <name val="Arial"/>
      <family val="2"/>
    </font>
    <font>
      <b/>
      <sz val="9"/>
      <name val="Calibri"/>
      <family val="2"/>
      <scheme val="minor"/>
    </font>
    <font>
      <b/>
      <sz val="9"/>
      <name val="Calibri"/>
      <family val="2"/>
    </font>
    <font>
      <sz val="11"/>
      <color theme="1"/>
      <name val="Times New Roman"/>
      <family val="1"/>
    </font>
    <font>
      <vertAlign val="superscript"/>
      <sz val="9"/>
      <color theme="1"/>
      <name val="Arial"/>
      <family val="2"/>
    </font>
    <font>
      <b/>
      <u/>
      <sz val="9"/>
      <color theme="1"/>
      <name val="Arial"/>
      <family val="2"/>
    </font>
    <font>
      <sz val="8"/>
      <name val="Calibri"/>
      <family val="2"/>
      <scheme val="minor"/>
    </font>
    <font>
      <b/>
      <sz val="8"/>
      <name val="Times New Roman"/>
      <family val="1"/>
    </font>
    <font>
      <i/>
      <sz val="11"/>
      <color theme="1"/>
      <name val="Times New Roman"/>
      <family val="1"/>
    </font>
    <font>
      <sz val="11"/>
      <name val="Calibri"/>
      <family val="2"/>
      <scheme val="minor"/>
    </font>
    <font>
      <b/>
      <sz val="8"/>
      <color theme="1"/>
      <name val="Times New Roman"/>
      <family val="1"/>
    </font>
    <font>
      <sz val="8"/>
      <color indexed="8"/>
      <name val="Times New Roman"/>
      <family val="1"/>
    </font>
    <font>
      <i/>
      <sz val="8"/>
      <color theme="1"/>
      <name val="Times New Roman"/>
      <family val="1"/>
    </font>
    <font>
      <sz val="8"/>
      <color theme="1"/>
      <name val="Calibri"/>
      <family val="2"/>
    </font>
    <font>
      <i/>
      <sz val="10"/>
      <color theme="1"/>
      <name val="Times New Roman"/>
      <family val="1"/>
    </font>
    <font>
      <i/>
      <sz val="9"/>
      <color theme="1"/>
      <name val="Times New Roman"/>
      <family val="1"/>
    </font>
    <font>
      <b/>
      <sz val="9"/>
      <color theme="1"/>
      <name val="Times New Roman"/>
      <family val="1"/>
    </font>
    <font>
      <sz val="9"/>
      <color indexed="8"/>
      <name val="Times New Roman"/>
      <family val="1"/>
    </font>
    <font>
      <i/>
      <sz val="9"/>
      <color indexed="8"/>
      <name val="Times New Roman"/>
      <family val="1"/>
    </font>
    <font>
      <b/>
      <sz val="9"/>
      <color theme="1" tint="4.9989318521683403E-2"/>
      <name val="Arial"/>
      <family val="2"/>
    </font>
    <font>
      <b/>
      <i/>
      <sz val="8"/>
      <color theme="1"/>
      <name val="Calibri"/>
      <family val="2"/>
      <scheme val="minor"/>
    </font>
    <font>
      <b/>
      <sz val="9"/>
      <color theme="8"/>
      <name val="Arial"/>
      <family val="2"/>
    </font>
    <font>
      <sz val="9"/>
      <color theme="1"/>
      <name val="Times New Roman"/>
      <family val="1"/>
    </font>
    <font>
      <b/>
      <i/>
      <sz val="9"/>
      <name val="Arial"/>
      <family val="2"/>
    </font>
    <font>
      <i/>
      <sz val="10"/>
      <name val="Times New Roman"/>
      <family val="1"/>
    </font>
    <font>
      <sz val="8"/>
      <color rgb="FFC00000"/>
      <name val="Times New Roman"/>
      <family val="1"/>
    </font>
    <font>
      <sz val="7"/>
      <color theme="1"/>
      <name val="Arial"/>
      <family val="2"/>
    </font>
    <font>
      <b/>
      <sz val="7"/>
      <color theme="1"/>
      <name val="Arial"/>
      <family val="2"/>
    </font>
    <font>
      <sz val="7"/>
      <color theme="1"/>
      <name val="Calibri"/>
      <family val="2"/>
      <scheme val="minor"/>
    </font>
    <font>
      <i/>
      <sz val="8"/>
      <name val="Arial"/>
      <family val="2"/>
    </font>
    <font>
      <sz val="9"/>
      <color theme="0" tint="-0.14999847407452621"/>
      <name val="Arial"/>
      <family val="2"/>
    </font>
    <font>
      <sz val="9"/>
      <color theme="1" tint="4.9989318521683403E-2"/>
      <name val="Arial"/>
      <family val="2"/>
    </font>
    <font>
      <i/>
      <sz val="8"/>
      <color indexed="8"/>
      <name val="Times New Roman"/>
      <family val="1"/>
    </font>
    <font>
      <i/>
      <sz val="9"/>
      <name val="Times New Roman"/>
      <family val="1"/>
    </font>
    <font>
      <b/>
      <sz val="7"/>
      <name val="Arial"/>
      <family val="2"/>
    </font>
    <font>
      <sz val="7"/>
      <color theme="5" tint="-0.249977111117893"/>
      <name val="Arial"/>
      <family val="2"/>
    </font>
    <font>
      <sz val="10"/>
      <color theme="1"/>
      <name val="Times New Roman"/>
      <family val="1"/>
    </font>
    <font>
      <vertAlign val="superscript"/>
      <sz val="10"/>
      <color theme="1"/>
      <name val="Times New Roman"/>
      <family val="1"/>
    </font>
    <font>
      <b/>
      <sz val="9"/>
      <color theme="4" tint="-0.249977111117893"/>
      <name val="Arial"/>
      <family val="2"/>
    </font>
    <font>
      <b/>
      <sz val="9"/>
      <color indexed="8"/>
      <name val="Arial"/>
      <family val="2"/>
    </font>
    <font>
      <b/>
      <sz val="14"/>
      <color rgb="FF006600"/>
      <name val="Arial"/>
      <family val="2"/>
    </font>
    <font>
      <sz val="14"/>
      <color theme="1"/>
      <name val="Calibri"/>
      <family val="2"/>
      <scheme val="minor"/>
    </font>
    <font>
      <b/>
      <i/>
      <sz val="8"/>
      <name val="Arial"/>
      <family val="2"/>
    </font>
    <font>
      <b/>
      <i/>
      <sz val="8"/>
      <color theme="1"/>
      <name val="Arial"/>
      <family val="2"/>
    </font>
    <font>
      <sz val="8"/>
      <color rgb="FF000000"/>
      <name val="Arial"/>
      <family val="2"/>
    </font>
    <font>
      <b/>
      <i/>
      <sz val="10"/>
      <color theme="1"/>
      <name val="Arial"/>
      <family val="2"/>
    </font>
    <font>
      <b/>
      <i/>
      <sz val="10"/>
      <name val="Arial"/>
      <family val="2"/>
    </font>
    <font>
      <i/>
      <sz val="8"/>
      <name val="Times New Roman"/>
      <family val="1"/>
    </font>
    <font>
      <b/>
      <u/>
      <sz val="8"/>
      <name val="Arial"/>
      <family val="2"/>
    </font>
    <font>
      <b/>
      <sz val="8"/>
      <color theme="1"/>
      <name val="Calibri"/>
      <family val="2"/>
      <scheme val="minor"/>
    </font>
    <font>
      <sz val="9"/>
      <name val="Times New Roman"/>
      <family val="1"/>
    </font>
    <font>
      <b/>
      <u/>
      <sz val="8"/>
      <color theme="1"/>
      <name val="Arial"/>
      <family val="2"/>
    </font>
    <font>
      <b/>
      <sz val="14"/>
      <color theme="0"/>
      <name val="Calibri"/>
      <family val="2"/>
      <scheme val="minor"/>
    </font>
    <font>
      <b/>
      <sz val="12"/>
      <color theme="0"/>
      <name val="Calibri"/>
      <family val="2"/>
      <scheme val="minor"/>
    </font>
    <font>
      <sz val="12"/>
      <color theme="1"/>
      <name val="Calibri"/>
      <family val="2"/>
      <scheme val="minor"/>
    </font>
    <font>
      <b/>
      <sz val="22"/>
      <color theme="0"/>
      <name val="Calibri"/>
      <family val="2"/>
      <scheme val="minor"/>
    </font>
    <font>
      <b/>
      <sz val="16"/>
      <color theme="1"/>
      <name val="Calibri"/>
      <family val="2"/>
      <scheme val="minor"/>
    </font>
    <font>
      <b/>
      <u/>
      <sz val="14"/>
      <color theme="1"/>
      <name val="Calibri"/>
      <family val="2"/>
      <scheme val="minor"/>
    </font>
    <font>
      <sz val="14"/>
      <color theme="0"/>
      <name val="Calibri"/>
      <family val="2"/>
      <scheme val="minor"/>
    </font>
    <font>
      <b/>
      <u/>
      <sz val="14"/>
      <color rgb="FF0070C0"/>
      <name val="Calibri"/>
      <family val="2"/>
      <scheme val="minor"/>
    </font>
    <font>
      <b/>
      <u/>
      <sz val="16"/>
      <color rgb="FF0070C0"/>
      <name val="Calibri"/>
      <family val="2"/>
      <scheme val="minor"/>
    </font>
    <font>
      <b/>
      <sz val="14"/>
      <color rgb="FFF75B5B"/>
      <name val="Calibri"/>
      <family val="2"/>
      <scheme val="minor"/>
    </font>
    <font>
      <sz val="12"/>
      <name val="Calibri"/>
      <family val="2"/>
      <scheme val="minor"/>
    </font>
    <font>
      <sz val="12"/>
      <color theme="0"/>
      <name val="Calibri"/>
      <family val="2"/>
      <scheme val="minor"/>
    </font>
    <font>
      <b/>
      <sz val="14"/>
      <color theme="2" tint="-0.499984740745262"/>
      <name val="Calibri"/>
      <family val="2"/>
      <scheme val="minor"/>
    </font>
    <font>
      <b/>
      <sz val="20"/>
      <color rgb="FF0070C0"/>
      <name val="Calibri"/>
      <family val="2"/>
      <scheme val="minor"/>
    </font>
    <font>
      <sz val="20"/>
      <color theme="0"/>
      <name val="Calibri"/>
      <family val="2"/>
      <scheme val="minor"/>
    </font>
    <font>
      <sz val="14"/>
      <name val="Calibri"/>
      <family val="2"/>
      <scheme val="minor"/>
    </font>
    <font>
      <b/>
      <sz val="11"/>
      <color rgb="FFC00000"/>
      <name val="Calibri"/>
      <family val="2"/>
      <scheme val="minor"/>
    </font>
    <font>
      <sz val="14"/>
      <color rgb="FFF75B5B"/>
      <name val="Calibri"/>
      <family val="2"/>
      <scheme val="minor"/>
    </font>
    <font>
      <u/>
      <sz val="14"/>
      <color theme="1"/>
      <name val="Calibri"/>
      <family val="2"/>
      <scheme val="minor"/>
    </font>
    <font>
      <b/>
      <sz val="10"/>
      <color theme="1"/>
      <name val="Times New Roman"/>
      <family val="1"/>
    </font>
    <font>
      <sz val="11"/>
      <color rgb="FFFF0000"/>
      <name val="Calibri"/>
      <family val="2"/>
      <scheme val="minor"/>
    </font>
    <font>
      <u/>
      <sz val="9"/>
      <color theme="10"/>
      <name val="Arial"/>
      <family val="2"/>
    </font>
    <font>
      <sz val="11"/>
      <color rgb="FF000000"/>
      <name val="Calibri"/>
      <family val="2"/>
    </font>
    <font>
      <sz val="16"/>
      <color theme="1"/>
      <name val="Calibri"/>
      <family val="2"/>
      <scheme val="minor"/>
    </font>
    <font>
      <i/>
      <sz val="11"/>
      <color theme="1"/>
      <name val="Calibri"/>
      <family val="2"/>
      <scheme val="minor"/>
    </font>
    <font>
      <b/>
      <sz val="12"/>
      <name val="Arial"/>
      <family val="2"/>
    </font>
    <font>
      <sz val="10"/>
      <name val="Calibri"/>
      <family val="2"/>
      <scheme val="minor"/>
    </font>
    <font>
      <b/>
      <sz val="14"/>
      <name val="Arial"/>
      <family val="2"/>
    </font>
    <font>
      <sz val="10"/>
      <name val="Calibri Light"/>
      <family val="1"/>
      <scheme val="major"/>
    </font>
    <font>
      <b/>
      <sz val="12"/>
      <name val="Calibri Light"/>
      <family val="2"/>
      <scheme val="major"/>
    </font>
    <font>
      <b/>
      <sz val="14"/>
      <name val="Calibri Light"/>
      <family val="2"/>
      <scheme val="major"/>
    </font>
    <font>
      <sz val="9"/>
      <name val="Calibri Light"/>
      <family val="2"/>
      <scheme val="major"/>
    </font>
    <font>
      <b/>
      <sz val="8"/>
      <color theme="0"/>
      <name val="Calibri Light"/>
      <family val="2"/>
      <scheme val="major"/>
    </font>
    <font>
      <sz val="8"/>
      <name val="Calibri Light"/>
      <family val="2"/>
      <scheme val="major"/>
    </font>
    <font>
      <b/>
      <sz val="11"/>
      <color rgb="FF000000"/>
      <name val="Arial Narrow"/>
      <family val="2"/>
    </font>
    <font>
      <b/>
      <sz val="11"/>
      <color theme="0"/>
      <name val="Times New Roman"/>
      <family val="1"/>
    </font>
    <font>
      <b/>
      <sz val="11"/>
      <color indexed="8"/>
      <name val="Times New Roman"/>
      <family val="1"/>
    </font>
    <font>
      <sz val="11"/>
      <color indexed="8"/>
      <name val="Times New Roman"/>
      <family val="1"/>
    </font>
    <font>
      <b/>
      <sz val="11"/>
      <color rgb="FF0070C0"/>
      <name val="Times New Roman"/>
      <family val="1"/>
    </font>
    <font>
      <sz val="11"/>
      <color rgb="FF0070C0"/>
      <name val="Times New Roman"/>
      <family val="1"/>
    </font>
    <font>
      <sz val="11"/>
      <color rgb="FFFF0000"/>
      <name val="Times New Roman"/>
      <family val="1"/>
    </font>
    <font>
      <b/>
      <sz val="11"/>
      <color rgb="FFFF0000"/>
      <name val="Times New Roman"/>
      <family val="1"/>
    </font>
    <font>
      <b/>
      <sz val="11"/>
      <color indexed="63"/>
      <name val="Times New Roman"/>
      <family val="1"/>
    </font>
    <font>
      <vertAlign val="superscript"/>
      <sz val="11"/>
      <color theme="1"/>
      <name val="Times New Roman"/>
      <family val="1"/>
    </font>
    <font>
      <i/>
      <sz val="11"/>
      <color theme="6" tint="-0.249977111117893"/>
      <name val="Times New Roman"/>
      <family val="1"/>
    </font>
    <font>
      <vertAlign val="superscript"/>
      <sz val="11"/>
      <color rgb="FFFF0000"/>
      <name val="Times New Roman"/>
      <family val="1"/>
    </font>
    <font>
      <strike/>
      <sz val="11"/>
      <color rgb="FF0070C0"/>
      <name val="Times New Roman"/>
      <family val="1"/>
    </font>
    <font>
      <vertAlign val="superscript"/>
      <sz val="11"/>
      <color rgb="FF0070C0"/>
      <name val="Times New Roman"/>
      <family val="1"/>
    </font>
    <font>
      <sz val="14"/>
      <color theme="0"/>
      <name val="Adobe Gothic Std B"/>
      <family val="2"/>
      <charset val="128"/>
    </font>
    <font>
      <sz val="14"/>
      <color theme="5"/>
      <name val="Calibri Light"/>
      <family val="2"/>
      <scheme val="major"/>
    </font>
    <font>
      <sz val="11"/>
      <color theme="3"/>
      <name val="Calibri Light"/>
      <family val="1"/>
      <scheme val="major"/>
    </font>
    <font>
      <sz val="9"/>
      <name val="Calibri"/>
      <family val="2"/>
      <scheme val="minor"/>
    </font>
    <font>
      <b/>
      <sz val="20"/>
      <color theme="0"/>
      <name val="Adobe Gothic Std B"/>
    </font>
    <font>
      <sz val="14"/>
      <color rgb="FF0000C0"/>
      <name val="Adobe Gothic Std B"/>
      <family val="2"/>
      <charset val="128"/>
    </font>
    <font>
      <b/>
      <sz val="16"/>
      <color theme="0"/>
      <name val="Adobe Gothic Std B"/>
    </font>
    <font>
      <b/>
      <sz val="12"/>
      <color theme="5" tint="-0.249977111117893"/>
      <name val="Adobe Gothic Std B"/>
      <family val="2"/>
      <charset val="128"/>
    </font>
    <font>
      <b/>
      <sz val="12"/>
      <color theme="5" tint="-0.249977111117893"/>
      <name val="Calibri"/>
      <family val="2"/>
      <scheme val="minor"/>
    </font>
    <font>
      <b/>
      <sz val="12"/>
      <color rgb="FFFFC000"/>
      <name val="Calibri"/>
      <family val="2"/>
      <scheme val="minor"/>
    </font>
    <font>
      <b/>
      <sz val="12"/>
      <color rgb="FF0000C0"/>
      <name val="Adobe Gothic Std B"/>
      <family val="2"/>
      <charset val="128"/>
    </font>
    <font>
      <b/>
      <sz val="12"/>
      <color rgb="FFFFFF00"/>
      <name val="Calibri"/>
      <family val="2"/>
      <scheme val="minor"/>
    </font>
    <font>
      <b/>
      <u/>
      <sz val="16"/>
      <color theme="0"/>
      <name val="Times New Roman"/>
      <family val="1"/>
    </font>
    <font>
      <b/>
      <sz val="16"/>
      <color theme="0"/>
      <name val="Times New Roman"/>
      <family val="1"/>
    </font>
    <font>
      <b/>
      <sz val="11"/>
      <color theme="5" tint="-0.249977111117893"/>
      <name val="Calibri"/>
      <family val="2"/>
      <scheme val="minor"/>
    </font>
    <font>
      <b/>
      <sz val="11"/>
      <color theme="7"/>
      <name val="Calibri"/>
      <family val="2"/>
      <scheme val="minor"/>
    </font>
    <font>
      <b/>
      <sz val="13.5"/>
      <color rgb="FF0000C0"/>
      <name val="Times New Roman"/>
      <family val="1"/>
    </font>
    <font>
      <sz val="10"/>
      <color theme="0"/>
      <name val="Calibri"/>
      <family val="2"/>
      <scheme val="minor"/>
    </font>
    <font>
      <b/>
      <sz val="11"/>
      <color rgb="FF008E00"/>
      <name val="Times New Roman"/>
      <family val="1"/>
    </font>
    <font>
      <b/>
      <sz val="10"/>
      <color rgb="FF008E00"/>
      <name val="Times New Roman"/>
      <family val="1"/>
    </font>
    <font>
      <b/>
      <sz val="10"/>
      <color theme="4" tint="-0.499984740745262"/>
      <name val="Adobe Gothic Std B"/>
    </font>
    <font>
      <sz val="10"/>
      <color theme="4" tint="-0.499984740745262"/>
      <name val="Calibri"/>
      <family val="2"/>
      <scheme val="minor"/>
    </font>
    <font>
      <b/>
      <sz val="9"/>
      <color indexed="81"/>
      <name val="Tahoma"/>
      <family val="2"/>
    </font>
    <font>
      <b/>
      <sz val="26"/>
      <color theme="0"/>
      <name val="Times New Roman"/>
      <family val="1"/>
    </font>
    <font>
      <b/>
      <sz val="11"/>
      <color theme="0"/>
      <name val="Calibri Light"/>
      <family val="1"/>
      <scheme val="major"/>
    </font>
    <font>
      <sz val="11"/>
      <color theme="1"/>
      <name val="Calibri Light"/>
      <family val="2"/>
      <scheme val="major"/>
    </font>
    <font>
      <b/>
      <sz val="11"/>
      <name val="Cambria"/>
      <family val="1"/>
    </font>
    <font>
      <sz val="11"/>
      <color theme="0"/>
      <name val="Cambria"/>
      <family val="1"/>
    </font>
    <font>
      <sz val="11"/>
      <color theme="1"/>
      <name val="Calibri Light"/>
      <family val="1"/>
      <scheme val="major"/>
    </font>
    <font>
      <b/>
      <sz val="10"/>
      <color theme="1"/>
      <name val="Calibri Light"/>
      <family val="2"/>
      <scheme val="major"/>
    </font>
    <font>
      <sz val="9"/>
      <color rgb="FFFF0000"/>
      <name val="Arial"/>
      <family val="2"/>
    </font>
    <font>
      <b/>
      <sz val="9"/>
      <color rgb="FFFF0000"/>
      <name val="Arial"/>
      <family val="2"/>
    </font>
    <font>
      <sz val="11"/>
      <color theme="1"/>
      <name val="Cambria"/>
      <family val="1"/>
    </font>
    <font>
      <b/>
      <sz val="14"/>
      <name val="Cambria"/>
      <family val="1"/>
    </font>
    <font>
      <b/>
      <sz val="13"/>
      <name val="Cambria"/>
      <family val="1"/>
    </font>
    <font>
      <sz val="18"/>
      <color theme="1"/>
      <name val="Cambria"/>
      <family val="1"/>
    </font>
    <font>
      <b/>
      <sz val="11"/>
      <color theme="0"/>
      <name val="Cambria"/>
      <family val="1"/>
    </font>
    <font>
      <b/>
      <sz val="11"/>
      <name val="Calibri Light"/>
      <family val="2"/>
      <scheme val="major"/>
    </font>
    <font>
      <sz val="13"/>
      <color theme="1"/>
      <name val="Cambria"/>
      <family val="1"/>
    </font>
    <font>
      <b/>
      <sz val="16"/>
      <name val="Arial"/>
      <family val="2"/>
    </font>
    <font>
      <b/>
      <sz val="11"/>
      <color rgb="FFFF0000"/>
      <name val="Arial"/>
      <family val="2"/>
    </font>
    <font>
      <b/>
      <sz val="28"/>
      <color theme="1"/>
      <name val="Arial"/>
      <family val="2"/>
    </font>
    <font>
      <sz val="36"/>
      <color theme="1"/>
      <name val="Arial"/>
      <family val="2"/>
    </font>
    <font>
      <sz val="8"/>
      <color theme="0"/>
      <name val="Calibri Light"/>
      <family val="2"/>
      <scheme val="major"/>
    </font>
  </fonts>
  <fills count="64">
    <fill>
      <patternFill patternType="none"/>
    </fill>
    <fill>
      <patternFill patternType="gray125"/>
    </fill>
    <fill>
      <patternFill patternType="solid">
        <fgColor rgb="FFE39C1D"/>
        <bgColor indexed="64"/>
      </patternFill>
    </fill>
    <fill>
      <patternFill patternType="solid">
        <fgColor theme="0"/>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0" tint="-0.14993743705557422"/>
        <bgColor indexed="64"/>
      </patternFill>
    </fill>
    <fill>
      <patternFill patternType="darkUp">
        <fgColor theme="0" tint="-0.34998626667073579"/>
        <bgColor theme="0" tint="-0.1498458815271462"/>
      </patternFill>
    </fill>
    <fill>
      <patternFill patternType="solid">
        <fgColor theme="0" tint="-0.249977111117893"/>
        <bgColor indexed="64"/>
      </patternFill>
    </fill>
    <fill>
      <patternFill patternType="lightUp">
        <fgColor theme="0" tint="-0.34998626667073579"/>
        <bgColor indexed="65"/>
      </patternFill>
    </fill>
    <fill>
      <patternFill patternType="lightUp">
        <fgColor theme="0" tint="-0.34998626667073579"/>
        <bgColor rgb="FFD9D9D9"/>
      </patternFill>
    </fill>
    <fill>
      <patternFill patternType="lightUp">
        <fgColor theme="0" tint="-0.34998626667073579"/>
        <bgColor theme="0" tint="-0.14999847407452621"/>
      </patternFill>
    </fill>
    <fill>
      <patternFill patternType="darkUp">
        <fgColor theme="0" tint="-0.24994659260841701"/>
        <bgColor theme="0" tint="-0.14993743705557422"/>
      </patternFill>
    </fill>
    <fill>
      <patternFill patternType="darkUp">
        <fgColor theme="0" tint="-0.24994659260841701"/>
        <bgColor theme="0" tint="-0.14996795556505021"/>
      </patternFill>
    </fill>
    <fill>
      <patternFill patternType="darkUp">
        <fgColor theme="0" tint="-0.24994659260841701"/>
        <bgColor rgb="FFD9D9D9"/>
      </patternFill>
    </fill>
    <fill>
      <patternFill patternType="darkUp">
        <fgColor theme="0" tint="-0.34998626667073579"/>
        <bgColor rgb="FFBFBFBF"/>
      </patternFill>
    </fill>
    <fill>
      <patternFill patternType="solid">
        <fgColor rgb="FFFFFFFF"/>
        <bgColor indexed="64"/>
      </patternFill>
    </fill>
    <fill>
      <patternFill patternType="darkUp">
        <fgColor theme="0" tint="-0.34998626667073579"/>
        <bgColor rgb="FFD9D9D9"/>
      </patternFill>
    </fill>
    <fill>
      <patternFill patternType="solid">
        <fgColor theme="2" tint="-0.249977111117893"/>
        <bgColor indexed="64"/>
      </patternFill>
    </fill>
    <fill>
      <patternFill patternType="lightUp">
        <fgColor theme="0" tint="-0.34998626667073579"/>
        <bgColor theme="0" tint="-0.14993743705557422"/>
      </patternFill>
    </fill>
    <fill>
      <patternFill patternType="solid">
        <fgColor theme="8" tint="0.59999389629810485"/>
        <bgColor indexed="64"/>
      </patternFill>
    </fill>
    <fill>
      <patternFill patternType="solid">
        <fgColor theme="4"/>
        <bgColor theme="4"/>
      </patternFill>
    </fill>
    <fill>
      <patternFill patternType="solid">
        <fgColor rgb="FFF75B5B"/>
        <bgColor theme="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2" tint="-0.499984740745262"/>
        <bgColor theme="4"/>
      </patternFill>
    </fill>
    <fill>
      <patternFill patternType="solid">
        <fgColor rgb="FFF75B5B"/>
        <bgColor indexed="64"/>
      </patternFill>
    </fill>
    <fill>
      <patternFill patternType="solid">
        <fgColor theme="2" tint="-0.499984740745262"/>
        <bgColor indexed="64"/>
      </patternFill>
    </fill>
    <fill>
      <patternFill patternType="solid">
        <fgColor theme="9" tint="0.59999389629810485"/>
        <bgColor theme="4"/>
      </patternFill>
    </fill>
    <fill>
      <patternFill patternType="solid">
        <fgColor theme="9" tint="0.79998168889431442"/>
        <bgColor indexed="64"/>
      </patternFill>
    </fill>
    <fill>
      <patternFill patternType="solid">
        <fgColor theme="5" tint="0.59999389629810485"/>
        <bgColor theme="4"/>
      </patternFill>
    </fill>
    <fill>
      <patternFill patternType="solid">
        <fgColor theme="5" tint="0.79998168889431442"/>
        <bgColor indexed="64"/>
      </patternFill>
    </fill>
    <fill>
      <patternFill patternType="solid">
        <fgColor theme="4" tint="-0.249977111117893"/>
        <bgColor theme="4"/>
      </patternFill>
    </fill>
    <fill>
      <patternFill patternType="solid">
        <fgColor theme="4" tint="0.59999389629810485"/>
        <bgColor indexed="64"/>
      </patternFill>
    </fill>
    <fill>
      <patternFill patternType="solid">
        <fgColor rgb="FF8CC068"/>
        <bgColor indexed="64"/>
      </patternFill>
    </fill>
    <fill>
      <patternFill patternType="solid">
        <fgColor rgb="FF8CC068"/>
        <bgColor theme="4"/>
      </patternFill>
    </fill>
    <fill>
      <patternFill patternType="solid">
        <fgColor rgb="FF002060"/>
        <bgColor indexed="64"/>
      </patternFill>
    </fill>
    <fill>
      <patternFill patternType="solid">
        <fgColor rgb="FF1F4E78"/>
        <bgColor indexed="64"/>
      </patternFill>
    </fill>
    <fill>
      <patternFill patternType="solid">
        <fgColor rgb="FF44546A"/>
        <bgColor indexed="64"/>
      </patternFill>
    </fill>
    <fill>
      <patternFill patternType="solid">
        <fgColor rgb="FFD9E1F2"/>
        <bgColor indexed="64"/>
      </patternFill>
    </fill>
    <fill>
      <patternFill patternType="solid">
        <fgColor rgb="FFFFF2CC"/>
        <bgColor indexed="64"/>
      </patternFill>
    </fill>
    <fill>
      <patternFill patternType="solid">
        <fgColor theme="5" tint="0.59999389629810485"/>
        <bgColor indexed="64"/>
      </patternFill>
    </fill>
    <fill>
      <patternFill patternType="solid">
        <fgColor rgb="FFFFFFCC"/>
      </patternFill>
    </fill>
    <fill>
      <patternFill patternType="solid">
        <fgColor theme="6" tint="0.59999389629810485"/>
        <bgColor indexed="65"/>
      </patternFill>
    </fill>
    <fill>
      <patternFill patternType="solid">
        <fgColor rgb="FFFFFFCC"/>
        <bgColor indexed="64"/>
      </patternFill>
    </fill>
    <fill>
      <patternFill patternType="solid">
        <fgColor theme="0" tint="-0.499984740745262"/>
        <bgColor indexed="64"/>
      </patternFill>
    </fill>
    <fill>
      <patternFill patternType="solid">
        <fgColor rgb="FFFFC000"/>
        <bgColor indexed="64"/>
      </patternFill>
    </fill>
    <fill>
      <patternFill patternType="solid">
        <fgColor theme="1" tint="0.34998626667073579"/>
        <bgColor indexed="64"/>
      </patternFill>
    </fill>
    <fill>
      <patternFill patternType="solid">
        <fgColor rgb="FFFFFF00"/>
        <bgColor indexed="64"/>
      </patternFill>
    </fill>
    <fill>
      <patternFill patternType="solid">
        <fgColor indexed="22"/>
        <bgColor indexed="64"/>
      </patternFill>
    </fill>
    <fill>
      <patternFill patternType="solid">
        <fgColor rgb="FF0000C0"/>
        <bgColor indexed="64"/>
      </patternFill>
    </fill>
    <fill>
      <patternFill patternType="solid">
        <fgColor rgb="FF008E00"/>
        <bgColor indexed="64"/>
      </patternFill>
    </fill>
    <fill>
      <patternFill patternType="solid">
        <fgColor rgb="FFFF0000"/>
        <bgColor indexed="64"/>
      </patternFill>
    </fill>
    <fill>
      <patternFill patternType="solid">
        <fgColor theme="9"/>
        <bgColor theme="9"/>
      </patternFill>
    </fill>
    <fill>
      <patternFill patternType="solid">
        <fgColor theme="8"/>
        <bgColor theme="8"/>
      </patternFill>
    </fill>
    <fill>
      <patternFill patternType="solid">
        <fgColor theme="0" tint="-0.34998626667073579"/>
        <bgColor indexed="64"/>
      </patternFill>
    </fill>
    <fill>
      <patternFill patternType="solid">
        <fgColor theme="0" tint="-0.14996795556505021"/>
        <bgColor indexed="64"/>
      </patternFill>
    </fill>
    <fill>
      <patternFill patternType="solid">
        <fgColor theme="2" tint="-9.9948118533890809E-2"/>
        <bgColor indexed="64"/>
      </patternFill>
    </fill>
  </fills>
  <borders count="23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medium">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dashed">
        <color theme="0" tint="-0.499984740745262"/>
      </top>
      <bottom style="dashed">
        <color theme="0" tint="-0.499984740745262"/>
      </bottom>
      <diagonal/>
    </border>
    <border>
      <left/>
      <right/>
      <top style="dashed">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bottom style="dashed">
        <color theme="1" tint="0.499984740745262"/>
      </bottom>
      <diagonal/>
    </border>
    <border>
      <left/>
      <right/>
      <top style="dashed">
        <color theme="1" tint="0.499984740745262"/>
      </top>
      <bottom style="dashed">
        <color theme="1" tint="0.499984740745262"/>
      </bottom>
      <diagonal/>
    </border>
    <border>
      <left/>
      <right/>
      <top style="dashed">
        <color theme="1" tint="0.499984740745262"/>
      </top>
      <bottom/>
      <diagonal/>
    </border>
    <border>
      <left style="thin">
        <color theme="0" tint="-0.499984740745262"/>
      </left>
      <right style="thin">
        <color theme="0" tint="-0.499984740745262"/>
      </right>
      <top/>
      <bottom style="thin">
        <color theme="0" tint="-0.499984740745262"/>
      </bottom>
      <diagonal/>
    </border>
    <border>
      <left/>
      <right style="thin">
        <color auto="1"/>
      </right>
      <top/>
      <bottom style="thin">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top style="dashed">
        <color theme="0" tint="-0.499984740745262"/>
      </top>
      <bottom style="dashed">
        <color theme="1" tint="0.499984740745262"/>
      </bottom>
      <diagonal/>
    </border>
    <border>
      <left/>
      <right/>
      <top style="dashed">
        <color theme="1" tint="0.499984740745262"/>
      </top>
      <bottom style="dashed">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bottom style="dashed">
        <color theme="0" tint="-0.24994659260841701"/>
      </bottom>
      <diagonal/>
    </border>
    <border>
      <left style="thin">
        <color theme="0" tint="-0.499984740745262"/>
      </left>
      <right style="thin">
        <color theme="0" tint="-0.499984740745262"/>
      </right>
      <top/>
      <bottom style="dashed">
        <color theme="0"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0" tint="-0.499984740745262"/>
      </right>
      <top/>
      <bottom style="dashed">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right style="thin">
        <color theme="0" tint="-0.24994659260841701"/>
      </right>
      <top style="thin">
        <color theme="0" tint="-0.499984740745262"/>
      </top>
      <bottom style="thin">
        <color theme="0" tint="-0.499984740745262"/>
      </bottom>
      <diagonal/>
    </border>
    <border>
      <left style="thin">
        <color theme="0" tint="-0.24994659260841701"/>
      </left>
      <right/>
      <top style="thin">
        <color theme="0" tint="-0.499984740745262"/>
      </top>
      <bottom style="thin">
        <color theme="0" tint="-0.499984740745262"/>
      </bottom>
      <diagonal/>
    </border>
    <border>
      <left/>
      <right/>
      <top/>
      <bottom style="dashed">
        <color auto="1"/>
      </bottom>
      <diagonal/>
    </border>
    <border>
      <left/>
      <right/>
      <top style="dashed">
        <color theme="1" tint="0.499984740745262"/>
      </top>
      <bottom style="dashed">
        <color auto="1"/>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style="double">
        <color theme="1" tint="0.499984740745262"/>
      </right>
      <top style="thin">
        <color theme="1" tint="0.499984740745262"/>
      </top>
      <bottom/>
      <diagonal/>
    </border>
    <border>
      <left style="double">
        <color theme="1" tint="0.499984740745262"/>
      </left>
      <right/>
      <top style="thin">
        <color theme="1" tint="0.499984740745262"/>
      </top>
      <bottom style="thin">
        <color theme="1" tint="0.499984740745262"/>
      </bottom>
      <diagonal/>
    </border>
    <border>
      <left/>
      <right style="double">
        <color theme="1" tint="0.499984740745262"/>
      </right>
      <top style="thin">
        <color theme="1" tint="0.499984740745262"/>
      </top>
      <bottom style="thin">
        <color theme="1" tint="0.499984740745262"/>
      </bottom>
      <diagonal/>
    </border>
    <border>
      <left style="double">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
      <left style="double">
        <color theme="1" tint="0.499984740745262"/>
      </left>
      <right style="thin">
        <color theme="1" tint="0.499984740745262"/>
      </right>
      <top style="thin">
        <color theme="1" tint="0.499984740745262"/>
      </top>
      <bottom/>
      <diagonal/>
    </border>
    <border>
      <left style="thin">
        <color theme="1" tint="0.499984740745262"/>
      </left>
      <right style="double">
        <color theme="1" tint="0.499984740745262"/>
      </right>
      <top/>
      <bottom style="thin">
        <color theme="1" tint="0.499984740745262"/>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1" tint="0.499984740745262"/>
      </left>
      <right style="thin">
        <color auto="1"/>
      </right>
      <top style="thin">
        <color theme="1" tint="0.499984740745262"/>
      </top>
      <bottom/>
      <diagonal/>
    </border>
    <border>
      <left style="thin">
        <color auto="1"/>
      </left>
      <right style="thin">
        <color auto="1"/>
      </right>
      <top style="thin">
        <color theme="1" tint="0.499984740745262"/>
      </top>
      <bottom/>
      <diagonal/>
    </border>
    <border>
      <left style="thin">
        <color auto="1"/>
      </left>
      <right/>
      <top style="thin">
        <color theme="1" tint="0.499984740745262"/>
      </top>
      <bottom/>
      <diagonal/>
    </border>
    <border>
      <left style="thin">
        <color theme="1" tint="0.499984740745262"/>
      </left>
      <right style="thin">
        <color auto="1"/>
      </right>
      <top/>
      <bottom/>
      <diagonal/>
    </border>
    <border>
      <left style="thin">
        <color auto="1"/>
      </left>
      <right style="thin">
        <color auto="1"/>
      </right>
      <top/>
      <bottom/>
      <diagonal/>
    </border>
    <border>
      <left style="thin">
        <color auto="1"/>
      </left>
      <right style="thin">
        <color theme="1" tint="0.499984740745262"/>
      </right>
      <top/>
      <bottom/>
      <diagonal/>
    </border>
    <border>
      <left style="thin">
        <color theme="1" tint="0.499984740745262"/>
      </left>
      <right style="thin">
        <color auto="1"/>
      </right>
      <top/>
      <bottom style="thin">
        <color theme="1" tint="0.499984740745262"/>
      </bottom>
      <diagonal/>
    </border>
    <border>
      <left style="thin">
        <color auto="1"/>
      </left>
      <right style="thin">
        <color auto="1"/>
      </right>
      <top/>
      <bottom style="thin">
        <color theme="1" tint="0.499984740745262"/>
      </bottom>
      <diagonal/>
    </border>
    <border>
      <left style="thin">
        <color auto="1"/>
      </left>
      <right/>
      <top/>
      <bottom style="thin">
        <color theme="1" tint="0.499984740745262"/>
      </bottom>
      <diagonal/>
    </border>
    <border>
      <left style="thin">
        <color theme="1" tint="0.499984740745262"/>
      </left>
      <right style="thin">
        <color auto="1"/>
      </right>
      <top style="thin">
        <color theme="1" tint="0.499984740745262"/>
      </top>
      <bottom style="thin">
        <color theme="1" tint="0.499984740745262"/>
      </bottom>
      <diagonal/>
    </border>
    <border>
      <left style="thin">
        <color auto="1"/>
      </left>
      <right style="thin">
        <color auto="1"/>
      </right>
      <top style="thin">
        <color theme="1" tint="0.499984740745262"/>
      </top>
      <bottom style="thin">
        <color theme="1" tint="0.499984740745262"/>
      </bottom>
      <diagonal/>
    </border>
    <border>
      <left style="thin">
        <color auto="1"/>
      </left>
      <right style="thin">
        <color theme="1" tint="0.499984740745262"/>
      </right>
      <top style="thin">
        <color theme="1" tint="0.499984740745262"/>
      </top>
      <bottom style="thin">
        <color theme="1" tint="0.499984740745262"/>
      </bottom>
      <diagonal/>
    </border>
    <border>
      <left style="thin">
        <color auto="1"/>
      </left>
      <right/>
      <top style="thin">
        <color theme="1" tint="0.499984740745262"/>
      </top>
      <bottom style="thin">
        <color theme="1" tint="0.499984740745262"/>
      </bottom>
      <diagonal/>
    </border>
    <border>
      <left style="thin">
        <color rgb="FF808080"/>
      </left>
      <right/>
      <top style="thin">
        <color theme="1" tint="0.499984740745262"/>
      </top>
      <bottom style="thin">
        <color rgb="FF808080"/>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theme="1" tint="0.499984740745262"/>
      </right>
      <top style="thin">
        <color rgb="FF808080"/>
      </top>
      <bottom style="thin">
        <color rgb="FF808080"/>
      </bottom>
      <diagonal/>
    </border>
    <border>
      <left style="thin">
        <color rgb="FF808080"/>
      </left>
      <right/>
      <top style="thin">
        <color rgb="FF808080"/>
      </top>
      <bottom style="thin">
        <color theme="1" tint="0.499984740745262"/>
      </bottom>
      <diagonal/>
    </border>
    <border>
      <left/>
      <right/>
      <top style="thin">
        <color rgb="FF808080"/>
      </top>
      <bottom style="thin">
        <color theme="1" tint="0.499984740745262"/>
      </bottom>
      <diagonal/>
    </border>
    <border>
      <left/>
      <right style="thin">
        <color theme="1" tint="0.499984740745262"/>
      </right>
      <top style="thin">
        <color rgb="FF808080"/>
      </top>
      <bottom style="thin">
        <color theme="1" tint="0.499984740745262"/>
      </bottom>
      <diagonal/>
    </border>
    <border>
      <left style="thin">
        <color theme="1" tint="0.499984740745262"/>
      </left>
      <right style="thin">
        <color auto="1"/>
      </right>
      <top style="thin">
        <color theme="1" tint="0.499984740745262"/>
      </top>
      <bottom style="thin">
        <color auto="1"/>
      </bottom>
      <diagonal/>
    </border>
    <border>
      <left style="thin">
        <color auto="1"/>
      </left>
      <right style="thin">
        <color theme="1" tint="0.499984740745262"/>
      </right>
      <top style="thin">
        <color theme="1" tint="0.499984740745262"/>
      </top>
      <bottom style="thin">
        <color auto="1"/>
      </bottom>
      <diagonal/>
    </border>
    <border>
      <left style="thin">
        <color theme="1" tint="0.499984740745262"/>
      </left>
      <right style="thin">
        <color auto="1"/>
      </right>
      <top style="thin">
        <color auto="1"/>
      </top>
      <bottom/>
      <diagonal/>
    </border>
    <border>
      <left style="thin">
        <color auto="1"/>
      </left>
      <right style="thin">
        <color theme="1" tint="0.499984740745262"/>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dashed">
        <color auto="1"/>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right/>
      <top style="thin">
        <color theme="0" tint="-0.34998626667073579"/>
      </top>
      <bottom style="thin">
        <color theme="0" tint="-0.34998626667073579"/>
      </bottom>
      <diagonal/>
    </border>
    <border>
      <left/>
      <right/>
      <top/>
      <bottom style="dashed">
        <color theme="0" tint="-0.34998626667073579"/>
      </bottom>
      <diagonal/>
    </border>
    <border>
      <left/>
      <right/>
      <top style="dashed">
        <color theme="0" tint="-0.34998626667073579"/>
      </top>
      <bottom style="dashed">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34998626667073579"/>
      </top>
      <bottom/>
      <diagonal/>
    </border>
    <border>
      <left style="thin">
        <color theme="0" tint="-0.24994659260841701"/>
      </left>
      <right/>
      <top style="thin">
        <color theme="0" tint="-0.34998626667073579"/>
      </top>
      <bottom/>
      <diagonal/>
    </border>
    <border>
      <left/>
      <right style="thin">
        <color theme="0" tint="-0.24994659260841701"/>
      </right>
      <top style="thin">
        <color theme="0" tint="-0.34998626667073579"/>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style="dashed">
        <color theme="0" tint="-0.24994659260841701"/>
      </top>
      <bottom style="dashed">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34998626667073579"/>
      </bottom>
      <diagonal/>
    </border>
    <border>
      <left style="thin">
        <color theme="0" tint="-0.24994659260841701"/>
      </left>
      <right style="thin">
        <color theme="0" tint="-0.24994659260841701"/>
      </right>
      <top/>
      <bottom style="thin">
        <color theme="0" tint="-0.34998626667073579"/>
      </bottom>
      <diagonal/>
    </border>
    <border>
      <left style="thin">
        <color theme="0" tint="-0.24994659260841701"/>
      </left>
      <right style="thin">
        <color theme="0" tint="-0.24994659260841701"/>
      </right>
      <top style="dashed">
        <color theme="0" tint="-0.24994659260841701"/>
      </top>
      <bottom style="thin">
        <color theme="0" tint="-0.24994659260841701"/>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bottom style="dashed">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dashed">
        <color theme="0" tint="-0.499984740745262"/>
      </top>
      <bottom/>
      <diagonal/>
    </border>
    <border>
      <left/>
      <right style="thin">
        <color theme="0" tint="-0.34998626667073579"/>
      </right>
      <top/>
      <bottom style="thin">
        <color theme="0" tint="-0.34998626667073579"/>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thin">
        <color theme="0" tint="-0.499984740745262"/>
      </right>
      <top style="dashed">
        <color theme="0" tint="-0.499984740745262"/>
      </top>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double">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hair">
        <color auto="1"/>
      </bottom>
      <diagonal/>
    </border>
    <border>
      <left/>
      <right style="thin">
        <color theme="0" tint="-0.499984740745262"/>
      </right>
      <top style="thin">
        <color theme="0" tint="-0.499984740745262"/>
      </top>
      <bottom style="hair">
        <color auto="1"/>
      </bottom>
      <diagonal/>
    </border>
    <border>
      <left style="thin">
        <color theme="0" tint="-0.499984740745262"/>
      </left>
      <right style="thin">
        <color theme="0" tint="-0.499984740745262"/>
      </right>
      <top style="hair">
        <color auto="1"/>
      </top>
      <bottom/>
      <diagonal/>
    </border>
    <border>
      <left/>
      <right style="thin">
        <color theme="0" tint="-0.499984740745262"/>
      </right>
      <top style="hair">
        <color auto="1"/>
      </top>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right/>
      <top style="thin">
        <color theme="1" tint="0.499984740745262"/>
      </top>
      <bottom style="dashed">
        <color theme="1" tint="0.499984740745262"/>
      </bottom>
      <diagonal/>
    </border>
    <border>
      <left/>
      <right style="thin">
        <color theme="1" tint="0.499984740745262"/>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right/>
      <top style="dashed">
        <color theme="1" tint="0.499984740745262"/>
      </top>
      <bottom style="thin">
        <color theme="1" tint="0.499984740745262"/>
      </bottom>
      <diagonal/>
    </border>
    <border>
      <left/>
      <right/>
      <top style="thin">
        <color theme="1" tint="0.499984740745262"/>
      </top>
      <bottom style="dashed">
        <color theme="0" tint="-0.499984740745262"/>
      </bottom>
      <diagonal/>
    </border>
    <border>
      <left/>
      <right style="thin">
        <color theme="1" tint="0.499984740745262"/>
      </right>
      <top style="thin">
        <color theme="1" tint="0.499984740745262"/>
      </top>
      <bottom style="dashed">
        <color theme="0" tint="-0.499984740745262"/>
      </bottom>
      <diagonal/>
    </border>
    <border>
      <left/>
      <right style="thin">
        <color theme="1" tint="0.499984740745262"/>
      </right>
      <top/>
      <bottom style="dashed">
        <color theme="0" tint="-0.49998474074526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style="thin">
        <color theme="4" tint="0.39997558519241921"/>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medium">
        <color rgb="FF0070C0"/>
      </top>
      <bottom style="medium">
        <color rgb="FF0070C0"/>
      </bottom>
      <diagonal/>
    </border>
    <border>
      <left/>
      <right/>
      <top style="medium">
        <color rgb="FF0070C0"/>
      </top>
      <bottom/>
      <diagonal/>
    </border>
    <border>
      <left style="thin">
        <color rgb="FF0070C0"/>
      </left>
      <right/>
      <top style="medium">
        <color rgb="FF0070C0"/>
      </top>
      <bottom style="medium">
        <color rgb="FF0070C0"/>
      </bottom>
      <diagonal/>
    </border>
    <border>
      <left/>
      <right style="thin">
        <color theme="4" tint="0.39997558519241921"/>
      </right>
      <top/>
      <bottom/>
      <diagonal/>
    </border>
    <border>
      <left style="medium">
        <color rgb="FF0070C0"/>
      </left>
      <right/>
      <top style="medium">
        <color rgb="FF0070C0"/>
      </top>
      <bottom style="medium">
        <color rgb="FF0070C0"/>
      </bottom>
      <diagonal/>
    </border>
    <border>
      <left/>
      <right/>
      <top/>
      <bottom style="medium">
        <color rgb="FF0070C0"/>
      </bottom>
      <diagonal/>
    </border>
    <border>
      <left style="thin">
        <color indexed="64"/>
      </left>
      <right style="thin">
        <color auto="1"/>
      </right>
      <top style="thin">
        <color auto="1"/>
      </top>
      <bottom/>
      <diagonal/>
    </border>
    <border>
      <left style="thin">
        <color indexed="64"/>
      </left>
      <right style="thin">
        <color auto="1"/>
      </right>
      <top/>
      <bottom style="thin">
        <color auto="1"/>
      </bottom>
      <diagonal/>
    </border>
    <border>
      <left style="thin">
        <color theme="0" tint="-0.499984740745262"/>
      </left>
      <right/>
      <top style="thin">
        <color indexed="64"/>
      </top>
      <bottom style="thin">
        <color indexed="64"/>
      </bottom>
      <diagonal/>
    </border>
    <border>
      <left/>
      <right style="thin">
        <color theme="0" tint="-0.499984740745262"/>
      </right>
      <top style="thin">
        <color indexed="64"/>
      </top>
      <bottom style="thin">
        <color indexed="64"/>
      </bottom>
      <diagonal/>
    </border>
    <border>
      <left style="thin">
        <color theme="0" tint="-0.499984740745262"/>
      </left>
      <right/>
      <top/>
      <bottom style="dashed">
        <color theme="0" tint="-0.499984740745262"/>
      </bottom>
      <diagonal/>
    </border>
    <border>
      <left style="thin">
        <color theme="1" tint="0.499984740745262"/>
      </left>
      <right/>
      <top style="thin">
        <color theme="0" tint="-0.499984740745262"/>
      </top>
      <bottom style="thin">
        <color theme="1" tint="0.499984740745262"/>
      </bottom>
      <diagonal/>
    </border>
    <border>
      <left/>
      <right/>
      <top style="thin">
        <color theme="0" tint="-0.499984740745262"/>
      </top>
      <bottom style="thin">
        <color theme="1" tint="0.499984740745262"/>
      </bottom>
      <diagonal/>
    </border>
    <border>
      <left/>
      <right style="thin">
        <color theme="1" tint="0.499984740745262"/>
      </right>
      <top style="thin">
        <color theme="0" tint="-0.499984740745262"/>
      </top>
      <bottom style="thin">
        <color theme="1" tint="0.499984740745262"/>
      </bottom>
      <diagonal/>
    </border>
    <border>
      <left/>
      <right/>
      <top style="dashed">
        <color theme="0" tint="-0.499984740745262"/>
      </top>
      <bottom style="dashed">
        <color theme="0" tint="-0.24994659260841701"/>
      </bottom>
      <diagonal/>
    </border>
    <border>
      <left/>
      <right/>
      <top style="dashed">
        <color theme="0" tint="-0.24994659260841701"/>
      </top>
      <bottom style="dashed">
        <color theme="0" tint="-0.499984740745262"/>
      </bottom>
      <diagonal/>
    </border>
    <border>
      <left/>
      <right/>
      <top style="dashed">
        <color theme="0" tint="-0.24994659260841701"/>
      </top>
      <bottom/>
      <diagonal/>
    </border>
    <border>
      <left style="thin">
        <color rgb="FFB2B2B2"/>
      </left>
      <right style="thin">
        <color rgb="FFB2B2B2"/>
      </right>
      <top style="thin">
        <color rgb="FFB2B2B2"/>
      </top>
      <bottom style="thin">
        <color rgb="FFB2B2B2"/>
      </bottom>
      <diagonal/>
    </border>
    <border>
      <left/>
      <right/>
      <top/>
      <bottom style="thick">
        <color rgb="FFFFC000"/>
      </bottom>
      <diagonal/>
    </border>
    <border>
      <left/>
      <right/>
      <top style="thin">
        <color theme="2"/>
      </top>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style="thin">
        <color theme="1" tint="0.499984740745262"/>
      </left>
      <right style="thin">
        <color theme="0" tint="-0.499984740745262"/>
      </right>
      <top style="thin">
        <color theme="1" tint="0.499984740745262"/>
      </top>
      <bottom style="thin">
        <color theme="1" tint="0.499984740745262"/>
      </bottom>
      <diagonal/>
    </border>
    <border>
      <left style="thin">
        <color theme="0" tint="-0.24994659260841701"/>
      </left>
      <right style="thin">
        <color theme="0" tint="-0.34998626667073579"/>
      </right>
      <top/>
      <bottom/>
      <diagonal/>
    </border>
    <border>
      <left style="thin">
        <color theme="0" tint="-0.24994659260841701"/>
      </left>
      <right style="thin">
        <color theme="0" tint="-0.34998626667073579"/>
      </right>
      <top style="dashed">
        <color theme="0" tint="-0.24994659260841701"/>
      </top>
      <bottom style="dashed">
        <color theme="0" tint="-0.24994659260841701"/>
      </bottom>
      <diagonal/>
    </border>
    <border>
      <left style="thin">
        <color theme="0" tint="-0.24994659260841701"/>
      </left>
      <right style="thin">
        <color theme="0" tint="-0.34998626667073579"/>
      </right>
      <top style="double">
        <color theme="0" tint="-0.24994659260841701"/>
      </top>
      <bottom style="double">
        <color theme="0" tint="-0.24994659260841701"/>
      </bottom>
      <diagonal/>
    </border>
    <border>
      <left style="thin">
        <color theme="0" tint="-0.24994659260841701"/>
      </left>
      <right style="thin">
        <color theme="0" tint="-0.34998626667073579"/>
      </right>
      <top style="dashed">
        <color theme="0" tint="-0.24994659260841701"/>
      </top>
      <bottom style="thin">
        <color theme="0" tint="-0.24994659260841701"/>
      </bottom>
      <diagonal/>
    </border>
    <border>
      <left style="thin">
        <color theme="0" tint="-0.24994659260841701"/>
      </left>
      <right style="thin">
        <color theme="0" tint="-0.24994659260841701"/>
      </right>
      <top style="double">
        <color theme="0" tint="-0.24994659260841701"/>
      </top>
      <bottom/>
      <diagonal/>
    </border>
    <border>
      <left style="thin">
        <color theme="1" tint="0.499984740745262"/>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thin">
        <color theme="1" tint="0.499984740745262"/>
      </right>
      <top style="medium">
        <color theme="1" tint="0.499984740745262"/>
      </top>
      <bottom style="medium">
        <color theme="1" tint="0.499984740745262"/>
      </bottom>
      <diagonal/>
    </border>
    <border>
      <left style="thin">
        <color theme="0"/>
      </left>
      <right style="thin">
        <color theme="0"/>
      </right>
      <top style="thick">
        <color theme="0"/>
      </top>
      <bottom style="thin">
        <color theme="0"/>
      </bottom>
      <diagonal/>
    </border>
    <border>
      <left style="thin">
        <color theme="0"/>
      </left>
      <right/>
      <top style="thick">
        <color theme="0"/>
      </top>
      <bottom style="thin">
        <color theme="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indexed="64"/>
      </left>
      <right style="medium">
        <color indexed="64"/>
      </right>
      <top style="medium">
        <color indexed="64"/>
      </top>
      <bottom style="medium">
        <color indexed="64"/>
      </bottom>
      <diagonal/>
    </border>
    <border>
      <left style="medium">
        <color auto="1"/>
      </left>
      <right style="medium">
        <color indexed="64"/>
      </right>
      <top style="thin">
        <color indexed="64"/>
      </top>
      <bottom style="medium">
        <color auto="1"/>
      </bottom>
      <diagonal/>
    </border>
    <border>
      <left style="medium">
        <color indexed="64"/>
      </left>
      <right/>
      <top style="thin">
        <color indexed="64"/>
      </top>
      <bottom style="medium">
        <color auto="1"/>
      </bottom>
      <diagonal/>
    </border>
    <border>
      <left/>
      <right style="medium">
        <color indexed="64"/>
      </right>
      <top style="thin">
        <color indexed="64"/>
      </top>
      <bottom style="medium">
        <color auto="1"/>
      </bottom>
      <diagonal/>
    </border>
    <border>
      <left style="medium">
        <color auto="1"/>
      </left>
      <right style="medium">
        <color auto="1"/>
      </right>
      <top style="hair">
        <color indexed="64"/>
      </top>
      <bottom/>
      <diagonal/>
    </border>
    <border>
      <left style="medium">
        <color indexed="64"/>
      </left>
      <right/>
      <top style="hair">
        <color indexed="64"/>
      </top>
      <bottom/>
      <diagonal/>
    </border>
    <border>
      <left style="medium">
        <color auto="1"/>
      </left>
      <right style="medium">
        <color auto="1"/>
      </right>
      <top/>
      <bottom style="hair">
        <color indexed="64"/>
      </bottom>
      <diagonal/>
    </border>
    <border>
      <left style="medium">
        <color indexed="64"/>
      </left>
      <right/>
      <top/>
      <bottom style="hair">
        <color indexed="64"/>
      </bottom>
      <diagonal/>
    </border>
    <border>
      <left style="medium">
        <color auto="1"/>
      </left>
      <right style="mediumDashDotDot">
        <color auto="1"/>
      </right>
      <top style="medium">
        <color auto="1"/>
      </top>
      <bottom/>
      <diagonal/>
    </border>
    <border>
      <left style="mediumDashDotDot">
        <color auto="1"/>
      </left>
      <right style="medium">
        <color auto="1"/>
      </right>
      <top style="medium">
        <color auto="1"/>
      </top>
      <bottom/>
      <diagonal/>
    </border>
    <border>
      <left style="medium">
        <color auto="1"/>
      </left>
      <right style="mediumDashDotDot">
        <color auto="1"/>
      </right>
      <top/>
      <bottom/>
      <diagonal/>
    </border>
    <border>
      <left style="mediumDashDotDot">
        <color auto="1"/>
      </left>
      <right style="medium">
        <color auto="1"/>
      </right>
      <top/>
      <bottom/>
      <diagonal/>
    </border>
    <border>
      <left style="medium">
        <color auto="1"/>
      </left>
      <right style="mediumDashDotDot">
        <color auto="1"/>
      </right>
      <top/>
      <bottom style="medium">
        <color auto="1"/>
      </bottom>
      <diagonal/>
    </border>
    <border>
      <left style="mediumDashDotDot">
        <color auto="1"/>
      </left>
      <right style="medium">
        <color auto="1"/>
      </right>
      <top/>
      <bottom style="medium">
        <color auto="1"/>
      </bottom>
      <diagonal/>
    </border>
    <border>
      <left style="medium">
        <color auto="1"/>
      </left>
      <right style="mediumDashDotDot">
        <color auto="1"/>
      </right>
      <top style="medium">
        <color auto="1"/>
      </top>
      <bottom style="medium">
        <color auto="1"/>
      </bottom>
      <diagonal/>
    </border>
    <border>
      <left style="mediumDashDotDot">
        <color auto="1"/>
      </left>
      <right style="medium">
        <color auto="1"/>
      </right>
      <top style="medium">
        <color auto="1"/>
      </top>
      <bottom style="medium">
        <color auto="1"/>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s>
  <cellStyleXfs count="18">
    <xf numFmtId="0" fontId="0" fillId="0" borderId="0"/>
    <xf numFmtId="0" fontId="27" fillId="0" borderId="0"/>
    <xf numFmtId="0" fontId="41" fillId="0" borderId="0" applyNumberFormat="0" applyFill="0" applyBorder="0" applyAlignment="0" applyProtection="0"/>
    <xf numFmtId="166" fontId="1" fillId="0" borderId="0" applyFont="0" applyFill="0" applyBorder="0" applyAlignment="0" applyProtection="0"/>
    <xf numFmtId="0" fontId="50" fillId="0" borderId="0"/>
    <xf numFmtId="165" fontId="1" fillId="0" borderId="0" applyFont="0" applyFill="0" applyBorder="0" applyAlignment="0" applyProtection="0"/>
    <xf numFmtId="0" fontId="1" fillId="48" borderId="193" applyNumberFormat="0" applyFont="0" applyAlignment="0" applyProtection="0"/>
    <xf numFmtId="0" fontId="1" fillId="49" borderId="0" applyNumberFormat="0" applyBorder="0" applyAlignment="0" applyProtection="0"/>
    <xf numFmtId="0" fontId="1" fillId="0" borderId="0"/>
    <xf numFmtId="0" fontId="27" fillId="0" borderId="0"/>
    <xf numFmtId="169" fontId="27" fillId="0" borderId="0" applyFont="0" applyFill="0" applyBorder="0" applyAlignment="0" applyProtection="0"/>
    <xf numFmtId="165" fontId="1" fillId="0" borderId="0" applyFont="0" applyFill="0" applyBorder="0" applyAlignment="0" applyProtection="0"/>
    <xf numFmtId="0" fontId="1" fillId="0" borderId="0"/>
    <xf numFmtId="0" fontId="69" fillId="0" borderId="0"/>
    <xf numFmtId="0" fontId="158" fillId="0" borderId="0">
      <alignment horizontal="left" vertical="center" indent="2"/>
    </xf>
    <xf numFmtId="0" fontId="1" fillId="0" borderId="0"/>
    <xf numFmtId="9" fontId="1" fillId="0" borderId="0" applyFont="0" applyFill="0" applyBorder="0" applyAlignment="0" applyProtection="0"/>
    <xf numFmtId="164" fontId="1" fillId="0" borderId="0" applyFont="0" applyFill="0" applyBorder="0" applyAlignment="0" applyProtection="0"/>
  </cellStyleXfs>
  <cellXfs count="2310">
    <xf numFmtId="0" fontId="0" fillId="0" borderId="0" xfId="0"/>
    <xf numFmtId="0" fontId="110" fillId="0" borderId="0" xfId="0" applyFont="1"/>
    <xf numFmtId="0" fontId="109" fillId="27" borderId="175" xfId="0" applyFont="1" applyFill="1" applyBorder="1" applyAlignment="1">
      <alignment horizontal="left" vertical="center"/>
    </xf>
    <xf numFmtId="0" fontId="109" fillId="27" borderId="173" xfId="0" applyFont="1" applyFill="1" applyBorder="1" applyAlignment="1">
      <alignment horizontal="left" vertical="center"/>
    </xf>
    <xf numFmtId="49" fontId="118" fillId="0" borderId="0" xfId="0" applyNumberFormat="1" applyFont="1" applyAlignment="1">
      <alignment horizontal="left" vertical="center"/>
    </xf>
    <xf numFmtId="0" fontId="110" fillId="0" borderId="183" xfId="0" applyFont="1" applyBorder="1" applyAlignment="1">
      <alignment horizontal="left"/>
    </xf>
    <xf numFmtId="49" fontId="110" fillId="0" borderId="7" xfId="0" applyNumberFormat="1" applyFont="1" applyBorder="1"/>
    <xf numFmtId="49" fontId="110" fillId="0" borderId="182" xfId="0" applyNumberFormat="1" applyFont="1" applyBorder="1"/>
    <xf numFmtId="49" fontId="110" fillId="0" borderId="5" xfId="0" applyNumberFormat="1" applyFont="1" applyBorder="1"/>
    <xf numFmtId="1" fontId="110" fillId="0" borderId="0" xfId="0" applyNumberFormat="1" applyFont="1"/>
    <xf numFmtId="0" fontId="0" fillId="3" borderId="0" xfId="0" applyFill="1"/>
    <xf numFmtId="49" fontId="118" fillId="0" borderId="0" xfId="0" applyNumberFormat="1" applyFont="1"/>
    <xf numFmtId="0" fontId="128" fillId="3" borderId="0" xfId="0" applyFont="1" applyFill="1"/>
    <xf numFmtId="0" fontId="1" fillId="46" borderId="174" xfId="0" applyFont="1" applyFill="1" applyBorder="1" applyAlignment="1">
      <alignment horizontal="center"/>
    </xf>
    <xf numFmtId="0" fontId="1" fillId="46" borderId="174" xfId="0" applyFont="1" applyFill="1" applyBorder="1" applyAlignment="1">
      <alignment horizontal="center" vertical="center"/>
    </xf>
    <xf numFmtId="0" fontId="0" fillId="3" borderId="174" xfId="0" applyFill="1" applyBorder="1" applyAlignment="1">
      <alignment wrapText="1"/>
    </xf>
    <xf numFmtId="0" fontId="0" fillId="3" borderId="0" xfId="0" applyFill="1" applyAlignment="1">
      <alignment wrapText="1"/>
    </xf>
    <xf numFmtId="0" fontId="0" fillId="0" borderId="0" xfId="0" applyProtection="1">
      <protection locked="0"/>
    </xf>
    <xf numFmtId="0" fontId="2" fillId="0" borderId="0" xfId="0" applyFont="1" applyProtection="1">
      <protection locked="0"/>
    </xf>
    <xf numFmtId="0" fontId="0" fillId="0" borderId="174" xfId="0" applyBorder="1" applyAlignment="1" applyProtection="1">
      <alignment wrapText="1"/>
      <protection locked="0"/>
    </xf>
    <xf numFmtId="0" fontId="0" fillId="0" borderId="174" xfId="0" applyBorder="1" applyProtection="1">
      <protection locked="0"/>
    </xf>
    <xf numFmtId="0" fontId="4" fillId="43" borderId="174" xfId="0" applyFont="1" applyFill="1" applyBorder="1" applyProtection="1">
      <protection locked="0"/>
    </xf>
    <xf numFmtId="0" fontId="4" fillId="44" borderId="174" xfId="0" applyFont="1" applyFill="1" applyBorder="1" applyProtection="1">
      <protection locked="0"/>
    </xf>
    <xf numFmtId="0" fontId="4" fillId="44" borderId="107" xfId="0" applyFont="1" applyFill="1" applyBorder="1" applyProtection="1">
      <protection locked="0"/>
    </xf>
    <xf numFmtId="0" fontId="4" fillId="44" borderId="174" xfId="0" applyFont="1" applyFill="1" applyBorder="1" applyAlignment="1" applyProtection="1">
      <alignment wrapText="1"/>
      <protection locked="0"/>
    </xf>
    <xf numFmtId="0" fontId="4" fillId="44" borderId="109" xfId="0" applyFont="1" applyFill="1" applyBorder="1" applyProtection="1">
      <protection locked="0"/>
    </xf>
    <xf numFmtId="0" fontId="0" fillId="0" borderId="107" xfId="0" applyBorder="1" applyProtection="1">
      <protection locked="0"/>
    </xf>
    <xf numFmtId="0" fontId="31" fillId="0" borderId="174" xfId="1" applyFont="1" applyBorder="1" applyAlignment="1" applyProtection="1">
      <alignment horizontal="right" vertical="center"/>
      <protection locked="0"/>
    </xf>
    <xf numFmtId="49" fontId="31" fillId="0" borderId="174" xfId="1" applyNumberFormat="1" applyFont="1" applyBorder="1" applyAlignment="1" applyProtection="1">
      <alignment horizontal="right" vertical="center"/>
      <protection locked="0"/>
    </xf>
    <xf numFmtId="0" fontId="0" fillId="0" borderId="108" xfId="0" applyBorder="1" applyProtection="1">
      <protection locked="0"/>
    </xf>
    <xf numFmtId="0" fontId="0" fillId="0" borderId="109" xfId="0" applyBorder="1" applyProtection="1">
      <protection locked="0"/>
    </xf>
    <xf numFmtId="0" fontId="0" fillId="0" borderId="174" xfId="0" applyBorder="1" applyAlignment="1" applyProtection="1">
      <alignment horizontal="right"/>
      <protection locked="0"/>
    </xf>
    <xf numFmtId="0" fontId="0" fillId="0" borderId="174" xfId="0" quotePrefix="1" applyBorder="1" applyAlignment="1" applyProtection="1">
      <alignment horizontal="right"/>
      <protection locked="0"/>
    </xf>
    <xf numFmtId="0" fontId="8" fillId="0" borderId="0" xfId="0" applyFont="1" applyAlignment="1" applyProtection="1">
      <alignment vertical="center" wrapText="1"/>
      <protection locked="0"/>
    </xf>
    <xf numFmtId="0" fontId="114" fillId="0" borderId="0" xfId="0" applyFont="1" applyAlignment="1" applyProtection="1">
      <alignment vertical="center" wrapText="1"/>
      <protection locked="0"/>
    </xf>
    <xf numFmtId="0" fontId="110" fillId="35" borderId="174" xfId="0" applyFont="1" applyFill="1" applyBorder="1" applyAlignment="1" applyProtection="1">
      <alignment horizontal="center"/>
      <protection locked="0"/>
    </xf>
    <xf numFmtId="0" fontId="110" fillId="37" borderId="174" xfId="0" applyFont="1" applyFill="1" applyBorder="1" applyAlignment="1" applyProtection="1">
      <alignment horizontal="center" vertical="center"/>
      <protection locked="0"/>
    </xf>
    <xf numFmtId="0" fontId="110" fillId="0" borderId="0" xfId="0" applyFont="1" applyProtection="1">
      <protection locked="0"/>
    </xf>
    <xf numFmtId="0" fontId="0" fillId="0" borderId="6" xfId="0" applyBorder="1" applyProtection="1">
      <protection locked="0"/>
    </xf>
    <xf numFmtId="0" fontId="109" fillId="38" borderId="172" xfId="0" applyFont="1" applyFill="1" applyBorder="1" applyProtection="1">
      <protection locked="0"/>
    </xf>
    <xf numFmtId="0" fontId="109" fillId="28" borderId="0" xfId="0" applyFont="1" applyFill="1" applyProtection="1">
      <protection locked="0"/>
    </xf>
    <xf numFmtId="0" fontId="109" fillId="28" borderId="0" xfId="0" applyFont="1" applyFill="1" applyAlignment="1" applyProtection="1">
      <alignment wrapText="1"/>
      <protection locked="0"/>
    </xf>
    <xf numFmtId="0" fontId="109" fillId="31" borderId="175" xfId="0" applyFont="1" applyFill="1" applyBorder="1" applyProtection="1">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vertical="top" wrapText="1"/>
      <protection locked="0"/>
    </xf>
    <xf numFmtId="0" fontId="108" fillId="0" borderId="0" xfId="0" applyFont="1" applyProtection="1">
      <protection locked="0"/>
    </xf>
    <xf numFmtId="0" fontId="2" fillId="0" borderId="0" xfId="0" applyFont="1" applyAlignment="1" applyProtection="1">
      <alignment horizontal="center"/>
      <protection locked="0"/>
    </xf>
    <xf numFmtId="0" fontId="109" fillId="38" borderId="172" xfId="0" applyFont="1" applyFill="1" applyBorder="1" applyAlignment="1" applyProtection="1">
      <alignment vertical="center"/>
      <protection locked="0"/>
    </xf>
    <xf numFmtId="0" fontId="109" fillId="28" borderId="172" xfId="0" applyFont="1" applyFill="1" applyBorder="1" applyAlignment="1" applyProtection="1">
      <alignment vertical="center"/>
      <protection locked="0"/>
    </xf>
    <xf numFmtId="0" fontId="109" fillId="41" borderId="0" xfId="0" applyFont="1" applyFill="1" applyAlignment="1" applyProtection="1">
      <alignment horizontal="left" vertical="center"/>
      <protection locked="0"/>
    </xf>
    <xf numFmtId="0" fontId="109" fillId="41" borderId="172" xfId="0" applyFont="1" applyFill="1" applyBorder="1" applyAlignment="1" applyProtection="1">
      <alignment vertical="center"/>
      <protection locked="0"/>
    </xf>
    <xf numFmtId="0" fontId="109" fillId="0" borderId="172" xfId="0" applyFont="1" applyBorder="1" applyProtection="1">
      <protection locked="0"/>
    </xf>
    <xf numFmtId="0" fontId="108" fillId="0" borderId="0" xfId="0" applyFont="1" applyAlignment="1" applyProtection="1">
      <alignment vertical="center"/>
      <protection locked="0"/>
    </xf>
    <xf numFmtId="0" fontId="111" fillId="0" borderId="0" xfId="0" applyFont="1" applyAlignment="1" applyProtection="1">
      <alignment horizontal="center" vertical="center" wrapText="1"/>
      <protection locked="0"/>
    </xf>
    <xf numFmtId="0" fontId="6" fillId="34" borderId="174" xfId="0" applyFont="1" applyFill="1" applyBorder="1" applyAlignment="1" applyProtection="1">
      <alignment horizontal="center" vertical="center"/>
      <protection locked="0"/>
    </xf>
    <xf numFmtId="0" fontId="109" fillId="38" borderId="172" xfId="0" applyFont="1" applyFill="1" applyBorder="1" applyAlignment="1" applyProtection="1">
      <alignment horizontal="left" vertical="center"/>
      <protection locked="0"/>
    </xf>
    <xf numFmtId="0" fontId="119" fillId="28" borderId="175" xfId="0" applyFont="1" applyFill="1" applyBorder="1" applyAlignment="1" applyProtection="1">
      <alignment horizontal="left" vertical="center"/>
      <protection locked="0"/>
    </xf>
    <xf numFmtId="0" fontId="109" fillId="41" borderId="175" xfId="0" applyFont="1" applyFill="1" applyBorder="1" applyAlignment="1" applyProtection="1">
      <alignment horizontal="left" vertical="center"/>
      <protection locked="0"/>
    </xf>
    <xf numFmtId="0" fontId="110" fillId="0" borderId="0" xfId="0" applyFont="1" applyAlignment="1" applyProtection="1">
      <alignment vertical="center"/>
      <protection locked="0"/>
    </xf>
    <xf numFmtId="0" fontId="110" fillId="30" borderId="167" xfId="0" applyFont="1" applyFill="1" applyBorder="1" applyAlignment="1" applyProtection="1">
      <alignment vertical="center"/>
      <protection locked="0"/>
    </xf>
    <xf numFmtId="0" fontId="110" fillId="0" borderId="167" xfId="0" applyFont="1" applyBorder="1" applyAlignment="1" applyProtection="1">
      <alignment vertical="center"/>
      <protection locked="0"/>
    </xf>
    <xf numFmtId="0" fontId="0" fillId="0" borderId="1" xfId="0" applyBorder="1" applyProtection="1">
      <protection locked="0"/>
    </xf>
    <xf numFmtId="0" fontId="0" fillId="0" borderId="2" xfId="0" applyBorder="1" applyProtection="1">
      <protection locked="0"/>
    </xf>
    <xf numFmtId="0" fontId="0" fillId="0" borderId="3" xfId="0" applyBorder="1" applyProtection="1">
      <protection locked="0"/>
    </xf>
    <xf numFmtId="0" fontId="0" fillId="0" borderId="4"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10" xfId="0" applyBorder="1" applyProtection="1">
      <protection locked="0"/>
    </xf>
    <xf numFmtId="0" fontId="0" fillId="0" borderId="9"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4" xfId="0" applyBorder="1" applyProtection="1">
      <protection locked="0"/>
    </xf>
    <xf numFmtId="0" fontId="0" fillId="0" borderId="15" xfId="0" applyBorder="1" applyProtection="1">
      <protection locked="0"/>
    </xf>
    <xf numFmtId="0" fontId="0" fillId="0" borderId="16" xfId="0" applyBorder="1" applyProtection="1">
      <protection locked="0"/>
    </xf>
    <xf numFmtId="0" fontId="0" fillId="0" borderId="17" xfId="0" applyBorder="1" applyProtection="1">
      <protection locked="0"/>
    </xf>
    <xf numFmtId="0" fontId="0" fillId="0" borderId="18" xfId="0" applyBorder="1" applyProtection="1">
      <protection locked="0"/>
    </xf>
    <xf numFmtId="0" fontId="0" fillId="0" borderId="19" xfId="0" applyBorder="1" applyProtection="1">
      <protection locked="0"/>
    </xf>
    <xf numFmtId="0" fontId="0" fillId="0" borderId="20" xfId="0" applyBorder="1" applyProtection="1">
      <protection locked="0"/>
    </xf>
    <xf numFmtId="0" fontId="0" fillId="0" borderId="21" xfId="0" applyBorder="1" applyProtection="1">
      <protection locked="0"/>
    </xf>
    <xf numFmtId="0" fontId="0" fillId="0" borderId="20" xfId="0" applyBorder="1" applyAlignment="1" applyProtection="1">
      <alignment vertical="center"/>
      <protection locked="0"/>
    </xf>
    <xf numFmtId="0" fontId="18" fillId="0" borderId="0" xfId="0" applyFont="1" applyProtection="1">
      <protection locked="0"/>
    </xf>
    <xf numFmtId="0" fontId="0" fillId="0" borderId="0" xfId="0" applyAlignment="1" applyProtection="1">
      <alignment vertical="center"/>
      <protection locked="0"/>
    </xf>
    <xf numFmtId="0" fontId="0" fillId="0" borderId="30" xfId="0" applyBorder="1" applyProtection="1">
      <protection locked="0"/>
    </xf>
    <xf numFmtId="0" fontId="0" fillId="0" borderId="31" xfId="0" applyBorder="1" applyProtection="1">
      <protection locked="0"/>
    </xf>
    <xf numFmtId="3" fontId="0" fillId="0" borderId="0" xfId="0" applyNumberFormat="1" applyProtection="1">
      <protection locked="0"/>
    </xf>
    <xf numFmtId="0" fontId="0" fillId="0" borderId="5" xfId="0" applyBorder="1" applyProtection="1">
      <protection locked="0"/>
    </xf>
    <xf numFmtId="0" fontId="6" fillId="0" borderId="0" xfId="0" applyFont="1" applyProtection="1">
      <protection locked="0"/>
    </xf>
    <xf numFmtId="0" fontId="6" fillId="0" borderId="0" xfId="0" applyFont="1" applyAlignment="1" applyProtection="1">
      <alignment vertical="center" wrapText="1"/>
      <protection locked="0"/>
    </xf>
    <xf numFmtId="0" fontId="8" fillId="0" borderId="0" xfId="0" applyFont="1" applyAlignment="1" applyProtection="1">
      <alignment vertical="center"/>
      <protection locked="0"/>
    </xf>
    <xf numFmtId="0" fontId="97" fillId="0" borderId="0" xfId="0" applyFont="1" applyProtection="1">
      <protection locked="0"/>
    </xf>
    <xf numFmtId="0" fontId="0" fillId="0" borderId="11" xfId="0" applyBorder="1" applyProtection="1">
      <protection locked="0"/>
    </xf>
    <xf numFmtId="0" fontId="110" fillId="35" borderId="174" xfId="0" applyFont="1" applyFill="1" applyBorder="1" applyAlignment="1" applyProtection="1">
      <alignment horizontal="center" vertical="center"/>
      <protection locked="0"/>
    </xf>
    <xf numFmtId="0" fontId="97" fillId="0" borderId="174" xfId="0" applyFont="1" applyBorder="1" applyAlignment="1" applyProtection="1">
      <alignment horizontal="center" vertical="center" wrapText="1"/>
      <protection locked="0"/>
    </xf>
    <xf numFmtId="0" fontId="97" fillId="0" borderId="0" xfId="0" applyFont="1" applyAlignment="1" applyProtection="1">
      <alignment horizontal="center" vertical="center" wrapText="1"/>
      <protection locked="0"/>
    </xf>
    <xf numFmtId="0" fontId="6" fillId="36" borderId="174" xfId="0" applyFont="1" applyFill="1" applyBorder="1" applyAlignment="1" applyProtection="1">
      <alignment horizontal="center"/>
      <protection locked="0"/>
    </xf>
    <xf numFmtId="0" fontId="6" fillId="34" borderId="174" xfId="0" applyFont="1" applyFill="1" applyBorder="1" applyAlignment="1" applyProtection="1">
      <alignment horizontal="center"/>
      <protection locked="0"/>
    </xf>
    <xf numFmtId="0" fontId="119" fillId="28" borderId="166" xfId="0" applyFont="1" applyFill="1" applyBorder="1" applyAlignment="1" applyProtection="1">
      <alignment horizontal="center" vertical="center"/>
      <protection locked="0"/>
    </xf>
    <xf numFmtId="0" fontId="119" fillId="40" borderId="0" xfId="0" applyFont="1" applyFill="1" applyAlignment="1" applyProtection="1">
      <alignment horizontal="center" vertical="center"/>
      <protection locked="0"/>
    </xf>
    <xf numFmtId="1" fontId="110" fillId="0" borderId="0" xfId="0" quotePrefix="1" applyNumberFormat="1" applyFont="1"/>
    <xf numFmtId="1" fontId="118" fillId="0" borderId="0" xfId="5" quotePrefix="1" applyNumberFormat="1" applyFont="1" applyFill="1" applyBorder="1" applyAlignment="1">
      <alignment horizontal="left" vertical="center"/>
    </xf>
    <xf numFmtId="1" fontId="118" fillId="0" borderId="0" xfId="5" quotePrefix="1" applyNumberFormat="1" applyFont="1" applyFill="1"/>
    <xf numFmtId="0" fontId="4" fillId="43" borderId="109" xfId="0" applyFont="1" applyFill="1" applyBorder="1" applyAlignment="1" applyProtection="1">
      <alignment horizontal="center"/>
      <protection locked="0"/>
    </xf>
    <xf numFmtId="0" fontId="4" fillId="43" borderId="174" xfId="0" applyFont="1" applyFill="1" applyBorder="1" applyAlignment="1" applyProtection="1">
      <alignment horizontal="center"/>
      <protection locked="0"/>
    </xf>
    <xf numFmtId="0" fontId="0" fillId="0" borderId="0" xfId="0" applyProtection="1">
      <protection hidden="1"/>
    </xf>
    <xf numFmtId="0" fontId="0" fillId="0" borderId="1" xfId="0" applyBorder="1" applyProtection="1">
      <protection hidden="1"/>
    </xf>
    <xf numFmtId="0" fontId="0" fillId="0" borderId="2" xfId="0" applyBorder="1" applyProtection="1">
      <protection hidden="1"/>
    </xf>
    <xf numFmtId="0" fontId="0" fillId="0" borderId="3" xfId="0" applyBorder="1" applyProtection="1">
      <protection hidden="1"/>
    </xf>
    <xf numFmtId="0" fontId="0" fillId="0" borderId="4" xfId="0" applyBorder="1" applyProtection="1">
      <protection hidden="1"/>
    </xf>
    <xf numFmtId="0" fontId="0" fillId="0" borderId="6" xfId="0" applyBorder="1" applyProtection="1">
      <protection hidden="1"/>
    </xf>
    <xf numFmtId="0" fontId="0" fillId="0" borderId="7" xfId="0" applyBorder="1" applyProtection="1">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12" xfId="0" applyBorder="1" applyProtection="1">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0" fontId="0" fillId="0" borderId="16" xfId="0" applyBorder="1" applyProtection="1">
      <protection hidden="1"/>
    </xf>
    <xf numFmtId="0" fontId="18" fillId="0" borderId="0" xfId="0" applyFont="1" applyProtection="1">
      <protection hidden="1"/>
    </xf>
    <xf numFmtId="0" fontId="18" fillId="0" borderId="0" xfId="0" applyFont="1" applyAlignment="1" applyProtection="1">
      <alignment vertical="center"/>
      <protection hidden="1"/>
    </xf>
    <xf numFmtId="0" fontId="18" fillId="0" borderId="0" xfId="0" applyFont="1" applyAlignment="1" applyProtection="1">
      <alignment wrapText="1"/>
      <protection hidden="1"/>
    </xf>
    <xf numFmtId="0" fontId="50" fillId="0" borderId="0" xfId="0" applyFont="1" applyProtection="1">
      <protection hidden="1"/>
    </xf>
    <xf numFmtId="0" fontId="0" fillId="0" borderId="0" xfId="0" applyAlignment="1" applyProtection="1">
      <alignment horizontal="center"/>
      <protection hidden="1"/>
    </xf>
    <xf numFmtId="0" fontId="3" fillId="0" borderId="0" xfId="0" applyFont="1" applyProtection="1">
      <protection hidden="1"/>
    </xf>
    <xf numFmtId="3" fontId="0" fillId="0" borderId="0" xfId="0" applyNumberFormat="1" applyProtection="1">
      <protection hidden="1"/>
    </xf>
    <xf numFmtId="0" fontId="13" fillId="0" borderId="0" xfId="0" applyFont="1" applyProtection="1">
      <protection hidden="1"/>
    </xf>
    <xf numFmtId="0" fontId="0" fillId="3" borderId="0" xfId="0" applyFill="1" applyProtection="1">
      <protection hidden="1"/>
    </xf>
    <xf numFmtId="0" fontId="12" fillId="0" borderId="0" xfId="0" applyFont="1" applyAlignment="1" applyProtection="1">
      <alignment horizontal="center" vertical="center"/>
      <protection hidden="1"/>
    </xf>
    <xf numFmtId="0" fontId="134" fillId="0" borderId="0" xfId="0" applyFont="1" applyProtection="1">
      <protection hidden="1"/>
    </xf>
    <xf numFmtId="0" fontId="65" fillId="0" borderId="0" xfId="0" applyFont="1" applyProtection="1">
      <protection hidden="1"/>
    </xf>
    <xf numFmtId="0" fontId="136" fillId="0" borderId="0" xfId="0" applyFont="1" applyProtection="1">
      <protection locked="0"/>
    </xf>
    <xf numFmtId="14" fontId="137" fillId="0" borderId="0" xfId="0" applyNumberFormat="1" applyFont="1" applyAlignment="1" applyProtection="1">
      <alignment vertical="center"/>
      <protection locked="0" hidden="1"/>
    </xf>
    <xf numFmtId="14" fontId="138" fillId="0" borderId="0" xfId="0" applyNumberFormat="1" applyFont="1" applyProtection="1">
      <protection locked="0" hidden="1"/>
    </xf>
    <xf numFmtId="0" fontId="139" fillId="0" borderId="0" xfId="0" applyFont="1" applyProtection="1">
      <protection locked="0" hidden="1"/>
    </xf>
    <xf numFmtId="0" fontId="139" fillId="0" borderId="0" xfId="0" applyFont="1" applyAlignment="1" applyProtection="1">
      <alignment horizontal="center"/>
      <protection locked="0" hidden="1"/>
    </xf>
    <xf numFmtId="14" fontId="137" fillId="0" borderId="0" xfId="0" applyNumberFormat="1" applyFont="1" applyProtection="1">
      <protection locked="0" hidden="1"/>
    </xf>
    <xf numFmtId="0" fontId="133" fillId="0" borderId="0" xfId="0" applyFont="1" applyAlignment="1" applyProtection="1">
      <alignment horizontal="center"/>
      <protection locked="0" hidden="1"/>
    </xf>
    <xf numFmtId="0" fontId="137" fillId="0" borderId="0" xfId="0" applyFont="1" applyAlignment="1" applyProtection="1">
      <alignment horizontal="center"/>
      <protection locked="0" hidden="1"/>
    </xf>
    <xf numFmtId="0" fontId="133" fillId="0" borderId="0" xfId="0" applyFont="1" applyAlignment="1" applyProtection="1">
      <alignment horizontal="center"/>
      <protection locked="0"/>
    </xf>
    <xf numFmtId="0" fontId="138" fillId="0" borderId="0" xfId="0" applyFont="1" applyProtection="1">
      <protection locked="0" hidden="1"/>
    </xf>
    <xf numFmtId="0" fontId="139" fillId="0" borderId="0" xfId="0" applyFont="1" applyAlignment="1" applyProtection="1">
      <alignment horizontal="left"/>
      <protection locked="0" hidden="1"/>
    </xf>
    <xf numFmtId="0" fontId="137" fillId="0" borderId="0" xfId="0" applyFont="1" applyProtection="1">
      <protection locked="0" hidden="1"/>
    </xf>
    <xf numFmtId="14" fontId="133" fillId="0" borderId="0" xfId="0" applyNumberFormat="1" applyFont="1" applyAlignment="1" applyProtection="1">
      <alignment horizontal="center"/>
      <protection locked="0"/>
    </xf>
    <xf numFmtId="1" fontId="137" fillId="0" borderId="0" xfId="0" applyNumberFormat="1" applyFont="1" applyAlignment="1" applyProtection="1">
      <alignment vertical="center"/>
      <protection locked="0" hidden="1"/>
    </xf>
    <xf numFmtId="0" fontId="140" fillId="53" borderId="0" xfId="0" applyFont="1" applyFill="1" applyProtection="1">
      <protection locked="0"/>
    </xf>
    <xf numFmtId="0" fontId="141" fillId="0" borderId="0" xfId="0" applyFont="1" applyProtection="1">
      <protection locked="0"/>
    </xf>
    <xf numFmtId="14" fontId="141" fillId="0" borderId="0" xfId="0" applyNumberFormat="1" applyFont="1" applyProtection="1">
      <protection locked="0"/>
    </xf>
    <xf numFmtId="0" fontId="141" fillId="54" borderId="0" xfId="0" applyFont="1" applyFill="1" applyProtection="1">
      <protection locked="0"/>
    </xf>
    <xf numFmtId="0" fontId="141" fillId="0" borderId="0" xfId="0" applyFont="1" applyAlignment="1" applyProtection="1">
      <alignment horizontal="center"/>
      <protection locked="0"/>
    </xf>
    <xf numFmtId="0" fontId="142" fillId="5" borderId="28" xfId="12" applyFont="1" applyFill="1" applyBorder="1" applyAlignment="1">
      <alignment horizontal="center" vertical="center" wrapText="1"/>
    </xf>
    <xf numFmtId="0" fontId="1" fillId="0" borderId="0" xfId="12" applyProtection="1">
      <protection hidden="1"/>
    </xf>
    <xf numFmtId="0" fontId="36" fillId="0" borderId="28" xfId="0" applyFont="1" applyBorder="1" applyAlignment="1">
      <alignment horizontal="center" vertical="center" wrapText="1"/>
    </xf>
    <xf numFmtId="0" fontId="36" fillId="0" borderId="28" xfId="0" applyFont="1" applyBorder="1" applyAlignment="1">
      <alignment horizontal="left" vertical="center"/>
    </xf>
    <xf numFmtId="0" fontId="0" fillId="0" borderId="0" xfId="12" applyFont="1" applyProtection="1">
      <protection hidden="1"/>
    </xf>
    <xf numFmtId="49" fontId="0" fillId="0" borderId="0" xfId="12" applyNumberFormat="1" applyFont="1" applyProtection="1">
      <protection hidden="1"/>
    </xf>
    <xf numFmtId="0" fontId="37" fillId="0" borderId="28" xfId="0" applyFont="1" applyBorder="1" applyAlignment="1">
      <alignment horizontal="center" vertical="center" wrapText="1"/>
    </xf>
    <xf numFmtId="0" fontId="37" fillId="0" borderId="28" xfId="0" applyFont="1" applyBorder="1" applyAlignment="1">
      <alignment horizontal="left" vertical="center"/>
    </xf>
    <xf numFmtId="0" fontId="38" fillId="0" borderId="28" xfId="0" applyFont="1" applyBorder="1" applyAlignment="1">
      <alignment horizontal="left" vertical="center"/>
    </xf>
    <xf numFmtId="0" fontId="37" fillId="0" borderId="37" xfId="0" applyFont="1" applyBorder="1" applyAlignment="1">
      <alignment horizontal="center" vertical="center" wrapText="1"/>
    </xf>
    <xf numFmtId="0" fontId="37" fillId="0" borderId="23" xfId="0" applyFont="1" applyBorder="1" applyAlignment="1">
      <alignment horizontal="left" vertical="center"/>
    </xf>
    <xf numFmtId="0" fontId="143" fillId="51" borderId="0" xfId="13" applyFont="1" applyFill="1" applyAlignment="1">
      <alignment horizontal="center" vertical="center" wrapText="1"/>
    </xf>
    <xf numFmtId="0" fontId="59" fillId="0" borderId="0" xfId="13" applyFont="1" applyAlignment="1">
      <alignment horizontal="center" wrapText="1"/>
    </xf>
    <xf numFmtId="0" fontId="59" fillId="0" borderId="0" xfId="13" applyFont="1"/>
    <xf numFmtId="0" fontId="7" fillId="0" borderId="0" xfId="13" applyFont="1" applyAlignment="1">
      <alignment wrapText="1"/>
    </xf>
    <xf numFmtId="0" fontId="144" fillId="8" borderId="0" xfId="13" applyFont="1" applyFill="1" applyAlignment="1">
      <alignment horizontal="left" vertical="top" wrapText="1"/>
    </xf>
    <xf numFmtId="0" fontId="144" fillId="0" borderId="0" xfId="13" applyFont="1" applyAlignment="1">
      <alignment horizontal="left" vertical="top" wrapText="1"/>
    </xf>
    <xf numFmtId="0" fontId="144" fillId="0" borderId="0" xfId="13" applyFont="1" applyAlignment="1">
      <alignment vertical="top" wrapText="1"/>
    </xf>
    <xf numFmtId="0" fontId="59" fillId="0" borderId="0" xfId="13" applyFont="1" applyAlignment="1">
      <alignment vertical="top" wrapText="1"/>
    </xf>
    <xf numFmtId="0" fontId="7" fillId="0" borderId="0" xfId="13" applyFont="1" applyAlignment="1">
      <alignment horizontal="left" vertical="top" wrapText="1"/>
    </xf>
    <xf numFmtId="0" fontId="145" fillId="0" borderId="0" xfId="13" applyFont="1" applyAlignment="1">
      <alignment horizontal="left" vertical="top" wrapText="1"/>
    </xf>
    <xf numFmtId="0" fontId="145" fillId="0" borderId="0" xfId="13" applyFont="1" applyAlignment="1">
      <alignment vertical="top" wrapText="1"/>
    </xf>
    <xf numFmtId="0" fontId="146" fillId="0" borderId="0" xfId="13" applyFont="1" applyAlignment="1">
      <alignment horizontal="left" vertical="top" wrapText="1"/>
    </xf>
    <xf numFmtId="0" fontId="147" fillId="0" borderId="0" xfId="13" applyFont="1" applyAlignment="1">
      <alignment horizontal="left" vertical="top" wrapText="1"/>
    </xf>
    <xf numFmtId="0" fontId="148" fillId="0" borderId="0" xfId="13" applyFont="1" applyAlignment="1">
      <alignment horizontal="left" vertical="top" wrapText="1"/>
    </xf>
    <xf numFmtId="0" fontId="148" fillId="0" borderId="0" xfId="13" applyFont="1"/>
    <xf numFmtId="0" fontId="148" fillId="0" borderId="0" xfId="13" applyFont="1" applyAlignment="1">
      <alignment vertical="top" wrapText="1"/>
    </xf>
    <xf numFmtId="0" fontId="59" fillId="0" borderId="0" xfId="13" applyFont="1" applyAlignment="1">
      <alignment horizontal="left" vertical="top" wrapText="1"/>
    </xf>
    <xf numFmtId="0" fontId="7" fillId="8" borderId="0" xfId="13" applyFont="1" applyFill="1" applyAlignment="1">
      <alignment horizontal="left" vertical="top" wrapText="1"/>
    </xf>
    <xf numFmtId="0" fontId="7" fillId="0" borderId="0" xfId="13" applyFont="1" applyAlignment="1">
      <alignment vertical="top" wrapText="1"/>
    </xf>
    <xf numFmtId="0" fontId="147" fillId="0" borderId="0" xfId="13" applyFont="1" applyAlignment="1">
      <alignment vertical="top" wrapText="1"/>
    </xf>
    <xf numFmtId="0" fontId="7" fillId="55" borderId="0" xfId="13" applyFont="1" applyFill="1" applyAlignment="1">
      <alignment horizontal="left" vertical="top" wrapText="1"/>
    </xf>
    <xf numFmtId="0" fontId="7" fillId="14" borderId="0" xfId="13" applyFont="1" applyFill="1" applyAlignment="1">
      <alignment horizontal="left" vertical="top" wrapText="1"/>
    </xf>
    <xf numFmtId="0" fontId="146" fillId="55" borderId="0" xfId="13" applyFont="1" applyFill="1" applyAlignment="1">
      <alignment horizontal="left" vertical="top" wrapText="1"/>
    </xf>
    <xf numFmtId="0" fontId="146" fillId="0" borderId="0" xfId="13" applyFont="1" applyAlignment="1">
      <alignment vertical="top" wrapText="1"/>
    </xf>
    <xf numFmtId="0" fontId="149" fillId="0" borderId="0" xfId="13" applyFont="1" applyAlignment="1">
      <alignment horizontal="left" vertical="top" wrapText="1"/>
    </xf>
    <xf numFmtId="0" fontId="144" fillId="14" borderId="0" xfId="13" applyFont="1" applyFill="1" applyAlignment="1">
      <alignment horizontal="left" vertical="top" wrapText="1"/>
    </xf>
    <xf numFmtId="0" fontId="146" fillId="14" borderId="0" xfId="13" applyFont="1" applyFill="1" applyAlignment="1">
      <alignment horizontal="left" vertical="top" wrapText="1"/>
    </xf>
    <xf numFmtId="0" fontId="7" fillId="0" borderId="0" xfId="13" applyFont="1"/>
    <xf numFmtId="0" fontId="148" fillId="0" borderId="0" xfId="13" applyFont="1" applyAlignment="1">
      <alignment vertical="center"/>
    </xf>
    <xf numFmtId="0" fontId="144" fillId="55" borderId="0" xfId="13" applyFont="1" applyFill="1" applyAlignment="1">
      <alignment horizontal="left" vertical="top" wrapText="1"/>
    </xf>
    <xf numFmtId="0" fontId="147" fillId="0" borderId="0" xfId="13" applyFont="1" applyAlignment="1">
      <alignment horizontal="left" vertical="center" wrapText="1" indent="1"/>
    </xf>
    <xf numFmtId="0" fontId="148" fillId="0" borderId="0" xfId="13" applyFont="1" applyAlignment="1">
      <alignment horizontal="left" vertical="center" wrapText="1" indent="1"/>
    </xf>
    <xf numFmtId="0" fontId="147" fillId="0" borderId="0" xfId="13" applyFont="1"/>
    <xf numFmtId="0" fontId="150" fillId="0" borderId="0" xfId="13" applyFont="1" applyAlignment="1">
      <alignment horizontal="left" vertical="top" wrapText="1"/>
    </xf>
    <xf numFmtId="0" fontId="150" fillId="0" borderId="0" xfId="13" applyFont="1" applyAlignment="1">
      <alignment vertical="top" wrapText="1"/>
    </xf>
    <xf numFmtId="0" fontId="148" fillId="0" borderId="0" xfId="13" applyFont="1" applyAlignment="1">
      <alignment horizontal="left"/>
    </xf>
    <xf numFmtId="0" fontId="148" fillId="0" borderId="0" xfId="13" applyFont="1" applyAlignment="1">
      <alignment horizontal="left" vertical="center"/>
    </xf>
    <xf numFmtId="0" fontId="7" fillId="0" borderId="0" xfId="13" applyFont="1" applyAlignment="1">
      <alignment horizontal="left"/>
    </xf>
    <xf numFmtId="0" fontId="149" fillId="0" borderId="0" xfId="13" applyFont="1" applyAlignment="1">
      <alignment horizontal="left"/>
    </xf>
    <xf numFmtId="0" fontId="147" fillId="0" borderId="0" xfId="13" applyFont="1" applyAlignment="1">
      <alignment vertical="center"/>
    </xf>
    <xf numFmtId="0" fontId="152" fillId="0" borderId="0" xfId="13" applyFont="1" applyAlignment="1">
      <alignment horizontal="left" vertical="top" wrapText="1"/>
    </xf>
    <xf numFmtId="0" fontId="152" fillId="0" borderId="0" xfId="13" applyFont="1" applyAlignment="1">
      <alignment vertical="center"/>
    </xf>
    <xf numFmtId="0" fontId="152" fillId="0" borderId="0" xfId="13" applyFont="1" applyAlignment="1">
      <alignment horizontal="left" vertical="center" wrapText="1"/>
    </xf>
    <xf numFmtId="0" fontId="152" fillId="0" borderId="0" xfId="13" applyFont="1" applyAlignment="1">
      <alignment vertical="top"/>
    </xf>
    <xf numFmtId="0" fontId="152" fillId="0" borderId="0" xfId="13" applyFont="1" applyAlignment="1">
      <alignment vertical="top" wrapText="1"/>
    </xf>
    <xf numFmtId="0" fontId="149" fillId="55" borderId="0" xfId="13" applyFont="1" applyFill="1" applyAlignment="1">
      <alignment horizontal="left" vertical="top" wrapText="1"/>
    </xf>
    <xf numFmtId="0" fontId="149" fillId="0" borderId="0" xfId="13" applyFont="1" applyAlignment="1">
      <alignment vertical="top" wrapText="1"/>
    </xf>
    <xf numFmtId="0" fontId="59" fillId="0" borderId="0" xfId="13" applyFont="1" applyAlignment="1">
      <alignment horizontal="left" vertical="center"/>
    </xf>
    <xf numFmtId="0" fontId="144" fillId="0" borderId="0" xfId="13" applyFont="1" applyAlignment="1">
      <alignment horizontal="center"/>
    </xf>
    <xf numFmtId="0" fontId="143" fillId="51" borderId="0" xfId="13" applyFont="1" applyFill="1" applyAlignment="1">
      <alignment vertical="center"/>
    </xf>
    <xf numFmtId="0" fontId="144" fillId="0" borderId="0" xfId="13" applyFont="1"/>
    <xf numFmtId="0" fontId="7" fillId="14" borderId="0" xfId="13" applyFont="1" applyFill="1" applyAlignment="1">
      <alignment horizontal="right"/>
    </xf>
    <xf numFmtId="0" fontId="7" fillId="14" borderId="0" xfId="13" applyFont="1" applyFill="1" applyAlignment="1">
      <alignment horizontal="center"/>
    </xf>
    <xf numFmtId="0" fontId="59" fillId="0" borderId="0" xfId="13" applyFont="1" applyAlignment="1">
      <alignment horizontal="right" vertical="top" wrapText="1"/>
    </xf>
    <xf numFmtId="0" fontId="59" fillId="0" borderId="0" xfId="13" applyFont="1" applyAlignment="1">
      <alignment horizontal="right" wrapText="1"/>
    </xf>
    <xf numFmtId="0" fontId="59" fillId="0" borderId="0" xfId="13" applyFont="1" applyAlignment="1">
      <alignment horizontal="left" wrapText="1"/>
    </xf>
    <xf numFmtId="0" fontId="59" fillId="0" borderId="0" xfId="13" applyFont="1" applyAlignment="1">
      <alignment vertical="center"/>
    </xf>
    <xf numFmtId="0" fontId="59" fillId="0" borderId="0" xfId="13" applyFont="1" applyAlignment="1">
      <alignment wrapText="1"/>
    </xf>
    <xf numFmtId="0" fontId="147" fillId="0" borderId="0" xfId="13" applyFont="1" applyAlignment="1">
      <alignment horizontal="center" wrapText="1"/>
    </xf>
    <xf numFmtId="0" fontId="7" fillId="14" borderId="0" xfId="13" applyFont="1" applyFill="1" applyAlignment="1">
      <alignment horizontal="right" wrapText="1"/>
    </xf>
    <xf numFmtId="0" fontId="145" fillId="0" borderId="0" xfId="13" applyFont="1"/>
    <xf numFmtId="0" fontId="156" fillId="0" borderId="0" xfId="0" applyFont="1" applyAlignment="1" applyProtection="1">
      <alignment vertical="center"/>
      <protection hidden="1"/>
    </xf>
    <xf numFmtId="0" fontId="157" fillId="0" borderId="0" xfId="0" applyFont="1" applyAlignment="1" applyProtection="1">
      <alignment horizontal="center"/>
      <protection hidden="1"/>
    </xf>
    <xf numFmtId="0" fontId="161" fillId="0" borderId="0" xfId="0" applyFont="1" applyAlignment="1" applyProtection="1">
      <alignment vertical="center"/>
      <protection hidden="1"/>
    </xf>
    <xf numFmtId="168" fontId="156" fillId="0" borderId="0" xfId="0" applyNumberFormat="1" applyFont="1" applyAlignment="1" applyProtection="1">
      <alignment vertical="center"/>
      <protection hidden="1"/>
    </xf>
    <xf numFmtId="0" fontId="163" fillId="0" borderId="0" xfId="0" applyFont="1" applyAlignment="1" applyProtection="1">
      <alignment vertical="center"/>
      <protection hidden="1"/>
    </xf>
    <xf numFmtId="0" fontId="164" fillId="8" borderId="128" xfId="14" applyFont="1" applyFill="1" applyBorder="1" applyAlignment="1" applyProtection="1">
      <alignment horizontal="left" vertical="center" indent="1"/>
      <protection locked="0" hidden="1"/>
    </xf>
    <xf numFmtId="0" fontId="164" fillId="8" borderId="0" xfId="14" applyFont="1" applyFill="1" applyAlignment="1" applyProtection="1">
      <alignment horizontal="left" vertical="center" indent="1"/>
      <protection locked="0" hidden="1"/>
    </xf>
    <xf numFmtId="0" fontId="164" fillId="8" borderId="129" xfId="14" applyFont="1" applyFill="1" applyBorder="1" applyAlignment="1" applyProtection="1">
      <alignment horizontal="left" vertical="center" indent="1"/>
      <protection locked="0" hidden="1"/>
    </xf>
    <xf numFmtId="168" fontId="164" fillId="0" borderId="0" xfId="14" applyNumberFormat="1" applyFont="1" applyAlignment="1" applyProtection="1">
      <alignment vertical="center"/>
      <protection hidden="1"/>
    </xf>
    <xf numFmtId="0" fontId="165" fillId="52" borderId="127" xfId="14" applyFont="1" applyFill="1" applyBorder="1" applyAlignment="1" applyProtection="1">
      <alignment horizontal="left" vertical="center" indent="1"/>
      <protection locked="0" hidden="1"/>
    </xf>
    <xf numFmtId="0" fontId="165" fillId="52" borderId="129" xfId="14" applyFont="1" applyFill="1" applyBorder="1" applyAlignment="1" applyProtection="1">
      <alignment horizontal="left" vertical="center" indent="1"/>
      <protection locked="0" hidden="1"/>
    </xf>
    <xf numFmtId="0" fontId="166" fillId="0" borderId="0" xfId="0" applyFont="1" applyAlignment="1" applyProtection="1">
      <alignment vertical="center"/>
      <protection hidden="1"/>
    </xf>
    <xf numFmtId="0" fontId="164" fillId="0" borderId="128" xfId="14" applyFont="1" applyBorder="1" applyAlignment="1" applyProtection="1">
      <alignment horizontal="left" vertical="center" indent="1"/>
      <protection locked="0" hidden="1"/>
    </xf>
    <xf numFmtId="0" fontId="164" fillId="0" borderId="0" xfId="14" applyFont="1" applyAlignment="1" applyProtection="1">
      <alignment horizontal="left" vertical="center" indent="1"/>
      <protection locked="0" hidden="1"/>
    </xf>
    <xf numFmtId="0" fontId="167" fillId="54" borderId="129" xfId="14" applyFont="1" applyFill="1" applyBorder="1" applyAlignment="1" applyProtection="1">
      <alignment horizontal="left" vertical="center" indent="1"/>
      <protection locked="0" hidden="1"/>
    </xf>
    <xf numFmtId="0" fontId="167" fillId="54" borderId="127" xfId="14" applyFont="1" applyFill="1" applyBorder="1" applyAlignment="1" applyProtection="1">
      <alignment horizontal="left" vertical="center" indent="1"/>
      <protection locked="0" hidden="1"/>
    </xf>
    <xf numFmtId="168" fontId="159" fillId="0" borderId="0" xfId="0" applyNumberFormat="1" applyFont="1" applyProtection="1">
      <protection hidden="1"/>
    </xf>
    <xf numFmtId="0" fontId="134" fillId="0" borderId="195" xfId="0" applyFont="1" applyBorder="1" applyProtection="1">
      <protection hidden="1"/>
    </xf>
    <xf numFmtId="168" fontId="134" fillId="0" borderId="0" xfId="0" applyNumberFormat="1" applyFont="1" applyProtection="1">
      <protection hidden="1"/>
    </xf>
    <xf numFmtId="0" fontId="173" fillId="0" borderId="195" xfId="0" applyFont="1" applyBorder="1" applyProtection="1">
      <protection hidden="1"/>
    </xf>
    <xf numFmtId="0" fontId="173" fillId="0" borderId="0" xfId="0" applyFont="1" applyProtection="1">
      <protection hidden="1"/>
    </xf>
    <xf numFmtId="0" fontId="3" fillId="49" borderId="0" xfId="7" applyFont="1" applyAlignment="1" applyProtection="1">
      <alignment vertical="center"/>
      <protection hidden="1"/>
    </xf>
    <xf numFmtId="0" fontId="3" fillId="0" borderId="0" xfId="7" applyFont="1" applyFill="1" applyAlignment="1" applyProtection="1">
      <alignment vertical="center"/>
      <protection hidden="1"/>
    </xf>
    <xf numFmtId="0" fontId="175" fillId="0" borderId="0" xfId="0" applyFont="1" applyProtection="1">
      <protection hidden="1"/>
    </xf>
    <xf numFmtId="168" fontId="161" fillId="0" borderId="0" xfId="0" applyNumberFormat="1" applyFont="1" applyAlignment="1" applyProtection="1">
      <alignment vertical="center"/>
      <protection hidden="1"/>
    </xf>
    <xf numFmtId="0" fontId="176" fillId="0" borderId="0" xfId="0" applyFont="1" applyAlignment="1" applyProtection="1">
      <alignment vertical="center"/>
      <protection hidden="1"/>
    </xf>
    <xf numFmtId="49" fontId="175" fillId="0" borderId="0" xfId="0" applyNumberFormat="1" applyFont="1" applyProtection="1">
      <protection hidden="1"/>
    </xf>
    <xf numFmtId="0" fontId="177" fillId="0" borderId="0" xfId="0" applyFont="1" applyProtection="1">
      <protection hidden="1"/>
    </xf>
    <xf numFmtId="49" fontId="175" fillId="0" borderId="0" xfId="0" applyNumberFormat="1" applyFont="1" applyAlignment="1" applyProtection="1">
      <alignment horizontal="left" indent="1"/>
      <protection hidden="1"/>
    </xf>
    <xf numFmtId="0" fontId="175" fillId="0" borderId="0" xfId="0" applyFont="1" applyAlignment="1" applyProtection="1">
      <alignment vertical="center"/>
      <protection hidden="1"/>
    </xf>
    <xf numFmtId="49" fontId="175" fillId="50" borderId="193" xfId="6" applyNumberFormat="1" applyFont="1" applyFill="1" applyAlignment="1" applyProtection="1">
      <protection locked="0"/>
    </xf>
    <xf numFmtId="0" fontId="175" fillId="0" borderId="0" xfId="0" applyFont="1" applyAlignment="1" applyProtection="1">
      <alignment horizontal="left" indent="1"/>
      <protection hidden="1"/>
    </xf>
    <xf numFmtId="49" fontId="175" fillId="0" borderId="0" xfId="0" applyNumberFormat="1" applyFont="1" applyAlignment="1" applyProtection="1">
      <alignment horizontal="left"/>
      <protection hidden="1"/>
    </xf>
    <xf numFmtId="14" fontId="175" fillId="0" borderId="0" xfId="0" applyNumberFormat="1" applyFont="1" applyAlignment="1" applyProtection="1">
      <alignment horizontal="left"/>
      <protection hidden="1"/>
    </xf>
    <xf numFmtId="14" fontId="175" fillId="50" borderId="193" xfId="6" applyNumberFormat="1" applyFont="1" applyFill="1" applyAlignment="1" applyProtection="1">
      <alignment horizontal="left" indent="1"/>
      <protection locked="0"/>
    </xf>
    <xf numFmtId="14" fontId="175" fillId="0" borderId="0" xfId="0" applyNumberFormat="1" applyFont="1" applyAlignment="1" applyProtection="1">
      <alignment horizontal="left" indent="1"/>
      <protection hidden="1"/>
    </xf>
    <xf numFmtId="49" fontId="175" fillId="50" borderId="193" xfId="6" applyNumberFormat="1" applyFont="1" applyFill="1" applyAlignment="1" applyProtection="1">
      <alignment horizontal="left"/>
      <protection locked="0"/>
    </xf>
    <xf numFmtId="49" fontId="179" fillId="59" borderId="0" xfId="0" applyNumberFormat="1" applyFont="1" applyFill="1" applyAlignment="1" applyProtection="1">
      <alignment horizontal="centerContinuous" vertical="center"/>
      <protection hidden="1"/>
    </xf>
    <xf numFmtId="49" fontId="180" fillId="59" borderId="0" xfId="0" applyNumberFormat="1" applyFont="1" applyFill="1" applyAlignment="1" applyProtection="1">
      <alignment horizontal="centerContinuous" vertical="center"/>
      <protection hidden="1"/>
    </xf>
    <xf numFmtId="49" fontId="180" fillId="59" borderId="0" xfId="0" applyNumberFormat="1" applyFont="1" applyFill="1" applyAlignment="1" applyProtection="1">
      <alignment horizontal="centerContinuous" vertical="center" shrinkToFit="1"/>
      <protection hidden="1"/>
    </xf>
    <xf numFmtId="49" fontId="181" fillId="0" borderId="0" xfId="0" applyNumberFormat="1" applyFont="1" applyProtection="1">
      <protection hidden="1"/>
    </xf>
    <xf numFmtId="49" fontId="179" fillId="60" borderId="0" xfId="0" applyNumberFormat="1" applyFont="1" applyFill="1" applyAlignment="1" applyProtection="1">
      <alignment horizontal="centerContinuous" vertical="center"/>
      <protection hidden="1"/>
    </xf>
    <xf numFmtId="49" fontId="180" fillId="60" borderId="0" xfId="0" applyNumberFormat="1" applyFont="1" applyFill="1" applyAlignment="1" applyProtection="1">
      <alignment horizontal="centerContinuous" vertical="center"/>
      <protection hidden="1"/>
    </xf>
    <xf numFmtId="49" fontId="180" fillId="60" borderId="0" xfId="0" applyNumberFormat="1" applyFont="1" applyFill="1" applyAlignment="1" applyProtection="1">
      <alignment horizontal="centerContinuous" vertical="center" shrinkToFit="1"/>
      <protection hidden="1"/>
    </xf>
    <xf numFmtId="49" fontId="5" fillId="0" borderId="0" xfId="0" applyNumberFormat="1" applyFont="1" applyAlignment="1" applyProtection="1">
      <alignment horizontal="centerContinuous"/>
      <protection hidden="1"/>
    </xf>
    <xf numFmtId="49" fontId="5" fillId="0" borderId="0" xfId="0" applyNumberFormat="1" applyFont="1" applyAlignment="1" applyProtection="1">
      <alignment horizontal="centerContinuous" shrinkToFit="1"/>
      <protection hidden="1"/>
    </xf>
    <xf numFmtId="168" fontId="181" fillId="0" borderId="0" xfId="0" applyNumberFormat="1" applyFont="1" applyProtection="1">
      <protection hidden="1"/>
    </xf>
    <xf numFmtId="49" fontId="182" fillId="0" borderId="0" xfId="12" applyNumberFormat="1" applyFont="1" applyAlignment="1" applyProtection="1">
      <alignment horizontal="centerContinuous" vertical="center"/>
      <protection hidden="1"/>
    </xf>
    <xf numFmtId="49" fontId="182" fillId="0" borderId="0" xfId="12" applyNumberFormat="1" applyFont="1" applyAlignment="1" applyProtection="1">
      <alignment horizontal="centerContinuous" vertical="center" shrinkToFit="1"/>
      <protection hidden="1"/>
    </xf>
    <xf numFmtId="49" fontId="183" fillId="0" borderId="0" xfId="12" applyNumberFormat="1" applyFont="1" applyAlignment="1" applyProtection="1">
      <alignment horizontal="centerContinuous" vertical="center"/>
      <protection hidden="1"/>
    </xf>
    <xf numFmtId="49" fontId="183" fillId="0" borderId="0" xfId="12" applyNumberFormat="1" applyFont="1" applyAlignment="1" applyProtection="1">
      <alignment horizontal="center" vertical="center"/>
      <protection hidden="1"/>
    </xf>
    <xf numFmtId="49" fontId="181" fillId="0" borderId="0" xfId="0" applyNumberFormat="1" applyFont="1" applyAlignment="1" applyProtection="1">
      <alignment shrinkToFit="1"/>
      <protection hidden="1"/>
    </xf>
    <xf numFmtId="49" fontId="59" fillId="0" borderId="0" xfId="0" applyNumberFormat="1" applyFont="1" applyAlignment="1" applyProtection="1">
      <alignment horizontal="centerContinuous" vertical="center"/>
      <protection hidden="1"/>
    </xf>
    <xf numFmtId="49" fontId="59" fillId="0" borderId="0" xfId="11" applyNumberFormat="1" applyFont="1" applyFill="1" applyAlignment="1" applyProtection="1">
      <alignment horizontal="centerContinuous" vertical="center" shrinkToFit="1"/>
      <protection hidden="1"/>
    </xf>
    <xf numFmtId="49" fontId="59" fillId="0" borderId="0" xfId="12" applyNumberFormat="1" applyFont="1" applyAlignment="1" applyProtection="1">
      <alignment horizontal="centerContinuous" vertical="center" shrinkToFit="1"/>
      <protection hidden="1"/>
    </xf>
    <xf numFmtId="49" fontId="59" fillId="0" borderId="0" xfId="12" applyNumberFormat="1" applyFont="1" applyAlignment="1" applyProtection="1">
      <alignment horizontal="centerContinuous" vertical="center"/>
      <protection hidden="1"/>
    </xf>
    <xf numFmtId="168" fontId="184" fillId="0" borderId="0" xfId="11" applyNumberFormat="1" applyFont="1" applyFill="1" applyAlignment="1" applyProtection="1">
      <alignment vertical="center"/>
      <protection hidden="1"/>
    </xf>
    <xf numFmtId="49" fontId="59" fillId="0" borderId="0" xfId="11" applyNumberFormat="1" applyFont="1" applyFill="1" applyAlignment="1" applyProtection="1">
      <alignment horizontal="centerContinuous" vertical="center"/>
      <protection hidden="1"/>
    </xf>
    <xf numFmtId="49" fontId="184" fillId="0" borderId="0" xfId="0" applyNumberFormat="1" applyFont="1" applyAlignment="1" applyProtection="1">
      <alignment horizontal="centerContinuous" vertical="center"/>
      <protection hidden="1"/>
    </xf>
    <xf numFmtId="49" fontId="184" fillId="0" borderId="0" xfId="11" applyNumberFormat="1" applyFont="1" applyFill="1" applyAlignment="1" applyProtection="1">
      <alignment horizontal="centerContinuous" vertical="center" shrinkToFit="1"/>
      <protection hidden="1"/>
    </xf>
    <xf numFmtId="49" fontId="184" fillId="0" borderId="0" xfId="11" applyNumberFormat="1" applyFont="1" applyFill="1" applyAlignment="1" applyProtection="1">
      <alignment horizontal="centerContinuous" vertical="center"/>
      <protection hidden="1"/>
    </xf>
    <xf numFmtId="0" fontId="181" fillId="0" borderId="0" xfId="0" applyFont="1" applyAlignment="1" applyProtection="1">
      <alignment shrinkToFit="1"/>
      <protection hidden="1"/>
    </xf>
    <xf numFmtId="0" fontId="181" fillId="0" borderId="0" xfId="0" applyFont="1" applyProtection="1">
      <protection hidden="1"/>
    </xf>
    <xf numFmtId="0" fontId="185" fillId="0" borderId="0" xfId="0" applyFont="1" applyAlignment="1" applyProtection="1">
      <alignment shrinkToFit="1"/>
      <protection hidden="1"/>
    </xf>
    <xf numFmtId="0" fontId="185" fillId="0" borderId="0" xfId="0" applyFont="1" applyProtection="1">
      <protection hidden="1"/>
    </xf>
    <xf numFmtId="0" fontId="181" fillId="0" borderId="0" xfId="15" applyFont="1" applyAlignment="1" applyProtection="1">
      <alignment shrinkToFit="1"/>
      <protection hidden="1"/>
    </xf>
    <xf numFmtId="0" fontId="181" fillId="0" borderId="0" xfId="12" applyFont="1" applyAlignment="1" applyProtection="1">
      <alignment vertical="center" shrinkToFit="1"/>
      <protection locked="0"/>
    </xf>
    <xf numFmtId="164" fontId="181" fillId="0" borderId="0" xfId="12" applyNumberFormat="1" applyFont="1" applyAlignment="1" applyProtection="1">
      <alignment vertical="center" shrinkToFit="1"/>
      <protection locked="0"/>
    </xf>
    <xf numFmtId="164" fontId="181" fillId="0" borderId="0" xfId="15" applyNumberFormat="1" applyFont="1" applyAlignment="1" applyProtection="1">
      <alignment shrinkToFit="1"/>
      <protection hidden="1"/>
    </xf>
    <xf numFmtId="164" fontId="181" fillId="0" borderId="0" xfId="0" applyNumberFormat="1" applyFont="1" applyAlignment="1" applyProtection="1">
      <alignment shrinkToFit="1"/>
      <protection hidden="1"/>
    </xf>
    <xf numFmtId="0" fontId="181" fillId="3" borderId="0" xfId="0" applyFont="1" applyFill="1" applyProtection="1">
      <protection hidden="1"/>
    </xf>
    <xf numFmtId="0" fontId="181" fillId="0" borderId="0" xfId="0" applyFont="1" applyAlignment="1" applyProtection="1">
      <alignment vertical="top" shrinkToFit="1"/>
      <protection hidden="1"/>
    </xf>
    <xf numFmtId="164" fontId="181" fillId="0" borderId="0" xfId="0" applyNumberFormat="1" applyFont="1" applyAlignment="1" applyProtection="1">
      <alignment vertical="top" shrinkToFit="1"/>
      <protection hidden="1"/>
    </xf>
    <xf numFmtId="0" fontId="181" fillId="0" borderId="0" xfId="0" applyFont="1" applyAlignment="1" applyProtection="1">
      <alignment vertical="top"/>
      <protection hidden="1"/>
    </xf>
    <xf numFmtId="0" fontId="181" fillId="0" borderId="0" xfId="0" applyFont="1" applyAlignment="1" applyProtection="1">
      <alignment vertical="center" shrinkToFit="1"/>
      <protection hidden="1"/>
    </xf>
    <xf numFmtId="164" fontId="181" fillId="0" borderId="0" xfId="0" applyNumberFormat="1" applyFont="1" applyAlignment="1" applyProtection="1">
      <alignment vertical="center" shrinkToFit="1"/>
      <protection hidden="1"/>
    </xf>
    <xf numFmtId="0" fontId="181" fillId="0" borderId="0" xfId="0" applyFont="1" applyAlignment="1" applyProtection="1">
      <alignment vertical="center"/>
      <protection hidden="1"/>
    </xf>
    <xf numFmtId="0" fontId="181" fillId="3" borderId="0" xfId="0" applyFont="1" applyFill="1" applyAlignment="1" applyProtection="1">
      <alignment vertical="center"/>
      <protection hidden="1"/>
    </xf>
    <xf numFmtId="0" fontId="20" fillId="0" borderId="0" xfId="0" applyFont="1" applyProtection="1">
      <protection hidden="1"/>
    </xf>
    <xf numFmtId="49" fontId="40" fillId="0" borderId="0" xfId="0" applyNumberFormat="1" applyFont="1" applyAlignment="1" applyProtection="1">
      <alignment horizontal="center"/>
      <protection hidden="1"/>
    </xf>
    <xf numFmtId="49" fontId="16" fillId="0" borderId="0" xfId="0" applyNumberFormat="1" applyFont="1" applyAlignment="1" applyProtection="1">
      <alignment horizontal="center"/>
      <protection hidden="1"/>
    </xf>
    <xf numFmtId="49" fontId="11" fillId="0" borderId="0" xfId="0" applyNumberFormat="1" applyFont="1" applyAlignment="1" applyProtection="1">
      <alignment horizontal="center"/>
      <protection hidden="1"/>
    </xf>
    <xf numFmtId="49" fontId="20" fillId="0" borderId="0" xfId="0" applyNumberFormat="1" applyFont="1" applyAlignment="1" applyProtection="1">
      <alignment vertical="center" wrapText="1"/>
      <protection hidden="1"/>
    </xf>
    <xf numFmtId="0" fontId="13" fillId="0" borderId="0" xfId="0" applyFont="1" applyAlignment="1" applyProtection="1">
      <alignment horizontal="left"/>
      <protection hidden="1"/>
    </xf>
    <xf numFmtId="0" fontId="13" fillId="0" borderId="27" xfId="0" applyFont="1" applyBorder="1" applyAlignment="1" applyProtection="1">
      <alignment horizontal="left"/>
      <protection hidden="1"/>
    </xf>
    <xf numFmtId="49" fontId="23" fillId="0" borderId="27" xfId="0" applyNumberFormat="1" applyFont="1" applyBorder="1" applyAlignment="1" applyProtection="1">
      <alignment horizontal="left" vertical="center"/>
      <protection hidden="1"/>
    </xf>
    <xf numFmtId="0" fontId="13" fillId="0" borderId="0" xfId="0" applyFont="1" applyAlignment="1" applyProtection="1">
      <alignment horizontal="center"/>
      <protection hidden="1"/>
    </xf>
    <xf numFmtId="0" fontId="13" fillId="0" borderId="22" xfId="0" applyFont="1" applyBorder="1" applyProtection="1">
      <protection hidden="1"/>
    </xf>
    <xf numFmtId="0" fontId="40" fillId="7" borderId="28" xfId="0" applyFont="1" applyFill="1" applyBorder="1" applyAlignment="1" applyProtection="1">
      <alignment horizontal="center" vertical="center"/>
      <protection hidden="1"/>
    </xf>
    <xf numFmtId="0" fontId="20" fillId="0" borderId="18" xfId="0" applyFont="1" applyBorder="1" applyAlignment="1" applyProtection="1">
      <alignment vertical="center"/>
      <protection hidden="1"/>
    </xf>
    <xf numFmtId="0" fontId="20" fillId="0" borderId="18" xfId="0" applyFont="1" applyBorder="1" applyAlignment="1" applyProtection="1">
      <alignment horizontal="right" vertical="center"/>
      <protection hidden="1"/>
    </xf>
    <xf numFmtId="0" fontId="20" fillId="0" borderId="0" xfId="0" applyFont="1" applyAlignment="1" applyProtection="1">
      <alignment vertical="center"/>
      <protection hidden="1"/>
    </xf>
    <xf numFmtId="0" fontId="20" fillId="0" borderId="20" xfId="0" applyFont="1" applyBorder="1" applyAlignment="1" applyProtection="1">
      <alignment vertical="center"/>
      <protection hidden="1"/>
    </xf>
    <xf numFmtId="0" fontId="20" fillId="0" borderId="21" xfId="0" applyFont="1" applyBorder="1" applyAlignment="1" applyProtection="1">
      <alignment vertical="center"/>
      <protection hidden="1"/>
    </xf>
    <xf numFmtId="14" fontId="40" fillId="0" borderId="0" xfId="0" applyNumberFormat="1" applyFont="1" applyAlignment="1" applyProtection="1">
      <alignment horizontal="center" vertical="center"/>
      <protection hidden="1"/>
    </xf>
    <xf numFmtId="14" fontId="23" fillId="0" borderId="37" xfId="0" applyNumberFormat="1" applyFont="1" applyBorder="1" applyAlignment="1" applyProtection="1">
      <alignment horizontal="center" vertical="center"/>
      <protection hidden="1"/>
    </xf>
    <xf numFmtId="0" fontId="13" fillId="0" borderId="0" xfId="0" applyFont="1" applyAlignment="1" applyProtection="1">
      <alignment vertical="center"/>
      <protection hidden="1"/>
    </xf>
    <xf numFmtId="0" fontId="20" fillId="0" borderId="17" xfId="0" applyFont="1" applyBorder="1" applyAlignment="1" applyProtection="1">
      <alignment vertical="center"/>
      <protection hidden="1"/>
    </xf>
    <xf numFmtId="0" fontId="20" fillId="0" borderId="19" xfId="0" applyFont="1" applyBorder="1" applyAlignment="1" applyProtection="1">
      <alignment vertical="center"/>
      <protection hidden="1"/>
    </xf>
    <xf numFmtId="0" fontId="20" fillId="0" borderId="29" xfId="0" applyFont="1" applyBorder="1" applyAlignment="1" applyProtection="1">
      <alignment vertical="center"/>
      <protection hidden="1"/>
    </xf>
    <xf numFmtId="0" fontId="20" fillId="0" borderId="30" xfId="0" applyFont="1" applyBorder="1" applyAlignment="1" applyProtection="1">
      <alignment vertical="center"/>
      <protection hidden="1"/>
    </xf>
    <xf numFmtId="0" fontId="20" fillId="0" borderId="31" xfId="0" applyFont="1" applyBorder="1" applyAlignment="1" applyProtection="1">
      <alignment vertical="center"/>
      <protection hidden="1"/>
    </xf>
    <xf numFmtId="2" fontId="43" fillId="9" borderId="0" xfId="1" applyNumberFormat="1" applyFont="1" applyFill="1" applyProtection="1">
      <protection hidden="1"/>
    </xf>
    <xf numFmtId="2" fontId="43" fillId="0" borderId="0" xfId="1" applyNumberFormat="1" applyFont="1" applyProtection="1">
      <protection hidden="1"/>
    </xf>
    <xf numFmtId="2" fontId="44" fillId="9" borderId="0" xfId="1" applyNumberFormat="1" applyFont="1" applyFill="1" applyProtection="1">
      <protection hidden="1"/>
    </xf>
    <xf numFmtId="1" fontId="33" fillId="0" borderId="37" xfId="1" applyNumberFormat="1" applyFont="1" applyBorder="1" applyAlignment="1" applyProtection="1">
      <alignment horizontal="center" vertical="center"/>
      <protection hidden="1"/>
    </xf>
    <xf numFmtId="2" fontId="44" fillId="9" borderId="0" xfId="1" applyNumberFormat="1" applyFont="1" applyFill="1" applyAlignment="1" applyProtection="1">
      <alignment horizontal="center"/>
      <protection hidden="1"/>
    </xf>
    <xf numFmtId="2" fontId="44" fillId="0" borderId="0" xfId="1" applyNumberFormat="1" applyFont="1" applyProtection="1">
      <protection hidden="1"/>
    </xf>
    <xf numFmtId="0" fontId="13" fillId="50" borderId="45" xfId="0" applyFont="1" applyFill="1" applyBorder="1" applyAlignment="1" applyProtection="1">
      <alignment vertical="center" wrapText="1"/>
      <protection locked="0"/>
    </xf>
    <xf numFmtId="3" fontId="13" fillId="0" borderId="53" xfId="0" applyNumberFormat="1" applyFont="1" applyBorder="1" applyAlignment="1" applyProtection="1">
      <alignment horizontal="right" wrapText="1"/>
      <protection hidden="1"/>
    </xf>
    <xf numFmtId="3" fontId="13" fillId="0" borderId="22" xfId="0" applyNumberFormat="1" applyFont="1" applyBorder="1" applyAlignment="1" applyProtection="1">
      <alignment horizontal="right" wrapText="1"/>
      <protection hidden="1"/>
    </xf>
    <xf numFmtId="3" fontId="13" fillId="0" borderId="28" xfId="0" applyNumberFormat="1" applyFont="1" applyBorder="1" applyAlignment="1" applyProtection="1">
      <alignment vertical="center" wrapText="1"/>
      <protection hidden="1"/>
    </xf>
    <xf numFmtId="3" fontId="23" fillId="8" borderId="28" xfId="0" applyNumberFormat="1" applyFont="1" applyFill="1" applyBorder="1" applyAlignment="1" applyProtection="1">
      <alignment vertical="center" wrapText="1"/>
      <protection hidden="1"/>
    </xf>
    <xf numFmtId="3" fontId="23" fillId="12" borderId="28" xfId="0" applyNumberFormat="1" applyFont="1" applyFill="1" applyBorder="1" applyAlignment="1" applyProtection="1">
      <alignment horizontal="right" vertical="center" wrapText="1"/>
      <protection hidden="1"/>
    </xf>
    <xf numFmtId="0" fontId="23" fillId="6" borderId="24" xfId="0" applyFont="1" applyFill="1" applyBorder="1" applyAlignment="1" applyProtection="1">
      <alignment vertical="center" wrapText="1"/>
      <protection hidden="1"/>
    </xf>
    <xf numFmtId="0" fontId="23" fillId="6" borderId="25" xfId="0" applyFont="1" applyFill="1" applyBorder="1" applyAlignment="1" applyProtection="1">
      <alignment vertical="center" wrapText="1"/>
      <protection hidden="1"/>
    </xf>
    <xf numFmtId="3" fontId="13" fillId="0" borderId="28" xfId="0" applyNumberFormat="1" applyFont="1" applyBorder="1" applyAlignment="1" applyProtection="1">
      <alignment horizontal="right" vertical="center" wrapText="1"/>
      <protection hidden="1"/>
    </xf>
    <xf numFmtId="3" fontId="13" fillId="0" borderId="33" xfId="0" applyNumberFormat="1" applyFont="1" applyBorder="1" applyAlignment="1" applyProtection="1">
      <alignment horizontal="right" vertical="center" wrapText="1"/>
      <protection hidden="1"/>
    </xf>
    <xf numFmtId="3" fontId="23" fillId="13" borderId="45" xfId="0" applyNumberFormat="1" applyFont="1" applyFill="1" applyBorder="1" applyAlignment="1" applyProtection="1">
      <alignment horizontal="right" vertical="center" wrapText="1"/>
      <protection hidden="1"/>
    </xf>
    <xf numFmtId="3" fontId="23" fillId="12" borderId="37" xfId="0" applyNumberFormat="1" applyFont="1" applyFill="1" applyBorder="1" applyAlignment="1" applyProtection="1">
      <alignment horizontal="right" vertical="center" wrapText="1"/>
      <protection hidden="1"/>
    </xf>
    <xf numFmtId="3" fontId="23" fillId="8" borderId="28" xfId="0" applyNumberFormat="1" applyFont="1" applyFill="1" applyBorder="1" applyAlignment="1" applyProtection="1">
      <alignment horizontal="right" vertical="center" wrapText="1"/>
      <protection hidden="1"/>
    </xf>
    <xf numFmtId="3" fontId="23" fillId="12" borderId="33" xfId="0" applyNumberFormat="1" applyFont="1" applyFill="1" applyBorder="1" applyAlignment="1" applyProtection="1">
      <alignment horizontal="right" vertical="center" wrapText="1"/>
      <protection hidden="1"/>
    </xf>
    <xf numFmtId="0" fontId="57" fillId="0" borderId="45" xfId="0" applyFont="1" applyBorder="1" applyAlignment="1" applyProtection="1">
      <alignment horizontal="center" vertical="center"/>
      <protection hidden="1"/>
    </xf>
    <xf numFmtId="0" fontId="57" fillId="0" borderId="45" xfId="0" applyFont="1" applyBorder="1" applyAlignment="1" applyProtection="1">
      <alignment horizontal="center" vertical="center" wrapText="1"/>
      <protection hidden="1"/>
    </xf>
    <xf numFmtId="3" fontId="13" fillId="50" borderId="45" xfId="0" applyNumberFormat="1" applyFont="1" applyFill="1" applyBorder="1" applyAlignment="1" applyProtection="1">
      <alignment horizontal="right" vertical="center" wrapText="1"/>
      <protection locked="0"/>
    </xf>
    <xf numFmtId="3" fontId="13" fillId="50" borderId="45" xfId="0" applyNumberFormat="1" applyFont="1" applyFill="1" applyBorder="1" applyAlignment="1" applyProtection="1">
      <alignment vertical="center" wrapText="1"/>
      <protection locked="0"/>
    </xf>
    <xf numFmtId="3" fontId="23" fillId="11" borderId="45" xfId="0" applyNumberFormat="1" applyFont="1" applyFill="1" applyBorder="1" applyAlignment="1" applyProtection="1">
      <alignment vertical="center" wrapText="1"/>
      <protection hidden="1"/>
    </xf>
    <xf numFmtId="3" fontId="23" fillId="11" borderId="45" xfId="0" applyNumberFormat="1" applyFont="1" applyFill="1" applyBorder="1" applyAlignment="1" applyProtection="1">
      <alignment horizontal="right" vertical="center" wrapText="1"/>
      <protection hidden="1"/>
    </xf>
    <xf numFmtId="3" fontId="23" fillId="10" borderId="80" xfId="0" applyNumberFormat="1" applyFont="1" applyFill="1" applyBorder="1" applyAlignment="1" applyProtection="1">
      <alignment horizontal="right" vertical="center" wrapText="1"/>
      <protection hidden="1"/>
    </xf>
    <xf numFmtId="3" fontId="23" fillId="10" borderId="47" xfId="0" applyNumberFormat="1" applyFont="1" applyFill="1" applyBorder="1" applyAlignment="1" applyProtection="1">
      <alignment horizontal="right" vertical="center" wrapText="1"/>
      <protection hidden="1"/>
    </xf>
    <xf numFmtId="3" fontId="23" fillId="10" borderId="46" xfId="0" applyNumberFormat="1" applyFont="1" applyFill="1" applyBorder="1" applyAlignment="1" applyProtection="1">
      <alignment horizontal="right" vertical="center" wrapText="1"/>
      <protection hidden="1"/>
    </xf>
    <xf numFmtId="3" fontId="23" fillId="10" borderId="75" xfId="0" applyNumberFormat="1" applyFont="1" applyFill="1" applyBorder="1" applyAlignment="1" applyProtection="1">
      <alignment horizontal="right" vertical="center" wrapText="1"/>
      <protection hidden="1"/>
    </xf>
    <xf numFmtId="3" fontId="13" fillId="0" borderId="80" xfId="0" applyNumberFormat="1" applyFont="1" applyBorder="1" applyAlignment="1" applyProtection="1">
      <alignment horizontal="right" vertical="center" wrapText="1"/>
      <protection hidden="1"/>
    </xf>
    <xf numFmtId="3" fontId="13" fillId="50" borderId="80" xfId="0" applyNumberFormat="1" applyFont="1" applyFill="1" applyBorder="1" applyAlignment="1" applyProtection="1">
      <alignment horizontal="right" vertical="center" wrapText="1"/>
      <protection locked="0"/>
    </xf>
    <xf numFmtId="3" fontId="13" fillId="0" borderId="75" xfId="0" applyNumberFormat="1" applyFont="1" applyBorder="1" applyAlignment="1" applyProtection="1">
      <alignment horizontal="right" vertical="center" wrapText="1"/>
      <protection hidden="1"/>
    </xf>
    <xf numFmtId="3" fontId="23" fillId="14" borderId="80" xfId="0" applyNumberFormat="1" applyFont="1" applyFill="1" applyBorder="1" applyAlignment="1" applyProtection="1">
      <alignment horizontal="right" vertical="center" wrapText="1"/>
      <protection hidden="1"/>
    </xf>
    <xf numFmtId="3" fontId="13" fillId="50" borderId="45" xfId="0" applyNumberFormat="1" applyFont="1" applyFill="1" applyBorder="1" applyAlignment="1" applyProtection="1">
      <alignment horizontal="center" vertical="center" wrapText="1"/>
      <protection locked="0"/>
    </xf>
    <xf numFmtId="3" fontId="13" fillId="0" borderId="45" xfId="0" applyNumberFormat="1" applyFont="1" applyBorder="1" applyAlignment="1" applyProtection="1">
      <alignment vertical="center" wrapText="1"/>
      <protection hidden="1"/>
    </xf>
    <xf numFmtId="3" fontId="23" fillId="14" borderId="45" xfId="0" applyNumberFormat="1" applyFont="1" applyFill="1" applyBorder="1" applyAlignment="1" applyProtection="1">
      <alignment vertical="center" wrapText="1"/>
      <protection hidden="1"/>
    </xf>
    <xf numFmtId="3" fontId="23" fillId="12" borderId="45" xfId="0" applyNumberFormat="1" applyFont="1" applyFill="1" applyBorder="1" applyAlignment="1" applyProtection="1">
      <alignment vertical="center" wrapText="1"/>
      <protection hidden="1"/>
    </xf>
    <xf numFmtId="10" fontId="13" fillId="0" borderId="45" xfId="0" applyNumberFormat="1" applyFont="1" applyBorder="1" applyAlignment="1" applyProtection="1">
      <alignment horizontal="right" vertical="center" wrapText="1"/>
      <protection hidden="1"/>
    </xf>
    <xf numFmtId="3" fontId="23" fillId="8" borderId="45" xfId="0" applyNumberFormat="1" applyFont="1" applyFill="1" applyBorder="1" applyAlignment="1" applyProtection="1">
      <alignment horizontal="right" vertical="center" wrapText="1"/>
      <protection hidden="1"/>
    </xf>
    <xf numFmtId="10" fontId="23" fillId="8" borderId="45" xfId="0" applyNumberFormat="1" applyFont="1" applyFill="1" applyBorder="1" applyAlignment="1" applyProtection="1">
      <alignment horizontal="right" vertical="center" wrapText="1"/>
      <protection hidden="1"/>
    </xf>
    <xf numFmtId="3" fontId="13" fillId="15" borderId="45" xfId="0" applyNumberFormat="1" applyFont="1" applyFill="1" applyBorder="1" applyAlignment="1" applyProtection="1">
      <alignment horizontal="right" vertical="center" wrapText="1"/>
      <protection hidden="1"/>
    </xf>
    <xf numFmtId="3" fontId="23" fillId="10" borderId="45" xfId="0" applyNumberFormat="1" applyFont="1" applyFill="1" applyBorder="1" applyAlignment="1" applyProtection="1">
      <alignment vertical="center" wrapText="1"/>
      <protection hidden="1"/>
    </xf>
    <xf numFmtId="3" fontId="23" fillId="16" borderId="45" xfId="0" applyNumberFormat="1" applyFont="1" applyFill="1" applyBorder="1" applyAlignment="1" applyProtection="1">
      <alignment vertical="center" wrapText="1"/>
      <protection hidden="1"/>
    </xf>
    <xf numFmtId="3" fontId="71" fillId="50" borderId="45" xfId="0" applyNumberFormat="1" applyFont="1" applyFill="1" applyBorder="1" applyAlignment="1" applyProtection="1">
      <alignment vertical="center" wrapText="1"/>
      <protection locked="0"/>
    </xf>
    <xf numFmtId="3" fontId="51" fillId="50" borderId="45" xfId="0" applyNumberFormat="1" applyFont="1" applyFill="1" applyBorder="1" applyAlignment="1" applyProtection="1">
      <alignment vertical="center" wrapText="1"/>
      <protection locked="0"/>
    </xf>
    <xf numFmtId="10" fontId="13" fillId="50" borderId="45" xfId="0" applyNumberFormat="1" applyFont="1" applyFill="1" applyBorder="1" applyAlignment="1" applyProtection="1">
      <alignment horizontal="right" vertical="center" wrapText="1"/>
      <protection locked="0"/>
    </xf>
    <xf numFmtId="3" fontId="13" fillId="8" borderId="45" xfId="0" applyNumberFormat="1" applyFont="1" applyFill="1" applyBorder="1" applyAlignment="1" applyProtection="1">
      <alignment horizontal="right" vertical="center" wrapText="1"/>
      <protection hidden="1"/>
    </xf>
    <xf numFmtId="10" fontId="13" fillId="0" borderId="45" xfId="0" applyNumberFormat="1" applyFont="1" applyBorder="1" applyAlignment="1" applyProtection="1">
      <alignment horizontal="center" vertical="center" wrapText="1"/>
      <protection hidden="1"/>
    </xf>
    <xf numFmtId="168" fontId="13" fillId="50" borderId="45" xfId="0" applyNumberFormat="1" applyFont="1" applyFill="1" applyBorder="1" applyAlignment="1" applyProtection="1">
      <alignment horizontal="right" vertical="center" wrapText="1"/>
      <protection locked="0"/>
    </xf>
    <xf numFmtId="10" fontId="23" fillId="8" borderId="45" xfId="0" applyNumberFormat="1" applyFont="1" applyFill="1" applyBorder="1" applyAlignment="1" applyProtection="1">
      <alignment horizontal="center" vertical="center" wrapText="1"/>
      <protection hidden="1"/>
    </xf>
    <xf numFmtId="168" fontId="13" fillId="15" borderId="45" xfId="0" applyNumberFormat="1" applyFont="1" applyFill="1" applyBorder="1" applyAlignment="1" applyProtection="1">
      <alignment horizontal="right" vertical="center" wrapText="1"/>
      <protection hidden="1"/>
    </xf>
    <xf numFmtId="3" fontId="23" fillId="16" borderId="45" xfId="0" applyNumberFormat="1" applyFont="1" applyFill="1" applyBorder="1" applyAlignment="1" applyProtection="1">
      <alignment horizontal="right" vertical="center" wrapText="1"/>
      <protection hidden="1"/>
    </xf>
    <xf numFmtId="168" fontId="23" fillId="16" borderId="45" xfId="0" applyNumberFormat="1" applyFont="1" applyFill="1" applyBorder="1" applyAlignment="1" applyProtection="1">
      <alignment horizontal="right" vertical="center" wrapText="1"/>
      <protection hidden="1"/>
    </xf>
    <xf numFmtId="3" fontId="13" fillId="17" borderId="45" xfId="0" applyNumberFormat="1" applyFont="1" applyFill="1" applyBorder="1" applyAlignment="1" applyProtection="1">
      <alignment horizontal="right" vertical="center" wrapText="1"/>
      <protection hidden="1"/>
    </xf>
    <xf numFmtId="168" fontId="13" fillId="17" borderId="45" xfId="0" applyNumberFormat="1" applyFont="1" applyFill="1" applyBorder="1" applyAlignment="1" applyProtection="1">
      <alignment horizontal="right" vertical="center" wrapText="1"/>
      <protection hidden="1"/>
    </xf>
    <xf numFmtId="0" fontId="13" fillId="5" borderId="45" xfId="0" applyFont="1" applyFill="1" applyBorder="1" applyAlignment="1" applyProtection="1">
      <alignment horizontal="center" vertical="center" wrapText="1"/>
      <protection hidden="1"/>
    </xf>
    <xf numFmtId="0" fontId="13" fillId="50" borderId="45" xfId="0" applyFont="1" applyFill="1" applyBorder="1" applyAlignment="1" applyProtection="1">
      <alignment horizontal="left" vertical="center" wrapText="1" indent="1"/>
      <protection locked="0"/>
    </xf>
    <xf numFmtId="0" fontId="13" fillId="0" borderId="45" xfId="0" applyFont="1" applyBorder="1" applyAlignment="1" applyProtection="1">
      <alignment horizontal="left" vertical="center" wrapText="1" indent="1"/>
      <protection hidden="1"/>
    </xf>
    <xf numFmtId="0" fontId="13" fillId="18" borderId="45" xfId="0" applyFont="1" applyFill="1" applyBorder="1" applyAlignment="1" applyProtection="1">
      <alignment vertical="center" wrapText="1"/>
      <protection hidden="1"/>
    </xf>
    <xf numFmtId="3" fontId="23" fillId="0" borderId="45" xfId="0" applyNumberFormat="1" applyFont="1" applyBorder="1" applyAlignment="1" applyProtection="1">
      <alignment horizontal="right" vertical="center" wrapText="1"/>
      <protection hidden="1"/>
    </xf>
    <xf numFmtId="3" fontId="23" fillId="50" borderId="45" xfId="0" applyNumberFormat="1" applyFont="1" applyFill="1" applyBorder="1" applyAlignment="1" applyProtection="1">
      <alignment horizontal="right" vertical="center" wrapText="1"/>
      <protection locked="0"/>
    </xf>
    <xf numFmtId="3" fontId="13" fillId="18" borderId="45" xfId="0" applyNumberFormat="1" applyFont="1" applyFill="1" applyBorder="1" applyAlignment="1" applyProtection="1">
      <alignment vertical="center" wrapText="1"/>
      <protection hidden="1"/>
    </xf>
    <xf numFmtId="10" fontId="13" fillId="0" borderId="45" xfId="16" applyNumberFormat="1" applyFont="1" applyFill="1" applyBorder="1" applyAlignment="1" applyProtection="1">
      <alignment horizontal="right" vertical="center" wrapText="1"/>
      <protection hidden="1"/>
    </xf>
    <xf numFmtId="10" fontId="23" fillId="8" borderId="45" xfId="16" applyNumberFormat="1" applyFont="1" applyFill="1" applyBorder="1" applyAlignment="1" applyProtection="1">
      <alignment horizontal="right" vertical="center" wrapText="1"/>
      <protection hidden="1"/>
    </xf>
    <xf numFmtId="0" fontId="71" fillId="50" borderId="45" xfId="0" applyFont="1" applyFill="1" applyBorder="1" applyAlignment="1" applyProtection="1">
      <alignment horizontal="center" vertical="center" wrapText="1"/>
      <protection locked="0"/>
    </xf>
    <xf numFmtId="4" fontId="13" fillId="50" borderId="45" xfId="0" applyNumberFormat="1" applyFont="1" applyFill="1" applyBorder="1" applyAlignment="1" applyProtection="1">
      <alignment horizontal="right" vertical="center" wrapText="1"/>
      <protection locked="0"/>
    </xf>
    <xf numFmtId="0" fontId="68" fillId="50" borderId="45" xfId="0" applyFont="1" applyFill="1" applyBorder="1" applyAlignment="1" applyProtection="1">
      <alignment horizontal="left" vertical="center" indent="1"/>
      <protection locked="0"/>
    </xf>
    <xf numFmtId="0" fontId="68" fillId="50" borderId="45" xfId="0" applyFont="1" applyFill="1" applyBorder="1" applyAlignment="1" applyProtection="1">
      <alignment vertical="center" wrapText="1"/>
      <protection locked="0"/>
    </xf>
    <xf numFmtId="0" fontId="68" fillId="50" borderId="45" xfId="0" applyFont="1" applyFill="1" applyBorder="1" applyAlignment="1" applyProtection="1">
      <alignment horizontal="center" vertical="center" wrapText="1"/>
      <protection locked="0"/>
    </xf>
    <xf numFmtId="3" fontId="20" fillId="0" borderId="45" xfId="0" applyNumberFormat="1" applyFont="1" applyBorder="1" applyAlignment="1" applyProtection="1">
      <alignment horizontal="right" vertical="center" wrapText="1"/>
      <protection hidden="1"/>
    </xf>
    <xf numFmtId="0" fontId="68" fillId="0" borderId="45" xfId="0" applyFont="1" applyBorder="1" applyAlignment="1" applyProtection="1">
      <alignment horizontal="left" vertical="center" indent="1"/>
      <protection hidden="1"/>
    </xf>
    <xf numFmtId="0" fontId="13" fillId="21" borderId="45" xfId="0" applyFont="1" applyFill="1" applyBorder="1" applyAlignment="1" applyProtection="1">
      <alignment vertical="center" wrapText="1"/>
      <protection hidden="1"/>
    </xf>
    <xf numFmtId="0" fontId="13" fillId="21" borderId="45" xfId="0" applyFont="1" applyFill="1" applyBorder="1" applyAlignment="1" applyProtection="1">
      <alignment horizontal="center" vertical="center" wrapText="1"/>
      <protection hidden="1"/>
    </xf>
    <xf numFmtId="0" fontId="20" fillId="21" borderId="45" xfId="0" applyFont="1" applyFill="1" applyBorder="1" applyAlignment="1" applyProtection="1">
      <alignment horizontal="center" vertical="center" wrapText="1"/>
      <protection hidden="1"/>
    </xf>
    <xf numFmtId="3" fontId="20" fillId="21" borderId="45" xfId="0" applyNumberFormat="1" applyFont="1" applyFill="1" applyBorder="1" applyAlignment="1" applyProtection="1">
      <alignment horizontal="right" vertical="center" wrapText="1"/>
      <protection hidden="1"/>
    </xf>
    <xf numFmtId="3" fontId="40" fillId="14" borderId="45" xfId="0" applyNumberFormat="1" applyFont="1" applyFill="1" applyBorder="1" applyAlignment="1" applyProtection="1">
      <alignment horizontal="right" vertical="center" wrapText="1"/>
      <protection hidden="1"/>
    </xf>
    <xf numFmtId="0" fontId="13" fillId="50" borderId="45" xfId="0" applyFont="1" applyFill="1" applyBorder="1" applyAlignment="1" applyProtection="1">
      <alignment horizontal="center" vertical="center" wrapText="1"/>
      <protection locked="0"/>
    </xf>
    <xf numFmtId="3" fontId="33" fillId="14" borderId="45" xfId="0" applyNumberFormat="1" applyFont="1" applyFill="1" applyBorder="1" applyAlignment="1" applyProtection="1">
      <alignment horizontal="right" vertical="center" wrapText="1"/>
      <protection hidden="1"/>
    </xf>
    <xf numFmtId="3" fontId="23" fillId="14" borderId="45" xfId="0" applyNumberFormat="1" applyFont="1" applyFill="1" applyBorder="1" applyAlignment="1" applyProtection="1">
      <alignment horizontal="right" vertical="center" wrapText="1"/>
      <protection hidden="1"/>
    </xf>
    <xf numFmtId="10" fontId="23" fillId="14" borderId="45" xfId="0" applyNumberFormat="1" applyFont="1" applyFill="1" applyBorder="1" applyAlignment="1" applyProtection="1">
      <alignment horizontal="right" vertical="center" wrapText="1"/>
      <protection hidden="1"/>
    </xf>
    <xf numFmtId="0" fontId="13" fillId="23" borderId="64" xfId="0" applyFont="1" applyFill="1" applyBorder="1" applyAlignment="1" applyProtection="1">
      <alignment vertical="center" wrapText="1"/>
      <protection hidden="1"/>
    </xf>
    <xf numFmtId="0" fontId="13" fillId="23" borderId="65" xfId="0" applyFont="1" applyFill="1" applyBorder="1" applyAlignment="1" applyProtection="1">
      <alignment vertical="center" wrapText="1"/>
      <protection hidden="1"/>
    </xf>
    <xf numFmtId="0" fontId="13" fillId="23" borderId="66" xfId="0" applyFont="1" applyFill="1" applyBorder="1" applyAlignment="1" applyProtection="1">
      <alignment vertical="center" wrapText="1"/>
      <protection hidden="1"/>
    </xf>
    <xf numFmtId="0" fontId="13" fillId="23" borderId="70" xfId="0" applyFont="1" applyFill="1" applyBorder="1" applyAlignment="1" applyProtection="1">
      <alignment vertical="center" wrapText="1"/>
      <protection hidden="1"/>
    </xf>
    <xf numFmtId="0" fontId="13" fillId="23" borderId="0" xfId="0" applyFont="1" applyFill="1" applyAlignment="1" applyProtection="1">
      <alignment vertical="center" wrapText="1"/>
      <protection hidden="1"/>
    </xf>
    <xf numFmtId="0" fontId="13" fillId="23" borderId="71" xfId="0" applyFont="1" applyFill="1" applyBorder="1" applyAlignment="1" applyProtection="1">
      <alignment vertical="center" wrapText="1"/>
      <protection hidden="1"/>
    </xf>
    <xf numFmtId="0" fontId="13" fillId="23" borderId="68" xfId="0" applyFont="1" applyFill="1" applyBorder="1" applyAlignment="1" applyProtection="1">
      <alignment vertical="center" wrapText="1"/>
      <protection hidden="1"/>
    </xf>
    <xf numFmtId="0" fontId="13" fillId="23" borderId="69" xfId="0" applyFont="1" applyFill="1" applyBorder="1" applyAlignment="1" applyProtection="1">
      <alignment vertical="center" wrapText="1"/>
      <protection hidden="1"/>
    </xf>
    <xf numFmtId="0" fontId="13" fillId="23" borderId="54" xfId="0" applyFont="1" applyFill="1" applyBorder="1" applyAlignment="1" applyProtection="1">
      <alignment vertical="center" wrapText="1"/>
      <protection hidden="1"/>
    </xf>
    <xf numFmtId="3" fontId="31" fillId="0" borderId="45" xfId="0" applyNumberFormat="1" applyFont="1" applyBorder="1" applyAlignment="1" applyProtection="1">
      <alignment horizontal="right" vertical="center" wrapText="1"/>
      <protection hidden="1"/>
    </xf>
    <xf numFmtId="10" fontId="31" fillId="0" borderId="45" xfId="0" applyNumberFormat="1" applyFont="1" applyBorder="1" applyAlignment="1" applyProtection="1">
      <alignment horizontal="right" vertical="center" wrapText="1"/>
      <protection hidden="1"/>
    </xf>
    <xf numFmtId="168" fontId="31" fillId="50" borderId="45" xfId="0" applyNumberFormat="1" applyFont="1" applyFill="1" applyBorder="1" applyAlignment="1" applyProtection="1">
      <alignment horizontal="right" vertical="center" wrapText="1"/>
      <protection locked="0"/>
    </xf>
    <xf numFmtId="3" fontId="33" fillId="10" borderId="45" xfId="0" applyNumberFormat="1" applyFont="1" applyFill="1" applyBorder="1" applyAlignment="1" applyProtection="1">
      <alignment horizontal="right" vertical="center" wrapText="1"/>
      <protection hidden="1"/>
    </xf>
    <xf numFmtId="10" fontId="33" fillId="8" borderId="45" xfId="0" applyNumberFormat="1" applyFont="1" applyFill="1" applyBorder="1" applyAlignment="1" applyProtection="1">
      <alignment horizontal="right" vertical="center" wrapText="1"/>
      <protection hidden="1"/>
    </xf>
    <xf numFmtId="3" fontId="31" fillId="50" borderId="45" xfId="0" applyNumberFormat="1" applyFont="1" applyFill="1" applyBorder="1" applyAlignment="1" applyProtection="1">
      <alignment horizontal="right" vertical="center" wrapText="1"/>
      <protection locked="0"/>
    </xf>
    <xf numFmtId="3" fontId="33" fillId="12" borderId="45" xfId="0" applyNumberFormat="1" applyFont="1" applyFill="1" applyBorder="1" applyAlignment="1" applyProtection="1">
      <alignment horizontal="right" vertical="center" wrapText="1"/>
      <protection hidden="1"/>
    </xf>
    <xf numFmtId="10" fontId="33" fillId="14" borderId="45" xfId="0" applyNumberFormat="1" applyFont="1" applyFill="1" applyBorder="1" applyAlignment="1" applyProtection="1">
      <alignment horizontal="right" vertical="center" wrapText="1"/>
      <protection hidden="1"/>
    </xf>
    <xf numFmtId="10" fontId="13" fillId="8" borderId="45" xfId="0" applyNumberFormat="1" applyFont="1" applyFill="1" applyBorder="1" applyAlignment="1" applyProtection="1">
      <alignment horizontal="right" vertical="center" wrapText="1"/>
      <protection hidden="1"/>
    </xf>
    <xf numFmtId="3" fontId="33" fillId="8" borderId="45" xfId="0" applyNumberFormat="1" applyFont="1" applyFill="1" applyBorder="1" applyAlignment="1" applyProtection="1">
      <alignment horizontal="right" vertical="center" wrapText="1"/>
      <protection hidden="1"/>
    </xf>
    <xf numFmtId="3" fontId="33" fillId="11" borderId="45" xfId="0" applyNumberFormat="1" applyFont="1" applyFill="1" applyBorder="1" applyAlignment="1" applyProtection="1">
      <alignment horizontal="right" vertical="center" wrapText="1"/>
      <protection hidden="1"/>
    </xf>
    <xf numFmtId="3" fontId="82" fillId="50" borderId="45" xfId="0" applyNumberFormat="1" applyFont="1" applyFill="1" applyBorder="1" applyAlignment="1" applyProtection="1">
      <alignment horizontal="center" vertical="center" wrapText="1"/>
      <protection locked="0"/>
    </xf>
    <xf numFmtId="3" fontId="83" fillId="0" borderId="45" xfId="0" applyNumberFormat="1" applyFont="1" applyBorder="1" applyAlignment="1" applyProtection="1">
      <alignment horizontal="center" vertical="center" wrapText="1"/>
      <protection hidden="1"/>
    </xf>
    <xf numFmtId="3" fontId="82" fillId="50" borderId="45" xfId="0" applyNumberFormat="1" applyFont="1" applyFill="1" applyBorder="1" applyAlignment="1" applyProtection="1">
      <alignment horizontal="right" vertical="center" wrapText="1"/>
      <protection locked="0"/>
    </xf>
    <xf numFmtId="3" fontId="82" fillId="0" borderId="45" xfId="0" applyNumberFormat="1" applyFont="1" applyBorder="1" applyAlignment="1" applyProtection="1">
      <alignment horizontal="right" vertical="center" wrapText="1"/>
      <protection hidden="1"/>
    </xf>
    <xf numFmtId="3" fontId="83" fillId="0" borderId="45" xfId="0" applyNumberFormat="1" applyFont="1" applyBorder="1" applyAlignment="1" applyProtection="1">
      <alignment horizontal="right" vertical="center" wrapText="1"/>
      <protection hidden="1"/>
    </xf>
    <xf numFmtId="3" fontId="20" fillId="50" borderId="45" xfId="0" applyNumberFormat="1" applyFont="1" applyFill="1" applyBorder="1" applyAlignment="1" applyProtection="1">
      <alignment horizontal="right" vertical="center"/>
      <protection locked="0"/>
    </xf>
    <xf numFmtId="3" fontId="42" fillId="50" borderId="45" xfId="0" applyNumberFormat="1" applyFont="1" applyFill="1" applyBorder="1" applyAlignment="1" applyProtection="1">
      <alignment horizontal="center" vertical="center"/>
      <protection locked="0"/>
    </xf>
    <xf numFmtId="3" fontId="40" fillId="0" borderId="45" xfId="0" applyNumberFormat="1" applyFont="1" applyBorder="1" applyAlignment="1" applyProtection="1">
      <alignment horizontal="right" vertical="center" wrapText="1"/>
      <protection hidden="1"/>
    </xf>
    <xf numFmtId="3" fontId="40" fillId="0" borderId="45" xfId="0" applyNumberFormat="1" applyFont="1" applyBorder="1" applyAlignment="1" applyProtection="1">
      <alignment horizontal="center" vertical="center" wrapText="1"/>
      <protection hidden="1"/>
    </xf>
    <xf numFmtId="3" fontId="86" fillId="24" borderId="45" xfId="0" applyNumberFormat="1" applyFont="1" applyFill="1" applyBorder="1" applyAlignment="1" applyProtection="1">
      <alignment horizontal="right" vertical="center" wrapText="1"/>
      <protection hidden="1"/>
    </xf>
    <xf numFmtId="3" fontId="13" fillId="24" borderId="45" xfId="0" applyNumberFormat="1" applyFont="1" applyFill="1" applyBorder="1" applyAlignment="1" applyProtection="1">
      <alignment horizontal="right" vertical="center" wrapText="1"/>
      <protection hidden="1"/>
    </xf>
    <xf numFmtId="3" fontId="13" fillId="50" borderId="45" xfId="11" applyNumberFormat="1" applyFont="1" applyFill="1" applyBorder="1" applyAlignment="1" applyProtection="1">
      <alignment horizontal="right" vertical="center" wrapText="1"/>
      <protection locked="0"/>
    </xf>
    <xf numFmtId="10" fontId="33" fillId="11" borderId="45" xfId="0" applyNumberFormat="1" applyFont="1" applyFill="1" applyBorder="1" applyAlignment="1" applyProtection="1">
      <alignment horizontal="right" vertical="center" wrapText="1"/>
      <protection hidden="1"/>
    </xf>
    <xf numFmtId="0" fontId="89" fillId="50" borderId="45" xfId="0" applyFont="1" applyFill="1" applyBorder="1" applyAlignment="1" applyProtection="1">
      <alignment horizontal="center" vertical="center" wrapText="1"/>
      <protection locked="0"/>
    </xf>
    <xf numFmtId="3" fontId="40" fillId="50" borderId="45" xfId="0" applyNumberFormat="1" applyFont="1" applyFill="1" applyBorder="1" applyAlignment="1" applyProtection="1">
      <alignment horizontal="right" vertical="center" wrapText="1"/>
      <protection locked="0"/>
    </xf>
    <xf numFmtId="0" fontId="70" fillId="50" borderId="45" xfId="0" applyFont="1" applyFill="1" applyBorder="1" applyAlignment="1" applyProtection="1">
      <alignment horizontal="center" vertical="center" wrapText="1"/>
      <protection locked="0"/>
    </xf>
    <xf numFmtId="3" fontId="40" fillId="10" borderId="45" xfId="0" applyNumberFormat="1" applyFont="1" applyFill="1" applyBorder="1" applyAlignment="1" applyProtection="1">
      <alignment horizontal="right" vertical="center" wrapText="1"/>
      <protection hidden="1"/>
    </xf>
    <xf numFmtId="10" fontId="82" fillId="0" borderId="45" xfId="0" applyNumberFormat="1" applyFont="1" applyBorder="1" applyAlignment="1" applyProtection="1">
      <alignment horizontal="center" vertical="center" wrapText="1"/>
      <protection hidden="1"/>
    </xf>
    <xf numFmtId="10" fontId="82" fillId="25" borderId="45" xfId="0" applyNumberFormat="1" applyFont="1" applyFill="1" applyBorder="1" applyAlignment="1" applyProtection="1">
      <alignment horizontal="center" vertical="center" wrapText="1"/>
      <protection hidden="1"/>
    </xf>
    <xf numFmtId="168" fontId="90" fillId="6" borderId="45" xfId="0" applyNumberFormat="1" applyFont="1" applyFill="1" applyBorder="1" applyAlignment="1" applyProtection="1">
      <alignment horizontal="right" vertical="center" wrapText="1"/>
      <protection hidden="1"/>
    </xf>
    <xf numFmtId="10" fontId="90" fillId="6" borderId="45" xfId="0" applyNumberFormat="1" applyFont="1" applyFill="1" applyBorder="1" applyAlignment="1" applyProtection="1">
      <alignment horizontal="right" vertical="center" wrapText="1"/>
      <protection hidden="1"/>
    </xf>
    <xf numFmtId="3" fontId="83" fillId="6" borderId="45" xfId="0" applyNumberFormat="1" applyFont="1" applyFill="1" applyBorder="1" applyAlignment="1" applyProtection="1">
      <alignment horizontal="right" vertical="center" wrapText="1"/>
      <protection hidden="1"/>
    </xf>
    <xf numFmtId="10" fontId="83" fillId="6" borderId="45" xfId="0" applyNumberFormat="1" applyFont="1" applyFill="1" applyBorder="1" applyAlignment="1" applyProtection="1">
      <alignment horizontal="right" vertical="center" wrapText="1"/>
      <protection hidden="1"/>
    </xf>
    <xf numFmtId="168" fontId="82" fillId="0" borderId="45" xfId="0" applyNumberFormat="1" applyFont="1" applyBorder="1" applyAlignment="1" applyProtection="1">
      <alignment horizontal="right" vertical="center" wrapText="1"/>
      <protection hidden="1"/>
    </xf>
    <xf numFmtId="10" fontId="83" fillId="0" borderId="45" xfId="0" applyNumberFormat="1" applyFont="1" applyBorder="1" applyAlignment="1" applyProtection="1">
      <alignment horizontal="right" vertical="center" wrapText="1"/>
      <protection hidden="1"/>
    </xf>
    <xf numFmtId="3" fontId="23" fillId="8" borderId="174" xfId="0" applyNumberFormat="1" applyFont="1" applyFill="1" applyBorder="1" applyAlignment="1" applyProtection="1">
      <alignment horizontal="right" vertical="center"/>
      <protection hidden="1"/>
    </xf>
    <xf numFmtId="3" fontId="13" fillId="50" borderId="174" xfId="0" applyNumberFormat="1" applyFont="1" applyFill="1" applyBorder="1" applyAlignment="1" applyProtection="1">
      <alignment horizontal="right" vertical="center"/>
      <protection locked="0"/>
    </xf>
    <xf numFmtId="3" fontId="23" fillId="14" borderId="174" xfId="0" applyNumberFormat="1" applyFont="1" applyFill="1" applyBorder="1" applyAlignment="1" applyProtection="1">
      <alignment horizontal="right" vertical="center"/>
      <protection hidden="1"/>
    </xf>
    <xf numFmtId="0" fontId="13" fillId="50" borderId="174" xfId="0" applyFont="1" applyFill="1" applyBorder="1" applyAlignment="1" applyProtection="1">
      <alignment vertical="center"/>
      <protection locked="0"/>
    </xf>
    <xf numFmtId="3" fontId="23" fillId="50" borderId="174" xfId="0" applyNumberFormat="1" applyFont="1" applyFill="1" applyBorder="1" applyAlignment="1" applyProtection="1">
      <alignment horizontal="right" vertical="center"/>
      <protection locked="0"/>
    </xf>
    <xf numFmtId="10" fontId="23" fillId="8" borderId="174" xfId="0" applyNumberFormat="1" applyFont="1" applyFill="1" applyBorder="1" applyAlignment="1" applyProtection="1">
      <alignment horizontal="center" vertical="center"/>
      <protection hidden="1"/>
    </xf>
    <xf numFmtId="0" fontId="48" fillId="0" borderId="47" xfId="0" applyFont="1" applyBorder="1" applyAlignment="1" applyProtection="1">
      <alignment horizontal="center" vertical="center"/>
      <protection hidden="1"/>
    </xf>
    <xf numFmtId="0" fontId="48" fillId="0" borderId="199" xfId="0" applyFont="1" applyBorder="1" applyAlignment="1" applyProtection="1">
      <alignment horizontal="center" vertical="center"/>
      <protection hidden="1"/>
    </xf>
    <xf numFmtId="0" fontId="48" fillId="0" borderId="45" xfId="0" applyFont="1" applyBorder="1" applyAlignment="1" applyProtection="1">
      <alignment horizontal="center" vertical="center"/>
      <protection hidden="1"/>
    </xf>
    <xf numFmtId="0" fontId="48" fillId="50" borderId="45" xfId="0" applyFont="1" applyFill="1" applyBorder="1" applyAlignment="1" applyProtection="1">
      <alignment horizontal="center" vertical="center"/>
      <protection locked="0"/>
    </xf>
    <xf numFmtId="0" fontId="48" fillId="50" borderId="45" xfId="0" applyFont="1" applyFill="1" applyBorder="1" applyAlignment="1" applyProtection="1">
      <alignment horizontal="left" vertical="center" wrapText="1"/>
      <protection locked="0"/>
    </xf>
    <xf numFmtId="0" fontId="48" fillId="50" borderId="45" xfId="0" applyFont="1" applyFill="1" applyBorder="1" applyAlignment="1" applyProtection="1">
      <alignment horizontal="center" vertical="center" wrapText="1"/>
      <protection locked="0"/>
    </xf>
    <xf numFmtId="3" fontId="20" fillId="0" borderId="124" xfId="0" applyNumberFormat="1" applyFont="1" applyBorder="1" applyAlignment="1" applyProtection="1">
      <alignment vertical="center"/>
      <protection hidden="1"/>
    </xf>
    <xf numFmtId="3" fontId="20" fillId="0" borderId="127" xfId="0" applyNumberFormat="1" applyFont="1" applyBorder="1" applyAlignment="1" applyProtection="1">
      <alignment vertical="center"/>
      <protection hidden="1"/>
    </xf>
    <xf numFmtId="10" fontId="20" fillId="0" borderId="200" xfId="0" applyNumberFormat="1" applyFont="1" applyBorder="1" applyAlignment="1" applyProtection="1">
      <alignment horizontal="right" vertical="center"/>
      <protection hidden="1"/>
    </xf>
    <xf numFmtId="3" fontId="20" fillId="0" borderId="130" xfId="0" applyNumberFormat="1" applyFont="1" applyBorder="1" applyAlignment="1" applyProtection="1">
      <alignment vertical="center"/>
      <protection hidden="1"/>
    </xf>
    <xf numFmtId="10" fontId="20" fillId="0" borderId="201" xfId="0" applyNumberFormat="1" applyFont="1" applyBorder="1" applyAlignment="1" applyProtection="1">
      <alignment horizontal="right" vertical="center"/>
      <protection hidden="1"/>
    </xf>
    <xf numFmtId="3" fontId="40" fillId="0" borderId="131" xfId="0" applyNumberFormat="1" applyFont="1" applyBorder="1" applyAlignment="1" applyProtection="1">
      <alignment vertical="center"/>
      <protection hidden="1"/>
    </xf>
    <xf numFmtId="10" fontId="40" fillId="0" borderId="202" xfId="0" applyNumberFormat="1" applyFont="1" applyBorder="1" applyAlignment="1" applyProtection="1">
      <alignment horizontal="right" vertical="center"/>
      <protection hidden="1"/>
    </xf>
    <xf numFmtId="3" fontId="20" fillId="0" borderId="131" xfId="0" applyNumberFormat="1" applyFont="1" applyBorder="1" applyAlignment="1" applyProtection="1">
      <alignment vertical="center"/>
      <protection hidden="1"/>
    </xf>
    <xf numFmtId="3" fontId="43" fillId="0" borderId="127" xfId="0" applyNumberFormat="1" applyFont="1" applyBorder="1" applyAlignment="1" applyProtection="1">
      <alignment vertical="center"/>
      <protection hidden="1"/>
    </xf>
    <xf numFmtId="3" fontId="20" fillId="0" borderId="135" xfId="0" applyNumberFormat="1" applyFont="1" applyBorder="1" applyAlignment="1" applyProtection="1">
      <alignment vertical="center"/>
      <protection hidden="1"/>
    </xf>
    <xf numFmtId="3" fontId="20" fillId="0" borderId="136" xfId="0" applyNumberFormat="1" applyFont="1" applyBorder="1" applyAlignment="1" applyProtection="1">
      <alignment vertical="center"/>
      <protection hidden="1"/>
    </xf>
    <xf numFmtId="10" fontId="20" fillId="0" borderId="203" xfId="0" applyNumberFormat="1" applyFont="1" applyBorder="1" applyAlignment="1" applyProtection="1">
      <alignment horizontal="right" vertical="center"/>
      <protection hidden="1"/>
    </xf>
    <xf numFmtId="10" fontId="20" fillId="0" borderId="130" xfId="0" applyNumberFormat="1" applyFont="1" applyBorder="1" applyAlignment="1" applyProtection="1">
      <alignment horizontal="right" vertical="center"/>
      <protection hidden="1"/>
    </xf>
    <xf numFmtId="3" fontId="43" fillId="0" borderId="130" xfId="0" applyNumberFormat="1" applyFont="1" applyBorder="1" applyAlignment="1" applyProtection="1">
      <alignment vertical="center"/>
      <protection hidden="1"/>
    </xf>
    <xf numFmtId="10" fontId="43" fillId="0" borderId="130" xfId="0" applyNumberFormat="1" applyFont="1" applyBorder="1" applyAlignment="1" applyProtection="1">
      <alignment horizontal="right" vertical="center"/>
      <protection hidden="1"/>
    </xf>
    <xf numFmtId="3" fontId="43" fillId="0" borderId="138" xfId="0" applyNumberFormat="1" applyFont="1" applyBorder="1" applyAlignment="1" applyProtection="1">
      <alignment vertical="center"/>
      <protection hidden="1"/>
    </xf>
    <xf numFmtId="10" fontId="40" fillId="0" borderId="131" xfId="0" applyNumberFormat="1" applyFont="1" applyBorder="1" applyAlignment="1" applyProtection="1">
      <alignment horizontal="right" vertical="center"/>
      <protection hidden="1"/>
    </xf>
    <xf numFmtId="3" fontId="20" fillId="0" borderId="139" xfId="0" applyNumberFormat="1" applyFont="1" applyBorder="1" applyAlignment="1" applyProtection="1">
      <alignment vertical="center"/>
      <protection hidden="1"/>
    </xf>
    <xf numFmtId="3" fontId="43" fillId="0" borderId="132" xfId="0" applyNumberFormat="1" applyFont="1" applyBorder="1" applyProtection="1">
      <protection hidden="1"/>
    </xf>
    <xf numFmtId="10" fontId="20" fillId="0" borderId="136" xfId="0" applyNumberFormat="1" applyFont="1" applyBorder="1" applyAlignment="1" applyProtection="1">
      <alignment horizontal="right" vertical="center"/>
      <protection hidden="1"/>
    </xf>
    <xf numFmtId="3" fontId="20" fillId="0" borderId="142" xfId="0" applyNumberFormat="1" applyFont="1" applyBorder="1" applyAlignment="1" applyProtection="1">
      <alignment vertical="center"/>
      <protection hidden="1"/>
    </xf>
    <xf numFmtId="3" fontId="0" fillId="0" borderId="111" xfId="0" applyNumberFormat="1" applyBorder="1" applyProtection="1">
      <protection hidden="1"/>
    </xf>
    <xf numFmtId="10" fontId="20" fillId="0" borderId="204" xfId="0" applyNumberFormat="1" applyFont="1" applyBorder="1" applyAlignment="1" applyProtection="1">
      <alignment horizontal="right" vertical="center"/>
      <protection hidden="1"/>
    </xf>
    <xf numFmtId="3" fontId="30" fillId="8" borderId="144" xfId="0" applyNumberFormat="1" applyFont="1" applyFill="1" applyBorder="1" applyAlignment="1" applyProtection="1">
      <alignment vertical="center"/>
      <protection hidden="1"/>
    </xf>
    <xf numFmtId="10" fontId="40" fillId="8" borderId="145" xfId="0" applyNumberFormat="1" applyFont="1" applyFill="1" applyBorder="1" applyAlignment="1" applyProtection="1">
      <alignment horizontal="right" vertical="center"/>
      <protection hidden="1"/>
    </xf>
    <xf numFmtId="3" fontId="34" fillId="50" borderId="33" xfId="0" applyNumberFormat="1" applyFont="1" applyFill="1" applyBorder="1" applyAlignment="1" applyProtection="1">
      <alignment vertical="center"/>
      <protection locked="0"/>
    </xf>
    <xf numFmtId="3" fontId="34" fillId="50" borderId="146" xfId="0" applyNumberFormat="1" applyFont="1" applyFill="1" applyBorder="1" applyAlignment="1" applyProtection="1">
      <alignment vertical="center"/>
      <protection locked="0"/>
    </xf>
    <xf numFmtId="3" fontId="34" fillId="50" borderId="147" xfId="0" applyNumberFormat="1" applyFont="1" applyFill="1" applyBorder="1" applyAlignment="1" applyProtection="1">
      <alignment vertical="center"/>
      <protection locked="0"/>
    </xf>
    <xf numFmtId="3" fontId="48" fillId="0" borderId="148" xfId="0" applyNumberFormat="1" applyFont="1" applyBorder="1" applyAlignment="1" applyProtection="1">
      <alignment vertical="center"/>
      <protection hidden="1"/>
    </xf>
    <xf numFmtId="3" fontId="57" fillId="50" borderId="148" xfId="0" applyNumberFormat="1" applyFont="1" applyFill="1" applyBorder="1" applyAlignment="1" applyProtection="1">
      <alignment vertical="center"/>
      <protection locked="0"/>
    </xf>
    <xf numFmtId="3" fontId="34" fillId="50" borderId="53" xfId="0" applyNumberFormat="1" applyFont="1" applyFill="1" applyBorder="1" applyAlignment="1" applyProtection="1">
      <alignment vertical="center"/>
      <protection locked="0"/>
    </xf>
    <xf numFmtId="3" fontId="48" fillId="50" borderId="148" xfId="0" applyNumberFormat="1" applyFont="1" applyFill="1" applyBorder="1" applyAlignment="1" applyProtection="1">
      <alignment vertical="center"/>
      <protection locked="0"/>
    </xf>
    <xf numFmtId="1" fontId="48" fillId="50" borderId="148" xfId="16" applyNumberFormat="1" applyFont="1" applyFill="1" applyBorder="1" applyAlignment="1" applyProtection="1">
      <alignment vertical="center"/>
      <protection locked="0"/>
    </xf>
    <xf numFmtId="3" fontId="48" fillId="0" borderId="149" xfId="0" applyNumberFormat="1" applyFont="1" applyBorder="1" applyAlignment="1" applyProtection="1">
      <alignment vertical="center"/>
      <protection hidden="1"/>
    </xf>
    <xf numFmtId="167" fontId="31" fillId="50" borderId="150" xfId="0" applyNumberFormat="1" applyFont="1" applyFill="1" applyBorder="1" applyAlignment="1" applyProtection="1">
      <alignment vertical="center"/>
      <protection locked="0"/>
    </xf>
    <xf numFmtId="167" fontId="31" fillId="50" borderId="151" xfId="0" applyNumberFormat="1" applyFont="1" applyFill="1" applyBorder="1" applyAlignment="1" applyProtection="1">
      <alignment vertical="center"/>
      <protection locked="0"/>
    </xf>
    <xf numFmtId="167" fontId="31" fillId="50" borderId="152" xfId="0" applyNumberFormat="1" applyFont="1" applyFill="1" applyBorder="1" applyAlignment="1" applyProtection="1">
      <alignment vertical="center"/>
      <protection locked="0"/>
    </xf>
    <xf numFmtId="167" fontId="31" fillId="50" borderId="153" xfId="0" applyNumberFormat="1" applyFont="1" applyFill="1" applyBorder="1" applyAlignment="1" applyProtection="1">
      <alignment vertical="center"/>
      <protection locked="0"/>
    </xf>
    <xf numFmtId="167" fontId="33" fillId="7" borderId="28" xfId="0" applyNumberFormat="1" applyFont="1" applyFill="1" applyBorder="1" applyAlignment="1" applyProtection="1">
      <alignment vertical="center"/>
      <protection hidden="1"/>
    </xf>
    <xf numFmtId="0" fontId="103" fillId="50" borderId="45" xfId="0" applyFont="1" applyFill="1" applyBorder="1" applyAlignment="1" applyProtection="1">
      <alignment horizontal="left" vertical="center" wrapText="1" indent="1"/>
      <protection locked="0"/>
    </xf>
    <xf numFmtId="3" fontId="103" fillId="50" borderId="45" xfId="0" applyNumberFormat="1" applyFont="1" applyFill="1" applyBorder="1" applyAlignment="1" applyProtection="1">
      <alignment horizontal="center" vertical="center" wrapText="1"/>
      <protection locked="0"/>
    </xf>
    <xf numFmtId="0" fontId="44" fillId="0" borderId="46" xfId="0" applyFont="1" applyBorder="1" applyAlignment="1" applyProtection="1">
      <alignment horizontal="left" vertical="center" wrapText="1"/>
      <protection hidden="1"/>
    </xf>
    <xf numFmtId="3" fontId="44" fillId="6" borderId="45" xfId="0" applyNumberFormat="1" applyFont="1" applyFill="1" applyBorder="1" applyAlignment="1" applyProtection="1">
      <alignment horizontal="right" vertical="center" wrapText="1"/>
      <protection hidden="1"/>
    </xf>
    <xf numFmtId="3" fontId="43" fillId="50" borderId="45" xfId="0" applyNumberFormat="1" applyFont="1" applyFill="1" applyBorder="1" applyAlignment="1" applyProtection="1">
      <alignment vertical="center" wrapText="1"/>
      <protection locked="0"/>
    </xf>
    <xf numFmtId="3" fontId="43" fillId="50" borderId="55" xfId="0" applyNumberFormat="1" applyFont="1" applyFill="1" applyBorder="1" applyAlignment="1" applyProtection="1">
      <alignment vertical="center" wrapText="1"/>
      <protection locked="0"/>
    </xf>
    <xf numFmtId="3" fontId="44" fillId="6" borderId="45" xfId="0" applyNumberFormat="1" applyFont="1" applyFill="1" applyBorder="1" applyAlignment="1" applyProtection="1">
      <alignment vertical="center" wrapText="1"/>
      <protection hidden="1"/>
    </xf>
    <xf numFmtId="3" fontId="44" fillId="0" borderId="45" xfId="0" applyNumberFormat="1" applyFont="1" applyBorder="1" applyAlignment="1" applyProtection="1">
      <alignment vertical="center"/>
      <protection hidden="1"/>
    </xf>
    <xf numFmtId="0" fontId="68" fillId="50" borderId="45" xfId="0" applyFont="1" applyFill="1" applyBorder="1" applyAlignment="1" applyProtection="1">
      <alignment horizontal="center" vertical="center"/>
      <protection locked="0"/>
    </xf>
    <xf numFmtId="3" fontId="42" fillId="50" borderId="45" xfId="0" applyNumberFormat="1" applyFont="1" applyFill="1" applyBorder="1" applyAlignment="1" applyProtection="1">
      <alignment horizontal="right" vertical="center"/>
      <protection locked="0"/>
    </xf>
    <xf numFmtId="3" fontId="105" fillId="6" borderId="45" xfId="0" applyNumberFormat="1" applyFont="1" applyFill="1" applyBorder="1" applyAlignment="1" applyProtection="1">
      <alignment horizontal="right" vertical="center"/>
      <protection hidden="1"/>
    </xf>
    <xf numFmtId="0" fontId="89" fillId="50" borderId="47" xfId="0" applyFont="1" applyFill="1" applyBorder="1" applyAlignment="1" applyProtection="1">
      <alignment horizontal="center" vertical="center"/>
      <protection locked="0"/>
    </xf>
    <xf numFmtId="9" fontId="20" fillId="50" borderId="154" xfId="0" applyNumberFormat="1" applyFont="1" applyFill="1" applyBorder="1" applyAlignment="1" applyProtection="1">
      <alignment horizontal="right" vertical="center"/>
      <protection locked="0"/>
    </xf>
    <xf numFmtId="14" fontId="20" fillId="50" borderId="154" xfId="0" applyNumberFormat="1" applyFont="1" applyFill="1" applyBorder="1" applyAlignment="1" applyProtection="1">
      <alignment horizontal="center" vertical="center"/>
      <protection locked="0"/>
    </xf>
    <xf numFmtId="3" fontId="20" fillId="50" borderId="154" xfId="0" applyNumberFormat="1" applyFont="1" applyFill="1" applyBorder="1" applyAlignment="1" applyProtection="1">
      <alignment vertical="center"/>
      <protection locked="0"/>
    </xf>
    <xf numFmtId="3" fontId="40" fillId="6" borderId="155" xfId="0" applyNumberFormat="1" applyFont="1" applyFill="1" applyBorder="1" applyAlignment="1" applyProtection="1">
      <alignment vertical="center"/>
      <protection hidden="1"/>
    </xf>
    <xf numFmtId="3" fontId="20" fillId="0" borderId="154" xfId="0" applyNumberFormat="1" applyFont="1" applyBorder="1" applyAlignment="1" applyProtection="1">
      <alignment vertical="center"/>
      <protection hidden="1"/>
    </xf>
    <xf numFmtId="3" fontId="40" fillId="6" borderId="154" xfId="0" applyNumberFormat="1" applyFont="1" applyFill="1" applyBorder="1" applyAlignment="1" applyProtection="1">
      <alignment vertical="center"/>
      <protection hidden="1"/>
    </xf>
    <xf numFmtId="0" fontId="0" fillId="0" borderId="0" xfId="0" applyAlignment="1" applyProtection="1">
      <alignment horizontal="left" vertical="center" indent="1"/>
      <protection hidden="1"/>
    </xf>
    <xf numFmtId="3" fontId="31" fillId="50" borderId="45" xfId="4" applyNumberFormat="1" applyFont="1" applyFill="1" applyBorder="1" applyAlignment="1" applyProtection="1">
      <alignment horizontal="right" vertical="center"/>
      <protection locked="0"/>
    </xf>
    <xf numFmtId="3" fontId="33" fillId="6" borderId="45" xfId="4" applyNumberFormat="1" applyFont="1" applyFill="1" applyBorder="1" applyAlignment="1" applyProtection="1">
      <alignment horizontal="right" vertical="center"/>
      <protection hidden="1"/>
    </xf>
    <xf numFmtId="3" fontId="13" fillId="50" borderId="55" xfId="0" applyNumberFormat="1" applyFont="1" applyFill="1" applyBorder="1" applyAlignment="1" applyProtection="1">
      <alignment horizontal="center" vertical="center"/>
      <protection locked="0"/>
    </xf>
    <xf numFmtId="0" fontId="6" fillId="0" borderId="0" xfId="0" applyFont="1" applyAlignment="1" applyProtection="1">
      <alignment horizontal="center"/>
      <protection hidden="1"/>
    </xf>
    <xf numFmtId="0" fontId="5" fillId="0" borderId="0" xfId="0" applyFont="1" applyProtection="1">
      <protection hidden="1"/>
    </xf>
    <xf numFmtId="0" fontId="7" fillId="0" borderId="0" xfId="0" applyFont="1" applyProtection="1">
      <protection hidden="1"/>
    </xf>
    <xf numFmtId="0" fontId="4" fillId="3" borderId="9" xfId="0" applyFont="1" applyFill="1" applyBorder="1" applyProtection="1">
      <protection hidden="1"/>
    </xf>
    <xf numFmtId="0" fontId="4" fillId="3" borderId="0" xfId="0" applyFont="1" applyFill="1" applyProtection="1">
      <protection hidden="1"/>
    </xf>
    <xf numFmtId="0" fontId="0" fillId="3" borderId="9" xfId="0" applyFill="1" applyBorder="1" applyProtection="1">
      <protection hidden="1"/>
    </xf>
    <xf numFmtId="0" fontId="0" fillId="4" borderId="9" xfId="0" applyFill="1" applyBorder="1" applyProtection="1">
      <protection hidden="1"/>
    </xf>
    <xf numFmtId="0" fontId="0" fillId="4" borderId="0" xfId="0" applyFill="1" applyProtection="1">
      <protection hidden="1"/>
    </xf>
    <xf numFmtId="0" fontId="0" fillId="4" borderId="11" xfId="0" applyFill="1" applyBorder="1" applyProtection="1">
      <protection hidden="1"/>
    </xf>
    <xf numFmtId="0" fontId="0" fillId="4" borderId="12" xfId="0" applyFill="1" applyBorder="1" applyProtection="1">
      <protection hidden="1"/>
    </xf>
    <xf numFmtId="0" fontId="0" fillId="0" borderId="20" xfId="0" applyBorder="1" applyAlignment="1" applyProtection="1">
      <alignment vertical="center"/>
      <protection hidden="1"/>
    </xf>
    <xf numFmtId="0" fontId="0" fillId="0" borderId="17" xfId="0" applyBorder="1" applyProtection="1">
      <protection hidden="1"/>
    </xf>
    <xf numFmtId="0" fontId="0" fillId="0" borderId="18" xfId="0" applyBorder="1" applyProtection="1">
      <protection hidden="1"/>
    </xf>
    <xf numFmtId="0" fontId="0" fillId="0" borderId="19" xfId="0" applyBorder="1" applyProtection="1">
      <protection hidden="1"/>
    </xf>
    <xf numFmtId="0" fontId="0" fillId="0" borderId="20" xfId="0" applyBorder="1" applyProtection="1">
      <protection hidden="1"/>
    </xf>
    <xf numFmtId="0" fontId="0" fillId="0" borderId="21" xfId="0" applyBorder="1" applyProtection="1">
      <protection hidden="1"/>
    </xf>
    <xf numFmtId="0" fontId="0" fillId="0" borderId="30" xfId="0" applyBorder="1" applyProtection="1">
      <protection hidden="1"/>
    </xf>
    <xf numFmtId="0" fontId="0" fillId="0" borderId="31" xfId="0" applyBorder="1" applyProtection="1">
      <protection hidden="1"/>
    </xf>
    <xf numFmtId="49" fontId="110" fillId="0" borderId="167" xfId="0" applyNumberFormat="1" applyFont="1" applyBorder="1" applyAlignment="1" applyProtection="1">
      <alignment vertical="center"/>
      <protection locked="0"/>
    </xf>
    <xf numFmtId="0" fontId="110" fillId="0" borderId="168" xfId="0" applyFont="1" applyBorder="1" applyAlignment="1" applyProtection="1">
      <alignment vertical="center"/>
      <protection locked="0"/>
    </xf>
    <xf numFmtId="49" fontId="110" fillId="0" borderId="169" xfId="0" applyNumberFormat="1" applyFont="1" applyBorder="1" applyAlignment="1" applyProtection="1">
      <alignment vertical="center"/>
      <protection locked="0"/>
    </xf>
    <xf numFmtId="49" fontId="110" fillId="0" borderId="169" xfId="0" applyNumberFormat="1" applyFont="1" applyBorder="1" applyAlignment="1" applyProtection="1">
      <alignment vertical="center" wrapText="1"/>
      <protection locked="0"/>
    </xf>
    <xf numFmtId="49" fontId="110" fillId="0" borderId="170" xfId="0" applyNumberFormat="1" applyFont="1" applyBorder="1" applyAlignment="1" applyProtection="1">
      <alignment vertical="center"/>
      <protection locked="0"/>
    </xf>
    <xf numFmtId="0" fontId="110" fillId="0" borderId="168" xfId="0" applyFont="1" applyBorder="1" applyAlignment="1" applyProtection="1">
      <alignment vertical="center" wrapText="1"/>
      <protection locked="0"/>
    </xf>
    <xf numFmtId="0" fontId="110" fillId="0" borderId="171" xfId="0" applyFont="1" applyBorder="1" applyAlignment="1" applyProtection="1">
      <alignment vertical="center"/>
      <protection locked="0"/>
    </xf>
    <xf numFmtId="49" fontId="110" fillId="0" borderId="0" xfId="0" applyNumberFormat="1" applyFont="1" applyAlignment="1" applyProtection="1">
      <alignment vertical="center"/>
      <protection locked="0"/>
    </xf>
    <xf numFmtId="0" fontId="110" fillId="0" borderId="170" xfId="0" applyFont="1" applyBorder="1" applyAlignment="1" applyProtection="1">
      <alignment vertical="center"/>
      <protection locked="0"/>
    </xf>
    <xf numFmtId="0" fontId="110" fillId="0" borderId="170" xfId="0" applyFont="1" applyBorder="1" applyAlignment="1" applyProtection="1">
      <alignment vertical="center" wrapText="1"/>
      <protection locked="0"/>
    </xf>
    <xf numFmtId="49" fontId="110" fillId="0" borderId="170" xfId="0" applyNumberFormat="1" applyFont="1" applyBorder="1" applyAlignment="1" applyProtection="1">
      <alignment vertical="center" wrapText="1"/>
      <protection locked="0"/>
    </xf>
    <xf numFmtId="49" fontId="110" fillId="0" borderId="167" xfId="0" applyNumberFormat="1" applyFont="1" applyBorder="1" applyAlignment="1" applyProtection="1">
      <alignment vertical="center" wrapText="1"/>
      <protection locked="0"/>
    </xf>
    <xf numFmtId="0" fontId="110" fillId="0" borderId="169" xfId="0" applyFont="1" applyBorder="1" applyAlignment="1" applyProtection="1">
      <alignment vertical="center"/>
      <protection locked="0"/>
    </xf>
    <xf numFmtId="0" fontId="0" fillId="30" borderId="167" xfId="0" applyFill="1" applyBorder="1" applyProtection="1">
      <protection locked="0"/>
    </xf>
    <xf numFmtId="0" fontId="0" fillId="0" borderId="170" xfId="0" applyBorder="1" applyAlignment="1" applyProtection="1">
      <alignment horizontal="left" vertical="center"/>
      <protection locked="0"/>
    </xf>
    <xf numFmtId="3" fontId="0" fillId="0" borderId="170" xfId="0" applyNumberFormat="1" applyBorder="1" applyAlignment="1" applyProtection="1">
      <alignment vertical="center"/>
      <protection locked="0"/>
    </xf>
    <xf numFmtId="0" fontId="0" fillId="0" borderId="167" xfId="0" applyBorder="1" applyProtection="1">
      <protection locked="0"/>
    </xf>
    <xf numFmtId="49" fontId="0" fillId="0" borderId="167" xfId="0" applyNumberFormat="1" applyBorder="1" applyProtection="1">
      <protection locked="0"/>
    </xf>
    <xf numFmtId="3" fontId="0" fillId="0" borderId="168" xfId="0" applyNumberFormat="1" applyBorder="1" applyProtection="1">
      <protection locked="0"/>
    </xf>
    <xf numFmtId="49" fontId="0" fillId="0" borderId="0" xfId="0" applyNumberFormat="1" applyProtection="1">
      <protection locked="0"/>
    </xf>
    <xf numFmtId="0" fontId="0" fillId="0" borderId="167" xfId="0" applyBorder="1" applyAlignment="1" applyProtection="1">
      <alignment vertical="center"/>
      <protection locked="0"/>
    </xf>
    <xf numFmtId="49" fontId="0" fillId="0" borderId="167" xfId="0" applyNumberFormat="1" applyBorder="1" applyAlignment="1" applyProtection="1">
      <alignment vertical="center"/>
      <protection locked="0"/>
    </xf>
    <xf numFmtId="3" fontId="0" fillId="0" borderId="168" xfId="0" applyNumberFormat="1" applyBorder="1" applyAlignment="1" applyProtection="1">
      <alignment vertical="center"/>
      <protection locked="0"/>
    </xf>
    <xf numFmtId="49" fontId="0" fillId="0" borderId="0" xfId="0" applyNumberFormat="1" applyAlignment="1" applyProtection="1">
      <alignment vertical="center"/>
      <protection locked="0"/>
    </xf>
    <xf numFmtId="0" fontId="0" fillId="0" borderId="170" xfId="0" applyBorder="1" applyProtection="1">
      <protection locked="0"/>
    </xf>
    <xf numFmtId="49" fontId="0" fillId="0" borderId="170" xfId="0" applyNumberFormat="1" applyBorder="1" applyProtection="1">
      <protection locked="0"/>
    </xf>
    <xf numFmtId="3" fontId="0" fillId="0" borderId="171" xfId="0" applyNumberFormat="1" applyBorder="1" applyProtection="1">
      <protection locked="0"/>
    </xf>
    <xf numFmtId="3" fontId="0" fillId="0" borderId="170" xfId="0" applyNumberFormat="1" applyBorder="1" applyProtection="1">
      <protection locked="0"/>
    </xf>
    <xf numFmtId="3" fontId="0" fillId="0" borderId="168" xfId="0" quotePrefix="1" applyNumberFormat="1" applyBorder="1" applyProtection="1">
      <protection locked="0"/>
    </xf>
    <xf numFmtId="49" fontId="0" fillId="0" borderId="167" xfId="0" applyNumberFormat="1" applyBorder="1" applyAlignment="1" applyProtection="1">
      <alignment horizontal="left"/>
      <protection locked="0"/>
    </xf>
    <xf numFmtId="49" fontId="0" fillId="0" borderId="168" xfId="0" applyNumberFormat="1" applyBorder="1" applyAlignment="1" applyProtection="1">
      <alignment horizontal="left"/>
      <protection locked="0"/>
    </xf>
    <xf numFmtId="10" fontId="0" fillId="0" borderId="0" xfId="0" applyNumberFormat="1" applyProtection="1">
      <protection locked="0"/>
    </xf>
    <xf numFmtId="0" fontId="11" fillId="0" borderId="0" xfId="0" applyFont="1" applyAlignment="1" applyProtection="1">
      <alignment horizontal="center" vertical="center"/>
      <protection hidden="1"/>
    </xf>
    <xf numFmtId="0" fontId="20" fillId="0" borderId="18" xfId="0" applyFont="1" applyBorder="1" applyAlignment="1" applyProtection="1">
      <alignment horizontal="center" vertical="center"/>
      <protection hidden="1"/>
    </xf>
    <xf numFmtId="0" fontId="20" fillId="0" borderId="0" xfId="0" applyFont="1" applyAlignment="1" applyProtection="1">
      <alignment horizontal="center" vertical="center"/>
      <protection hidden="1"/>
    </xf>
    <xf numFmtId="0" fontId="20" fillId="0" borderId="21" xfId="0" applyFont="1" applyBorder="1" applyAlignment="1" applyProtection="1">
      <alignment horizontal="center" vertical="center"/>
      <protection hidden="1"/>
    </xf>
    <xf numFmtId="49" fontId="11" fillId="0" borderId="0" xfId="0" applyNumberFormat="1" applyFont="1" applyAlignment="1" applyProtection="1">
      <alignment horizontal="center" vertical="center"/>
      <protection hidden="1"/>
    </xf>
    <xf numFmtId="0" fontId="13" fillId="50" borderId="45" xfId="0" applyFont="1" applyFill="1" applyBorder="1" applyAlignment="1" applyProtection="1">
      <alignment horizontal="left" vertical="center" wrapText="1"/>
      <protection locked="0"/>
    </xf>
    <xf numFmtId="3" fontId="13" fillId="0" borderId="47" xfId="0" applyNumberFormat="1" applyFont="1" applyBorder="1" applyAlignment="1" applyProtection="1">
      <alignment horizontal="right" vertical="center" wrapText="1"/>
      <protection hidden="1"/>
    </xf>
    <xf numFmtId="3" fontId="13" fillId="50" borderId="46" xfId="0" applyNumberFormat="1" applyFont="1" applyFill="1" applyBorder="1" applyAlignment="1" applyProtection="1">
      <alignment horizontal="right" vertical="center" wrapText="1"/>
      <protection locked="0"/>
    </xf>
    <xf numFmtId="3" fontId="23" fillId="10" borderId="45" xfId="0" applyNumberFormat="1" applyFont="1" applyFill="1" applyBorder="1" applyAlignment="1" applyProtection="1">
      <alignment horizontal="right" vertical="center" wrapText="1"/>
      <protection hidden="1"/>
    </xf>
    <xf numFmtId="3" fontId="13" fillId="0" borderId="45" xfId="0" applyNumberFormat="1" applyFont="1" applyBorder="1" applyAlignment="1" applyProtection="1">
      <alignment horizontal="right" vertical="center" wrapText="1"/>
      <protection hidden="1"/>
    </xf>
    <xf numFmtId="3" fontId="23" fillId="12" borderId="45" xfId="0" applyNumberFormat="1" applyFont="1" applyFill="1" applyBorder="1" applyAlignment="1" applyProtection="1">
      <alignment horizontal="right" vertical="center" wrapText="1"/>
      <protection hidden="1"/>
    </xf>
    <xf numFmtId="0" fontId="13" fillId="0" borderId="45" xfId="0" applyFont="1" applyBorder="1" applyAlignment="1" applyProtection="1">
      <alignment horizontal="center" vertical="center" wrapText="1"/>
      <protection hidden="1"/>
    </xf>
    <xf numFmtId="49" fontId="27" fillId="0" borderId="0" xfId="0" applyNumberFormat="1" applyFont="1" applyAlignment="1" applyProtection="1">
      <alignment horizontal="center" vertical="center"/>
      <protection hidden="1"/>
    </xf>
    <xf numFmtId="3" fontId="20" fillId="50" borderId="45" xfId="0" applyNumberFormat="1" applyFont="1" applyFill="1" applyBorder="1" applyAlignment="1" applyProtection="1">
      <alignment horizontal="right" vertical="center" wrapText="1"/>
      <protection locked="0"/>
    </xf>
    <xf numFmtId="3" fontId="20" fillId="50" borderId="45" xfId="0" applyNumberFormat="1" applyFont="1" applyFill="1" applyBorder="1" applyAlignment="1" applyProtection="1">
      <alignment horizontal="center" vertical="center" wrapText="1"/>
      <protection locked="0"/>
    </xf>
    <xf numFmtId="0" fontId="48" fillId="50" borderId="45" xfId="0" applyFont="1" applyFill="1" applyBorder="1" applyAlignment="1" applyProtection="1">
      <alignment horizontal="left" vertical="center"/>
      <protection locked="0"/>
    </xf>
    <xf numFmtId="3" fontId="43" fillId="50" borderId="45" xfId="0" applyNumberFormat="1" applyFont="1" applyFill="1" applyBorder="1" applyAlignment="1" applyProtection="1">
      <alignment horizontal="right" vertical="center" wrapText="1"/>
      <protection locked="0"/>
    </xf>
    <xf numFmtId="3" fontId="13" fillId="15" borderId="68" xfId="0" applyNumberFormat="1" applyFont="1" applyFill="1" applyBorder="1" applyAlignment="1" applyProtection="1">
      <alignment vertical="center" wrapText="1"/>
      <protection hidden="1"/>
    </xf>
    <xf numFmtId="3" fontId="13" fillId="15" borderId="54" xfId="0" applyNumberFormat="1" applyFont="1" applyFill="1" applyBorder="1" applyAlignment="1" applyProtection="1">
      <alignment vertical="center" wrapText="1"/>
      <protection hidden="1"/>
    </xf>
    <xf numFmtId="0" fontId="103" fillId="50" borderId="46" xfId="0" applyFont="1" applyFill="1" applyBorder="1" applyAlignment="1" applyProtection="1">
      <alignment horizontal="left" vertical="center" wrapText="1" indent="1"/>
      <protection locked="0"/>
    </xf>
    <xf numFmtId="0" fontId="103" fillId="50" borderId="48" xfId="0" applyFont="1" applyFill="1" applyBorder="1" applyAlignment="1" applyProtection="1">
      <alignment horizontal="left" vertical="center" wrapText="1" indent="1"/>
      <protection locked="0"/>
    </xf>
    <xf numFmtId="0" fontId="0" fillId="0" borderId="0" xfId="0" applyAlignment="1" applyProtection="1">
      <alignment vertical="center"/>
      <protection hidden="1"/>
    </xf>
    <xf numFmtId="0" fontId="20" fillId="0" borderId="64" xfId="0" applyFont="1" applyBorder="1" applyAlignment="1" applyProtection="1">
      <alignment vertical="center"/>
      <protection hidden="1"/>
    </xf>
    <xf numFmtId="0" fontId="20" fillId="0" borderId="65" xfId="0" applyFont="1" applyBorder="1" applyAlignment="1" applyProtection="1">
      <alignment vertical="center"/>
      <protection hidden="1"/>
    </xf>
    <xf numFmtId="0" fontId="20" fillId="0" borderId="70" xfId="0" applyFont="1" applyBorder="1" applyAlignment="1" applyProtection="1">
      <alignment vertical="center"/>
      <protection hidden="1"/>
    </xf>
    <xf numFmtId="0" fontId="20" fillId="0" borderId="0" xfId="0" applyFont="1" applyAlignment="1" applyProtection="1">
      <alignment horizontal="right" vertical="center"/>
      <protection hidden="1"/>
    </xf>
    <xf numFmtId="14" fontId="40" fillId="0" borderId="34" xfId="0" applyNumberFormat="1" applyFont="1" applyBorder="1" applyAlignment="1" applyProtection="1">
      <alignment horizontal="center" vertical="center"/>
      <protection hidden="1"/>
    </xf>
    <xf numFmtId="0" fontId="40" fillId="0" borderId="161" xfId="0" applyFont="1" applyBorder="1" applyAlignment="1" applyProtection="1">
      <alignment horizontal="center" vertical="center"/>
      <protection hidden="1"/>
    </xf>
    <xf numFmtId="0" fontId="20" fillId="0" borderId="68" xfId="0" applyFont="1" applyBorder="1" applyAlignment="1" applyProtection="1">
      <alignment vertical="center"/>
      <protection hidden="1"/>
    </xf>
    <xf numFmtId="0" fontId="20" fillId="0" borderId="69" xfId="0" applyFont="1" applyBorder="1" applyAlignment="1" applyProtection="1">
      <alignment vertical="center"/>
      <protection hidden="1"/>
    </xf>
    <xf numFmtId="0" fontId="20" fillId="0" borderId="54" xfId="0" applyFont="1" applyBorder="1" applyAlignment="1" applyProtection="1">
      <alignment vertical="center"/>
      <protection hidden="1"/>
    </xf>
    <xf numFmtId="0" fontId="20" fillId="8" borderId="45" xfId="0" applyFont="1" applyFill="1" applyBorder="1" applyAlignment="1" applyProtection="1">
      <alignment horizontal="center" vertical="center"/>
      <protection hidden="1"/>
    </xf>
    <xf numFmtId="0" fontId="40" fillId="0" borderId="22" xfId="0" applyFont="1" applyBorder="1" applyAlignment="1" applyProtection="1">
      <alignment horizontal="center" vertical="center"/>
      <protection hidden="1"/>
    </xf>
    <xf numFmtId="0" fontId="40" fillId="0" borderId="165" xfId="0" applyFont="1" applyBorder="1" applyAlignment="1" applyProtection="1">
      <alignment horizontal="center" vertical="center"/>
      <protection hidden="1"/>
    </xf>
    <xf numFmtId="0" fontId="40" fillId="0" borderId="0" xfId="0" applyFont="1" applyAlignment="1" applyProtection="1">
      <alignment horizontal="center" vertical="center"/>
      <protection hidden="1"/>
    </xf>
    <xf numFmtId="0" fontId="20" fillId="0" borderId="71" xfId="0" applyFont="1" applyBorder="1" applyAlignment="1" applyProtection="1">
      <alignment vertical="center"/>
      <protection hidden="1"/>
    </xf>
    <xf numFmtId="0" fontId="40" fillId="0" borderId="34" xfId="0" applyFont="1" applyBorder="1" applyAlignment="1" applyProtection="1">
      <alignment horizontal="center" vertical="center"/>
      <protection hidden="1"/>
    </xf>
    <xf numFmtId="0" fontId="107" fillId="0" borderId="70" xfId="0" applyFont="1" applyBorder="1" applyAlignment="1" applyProtection="1">
      <alignment horizontal="left" vertical="center" indent="1"/>
      <protection hidden="1"/>
    </xf>
    <xf numFmtId="0" fontId="71" fillId="0" borderId="0" xfId="0" applyFont="1" applyAlignment="1" applyProtection="1">
      <alignment horizontal="left" vertical="top" indent="1"/>
      <protection hidden="1"/>
    </xf>
    <xf numFmtId="0" fontId="71" fillId="0" borderId="71" xfId="0" applyFont="1" applyBorder="1" applyAlignment="1" applyProtection="1">
      <alignment horizontal="left" vertical="top" indent="1"/>
      <protection hidden="1"/>
    </xf>
    <xf numFmtId="0" fontId="40" fillId="0" borderId="0" xfId="0" applyFont="1" applyAlignment="1" applyProtection="1">
      <alignment vertical="center"/>
      <protection hidden="1"/>
    </xf>
    <xf numFmtId="0" fontId="40" fillId="0" borderId="71" xfId="0" applyFont="1" applyBorder="1" applyAlignment="1" applyProtection="1">
      <alignment vertical="center"/>
      <protection hidden="1"/>
    </xf>
    <xf numFmtId="0" fontId="20" fillId="0" borderId="70" xfId="0" applyFont="1" applyBorder="1" applyAlignment="1" applyProtection="1">
      <alignment horizontal="left" vertical="center"/>
      <protection hidden="1"/>
    </xf>
    <xf numFmtId="0" fontId="20" fillId="0" borderId="0" xfId="0" applyFont="1" applyAlignment="1" applyProtection="1">
      <alignment horizontal="left" vertical="center"/>
      <protection hidden="1"/>
    </xf>
    <xf numFmtId="0" fontId="40" fillId="0" borderId="0" xfId="0" applyFont="1" applyAlignment="1" applyProtection="1">
      <alignment horizontal="left" vertical="center"/>
      <protection hidden="1"/>
    </xf>
    <xf numFmtId="0" fontId="40" fillId="0" borderId="71" xfId="0" applyFont="1" applyBorder="1" applyAlignment="1" applyProtection="1">
      <alignment horizontal="left" vertical="center"/>
      <protection hidden="1"/>
    </xf>
    <xf numFmtId="0" fontId="20" fillId="0" borderId="0" xfId="0" applyFont="1" applyAlignment="1" applyProtection="1">
      <alignment horizontal="left"/>
      <protection hidden="1"/>
    </xf>
    <xf numFmtId="0" fontId="107" fillId="0" borderId="64" xfId="0" applyFont="1" applyBorder="1" applyAlignment="1" applyProtection="1">
      <alignment horizontal="left" vertical="center" indent="1"/>
      <protection hidden="1"/>
    </xf>
    <xf numFmtId="0" fontId="40" fillId="0" borderId="65" xfId="0" applyFont="1" applyBorder="1" applyAlignment="1" applyProtection="1">
      <alignment vertical="center"/>
      <protection hidden="1"/>
    </xf>
    <xf numFmtId="0" fontId="20" fillId="0" borderId="66" xfId="0" applyFont="1" applyBorder="1" applyAlignment="1" applyProtection="1">
      <alignment vertical="center"/>
      <protection hidden="1"/>
    </xf>
    <xf numFmtId="0" fontId="20" fillId="0" borderId="68" xfId="0" applyFont="1" applyBorder="1" applyAlignment="1" applyProtection="1">
      <alignment horizontal="left" vertical="center"/>
      <protection hidden="1"/>
    </xf>
    <xf numFmtId="0" fontId="40" fillId="0" borderId="71" xfId="0" applyFont="1" applyBorder="1" applyAlignment="1" applyProtection="1">
      <alignment horizontal="center" vertical="center"/>
      <protection hidden="1"/>
    </xf>
    <xf numFmtId="49" fontId="20" fillId="0" borderId="0" xfId="0" applyNumberFormat="1" applyFont="1" applyAlignment="1" applyProtection="1">
      <alignment vertical="center"/>
      <protection hidden="1"/>
    </xf>
    <xf numFmtId="0" fontId="23" fillId="0" borderId="0" xfId="0" applyFont="1" applyAlignment="1" applyProtection="1">
      <alignment vertical="center"/>
      <protection hidden="1"/>
    </xf>
    <xf numFmtId="0" fontId="34" fillId="0" borderId="0" xfId="0" applyFont="1" applyProtection="1">
      <protection hidden="1"/>
    </xf>
    <xf numFmtId="0" fontId="13" fillId="0" borderId="0" xfId="0" applyFont="1" applyAlignment="1" applyProtection="1">
      <alignment horizontal="right" vertical="center"/>
      <protection hidden="1"/>
    </xf>
    <xf numFmtId="0" fontId="23" fillId="0" borderId="34" xfId="0" applyFont="1" applyBorder="1" applyAlignment="1" applyProtection="1">
      <alignment horizontal="center" vertical="center"/>
      <protection hidden="1"/>
    </xf>
    <xf numFmtId="0" fontId="13" fillId="0" borderId="22" xfId="0" applyFont="1" applyBorder="1" applyAlignment="1" applyProtection="1">
      <alignment horizontal="right" vertical="center"/>
      <protection hidden="1"/>
    </xf>
    <xf numFmtId="0" fontId="23" fillId="0" borderId="22" xfId="0" applyFont="1" applyBorder="1" applyAlignment="1" applyProtection="1">
      <alignment horizontal="center" vertical="center"/>
      <protection hidden="1"/>
    </xf>
    <xf numFmtId="0" fontId="48" fillId="26" borderId="45" xfId="0" applyFont="1" applyFill="1" applyBorder="1" applyAlignment="1" applyProtection="1">
      <alignment horizontal="center" vertical="center"/>
      <protection hidden="1"/>
    </xf>
    <xf numFmtId="0" fontId="48" fillId="5" borderId="45" xfId="0" applyFont="1" applyFill="1" applyBorder="1" applyAlignment="1" applyProtection="1">
      <alignment horizontal="center" vertical="center"/>
      <protection hidden="1"/>
    </xf>
    <xf numFmtId="14" fontId="23" fillId="0" borderId="34" xfId="0" applyNumberFormat="1" applyFont="1" applyBorder="1" applyAlignment="1" applyProtection="1">
      <alignment horizontal="center" vertical="center"/>
      <protection hidden="1"/>
    </xf>
    <xf numFmtId="0" fontId="31" fillId="5" borderId="45" xfId="4" applyFont="1" applyFill="1" applyBorder="1" applyAlignment="1" applyProtection="1">
      <alignment horizontal="center" vertical="center" wrapText="1"/>
      <protection hidden="1"/>
    </xf>
    <xf numFmtId="0" fontId="43" fillId="0" borderId="0" xfId="4" applyFont="1" applyProtection="1">
      <protection hidden="1"/>
    </xf>
    <xf numFmtId="0" fontId="49" fillId="0" borderId="0" xfId="0" applyFont="1" applyProtection="1">
      <protection hidden="1"/>
    </xf>
    <xf numFmtId="0" fontId="43" fillId="0" borderId="0" xfId="4" quotePrefix="1" applyFont="1" applyProtection="1">
      <protection hidden="1"/>
    </xf>
    <xf numFmtId="0" fontId="13" fillId="0" borderId="22" xfId="0" applyFont="1" applyBorder="1" applyAlignment="1" applyProtection="1">
      <alignment horizontal="center" vertical="center"/>
      <protection hidden="1"/>
    </xf>
    <xf numFmtId="0" fontId="34" fillId="0" borderId="22" xfId="0" applyFont="1" applyBorder="1" applyProtection="1">
      <protection hidden="1"/>
    </xf>
    <xf numFmtId="0" fontId="0" fillId="0" borderId="0" xfId="0" applyAlignment="1" applyProtection="1">
      <alignment vertical="center" wrapText="1"/>
      <protection hidden="1"/>
    </xf>
    <xf numFmtId="0" fontId="23" fillId="0" borderId="34" xfId="0" applyFont="1" applyBorder="1" applyAlignment="1" applyProtection="1">
      <alignment vertical="center"/>
      <protection hidden="1"/>
    </xf>
    <xf numFmtId="0" fontId="13" fillId="0" borderId="0" xfId="0" applyFont="1" applyAlignment="1" applyProtection="1">
      <alignment horizontal="center" vertical="center"/>
      <protection hidden="1"/>
    </xf>
    <xf numFmtId="0" fontId="13" fillId="5" borderId="46" xfId="0" applyFont="1" applyFill="1" applyBorder="1" applyProtection="1">
      <protection hidden="1"/>
    </xf>
    <xf numFmtId="0" fontId="13" fillId="5" borderId="48" xfId="0" applyFont="1" applyFill="1" applyBorder="1" applyProtection="1">
      <protection hidden="1"/>
    </xf>
    <xf numFmtId="0" fontId="34" fillId="5" borderId="48" xfId="0" applyFont="1" applyFill="1" applyBorder="1" applyProtection="1">
      <protection hidden="1"/>
    </xf>
    <xf numFmtId="0" fontId="13" fillId="0" borderId="36" xfId="0" applyFont="1" applyBorder="1" applyAlignment="1" applyProtection="1">
      <alignment horizontal="center" vertical="center"/>
      <protection hidden="1"/>
    </xf>
    <xf numFmtId="14" fontId="23" fillId="0" borderId="35" xfId="0" applyNumberFormat="1" applyFont="1" applyBorder="1" applyAlignment="1" applyProtection="1">
      <alignment horizontal="center" vertical="center"/>
      <protection hidden="1"/>
    </xf>
    <xf numFmtId="0" fontId="23" fillId="0" borderId="22" xfId="0" applyFont="1" applyBorder="1" applyAlignment="1" applyProtection="1">
      <alignment vertical="center"/>
      <protection hidden="1"/>
    </xf>
    <xf numFmtId="0" fontId="43" fillId="5" borderId="45" xfId="0" applyFont="1" applyFill="1" applyBorder="1" applyAlignment="1" applyProtection="1">
      <alignment horizontal="center" vertical="center" wrapText="1"/>
      <protection hidden="1"/>
    </xf>
    <xf numFmtId="49" fontId="20" fillId="0" borderId="0" xfId="0" applyNumberFormat="1" applyFont="1" applyAlignment="1" applyProtection="1">
      <alignment horizontal="center" vertical="center" wrapText="1"/>
      <protection hidden="1"/>
    </xf>
    <xf numFmtId="0" fontId="13" fillId="0" borderId="36" xfId="0" applyFont="1" applyBorder="1" applyAlignment="1" applyProtection="1">
      <alignment vertical="center"/>
      <protection hidden="1"/>
    </xf>
    <xf numFmtId="0" fontId="43" fillId="0" borderId="0" xfId="0" applyFont="1" applyAlignment="1" applyProtection="1">
      <alignment vertical="center" wrapText="1"/>
      <protection hidden="1"/>
    </xf>
    <xf numFmtId="0" fontId="42" fillId="0" borderId="0" xfId="0" applyFont="1" applyProtection="1">
      <protection hidden="1"/>
    </xf>
    <xf numFmtId="0" fontId="43" fillId="6" borderId="70" xfId="0" applyFont="1" applyFill="1" applyBorder="1" applyAlignment="1" applyProtection="1">
      <alignment vertical="center" wrapText="1"/>
      <protection hidden="1"/>
    </xf>
    <xf numFmtId="0" fontId="43" fillId="6" borderId="0" xfId="0" applyFont="1" applyFill="1" applyAlignment="1" applyProtection="1">
      <alignment vertical="center" wrapText="1"/>
      <protection hidden="1"/>
    </xf>
    <xf numFmtId="3" fontId="13" fillId="6" borderId="54" xfId="0" applyNumberFormat="1" applyFont="1" applyFill="1" applyBorder="1" applyAlignment="1" applyProtection="1">
      <alignment horizontal="center" vertical="center" wrapText="1"/>
      <protection hidden="1"/>
    </xf>
    <xf numFmtId="3" fontId="13" fillId="0" borderId="70" xfId="0" applyNumberFormat="1" applyFont="1" applyBorder="1" applyAlignment="1" applyProtection="1">
      <alignment vertical="center" wrapText="1"/>
      <protection hidden="1"/>
    </xf>
    <xf numFmtId="3" fontId="13" fillId="0" borderId="0" xfId="0" applyNumberFormat="1" applyFont="1" applyAlignment="1" applyProtection="1">
      <alignment vertical="center" wrapText="1"/>
      <protection hidden="1"/>
    </xf>
    <xf numFmtId="3" fontId="13" fillId="0" borderId="71" xfId="0" applyNumberFormat="1" applyFont="1" applyBorder="1" applyAlignment="1" applyProtection="1">
      <alignment vertical="center" wrapText="1"/>
      <protection hidden="1"/>
    </xf>
    <xf numFmtId="0" fontId="43" fillId="0" borderId="70" xfId="0" applyFont="1" applyBorder="1" applyAlignment="1" applyProtection="1">
      <alignment horizontal="left" vertical="center" wrapText="1" indent="1"/>
      <protection hidden="1"/>
    </xf>
    <xf numFmtId="0" fontId="43" fillId="0" borderId="0" xfId="0" applyFont="1" applyAlignment="1" applyProtection="1">
      <alignment horizontal="left" vertical="center" wrapText="1" indent="1"/>
      <protection hidden="1"/>
    </xf>
    <xf numFmtId="0" fontId="43" fillId="6" borderId="64" xfId="0" applyFont="1" applyFill="1" applyBorder="1" applyAlignment="1" applyProtection="1">
      <alignment vertical="center" wrapText="1"/>
      <protection hidden="1"/>
    </xf>
    <xf numFmtId="0" fontId="43" fillId="6" borderId="65" xfId="0" applyFont="1" applyFill="1" applyBorder="1" applyAlignment="1" applyProtection="1">
      <alignment vertical="center" wrapText="1"/>
      <protection hidden="1"/>
    </xf>
    <xf numFmtId="0" fontId="43" fillId="6" borderId="66" xfId="0" applyFont="1" applyFill="1" applyBorder="1" applyAlignment="1" applyProtection="1">
      <alignment vertical="center" wrapText="1"/>
      <protection hidden="1"/>
    </xf>
    <xf numFmtId="3" fontId="13" fillId="6" borderId="0" xfId="0" applyNumberFormat="1" applyFont="1" applyFill="1" applyAlignment="1" applyProtection="1">
      <alignment horizontal="center" vertical="center" wrapText="1"/>
      <protection hidden="1"/>
    </xf>
    <xf numFmtId="0" fontId="43" fillId="0" borderId="46" xfId="0" applyFont="1" applyBorder="1" applyAlignment="1" applyProtection="1">
      <alignment horizontal="center" vertical="center" wrapText="1"/>
      <protection hidden="1"/>
    </xf>
    <xf numFmtId="0" fontId="43" fillId="0" borderId="45" xfId="0" applyFont="1" applyBorder="1" applyAlignment="1" applyProtection="1">
      <alignment horizontal="center" vertical="center" wrapText="1"/>
      <protection hidden="1"/>
    </xf>
    <xf numFmtId="0" fontId="43" fillId="0" borderId="70" xfId="0" applyFont="1" applyBorder="1" applyAlignment="1" applyProtection="1">
      <alignment vertical="center" wrapText="1"/>
      <protection hidden="1"/>
    </xf>
    <xf numFmtId="0" fontId="43" fillId="0" borderId="71" xfId="0" applyFont="1" applyBorder="1" applyAlignment="1" applyProtection="1">
      <alignment horizontal="left" vertical="center" wrapText="1" indent="1"/>
      <protection hidden="1"/>
    </xf>
    <xf numFmtId="0" fontId="44" fillId="6" borderId="45" xfId="0" applyFont="1" applyFill="1" applyBorder="1" applyAlignment="1" applyProtection="1">
      <alignment horizontal="left" vertical="center" wrapText="1" indent="1"/>
      <protection hidden="1"/>
    </xf>
    <xf numFmtId="0" fontId="43" fillId="0" borderId="45" xfId="0" applyFont="1" applyBorder="1" applyAlignment="1" applyProtection="1">
      <alignment horizontal="left" vertical="center" wrapText="1" indent="1"/>
      <protection hidden="1"/>
    </xf>
    <xf numFmtId="3" fontId="13" fillId="15" borderId="69" xfId="0" applyNumberFormat="1" applyFont="1" applyFill="1" applyBorder="1" applyAlignment="1" applyProtection="1">
      <alignment vertical="center" wrapText="1"/>
      <protection hidden="1"/>
    </xf>
    <xf numFmtId="0" fontId="43" fillId="0" borderId="45" xfId="0" applyFont="1" applyBorder="1" applyAlignment="1" applyProtection="1">
      <alignment horizontal="left" vertical="center" indent="1"/>
      <protection hidden="1"/>
    </xf>
    <xf numFmtId="0" fontId="43" fillId="0" borderId="0" xfId="0" applyFont="1" applyAlignment="1" applyProtection="1">
      <alignment vertical="center"/>
      <protection hidden="1"/>
    </xf>
    <xf numFmtId="0" fontId="23" fillId="0" borderId="0" xfId="0" applyFont="1" applyAlignment="1" applyProtection="1">
      <alignment horizontal="center" vertical="center"/>
      <protection hidden="1"/>
    </xf>
    <xf numFmtId="14" fontId="23" fillId="0" borderId="0" xfId="0" applyNumberFormat="1" applyFont="1" applyAlignment="1" applyProtection="1">
      <alignment horizontal="center" vertical="center"/>
      <protection hidden="1"/>
    </xf>
    <xf numFmtId="1" fontId="50" fillId="0" borderId="9" xfId="0" applyNumberFormat="1" applyFont="1" applyBorder="1" applyProtection="1">
      <protection hidden="1"/>
    </xf>
    <xf numFmtId="0" fontId="50" fillId="0" borderId="10" xfId="0" applyFont="1" applyBorder="1" applyProtection="1">
      <protection hidden="1"/>
    </xf>
    <xf numFmtId="0" fontId="28" fillId="5" borderId="28" xfId="0" applyFont="1" applyFill="1" applyBorder="1" applyAlignment="1" applyProtection="1">
      <alignment horizontal="center" vertical="center"/>
      <protection hidden="1"/>
    </xf>
    <xf numFmtId="1" fontId="27" fillId="0" borderId="17" xfId="0" applyNumberFormat="1" applyFont="1" applyBorder="1" applyAlignment="1" applyProtection="1">
      <alignment horizontal="center" vertical="center"/>
      <protection hidden="1"/>
    </xf>
    <xf numFmtId="0" fontId="31" fillId="0" borderId="17" xfId="0" applyFont="1" applyBorder="1" applyAlignment="1" applyProtection="1">
      <alignment horizontal="left" vertical="center" indent="1"/>
      <protection hidden="1"/>
    </xf>
    <xf numFmtId="0" fontId="31" fillId="0" borderId="18" xfId="0" applyFont="1" applyBorder="1" applyAlignment="1" applyProtection="1">
      <alignment vertical="center"/>
      <protection hidden="1"/>
    </xf>
    <xf numFmtId="0" fontId="31" fillId="0" borderId="19" xfId="0" applyFont="1" applyBorder="1" applyAlignment="1" applyProtection="1">
      <alignment vertical="center"/>
      <protection hidden="1"/>
    </xf>
    <xf numFmtId="1" fontId="27" fillId="0" borderId="20" xfId="0" applyNumberFormat="1" applyFont="1" applyBorder="1" applyAlignment="1" applyProtection="1">
      <alignment horizontal="center" vertical="center"/>
      <protection hidden="1"/>
    </xf>
    <xf numFmtId="0" fontId="31" fillId="0" borderId="20" xfId="0" applyFont="1" applyBorder="1" applyAlignment="1" applyProtection="1">
      <alignment horizontal="left" vertical="center" indent="1"/>
      <protection hidden="1"/>
    </xf>
    <xf numFmtId="0" fontId="31" fillId="0" borderId="0" xfId="0" applyFont="1" applyAlignment="1" applyProtection="1">
      <alignment vertical="center"/>
      <protection hidden="1"/>
    </xf>
    <xf numFmtId="0" fontId="31" fillId="0" borderId="21" xfId="0" applyFont="1" applyBorder="1" applyAlignment="1" applyProtection="1">
      <alignment vertical="center"/>
      <protection hidden="1"/>
    </xf>
    <xf numFmtId="1" fontId="102" fillId="0" borderId="29" xfId="0" applyNumberFormat="1" applyFont="1" applyBorder="1" applyAlignment="1" applyProtection="1">
      <alignment horizontal="center" vertical="center"/>
      <protection hidden="1"/>
    </xf>
    <xf numFmtId="0" fontId="79" fillId="0" borderId="29" xfId="0" applyFont="1" applyBorder="1" applyAlignment="1" applyProtection="1">
      <alignment vertical="center"/>
      <protection hidden="1"/>
    </xf>
    <xf numFmtId="0" fontId="79" fillId="0" borderId="30" xfId="0" applyFont="1" applyBorder="1" applyAlignment="1" applyProtection="1">
      <alignment vertical="center"/>
      <protection hidden="1"/>
    </xf>
    <xf numFmtId="0" fontId="79" fillId="0" borderId="31" xfId="0" applyFont="1" applyBorder="1" applyAlignment="1" applyProtection="1">
      <alignment vertical="center"/>
      <protection hidden="1"/>
    </xf>
    <xf numFmtId="0" fontId="17" fillId="5" borderId="28" xfId="0" applyFont="1" applyFill="1" applyBorder="1" applyAlignment="1" applyProtection="1">
      <alignment horizontal="center" vertical="center"/>
      <protection hidden="1"/>
    </xf>
    <xf numFmtId="0" fontId="0" fillId="0" borderId="17" xfId="0" applyBorder="1" applyAlignment="1" applyProtection="1">
      <alignment vertical="center"/>
      <protection hidden="1"/>
    </xf>
    <xf numFmtId="0" fontId="34" fillId="0" borderId="18" xfId="0" applyFont="1" applyBorder="1" applyAlignment="1" applyProtection="1">
      <alignment horizontal="left" vertical="center" indent="1"/>
      <protection hidden="1"/>
    </xf>
    <xf numFmtId="0" fontId="34" fillId="0" borderId="19" xfId="0" applyFont="1" applyBorder="1" applyAlignment="1" applyProtection="1">
      <alignment vertical="center"/>
      <protection hidden="1"/>
    </xf>
    <xf numFmtId="0" fontId="34" fillId="0" borderId="0" xfId="0" applyFont="1" applyAlignment="1" applyProtection="1">
      <alignment horizontal="left" vertical="center" indent="1"/>
      <protection hidden="1"/>
    </xf>
    <xf numFmtId="0" fontId="34" fillId="0" borderId="21" xfId="0" applyFont="1" applyBorder="1" applyAlignment="1" applyProtection="1">
      <alignment vertical="center"/>
      <protection hidden="1"/>
    </xf>
    <xf numFmtId="0" fontId="79" fillId="0" borderId="20" xfId="0" applyFont="1" applyBorder="1" applyAlignment="1" applyProtection="1">
      <alignment horizontal="left" vertical="center"/>
      <protection hidden="1"/>
    </xf>
    <xf numFmtId="0" fontId="0" fillId="0" borderId="20" xfId="0" applyBorder="1" applyAlignment="1" applyProtection="1">
      <alignment horizontal="left" vertical="center" indent="1"/>
      <protection hidden="1"/>
    </xf>
    <xf numFmtId="0" fontId="79" fillId="0" borderId="0" xfId="0" applyFont="1" applyAlignment="1" applyProtection="1">
      <alignment horizontal="left" vertical="center" indent="1"/>
      <protection hidden="1"/>
    </xf>
    <xf numFmtId="0" fontId="31" fillId="0" borderId="20" xfId="0" applyFont="1" applyBorder="1" applyAlignment="1" applyProtection="1">
      <alignment horizontal="left" vertical="center"/>
      <protection hidden="1"/>
    </xf>
    <xf numFmtId="0" fontId="79" fillId="0" borderId="29" xfId="0" applyFont="1" applyBorder="1" applyAlignment="1" applyProtection="1">
      <alignment horizontal="left" vertical="center"/>
      <protection hidden="1"/>
    </xf>
    <xf numFmtId="0" fontId="0" fillId="0" borderId="29" xfId="0" applyBorder="1" applyAlignment="1" applyProtection="1">
      <alignment horizontal="left" vertical="center" indent="1"/>
      <protection hidden="1"/>
    </xf>
    <xf numFmtId="0" fontId="79" fillId="0" borderId="30" xfId="0" applyFont="1" applyBorder="1" applyAlignment="1" applyProtection="1">
      <alignment horizontal="left" vertical="center" indent="1"/>
      <protection hidden="1"/>
    </xf>
    <xf numFmtId="0" fontId="34" fillId="0" borderId="30" xfId="0" applyFont="1" applyBorder="1" applyAlignment="1" applyProtection="1">
      <alignment horizontal="left" vertical="center" indent="1"/>
      <protection hidden="1"/>
    </xf>
    <xf numFmtId="0" fontId="34" fillId="0" borderId="31" xfId="0" applyFont="1" applyBorder="1" applyAlignment="1" applyProtection="1">
      <alignment vertical="center"/>
      <protection hidden="1"/>
    </xf>
    <xf numFmtId="0" fontId="40" fillId="0" borderId="115" xfId="0" applyFont="1" applyBorder="1" applyAlignment="1" applyProtection="1">
      <alignment horizontal="center" vertical="center"/>
      <protection hidden="1"/>
    </xf>
    <xf numFmtId="0" fontId="20" fillId="0" borderId="115" xfId="0" applyFont="1" applyBorder="1" applyAlignment="1" applyProtection="1">
      <alignment vertical="center"/>
      <protection hidden="1"/>
    </xf>
    <xf numFmtId="14" fontId="40" fillId="0" borderId="116" xfId="0" applyNumberFormat="1" applyFont="1" applyBorder="1" applyAlignment="1" applyProtection="1">
      <alignment horizontal="center" vertical="center"/>
      <protection hidden="1"/>
    </xf>
    <xf numFmtId="0" fontId="20" fillId="0" borderId="115" xfId="0" applyFont="1" applyBorder="1" applyAlignment="1" applyProtection="1">
      <alignment horizontal="right" vertical="center"/>
      <protection hidden="1"/>
    </xf>
    <xf numFmtId="0" fontId="23" fillId="5" borderId="111" xfId="0" applyFont="1" applyFill="1" applyBorder="1" applyAlignment="1" applyProtection="1">
      <alignment horizontal="center" vertical="center"/>
      <protection hidden="1"/>
    </xf>
    <xf numFmtId="0" fontId="23" fillId="5" borderId="123" xfId="0" applyFont="1" applyFill="1" applyBorder="1" applyAlignment="1" applyProtection="1">
      <alignment horizontal="center" vertical="center"/>
      <protection hidden="1"/>
    </xf>
    <xf numFmtId="1" fontId="43" fillId="0" borderId="124" xfId="0" applyNumberFormat="1" applyFont="1" applyBorder="1" applyAlignment="1" applyProtection="1">
      <alignment horizontal="center" vertical="center"/>
      <protection hidden="1"/>
    </xf>
    <xf numFmtId="0" fontId="43" fillId="0" borderId="125" xfId="0" applyFont="1" applyBorder="1" applyAlignment="1" applyProtection="1">
      <alignment horizontal="left" vertical="center"/>
      <protection hidden="1"/>
    </xf>
    <xf numFmtId="0" fontId="20" fillId="0" borderId="118" xfId="0" applyFont="1" applyBorder="1" applyAlignment="1" applyProtection="1">
      <alignment vertical="center"/>
      <protection hidden="1"/>
    </xf>
    <xf numFmtId="0" fontId="20" fillId="0" borderId="126" xfId="0" applyFont="1" applyBorder="1" applyAlignment="1" applyProtection="1">
      <alignment vertical="center"/>
      <protection hidden="1"/>
    </xf>
    <xf numFmtId="1" fontId="43" fillId="0" borderId="127" xfId="0" applyNumberFormat="1" applyFont="1" applyBorder="1" applyAlignment="1" applyProtection="1">
      <alignment horizontal="center" vertical="center"/>
      <protection hidden="1"/>
    </xf>
    <xf numFmtId="0" fontId="43" fillId="0" borderId="128" xfId="0" applyFont="1" applyBorder="1" applyAlignment="1" applyProtection="1">
      <alignment horizontal="left" vertical="center"/>
      <protection hidden="1"/>
    </xf>
    <xf numFmtId="0" fontId="20" fillId="0" borderId="129" xfId="0" applyFont="1" applyBorder="1" applyAlignment="1" applyProtection="1">
      <alignment vertical="center"/>
      <protection hidden="1"/>
    </xf>
    <xf numFmtId="1" fontId="98" fillId="0" borderId="127" xfId="0" applyNumberFormat="1" applyFont="1" applyBorder="1" applyAlignment="1" applyProtection="1">
      <alignment horizontal="center" vertical="center"/>
      <protection hidden="1"/>
    </xf>
    <xf numFmtId="0" fontId="98" fillId="0" borderId="128" xfId="0" applyFont="1" applyBorder="1" applyAlignment="1" applyProtection="1">
      <alignment horizontal="left" vertical="center"/>
      <protection hidden="1"/>
    </xf>
    <xf numFmtId="0" fontId="99" fillId="0" borderId="0" xfId="0" applyFont="1" applyAlignment="1" applyProtection="1">
      <alignment vertical="center"/>
      <protection hidden="1"/>
    </xf>
    <xf numFmtId="0" fontId="43" fillId="0" borderId="129" xfId="0" applyFont="1" applyBorder="1" applyAlignment="1" applyProtection="1">
      <alignment vertical="center"/>
      <protection hidden="1"/>
    </xf>
    <xf numFmtId="1" fontId="43" fillId="0" borderId="132" xfId="0" applyNumberFormat="1" applyFont="1" applyBorder="1" applyAlignment="1" applyProtection="1">
      <alignment horizontal="center" vertical="center"/>
      <protection hidden="1"/>
    </xf>
    <xf numFmtId="0" fontId="43" fillId="0" borderId="133" xfId="0" applyFont="1" applyBorder="1" applyAlignment="1" applyProtection="1">
      <alignment horizontal="left" vertical="center"/>
      <protection hidden="1"/>
    </xf>
    <xf numFmtId="0" fontId="20" fillId="0" borderId="122" xfId="0" applyFont="1" applyBorder="1" applyAlignment="1" applyProtection="1">
      <alignment vertical="center"/>
      <protection hidden="1"/>
    </xf>
    <xf numFmtId="0" fontId="20" fillId="0" borderId="134" xfId="0" applyFont="1" applyBorder="1" applyAlignment="1" applyProtection="1">
      <alignment vertical="center"/>
      <protection hidden="1"/>
    </xf>
    <xf numFmtId="1" fontId="43" fillId="0" borderId="0" xfId="0" applyNumberFormat="1" applyFont="1" applyAlignment="1" applyProtection="1">
      <alignment horizontal="center" vertical="center"/>
      <protection hidden="1"/>
    </xf>
    <xf numFmtId="0" fontId="43" fillId="0" borderId="0" xfId="0" applyFont="1" applyAlignment="1" applyProtection="1">
      <alignment horizontal="left" vertical="center"/>
      <protection hidden="1"/>
    </xf>
    <xf numFmtId="3" fontId="20" fillId="0" borderId="0" xfId="0" applyNumberFormat="1" applyFont="1" applyAlignment="1" applyProtection="1">
      <alignment vertical="center"/>
      <protection hidden="1"/>
    </xf>
    <xf numFmtId="10" fontId="20" fillId="0" borderId="0" xfId="0" applyNumberFormat="1" applyFont="1" applyAlignment="1" applyProtection="1">
      <alignment horizontal="right" vertical="center"/>
      <protection hidden="1"/>
    </xf>
    <xf numFmtId="0" fontId="50" fillId="0" borderId="129" xfId="0" applyFont="1" applyBorder="1" applyProtection="1">
      <protection hidden="1"/>
    </xf>
    <xf numFmtId="0" fontId="20" fillId="0" borderId="140" xfId="0" applyFont="1" applyBorder="1" applyAlignment="1" applyProtection="1">
      <alignment vertical="center"/>
      <protection hidden="1"/>
    </xf>
    <xf numFmtId="0" fontId="50" fillId="0" borderId="140" xfId="0" applyFont="1" applyBorder="1" applyProtection="1">
      <protection hidden="1"/>
    </xf>
    <xf numFmtId="0" fontId="50" fillId="0" borderId="141" xfId="0" applyFont="1" applyBorder="1" applyProtection="1">
      <protection hidden="1"/>
    </xf>
    <xf numFmtId="1" fontId="98" fillId="0" borderId="0" xfId="0" applyNumberFormat="1" applyFont="1" applyAlignment="1" applyProtection="1">
      <alignment horizontal="center" vertical="center"/>
      <protection hidden="1"/>
    </xf>
    <xf numFmtId="0" fontId="98" fillId="0" borderId="0" xfId="0" applyFont="1" applyAlignment="1" applyProtection="1">
      <alignment horizontal="left" vertical="center"/>
      <protection hidden="1"/>
    </xf>
    <xf numFmtId="3" fontId="40" fillId="0" borderId="0" xfId="0" applyNumberFormat="1" applyFont="1" applyAlignment="1" applyProtection="1">
      <alignment vertical="center"/>
      <protection hidden="1"/>
    </xf>
    <xf numFmtId="10" fontId="40" fillId="0" borderId="0" xfId="0" applyNumberFormat="1" applyFont="1" applyAlignment="1" applyProtection="1">
      <alignment horizontal="right" vertical="center"/>
      <protection hidden="1"/>
    </xf>
    <xf numFmtId="0" fontId="100" fillId="0" borderId="128" xfId="0" applyFont="1" applyBorder="1" applyAlignment="1" applyProtection="1">
      <alignment horizontal="left" vertical="center"/>
      <protection hidden="1"/>
    </xf>
    <xf numFmtId="0" fontId="98" fillId="0" borderId="128" xfId="0" applyFont="1" applyBorder="1" applyAlignment="1" applyProtection="1">
      <alignment vertical="center"/>
      <protection hidden="1"/>
    </xf>
    <xf numFmtId="0" fontId="43" fillId="0" borderId="0" xfId="0" applyFont="1" applyAlignment="1" applyProtection="1">
      <alignment horizontal="left" vertical="center" wrapText="1"/>
      <protection hidden="1"/>
    </xf>
    <xf numFmtId="0" fontId="43" fillId="0" borderId="129" xfId="0" applyFont="1" applyBorder="1" applyAlignment="1" applyProtection="1">
      <alignment horizontal="left" vertical="center" wrapText="1"/>
      <protection hidden="1"/>
    </xf>
    <xf numFmtId="0" fontId="44" fillId="0" borderId="0" xfId="0" applyFont="1" applyAlignment="1" applyProtection="1">
      <alignment vertical="center"/>
      <protection hidden="1"/>
    </xf>
    <xf numFmtId="0" fontId="98" fillId="0" borderId="128" xfId="0" applyFont="1" applyBorder="1" applyAlignment="1" applyProtection="1">
      <alignment horizontal="left" vertical="center" indent="4"/>
      <protection hidden="1"/>
    </xf>
    <xf numFmtId="0" fontId="0" fillId="0" borderId="114" xfId="0" applyBorder="1" applyProtection="1">
      <protection hidden="1"/>
    </xf>
    <xf numFmtId="0" fontId="13" fillId="0" borderId="110" xfId="0" applyFont="1" applyBorder="1" applyAlignment="1" applyProtection="1">
      <alignment horizontal="right"/>
      <protection hidden="1"/>
    </xf>
    <xf numFmtId="0" fontId="24" fillId="0" borderId="0" xfId="0" applyFont="1" applyProtection="1">
      <protection hidden="1"/>
    </xf>
    <xf numFmtId="0" fontId="13" fillId="0" borderId="22" xfId="0" applyFont="1" applyBorder="1" applyAlignment="1" applyProtection="1">
      <alignment horizontal="center"/>
      <protection hidden="1"/>
    </xf>
    <xf numFmtId="0" fontId="23" fillId="0" borderId="22" xfId="0" applyFont="1" applyBorder="1" applyAlignment="1" applyProtection="1">
      <alignment horizontal="center"/>
      <protection hidden="1"/>
    </xf>
    <xf numFmtId="0" fontId="48" fillId="0" borderId="22" xfId="0" applyFont="1" applyBorder="1" applyAlignment="1" applyProtection="1">
      <alignment horizontal="center"/>
      <protection hidden="1"/>
    </xf>
    <xf numFmtId="0" fontId="13" fillId="5" borderId="46" xfId="0" applyFont="1" applyFill="1" applyBorder="1" applyAlignment="1" applyProtection="1">
      <alignment horizontal="center" vertical="center"/>
      <protection hidden="1"/>
    </xf>
    <xf numFmtId="0" fontId="34" fillId="5" borderId="47" xfId="0" applyFont="1" applyFill="1" applyBorder="1" applyAlignment="1" applyProtection="1">
      <alignment horizontal="center" vertical="center"/>
      <protection hidden="1"/>
    </xf>
    <xf numFmtId="0" fontId="34" fillId="5" borderId="45" xfId="0" applyFont="1" applyFill="1" applyBorder="1" applyAlignment="1" applyProtection="1">
      <alignment horizontal="center" vertical="center"/>
      <protection hidden="1"/>
    </xf>
    <xf numFmtId="0" fontId="48" fillId="0" borderId="45" xfId="0" applyFont="1" applyBorder="1" applyAlignment="1" applyProtection="1">
      <alignment horizontal="left" vertical="center"/>
      <protection hidden="1"/>
    </xf>
    <xf numFmtId="0" fontId="48" fillId="0" borderId="0" xfId="0" applyFont="1" applyAlignment="1" applyProtection="1">
      <alignment vertical="center"/>
      <protection hidden="1"/>
    </xf>
    <xf numFmtId="0" fontId="48" fillId="0" borderId="45" xfId="0" quotePrefix="1" applyFont="1" applyBorder="1" applyAlignment="1" applyProtection="1">
      <alignment horizontal="left" vertical="center"/>
      <protection hidden="1"/>
    </xf>
    <xf numFmtId="0" fontId="48" fillId="0" borderId="0" xfId="0" applyFont="1" applyAlignment="1" applyProtection="1">
      <alignment vertical="center" wrapText="1"/>
      <protection hidden="1"/>
    </xf>
    <xf numFmtId="0" fontId="0" fillId="0" borderId="0" xfId="0" applyAlignment="1" applyProtection="1">
      <alignment vertical="top"/>
      <protection hidden="1"/>
    </xf>
    <xf numFmtId="0" fontId="42" fillId="0" borderId="0" xfId="0" applyFont="1" applyAlignment="1" applyProtection="1">
      <alignment vertical="top"/>
      <protection hidden="1"/>
    </xf>
    <xf numFmtId="0" fontId="23" fillId="0" borderId="35" xfId="0" applyFont="1" applyBorder="1" applyAlignment="1" applyProtection="1">
      <alignment horizontal="center" vertical="center"/>
      <protection hidden="1"/>
    </xf>
    <xf numFmtId="0" fontId="23" fillId="0" borderId="20" xfId="0" applyFont="1" applyBorder="1" applyAlignment="1" applyProtection="1">
      <alignment horizontal="left" indent="1"/>
      <protection hidden="1"/>
    </xf>
    <xf numFmtId="0" fontId="13" fillId="0" borderId="0" xfId="0" applyFont="1" applyAlignment="1" applyProtection="1">
      <alignment horizontal="left" indent="1"/>
      <protection hidden="1"/>
    </xf>
    <xf numFmtId="0" fontId="13" fillId="0" borderId="21" xfId="0" applyFont="1" applyBorder="1" applyAlignment="1" applyProtection="1">
      <alignment horizontal="left" indent="1"/>
      <protection hidden="1"/>
    </xf>
    <xf numFmtId="0" fontId="13" fillId="0" borderId="20" xfId="0" applyFont="1" applyBorder="1" applyAlignment="1" applyProtection="1">
      <alignment horizontal="left" indent="1"/>
      <protection hidden="1"/>
    </xf>
    <xf numFmtId="0" fontId="94" fillId="0" borderId="20" xfId="0" applyFont="1" applyBorder="1" applyAlignment="1" applyProtection="1">
      <alignment horizontal="left" indent="1"/>
      <protection hidden="1"/>
    </xf>
    <xf numFmtId="0" fontId="13" fillId="0" borderId="21" xfId="0" applyFont="1" applyBorder="1" applyProtection="1">
      <protection hidden="1"/>
    </xf>
    <xf numFmtId="0" fontId="23" fillId="5" borderId="17" xfId="0" applyFont="1" applyFill="1" applyBorder="1" applyProtection="1">
      <protection hidden="1"/>
    </xf>
    <xf numFmtId="0" fontId="17" fillId="5" borderId="18" xfId="0" applyFont="1" applyFill="1" applyBorder="1" applyProtection="1">
      <protection hidden="1"/>
    </xf>
    <xf numFmtId="0" fontId="17" fillId="5" borderId="39" xfId="0" applyFont="1" applyFill="1" applyBorder="1" applyAlignment="1" applyProtection="1">
      <alignment horizontal="left"/>
      <protection hidden="1"/>
    </xf>
    <xf numFmtId="0" fontId="17" fillId="5" borderId="19" xfId="0" applyFont="1" applyFill="1" applyBorder="1" applyProtection="1">
      <protection hidden="1"/>
    </xf>
    <xf numFmtId="0" fontId="17" fillId="5" borderId="20" xfId="0" applyFont="1" applyFill="1" applyBorder="1" applyProtection="1">
      <protection hidden="1"/>
    </xf>
    <xf numFmtId="0" fontId="17" fillId="5" borderId="0" xfId="0" applyFont="1" applyFill="1" applyProtection="1">
      <protection hidden="1"/>
    </xf>
    <xf numFmtId="0" fontId="17" fillId="5" borderId="21" xfId="0" applyFont="1" applyFill="1" applyBorder="1" applyProtection="1">
      <protection hidden="1"/>
    </xf>
    <xf numFmtId="0" fontId="23" fillId="5" borderId="20" xfId="0" applyFont="1" applyFill="1" applyBorder="1" applyProtection="1">
      <protection hidden="1"/>
    </xf>
    <xf numFmtId="0" fontId="17" fillId="5" borderId="29" xfId="0" applyFont="1" applyFill="1" applyBorder="1" applyProtection="1">
      <protection hidden="1"/>
    </xf>
    <xf numFmtId="0" fontId="17" fillId="5" borderId="30" xfId="0" applyFont="1" applyFill="1" applyBorder="1" applyProtection="1">
      <protection hidden="1"/>
    </xf>
    <xf numFmtId="0" fontId="17" fillId="5" borderId="31" xfId="0" applyFont="1" applyFill="1" applyBorder="1" applyProtection="1">
      <protection hidden="1"/>
    </xf>
    <xf numFmtId="0" fontId="23" fillId="11" borderId="23" xfId="0" applyFont="1" applyFill="1" applyBorder="1" applyAlignment="1" applyProtection="1">
      <alignment horizontal="left" vertical="center" indent="1"/>
      <protection hidden="1"/>
    </xf>
    <xf numFmtId="0" fontId="23" fillId="11" borderId="24" xfId="0" applyFont="1" applyFill="1" applyBorder="1" applyAlignment="1" applyProtection="1">
      <alignment vertical="center"/>
      <protection hidden="1"/>
    </xf>
    <xf numFmtId="0" fontId="23" fillId="11" borderId="25" xfId="0" applyFont="1" applyFill="1" applyBorder="1" applyAlignment="1" applyProtection="1">
      <alignment vertical="center"/>
      <protection hidden="1"/>
    </xf>
    <xf numFmtId="0" fontId="23" fillId="11" borderId="29" xfId="0" applyFont="1" applyFill="1" applyBorder="1" applyAlignment="1" applyProtection="1">
      <alignment horizontal="left" vertical="center" indent="1"/>
      <protection hidden="1"/>
    </xf>
    <xf numFmtId="0" fontId="23" fillId="11" borderId="30" xfId="0" applyFont="1" applyFill="1" applyBorder="1" applyAlignment="1" applyProtection="1">
      <alignment vertical="center"/>
      <protection hidden="1"/>
    </xf>
    <xf numFmtId="0" fontId="23" fillId="11" borderId="31" xfId="0" applyFont="1" applyFill="1" applyBorder="1" applyAlignment="1" applyProtection="1">
      <alignment vertical="center"/>
      <protection hidden="1"/>
    </xf>
    <xf numFmtId="0" fontId="13" fillId="5" borderId="33" xfId="0" applyFont="1" applyFill="1" applyBorder="1" applyAlignment="1" applyProtection="1">
      <alignment horizontal="center" vertical="center"/>
      <protection hidden="1"/>
    </xf>
    <xf numFmtId="0" fontId="13" fillId="8" borderId="174" xfId="0" applyFont="1" applyFill="1" applyBorder="1" applyAlignment="1" applyProtection="1">
      <alignment horizontal="left" vertical="center" indent="1"/>
      <protection hidden="1"/>
    </xf>
    <xf numFmtId="0" fontId="13" fillId="8" borderId="174" xfId="0" applyFont="1" applyFill="1" applyBorder="1" applyAlignment="1" applyProtection="1">
      <alignment vertical="center"/>
      <protection hidden="1"/>
    </xf>
    <xf numFmtId="0" fontId="34" fillId="0" borderId="0" xfId="0" applyFont="1" applyAlignment="1" applyProtection="1">
      <alignment horizontal="center"/>
      <protection hidden="1"/>
    </xf>
    <xf numFmtId="0" fontId="40" fillId="0" borderId="35" xfId="0" applyFont="1" applyBorder="1" applyAlignment="1" applyProtection="1">
      <alignment horizontal="center" vertical="center"/>
      <protection hidden="1"/>
    </xf>
    <xf numFmtId="0" fontId="20" fillId="0" borderId="22" xfId="0" applyFont="1" applyBorder="1" applyAlignment="1" applyProtection="1">
      <alignment horizontal="center" vertical="center"/>
      <protection hidden="1"/>
    </xf>
    <xf numFmtId="0" fontId="20" fillId="0" borderId="22" xfId="0" applyFont="1" applyBorder="1" applyAlignment="1" applyProtection="1">
      <alignment vertical="center"/>
      <protection hidden="1"/>
    </xf>
    <xf numFmtId="2" fontId="3" fillId="0" borderId="0" xfId="0" applyNumberFormat="1" applyFont="1" applyProtection="1">
      <protection hidden="1"/>
    </xf>
    <xf numFmtId="0" fontId="15" fillId="0" borderId="0" xfId="0" applyFont="1" applyProtection="1">
      <protection hidden="1"/>
    </xf>
    <xf numFmtId="1" fontId="23" fillId="0" borderId="44" xfId="0" applyNumberFormat="1" applyFont="1" applyBorder="1" applyAlignment="1" applyProtection="1">
      <alignment horizontal="left"/>
      <protection hidden="1"/>
    </xf>
    <xf numFmtId="0" fontId="23" fillId="0" borderId="26" xfId="0" applyFont="1" applyBorder="1" applyAlignment="1" applyProtection="1">
      <alignment horizontal="center" vertical="center"/>
      <protection hidden="1"/>
    </xf>
    <xf numFmtId="3" fontId="13" fillId="50" borderId="45" xfId="0" applyNumberFormat="1" applyFont="1" applyFill="1" applyBorder="1" applyAlignment="1" applyProtection="1">
      <alignment horizontal="right" vertical="center" wrapText="1"/>
      <protection hidden="1"/>
    </xf>
    <xf numFmtId="0" fontId="31" fillId="5" borderId="45" xfId="0" applyFont="1" applyFill="1" applyBorder="1" applyAlignment="1" applyProtection="1">
      <alignment horizontal="center" vertical="center" wrapText="1"/>
      <protection hidden="1"/>
    </xf>
    <xf numFmtId="0" fontId="66" fillId="0" borderId="0" xfId="0" applyFont="1" applyAlignment="1" applyProtection="1">
      <alignment horizontal="left" vertical="center"/>
      <protection hidden="1"/>
    </xf>
    <xf numFmtId="0" fontId="68" fillId="0" borderId="0" xfId="0" applyFont="1" applyAlignment="1" applyProtection="1">
      <alignment horizontal="left" vertical="center" indent="1"/>
      <protection hidden="1"/>
    </xf>
    <xf numFmtId="0" fontId="15" fillId="0" borderId="0" xfId="0" applyFont="1" applyAlignment="1" applyProtection="1">
      <alignment horizontal="left" vertical="center" indent="1"/>
      <protection hidden="1"/>
    </xf>
    <xf numFmtId="0" fontId="49" fillId="0" borderId="0" xfId="0" applyFont="1" applyAlignment="1" applyProtection="1">
      <alignment horizontal="left" indent="2"/>
      <protection hidden="1"/>
    </xf>
    <xf numFmtId="0" fontId="49" fillId="0" borderId="0" xfId="0" applyFont="1" applyAlignment="1" applyProtection="1">
      <alignment horizontal="left" vertical="center" indent="1"/>
      <protection hidden="1"/>
    </xf>
    <xf numFmtId="0" fontId="13" fillId="0" borderId="0" xfId="0" applyFont="1" applyAlignment="1" applyProtection="1">
      <alignment horizontal="left" vertical="center"/>
      <protection hidden="1"/>
    </xf>
    <xf numFmtId="0" fontId="20" fillId="0" borderId="0" xfId="0" applyFont="1" applyAlignment="1" applyProtection="1">
      <alignment vertical="center" wrapText="1"/>
      <protection hidden="1"/>
    </xf>
    <xf numFmtId="0" fontId="43" fillId="0" borderId="67" xfId="0" applyFont="1" applyBorder="1" applyAlignment="1" applyProtection="1">
      <alignment horizontal="center" vertical="center" wrapText="1"/>
      <protection hidden="1"/>
    </xf>
    <xf numFmtId="0" fontId="43" fillId="0" borderId="55" xfId="0" applyFont="1" applyBorder="1" applyAlignment="1" applyProtection="1">
      <alignment horizontal="center" vertical="center" wrapText="1"/>
      <protection hidden="1"/>
    </xf>
    <xf numFmtId="0" fontId="44" fillId="0" borderId="67" xfId="0" applyFont="1" applyBorder="1" applyAlignment="1" applyProtection="1">
      <alignment horizontal="center" vertical="center" wrapText="1"/>
      <protection hidden="1"/>
    </xf>
    <xf numFmtId="0" fontId="40" fillId="8" borderId="45"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40" fillId="0" borderId="0" xfId="0" applyFont="1" applyAlignment="1" applyProtection="1">
      <alignment horizontal="center" vertical="center" wrapText="1"/>
      <protection hidden="1"/>
    </xf>
    <xf numFmtId="0" fontId="20" fillId="0" borderId="0" xfId="0" applyFont="1" applyAlignment="1" applyProtection="1">
      <alignment horizontal="left" vertical="center" wrapText="1" indent="1"/>
      <protection hidden="1"/>
    </xf>
    <xf numFmtId="3" fontId="82" fillId="0" borderId="0" xfId="0" applyNumberFormat="1" applyFont="1" applyAlignment="1" applyProtection="1">
      <alignment horizontal="right" vertical="center" wrapText="1"/>
      <protection hidden="1"/>
    </xf>
    <xf numFmtId="3" fontId="82" fillId="0" borderId="0" xfId="0" applyNumberFormat="1" applyFont="1" applyAlignment="1" applyProtection="1">
      <alignment vertical="center" wrapText="1"/>
      <protection hidden="1"/>
    </xf>
    <xf numFmtId="3" fontId="83" fillId="0" borderId="0" xfId="0" applyNumberFormat="1" applyFont="1" applyAlignment="1" applyProtection="1">
      <alignment vertical="center" wrapText="1"/>
      <protection hidden="1"/>
    </xf>
    <xf numFmtId="0" fontId="82" fillId="0" borderId="0" xfId="0" applyFont="1" applyAlignment="1" applyProtection="1">
      <alignment horizontal="center" vertical="center" wrapText="1"/>
      <protection hidden="1"/>
    </xf>
    <xf numFmtId="0" fontId="62" fillId="0" borderId="0" xfId="0" applyFont="1" applyProtection="1">
      <protection hidden="1"/>
    </xf>
    <xf numFmtId="0" fontId="67" fillId="0" borderId="0" xfId="0" applyFont="1" applyAlignment="1" applyProtection="1">
      <alignment horizontal="left" vertical="center" indent="1"/>
      <protection hidden="1"/>
    </xf>
    <xf numFmtId="0" fontId="15" fillId="0" borderId="0" xfId="0" quotePrefix="1" applyFont="1" applyProtection="1">
      <protection hidden="1"/>
    </xf>
    <xf numFmtId="0" fontId="15" fillId="0" borderId="0" xfId="0" applyFont="1" applyAlignment="1" applyProtection="1">
      <alignment horizontal="left" indent="1"/>
      <protection hidden="1"/>
    </xf>
    <xf numFmtId="49" fontId="15" fillId="0" borderId="0" xfId="0" applyNumberFormat="1" applyFont="1" applyAlignment="1" applyProtection="1">
      <alignment horizontal="left" indent="1"/>
      <protection hidden="1"/>
    </xf>
    <xf numFmtId="49" fontId="15" fillId="0" borderId="0" xfId="0" applyNumberFormat="1" applyFont="1" applyAlignment="1" applyProtection="1">
      <alignment horizontal="left" indent="3"/>
      <protection hidden="1"/>
    </xf>
    <xf numFmtId="0" fontId="15" fillId="0" borderId="0" xfId="0" applyFont="1" applyAlignment="1" applyProtection="1">
      <alignment vertical="center"/>
      <protection hidden="1"/>
    </xf>
    <xf numFmtId="0" fontId="76" fillId="0" borderId="0" xfId="0" applyFont="1" applyAlignment="1" applyProtection="1">
      <alignment horizontal="left" vertical="center" indent="1"/>
      <protection hidden="1"/>
    </xf>
    <xf numFmtId="0" fontId="31" fillId="0" borderId="0" xfId="0" applyFont="1" applyAlignment="1" applyProtection="1">
      <alignment horizontal="right" vertical="center"/>
      <protection hidden="1"/>
    </xf>
    <xf numFmtId="0" fontId="33" fillId="0" borderId="34" xfId="0" applyFont="1" applyBorder="1" applyAlignment="1" applyProtection="1">
      <alignment horizontal="center" vertical="center"/>
      <protection hidden="1"/>
    </xf>
    <xf numFmtId="0" fontId="31" fillId="0" borderId="0" xfId="0" applyFont="1" applyAlignment="1" applyProtection="1">
      <alignment horizontal="center" vertical="center"/>
      <protection hidden="1"/>
    </xf>
    <xf numFmtId="0" fontId="33" fillId="0" borderId="22" xfId="0" applyFont="1" applyBorder="1" applyAlignment="1" applyProtection="1">
      <alignment horizontal="center" vertical="center"/>
      <protection hidden="1"/>
    </xf>
    <xf numFmtId="0" fontId="31" fillId="0" borderId="22" xfId="0" applyFont="1" applyBorder="1" applyAlignment="1" applyProtection="1">
      <alignment horizontal="center" vertical="center"/>
      <protection hidden="1"/>
    </xf>
    <xf numFmtId="0" fontId="31" fillId="0" borderId="22" xfId="0" applyFont="1" applyBorder="1" applyAlignment="1" applyProtection="1">
      <alignment horizontal="right" vertical="center"/>
      <protection hidden="1"/>
    </xf>
    <xf numFmtId="0" fontId="63" fillId="0" borderId="0" xfId="0" applyFont="1" applyAlignment="1" applyProtection="1">
      <alignment horizontal="left" vertical="center"/>
      <protection hidden="1"/>
    </xf>
    <xf numFmtId="0" fontId="31" fillId="0" borderId="0" xfId="0" applyFont="1" applyProtection="1">
      <protection hidden="1"/>
    </xf>
    <xf numFmtId="0" fontId="40" fillId="0" borderId="0" xfId="0" applyFont="1" applyAlignment="1" applyProtection="1">
      <alignment horizontal="left" vertical="center" wrapText="1" indent="1"/>
      <protection hidden="1"/>
    </xf>
    <xf numFmtId="3" fontId="40" fillId="0" borderId="0" xfId="0" applyNumberFormat="1" applyFont="1" applyAlignment="1" applyProtection="1">
      <alignment horizontal="right" vertical="center" wrapText="1"/>
      <protection hidden="1"/>
    </xf>
    <xf numFmtId="0" fontId="13" fillId="12" borderId="45" xfId="0" applyFont="1" applyFill="1" applyBorder="1" applyAlignment="1" applyProtection="1">
      <alignment horizontal="center" vertical="center" wrapText="1"/>
      <protection hidden="1"/>
    </xf>
    <xf numFmtId="3" fontId="20" fillId="0" borderId="0" xfId="0" applyNumberFormat="1" applyFont="1" applyAlignment="1" applyProtection="1">
      <alignment horizontal="right" vertical="center" wrapText="1"/>
      <protection hidden="1"/>
    </xf>
    <xf numFmtId="0" fontId="66" fillId="0" borderId="0" xfId="0" applyFont="1" applyProtection="1">
      <protection hidden="1"/>
    </xf>
    <xf numFmtId="0" fontId="62" fillId="0" borderId="0" xfId="0" applyFont="1" applyAlignment="1" applyProtection="1">
      <alignment horizontal="left" wrapText="1" indent="1"/>
      <protection hidden="1"/>
    </xf>
    <xf numFmtId="0" fontId="62" fillId="0" borderId="0" xfId="0" applyFont="1" applyAlignment="1" applyProtection="1">
      <alignment horizontal="left" indent="1"/>
      <protection hidden="1"/>
    </xf>
    <xf numFmtId="0" fontId="65" fillId="0" borderId="0" xfId="0" applyFont="1" applyAlignment="1" applyProtection="1">
      <alignment horizontal="left" indent="1"/>
      <protection hidden="1"/>
    </xf>
    <xf numFmtId="0" fontId="23" fillId="10" borderId="45" xfId="0" applyFont="1" applyFill="1" applyBorder="1" applyAlignment="1" applyProtection="1">
      <alignment horizontal="center" vertical="center" wrapText="1"/>
      <protection hidden="1"/>
    </xf>
    <xf numFmtId="10" fontId="13" fillId="0" borderId="65" xfId="0" applyNumberFormat="1" applyFont="1" applyBorder="1" applyAlignment="1" applyProtection="1">
      <alignment horizontal="right" vertical="center" wrapText="1"/>
      <protection hidden="1"/>
    </xf>
    <xf numFmtId="0" fontId="13" fillId="10" borderId="45" xfId="0" applyFont="1" applyFill="1" applyBorder="1" applyAlignment="1" applyProtection="1">
      <alignment horizontal="center" vertical="center" wrapText="1"/>
      <protection hidden="1"/>
    </xf>
    <xf numFmtId="0" fontId="33" fillId="14" borderId="45" xfId="0" applyFont="1" applyFill="1" applyBorder="1" applyAlignment="1" applyProtection="1">
      <alignment horizontal="center" vertical="center" wrapText="1"/>
      <protection hidden="1"/>
    </xf>
    <xf numFmtId="0" fontId="34" fillId="0" borderId="0" xfId="0" applyFont="1" applyAlignment="1" applyProtection="1">
      <alignment vertical="center"/>
      <protection hidden="1"/>
    </xf>
    <xf numFmtId="0" fontId="77" fillId="0" borderId="0" xfId="0" applyFont="1" applyAlignment="1" applyProtection="1">
      <alignment vertical="center" wrapText="1"/>
      <protection hidden="1"/>
    </xf>
    <xf numFmtId="0" fontId="15" fillId="0" borderId="0" xfId="0" applyFont="1" applyAlignment="1" applyProtection="1">
      <alignment horizontal="left" vertical="center"/>
      <protection hidden="1"/>
    </xf>
    <xf numFmtId="49" fontId="49" fillId="22" borderId="0" xfId="0" quotePrefix="1" applyNumberFormat="1" applyFont="1" applyFill="1" applyAlignment="1" applyProtection="1">
      <alignment horizontal="left" vertical="center"/>
      <protection hidden="1"/>
    </xf>
    <xf numFmtId="49" fontId="49" fillId="22" borderId="0" xfId="0" applyNumberFormat="1" applyFont="1" applyFill="1" applyAlignment="1" applyProtection="1">
      <alignment horizontal="left" vertical="center"/>
      <protection hidden="1"/>
    </xf>
    <xf numFmtId="4" fontId="20" fillId="0" borderId="0" xfId="0" applyNumberFormat="1" applyFont="1" applyAlignment="1" applyProtection="1">
      <alignment horizontal="right" vertical="center" wrapText="1"/>
      <protection hidden="1"/>
    </xf>
    <xf numFmtId="0" fontId="66" fillId="0" borderId="0" xfId="0" applyFont="1" applyAlignment="1" applyProtection="1">
      <alignment horizontal="left" vertical="center" indent="1"/>
      <protection hidden="1"/>
    </xf>
    <xf numFmtId="0" fontId="68" fillId="0" borderId="0" xfId="0" applyFont="1" applyAlignment="1" applyProtection="1">
      <alignment vertical="center"/>
      <protection hidden="1"/>
    </xf>
    <xf numFmtId="0" fontId="13" fillId="0" borderId="64" xfId="0" applyFont="1" applyBorder="1" applyAlignment="1" applyProtection="1">
      <alignment vertical="center" wrapText="1"/>
      <protection hidden="1"/>
    </xf>
    <xf numFmtId="0" fontId="13" fillId="0" borderId="65" xfId="0" applyFont="1" applyBorder="1" applyAlignment="1" applyProtection="1">
      <alignment vertical="center" wrapText="1"/>
      <protection hidden="1"/>
    </xf>
    <xf numFmtId="0" fontId="13" fillId="0" borderId="66" xfId="0" applyFont="1" applyBorder="1" applyAlignment="1" applyProtection="1">
      <alignment vertical="center" wrapText="1"/>
      <protection hidden="1"/>
    </xf>
    <xf numFmtId="0" fontId="13" fillId="0" borderId="70" xfId="0" applyFont="1" applyBorder="1" applyAlignment="1" applyProtection="1">
      <alignment vertical="center" wrapText="1"/>
      <protection hidden="1"/>
    </xf>
    <xf numFmtId="0" fontId="13" fillId="0" borderId="0" xfId="0" applyFont="1" applyAlignment="1" applyProtection="1">
      <alignment vertical="center" wrapText="1"/>
      <protection hidden="1"/>
    </xf>
    <xf numFmtId="0" fontId="13" fillId="0" borderId="71" xfId="0" applyFont="1" applyBorder="1" applyAlignment="1" applyProtection="1">
      <alignment vertical="center" wrapText="1"/>
      <protection hidden="1"/>
    </xf>
    <xf numFmtId="0" fontId="34" fillId="0" borderId="22" xfId="0" applyFont="1" applyBorder="1" applyAlignment="1" applyProtection="1">
      <alignment vertical="center"/>
      <protection hidden="1"/>
    </xf>
    <xf numFmtId="0" fontId="23" fillId="0" borderId="64" xfId="0" applyFont="1" applyBorder="1" applyAlignment="1" applyProtection="1">
      <alignment vertical="center" wrapText="1"/>
      <protection hidden="1"/>
    </xf>
    <xf numFmtId="0" fontId="23" fillId="0" borderId="65" xfId="0" applyFont="1" applyBorder="1" applyAlignment="1" applyProtection="1">
      <alignment vertical="center" wrapText="1"/>
      <protection hidden="1"/>
    </xf>
    <xf numFmtId="0" fontId="23" fillId="0" borderId="66" xfId="0" applyFont="1" applyBorder="1" applyAlignment="1" applyProtection="1">
      <alignment vertical="center" wrapText="1"/>
      <protection hidden="1"/>
    </xf>
    <xf numFmtId="0" fontId="23" fillId="0" borderId="70" xfId="0" applyFont="1" applyBorder="1" applyAlignment="1" applyProtection="1">
      <alignment vertical="center" wrapText="1"/>
      <protection hidden="1"/>
    </xf>
    <xf numFmtId="0" fontId="23" fillId="0" borderId="0" xfId="0" applyFont="1" applyAlignment="1" applyProtection="1">
      <alignment vertical="center" wrapText="1"/>
      <protection hidden="1"/>
    </xf>
    <xf numFmtId="0" fontId="23" fillId="0" borderId="71" xfId="0" applyFont="1" applyBorder="1" applyAlignment="1" applyProtection="1">
      <alignment vertical="center" wrapText="1"/>
      <protection hidden="1"/>
    </xf>
    <xf numFmtId="0" fontId="13" fillId="5" borderId="67" xfId="0" applyFont="1" applyFill="1" applyBorder="1" applyAlignment="1" applyProtection="1">
      <alignment horizontal="center" vertical="center" wrapText="1"/>
      <protection hidden="1"/>
    </xf>
    <xf numFmtId="0" fontId="67" fillId="0" borderId="0" xfId="0" applyFont="1" applyAlignment="1" applyProtection="1">
      <alignment horizontal="left" vertical="center" indent="2"/>
      <protection hidden="1"/>
    </xf>
    <xf numFmtId="0" fontId="72" fillId="0" borderId="0" xfId="0" applyFont="1" applyAlignment="1" applyProtection="1">
      <alignment horizontal="left" vertical="center" indent="3"/>
      <protection hidden="1"/>
    </xf>
    <xf numFmtId="0" fontId="74" fillId="0" borderId="0" xfId="0" applyFont="1" applyAlignment="1" applyProtection="1">
      <alignment horizontal="left" vertical="center" indent="6"/>
      <protection hidden="1"/>
    </xf>
    <xf numFmtId="14" fontId="23" fillId="0" borderId="22" xfId="0" applyNumberFormat="1" applyFont="1" applyBorder="1" applyAlignment="1" applyProtection="1">
      <alignment horizontal="center" vertical="center"/>
      <protection hidden="1"/>
    </xf>
    <xf numFmtId="0" fontId="20" fillId="5" borderId="45" xfId="0" applyFont="1" applyFill="1" applyBorder="1" applyAlignment="1" applyProtection="1">
      <alignment horizontal="center" vertical="center" wrapText="1"/>
      <protection hidden="1"/>
    </xf>
    <xf numFmtId="0" fontId="0" fillId="0" borderId="47" xfId="0" applyBorder="1" applyProtection="1">
      <protection hidden="1"/>
    </xf>
    <xf numFmtId="0" fontId="0" fillId="8" borderId="47" xfId="0" applyFill="1" applyBorder="1" applyProtection="1">
      <protection hidden="1"/>
    </xf>
    <xf numFmtId="0" fontId="20" fillId="5" borderId="76" xfId="0" applyFont="1" applyFill="1" applyBorder="1" applyAlignment="1" applyProtection="1">
      <alignment horizontal="center" vertical="center" wrapText="1"/>
      <protection hidden="1"/>
    </xf>
    <xf numFmtId="0" fontId="15" fillId="0" borderId="65" xfId="0" quotePrefix="1" applyFont="1" applyBorder="1" applyAlignment="1" applyProtection="1">
      <alignment horizontal="left"/>
      <protection hidden="1"/>
    </xf>
    <xf numFmtId="0" fontId="15" fillId="0" borderId="65" xfId="0" applyFont="1" applyBorder="1" applyAlignment="1" applyProtection="1">
      <alignment horizontal="left"/>
      <protection hidden="1"/>
    </xf>
    <xf numFmtId="0" fontId="15" fillId="0" borderId="65" xfId="0" quotePrefix="1" applyFont="1" applyBorder="1" applyAlignment="1" applyProtection="1">
      <alignment horizontal="left" indent="2"/>
      <protection hidden="1"/>
    </xf>
    <xf numFmtId="0" fontId="67" fillId="0" borderId="0" xfId="0" applyFont="1" applyAlignment="1" applyProtection="1">
      <alignment horizontal="left" vertical="center" indent="6"/>
      <protection hidden="1"/>
    </xf>
    <xf numFmtId="0" fontId="15" fillId="0" borderId="0" xfId="0" applyFont="1" applyAlignment="1" applyProtection="1">
      <alignment horizontal="left" vertical="center" indent="4"/>
      <protection hidden="1"/>
    </xf>
    <xf numFmtId="0" fontId="23" fillId="0" borderId="34" xfId="0" applyFont="1" applyBorder="1" applyAlignment="1" applyProtection="1">
      <alignment horizontal="left" vertical="center"/>
      <protection hidden="1"/>
    </xf>
    <xf numFmtId="0" fontId="34" fillId="0" borderId="35" xfId="0" applyFont="1" applyBorder="1" applyAlignment="1" applyProtection="1">
      <alignment horizontal="left" vertical="center"/>
      <protection hidden="1"/>
    </xf>
    <xf numFmtId="0" fontId="13" fillId="0" borderId="35" xfId="0" applyFont="1" applyBorder="1" applyAlignment="1" applyProtection="1">
      <alignment horizontal="left" vertical="center"/>
      <protection hidden="1"/>
    </xf>
    <xf numFmtId="0" fontId="23" fillId="0" borderId="35" xfId="0" applyFont="1" applyBorder="1" applyAlignment="1" applyProtection="1">
      <alignment horizontal="left" vertical="center"/>
      <protection hidden="1"/>
    </xf>
    <xf numFmtId="3" fontId="23" fillId="8" borderId="55" xfId="0" applyNumberFormat="1" applyFont="1" applyFill="1" applyBorder="1" applyAlignment="1" applyProtection="1">
      <alignment horizontal="right" vertical="center" wrapText="1"/>
      <protection hidden="1"/>
    </xf>
    <xf numFmtId="0" fontId="20" fillId="5" borderId="67" xfId="0" applyFont="1" applyFill="1" applyBorder="1" applyAlignment="1" applyProtection="1">
      <alignment horizontal="center" vertical="center" wrapText="1"/>
      <protection hidden="1"/>
    </xf>
    <xf numFmtId="3" fontId="13" fillId="50" borderId="45" xfId="0" applyNumberFormat="1" applyFont="1" applyFill="1" applyBorder="1" applyAlignment="1" applyProtection="1">
      <alignment vertical="center" wrapText="1"/>
      <protection hidden="1"/>
    </xf>
    <xf numFmtId="0" fontId="66" fillId="0" borderId="0" xfId="0" applyFont="1" applyAlignment="1" applyProtection="1">
      <alignment horizontal="left"/>
      <protection hidden="1"/>
    </xf>
    <xf numFmtId="0" fontId="13" fillId="0" borderId="36" xfId="0" applyFont="1" applyBorder="1" applyAlignment="1" applyProtection="1">
      <alignment horizontal="right" vertical="center"/>
      <protection hidden="1"/>
    </xf>
    <xf numFmtId="0" fontId="67" fillId="0" borderId="0" xfId="0" applyFont="1" applyAlignment="1" applyProtection="1">
      <alignment horizontal="left" vertical="center"/>
      <protection hidden="1"/>
    </xf>
    <xf numFmtId="0" fontId="67" fillId="0" borderId="0" xfId="0" quotePrefix="1" applyFont="1" applyAlignment="1" applyProtection="1">
      <alignment horizontal="left" vertical="center" indent="3"/>
      <protection hidden="1"/>
    </xf>
    <xf numFmtId="0" fontId="42" fillId="5" borderId="67" xfId="0" applyFont="1" applyFill="1" applyBorder="1" applyProtection="1">
      <protection hidden="1"/>
    </xf>
    <xf numFmtId="0" fontId="15" fillId="0" borderId="0" xfId="0" applyFont="1" applyAlignment="1" applyProtection="1">
      <alignment horizontal="left"/>
      <protection hidden="1"/>
    </xf>
    <xf numFmtId="0" fontId="68" fillId="0" borderId="65" xfId="0" applyFont="1" applyBorder="1" applyProtection="1">
      <protection hidden="1"/>
    </xf>
    <xf numFmtId="0" fontId="68" fillId="0" borderId="0" xfId="0" applyFont="1" applyAlignment="1" applyProtection="1">
      <alignment horizontal="left" indent="1"/>
      <protection hidden="1"/>
    </xf>
    <xf numFmtId="0" fontId="40" fillId="5" borderId="72" xfId="0" applyFont="1" applyFill="1" applyBorder="1" applyAlignment="1" applyProtection="1">
      <alignment horizontal="center" vertical="center"/>
      <protection hidden="1"/>
    </xf>
    <xf numFmtId="0" fontId="40" fillId="5" borderId="75" xfId="0" applyFont="1" applyFill="1" applyBorder="1" applyAlignment="1" applyProtection="1">
      <alignment horizontal="center" vertical="center"/>
      <protection hidden="1"/>
    </xf>
    <xf numFmtId="20" fontId="11" fillId="0" borderId="0" xfId="0" applyNumberFormat="1" applyFont="1" applyAlignment="1" applyProtection="1">
      <alignment horizontal="center" vertical="center"/>
      <protection hidden="1"/>
    </xf>
    <xf numFmtId="0" fontId="13" fillId="0" borderId="34" xfId="0" applyFont="1" applyBorder="1" applyAlignment="1" applyProtection="1">
      <alignment vertical="center"/>
      <protection hidden="1"/>
    </xf>
    <xf numFmtId="0" fontId="23" fillId="12" borderId="45" xfId="0" applyFont="1" applyFill="1" applyBorder="1" applyAlignment="1" applyProtection="1">
      <alignment horizontal="center" vertical="center" wrapText="1"/>
      <protection hidden="1"/>
    </xf>
    <xf numFmtId="0" fontId="23" fillId="11" borderId="45" xfId="0" applyFont="1" applyFill="1" applyBorder="1" applyAlignment="1" applyProtection="1">
      <alignment horizontal="center" vertical="center" wrapText="1"/>
      <protection hidden="1"/>
    </xf>
    <xf numFmtId="0" fontId="23" fillId="0" borderId="45" xfId="0" applyFont="1" applyBorder="1" applyAlignment="1" applyProtection="1">
      <alignment horizontal="center" vertical="center" wrapText="1"/>
      <protection hidden="1"/>
    </xf>
    <xf numFmtId="0" fontId="13" fillId="0" borderId="0" xfId="0" applyFont="1" applyAlignment="1" applyProtection="1">
      <alignment horizontal="right"/>
      <protection hidden="1"/>
    </xf>
    <xf numFmtId="0" fontId="13" fillId="0" borderId="36" xfId="0" applyFont="1" applyBorder="1" applyAlignment="1" applyProtection="1">
      <alignment horizontal="center"/>
      <protection hidden="1"/>
    </xf>
    <xf numFmtId="0" fontId="57" fillId="0" borderId="45" xfId="0" applyFont="1" applyBorder="1" applyAlignment="1" applyProtection="1">
      <alignment vertical="center"/>
      <protection hidden="1"/>
    </xf>
    <xf numFmtId="0" fontId="57" fillId="0" borderId="46" xfId="0" applyFont="1" applyBorder="1" applyAlignment="1" applyProtection="1">
      <alignment horizontal="left" vertical="center"/>
      <protection hidden="1"/>
    </xf>
    <xf numFmtId="0" fontId="57" fillId="0" borderId="48" xfId="0" applyFont="1" applyBorder="1" applyAlignment="1" applyProtection="1">
      <alignment horizontal="left" vertical="center"/>
      <protection hidden="1"/>
    </xf>
    <xf numFmtId="0" fontId="57" fillId="0" borderId="47" xfId="0" applyFont="1" applyBorder="1" applyAlignment="1" applyProtection="1">
      <alignment horizontal="left" vertical="center"/>
      <protection hidden="1"/>
    </xf>
    <xf numFmtId="0" fontId="57" fillId="0" borderId="45" xfId="0" applyFont="1" applyBorder="1" applyAlignment="1" applyProtection="1">
      <alignment vertical="center" wrapText="1"/>
      <protection hidden="1"/>
    </xf>
    <xf numFmtId="0" fontId="15" fillId="0" borderId="0" xfId="0" applyFont="1" applyAlignment="1" applyProtection="1">
      <alignment vertical="top"/>
      <protection hidden="1"/>
    </xf>
    <xf numFmtId="0" fontId="59" fillId="0" borderId="0" xfId="0" applyFont="1" applyAlignment="1" applyProtection="1">
      <alignment vertical="top"/>
      <protection hidden="1"/>
    </xf>
    <xf numFmtId="0" fontId="13" fillId="0" borderId="27" xfId="0" applyFont="1" applyBorder="1" applyAlignment="1" applyProtection="1">
      <alignment horizontal="center" vertical="center"/>
      <protection hidden="1"/>
    </xf>
    <xf numFmtId="0" fontId="31" fillId="5" borderId="33" xfId="0" applyFont="1" applyFill="1" applyBorder="1" applyAlignment="1" applyProtection="1">
      <alignment horizontal="center" vertical="center" wrapText="1"/>
      <protection hidden="1"/>
    </xf>
    <xf numFmtId="0" fontId="31" fillId="5" borderId="33" xfId="0" applyFont="1" applyFill="1" applyBorder="1" applyAlignment="1" applyProtection="1">
      <alignment horizontal="center" vertical="center"/>
      <protection hidden="1"/>
    </xf>
    <xf numFmtId="0" fontId="13" fillId="5" borderId="37" xfId="0" applyFont="1" applyFill="1" applyBorder="1" applyAlignment="1" applyProtection="1">
      <alignment horizontal="center" vertical="center" wrapText="1"/>
      <protection hidden="1"/>
    </xf>
    <xf numFmtId="0" fontId="23" fillId="0" borderId="28" xfId="0" applyFont="1" applyBorder="1" applyAlignment="1" applyProtection="1">
      <alignment horizontal="center" vertical="center" wrapText="1"/>
      <protection hidden="1"/>
    </xf>
    <xf numFmtId="0" fontId="23" fillId="12" borderId="28" xfId="0" applyFont="1" applyFill="1" applyBorder="1" applyAlignment="1" applyProtection="1">
      <alignment horizontal="center" vertical="center" wrapText="1"/>
      <protection hidden="1"/>
    </xf>
    <xf numFmtId="3" fontId="13" fillId="12" borderId="28" xfId="0" applyNumberFormat="1" applyFont="1" applyFill="1" applyBorder="1" applyAlignment="1" applyProtection="1">
      <alignment horizontal="center" vertical="center" wrapText="1"/>
      <protection hidden="1"/>
    </xf>
    <xf numFmtId="0" fontId="13" fillId="0" borderId="32" xfId="0" applyFont="1" applyBorder="1" applyAlignment="1" applyProtection="1">
      <alignment horizontal="center" vertical="center" wrapText="1"/>
      <protection hidden="1"/>
    </xf>
    <xf numFmtId="0" fontId="13" fillId="0" borderId="28" xfId="0" applyFont="1" applyBorder="1" applyAlignment="1" applyProtection="1">
      <alignment horizontal="center" vertical="center" wrapText="1"/>
      <protection hidden="1"/>
    </xf>
    <xf numFmtId="3" fontId="13" fillId="0" borderId="28" xfId="0" applyNumberFormat="1" applyFont="1" applyBorder="1" applyAlignment="1" applyProtection="1">
      <alignment horizontal="center" vertical="center" wrapText="1"/>
      <protection hidden="1"/>
    </xf>
    <xf numFmtId="0" fontId="13" fillId="0" borderId="33" xfId="0" applyFont="1" applyBorder="1" applyAlignment="1" applyProtection="1">
      <alignment horizontal="center" vertical="center" wrapText="1"/>
      <protection hidden="1"/>
    </xf>
    <xf numFmtId="3" fontId="13" fillId="0" borderId="33" xfId="0" applyNumberFormat="1" applyFont="1" applyBorder="1" applyAlignment="1" applyProtection="1">
      <alignment horizontal="center" vertical="center" wrapText="1"/>
      <protection hidden="1"/>
    </xf>
    <xf numFmtId="0" fontId="23" fillId="0" borderId="0" xfId="0" applyFont="1" applyAlignment="1" applyProtection="1">
      <alignment horizontal="left" vertical="center" wrapText="1" indent="1"/>
      <protection hidden="1"/>
    </xf>
    <xf numFmtId="3" fontId="23" fillId="0" borderId="186" xfId="0" applyNumberFormat="1" applyFont="1" applyBorder="1" applyAlignment="1" applyProtection="1">
      <alignment horizontal="right" vertical="center" wrapText="1" indent="1"/>
      <protection hidden="1"/>
    </xf>
    <xf numFmtId="0" fontId="23" fillId="0" borderId="30" xfId="0" applyFont="1" applyBorder="1" applyAlignment="1" applyProtection="1">
      <alignment vertical="center" wrapText="1"/>
      <protection hidden="1"/>
    </xf>
    <xf numFmtId="0" fontId="23" fillId="12" borderId="37" xfId="0" applyFont="1" applyFill="1" applyBorder="1" applyAlignment="1" applyProtection="1">
      <alignment horizontal="center" vertical="center" wrapText="1"/>
      <protection hidden="1"/>
    </xf>
    <xf numFmtId="3" fontId="13" fillId="12" borderId="37" xfId="0" applyNumberFormat="1" applyFont="1" applyFill="1" applyBorder="1" applyAlignment="1" applyProtection="1">
      <alignment horizontal="center" vertical="center" wrapText="1"/>
      <protection hidden="1"/>
    </xf>
    <xf numFmtId="0" fontId="23" fillId="8" borderId="28" xfId="0" applyFont="1" applyFill="1" applyBorder="1" applyAlignment="1" applyProtection="1">
      <alignment horizontal="center" vertical="center" wrapText="1"/>
      <protection hidden="1"/>
    </xf>
    <xf numFmtId="3" fontId="13" fillId="8" borderId="28" xfId="0" applyNumberFormat="1" applyFont="1" applyFill="1" applyBorder="1" applyAlignment="1" applyProtection="1">
      <alignment horizontal="center" vertical="center" wrapText="1"/>
      <protection hidden="1"/>
    </xf>
    <xf numFmtId="0" fontId="23" fillId="0" borderId="33" xfId="0" applyFont="1" applyBorder="1" applyAlignment="1" applyProtection="1">
      <alignment horizontal="center" vertical="center" wrapText="1"/>
      <protection hidden="1"/>
    </xf>
    <xf numFmtId="3" fontId="20" fillId="12" borderId="19" xfId="0" applyNumberFormat="1" applyFont="1" applyFill="1" applyBorder="1" applyAlignment="1" applyProtection="1">
      <alignment vertical="center" wrapText="1"/>
      <protection hidden="1"/>
    </xf>
    <xf numFmtId="0" fontId="23" fillId="12" borderId="33" xfId="0" applyFont="1" applyFill="1" applyBorder="1" applyAlignment="1" applyProtection="1">
      <alignment horizontal="center" vertical="center" wrapText="1"/>
      <protection hidden="1"/>
    </xf>
    <xf numFmtId="3" fontId="13" fillId="12" borderId="33" xfId="0" applyNumberFormat="1" applyFont="1" applyFill="1" applyBorder="1" applyAlignment="1" applyProtection="1">
      <alignment horizontal="center" vertical="center" wrapText="1"/>
      <protection hidden="1"/>
    </xf>
    <xf numFmtId="0" fontId="23" fillId="0" borderId="37" xfId="0" applyFont="1" applyBorder="1" applyAlignment="1" applyProtection="1">
      <alignment horizontal="center" vertical="center" wrapText="1"/>
      <protection hidden="1"/>
    </xf>
    <xf numFmtId="0" fontId="20" fillId="0" borderId="0" xfId="0" quotePrefix="1" applyFont="1" applyAlignment="1" applyProtection="1">
      <alignment horizontal="center" vertical="center" wrapText="1"/>
      <protection hidden="1"/>
    </xf>
    <xf numFmtId="0" fontId="20" fillId="0" borderId="0" xfId="0" applyFont="1" applyAlignment="1" applyProtection="1">
      <alignment horizontal="left" vertical="center" wrapText="1"/>
      <protection hidden="1"/>
    </xf>
    <xf numFmtId="0" fontId="11" fillId="0" borderId="0" xfId="0" applyFont="1" applyAlignment="1" applyProtection="1">
      <alignment horizontal="center"/>
      <protection hidden="1"/>
    </xf>
    <xf numFmtId="0" fontId="23" fillId="0" borderId="52" xfId="0" applyFont="1" applyBorder="1" applyAlignment="1" applyProtection="1">
      <alignment horizontal="center" vertical="center"/>
      <protection hidden="1"/>
    </xf>
    <xf numFmtId="0" fontId="13" fillId="0" borderId="192" xfId="0" applyFont="1" applyBorder="1" applyAlignment="1" applyProtection="1">
      <alignment horizontal="center" vertical="center"/>
      <protection hidden="1"/>
    </xf>
    <xf numFmtId="0" fontId="13" fillId="0" borderId="52" xfId="0" applyFont="1" applyBorder="1" applyAlignment="1" applyProtection="1">
      <alignment horizontal="right" vertical="center"/>
      <protection hidden="1"/>
    </xf>
    <xf numFmtId="0" fontId="13" fillId="5" borderId="28" xfId="0" applyFont="1" applyFill="1" applyBorder="1" applyAlignment="1" applyProtection="1">
      <alignment horizontal="center" vertical="center" wrapText="1"/>
      <protection hidden="1"/>
    </xf>
    <xf numFmtId="0" fontId="53" fillId="0" borderId="33" xfId="0" applyFont="1" applyBorder="1" applyAlignment="1" applyProtection="1">
      <alignment horizontal="center" vertical="center" wrapText="1"/>
      <protection hidden="1"/>
    </xf>
    <xf numFmtId="0" fontId="23" fillId="0" borderId="33" xfId="0" applyFont="1" applyBorder="1" applyAlignment="1" applyProtection="1">
      <alignment horizontal="center" vertical="center"/>
      <protection hidden="1"/>
    </xf>
    <xf numFmtId="0" fontId="54" fillId="0" borderId="28" xfId="0" applyFont="1" applyBorder="1" applyAlignment="1" applyProtection="1">
      <alignment horizontal="center" vertical="center" wrapText="1"/>
      <protection hidden="1"/>
    </xf>
    <xf numFmtId="0" fontId="53" fillId="0" borderId="28" xfId="0" applyFont="1" applyBorder="1" applyAlignment="1" applyProtection="1">
      <alignment horizontal="center" vertical="center" wrapText="1"/>
      <protection hidden="1"/>
    </xf>
    <xf numFmtId="0" fontId="53" fillId="0" borderId="32" xfId="0" applyFont="1" applyBorder="1" applyAlignment="1" applyProtection="1">
      <alignment horizontal="center" vertical="center" wrapText="1"/>
      <protection hidden="1"/>
    </xf>
    <xf numFmtId="0" fontId="13" fillId="0" borderId="32" xfId="0" applyFont="1" applyBorder="1" applyAlignment="1" applyProtection="1">
      <alignment horizontal="center"/>
      <protection hidden="1"/>
    </xf>
    <xf numFmtId="0" fontId="13" fillId="8" borderId="28" xfId="0" applyFont="1" applyFill="1" applyBorder="1" applyAlignment="1" applyProtection="1">
      <alignment horizontal="center"/>
      <protection hidden="1"/>
    </xf>
    <xf numFmtId="0" fontId="13" fillId="8" borderId="28" xfId="0" applyFont="1" applyFill="1" applyBorder="1" applyAlignment="1" applyProtection="1">
      <alignment horizontal="center" vertical="center" wrapText="1"/>
      <protection hidden="1"/>
    </xf>
    <xf numFmtId="0" fontId="23" fillId="0" borderId="32" xfId="0" applyFont="1" applyBorder="1" applyAlignment="1" applyProtection="1">
      <alignment horizontal="center" vertical="center"/>
      <protection hidden="1"/>
    </xf>
    <xf numFmtId="0" fontId="13" fillId="0" borderId="28" xfId="0" quotePrefix="1" applyFont="1" applyBorder="1" applyAlignment="1" applyProtection="1">
      <alignment horizontal="center" vertical="center" wrapText="1"/>
      <protection hidden="1"/>
    </xf>
    <xf numFmtId="0" fontId="20" fillId="0" borderId="0" xfId="0" quotePrefix="1" applyFont="1" applyProtection="1">
      <protection hidden="1"/>
    </xf>
    <xf numFmtId="0" fontId="20" fillId="0" borderId="0" xfId="0" applyFont="1" applyAlignment="1" applyProtection="1">
      <alignment horizontal="center"/>
      <protection hidden="1"/>
    </xf>
    <xf numFmtId="0" fontId="13" fillId="0" borderId="27" xfId="0" applyFont="1" applyBorder="1" applyAlignment="1" applyProtection="1">
      <alignment horizontal="right" vertical="center"/>
      <protection hidden="1"/>
    </xf>
    <xf numFmtId="0" fontId="20" fillId="0" borderId="0" xfId="0" applyFont="1" applyAlignment="1" applyProtection="1">
      <alignment horizontal="right"/>
      <protection hidden="1"/>
    </xf>
    <xf numFmtId="0" fontId="13" fillId="0" borderId="25" xfId="0" applyFont="1" applyBorder="1" applyAlignment="1" applyProtection="1">
      <alignment horizontal="center" vertical="center" wrapText="1"/>
      <protection hidden="1"/>
    </xf>
    <xf numFmtId="0" fontId="13" fillId="12" borderId="25" xfId="0" applyFont="1" applyFill="1" applyBorder="1" applyAlignment="1" applyProtection="1">
      <alignment horizontal="center" vertical="center" wrapText="1"/>
      <protection hidden="1"/>
    </xf>
    <xf numFmtId="3" fontId="23" fillId="12" borderId="28" xfId="0" applyNumberFormat="1" applyFont="1" applyFill="1" applyBorder="1" applyAlignment="1" applyProtection="1">
      <alignment vertical="center" wrapText="1"/>
      <protection hidden="1"/>
    </xf>
    <xf numFmtId="0" fontId="13" fillId="0" borderId="37" xfId="0" applyFont="1" applyBorder="1" applyAlignment="1" applyProtection="1">
      <alignment horizontal="center" vertical="center" wrapText="1"/>
      <protection hidden="1"/>
    </xf>
    <xf numFmtId="3" fontId="13" fillId="0" borderId="37" xfId="0" applyNumberFormat="1" applyFont="1" applyBorder="1" applyAlignment="1" applyProtection="1">
      <alignment vertical="center" wrapText="1"/>
      <protection hidden="1"/>
    </xf>
    <xf numFmtId="49" fontId="13" fillId="10" borderId="54" xfId="0" applyNumberFormat="1" applyFont="1" applyFill="1" applyBorder="1" applyAlignment="1" applyProtection="1">
      <alignment horizontal="center" vertical="center" wrapText="1"/>
      <protection hidden="1"/>
    </xf>
    <xf numFmtId="3" fontId="23" fillId="10" borderId="55" xfId="0" applyNumberFormat="1" applyFont="1" applyFill="1" applyBorder="1" applyAlignment="1" applyProtection="1">
      <alignment vertical="center" wrapText="1"/>
      <protection hidden="1"/>
    </xf>
    <xf numFmtId="49" fontId="13" fillId="0" borderId="47" xfId="0" applyNumberFormat="1" applyFont="1" applyBorder="1" applyAlignment="1" applyProtection="1">
      <alignment horizontal="center" vertical="center" wrapText="1"/>
      <protection hidden="1"/>
    </xf>
    <xf numFmtId="49" fontId="13" fillId="8" borderId="47" xfId="0" applyNumberFormat="1" applyFont="1" applyFill="1" applyBorder="1" applyAlignment="1" applyProtection="1">
      <alignment horizontal="center" vertical="center" wrapText="1"/>
      <protection hidden="1"/>
    </xf>
    <xf numFmtId="3" fontId="23" fillId="8" borderId="45" xfId="0" applyNumberFormat="1" applyFont="1" applyFill="1" applyBorder="1" applyAlignment="1" applyProtection="1">
      <alignment vertical="center" wrapText="1"/>
      <protection hidden="1"/>
    </xf>
    <xf numFmtId="0" fontId="51" fillId="0" borderId="29" xfId="0" applyFont="1" applyBorder="1" applyAlignment="1" applyProtection="1">
      <alignment horizontal="left" vertical="center" wrapText="1" indent="1"/>
      <protection hidden="1"/>
    </xf>
    <xf numFmtId="3" fontId="13" fillId="0" borderId="56" xfId="0" applyNumberFormat="1" applyFont="1" applyBorder="1" applyAlignment="1" applyProtection="1">
      <alignment horizontal="right" wrapText="1"/>
      <protection hidden="1"/>
    </xf>
    <xf numFmtId="49" fontId="13" fillId="0" borderId="47" xfId="0" applyNumberFormat="1" applyFont="1" applyBorder="1" applyAlignment="1" applyProtection="1">
      <alignment vertical="center" wrapText="1"/>
      <protection hidden="1"/>
    </xf>
    <xf numFmtId="49" fontId="13" fillId="10" borderId="47" xfId="0" applyNumberFormat="1" applyFont="1" applyFill="1" applyBorder="1" applyAlignment="1" applyProtection="1">
      <alignment horizontal="center" vertical="center" wrapText="1"/>
      <protection hidden="1"/>
    </xf>
    <xf numFmtId="0" fontId="13" fillId="10" borderId="47" xfId="0" applyFont="1" applyFill="1" applyBorder="1" applyAlignment="1" applyProtection="1">
      <alignment horizontal="center" vertical="center" wrapText="1"/>
      <protection hidden="1"/>
    </xf>
    <xf numFmtId="3" fontId="23" fillId="0" borderId="45" xfId="0" applyNumberFormat="1" applyFont="1" applyBorder="1" applyAlignment="1" applyProtection="1">
      <alignment vertical="center" wrapText="1"/>
      <protection hidden="1"/>
    </xf>
    <xf numFmtId="49" fontId="13" fillId="11" borderId="47" xfId="0" applyNumberFormat="1" applyFont="1" applyFill="1" applyBorder="1" applyAlignment="1" applyProtection="1">
      <alignment horizontal="center" vertical="center" wrapText="1"/>
      <protection hidden="1"/>
    </xf>
    <xf numFmtId="49" fontId="13" fillId="12" borderId="47" xfId="0" applyNumberFormat="1" applyFont="1" applyFill="1" applyBorder="1" applyAlignment="1" applyProtection="1">
      <alignment horizontal="center" vertical="center" wrapText="1"/>
      <protection hidden="1"/>
    </xf>
    <xf numFmtId="49" fontId="20" fillId="0" borderId="0" xfId="0" applyNumberFormat="1" applyFont="1" applyAlignment="1" applyProtection="1">
      <alignment horizontal="center" wrapText="1"/>
      <protection hidden="1"/>
    </xf>
    <xf numFmtId="49" fontId="23" fillId="0" borderId="52" xfId="0" applyNumberFormat="1" applyFont="1" applyBorder="1" applyAlignment="1" applyProtection="1">
      <alignment horizontal="center" vertical="center"/>
      <protection hidden="1"/>
    </xf>
    <xf numFmtId="14" fontId="23" fillId="0" borderId="52" xfId="0" applyNumberFormat="1" applyFont="1" applyBorder="1" applyAlignment="1" applyProtection="1">
      <alignment horizontal="center" vertical="center"/>
      <protection hidden="1"/>
    </xf>
    <xf numFmtId="0" fontId="33" fillId="0" borderId="52" xfId="0" applyFont="1" applyBorder="1" applyAlignment="1" applyProtection="1">
      <alignment horizontal="center" vertical="center"/>
      <protection hidden="1"/>
    </xf>
    <xf numFmtId="0" fontId="13" fillId="0" borderId="52" xfId="0" applyFont="1" applyBorder="1" applyAlignment="1" applyProtection="1">
      <alignment horizontal="center" vertical="center"/>
      <protection hidden="1"/>
    </xf>
    <xf numFmtId="49" fontId="13" fillId="7" borderId="25" xfId="0" applyNumberFormat="1" applyFont="1" applyFill="1" applyBorder="1" applyAlignment="1" applyProtection="1">
      <alignment horizontal="center" vertical="center" wrapText="1"/>
      <protection hidden="1"/>
    </xf>
    <xf numFmtId="3" fontId="23" fillId="7" borderId="28" xfId="0" applyNumberFormat="1" applyFont="1" applyFill="1" applyBorder="1" applyAlignment="1" applyProtection="1">
      <alignment vertical="center" wrapText="1"/>
      <protection hidden="1"/>
    </xf>
    <xf numFmtId="0" fontId="13" fillId="0" borderId="33" xfId="0" applyFont="1" applyBorder="1" applyAlignment="1" applyProtection="1">
      <alignment horizontal="left" vertical="center" wrapText="1" indent="1"/>
      <protection hidden="1"/>
    </xf>
    <xf numFmtId="49" fontId="13" fillId="0" borderId="25" xfId="0" applyNumberFormat="1" applyFont="1" applyBorder="1" applyAlignment="1" applyProtection="1">
      <alignment horizontal="center" vertical="center" wrapText="1"/>
      <protection hidden="1"/>
    </xf>
    <xf numFmtId="3" fontId="13" fillId="0" borderId="23" xfId="0" applyNumberFormat="1" applyFont="1" applyBorder="1" applyAlignment="1" applyProtection="1">
      <alignment vertical="center" wrapText="1"/>
      <protection hidden="1"/>
    </xf>
    <xf numFmtId="0" fontId="13" fillId="0" borderId="32" xfId="0" applyFont="1" applyBorder="1" applyAlignment="1" applyProtection="1">
      <alignment horizontal="left" vertical="center" wrapText="1" indent="1"/>
      <protection hidden="1"/>
    </xf>
    <xf numFmtId="3" fontId="13" fillId="0" borderId="23" xfId="0" applyNumberFormat="1" applyFont="1" applyBorder="1" applyAlignment="1" applyProtection="1">
      <alignment horizontal="right" vertical="center" wrapText="1"/>
      <protection hidden="1"/>
    </xf>
    <xf numFmtId="0" fontId="13" fillId="0" borderId="25" xfId="0" applyFont="1" applyBorder="1" applyAlignment="1" applyProtection="1">
      <alignment vertical="center" wrapText="1"/>
      <protection hidden="1"/>
    </xf>
    <xf numFmtId="0" fontId="23" fillId="8" borderId="28" xfId="0" applyFont="1" applyFill="1" applyBorder="1" applyAlignment="1" applyProtection="1">
      <alignment horizontal="left" vertical="center" wrapText="1" indent="1"/>
      <protection hidden="1"/>
    </xf>
    <xf numFmtId="0" fontId="13" fillId="8" borderId="25" xfId="0" applyFont="1" applyFill="1" applyBorder="1" applyAlignment="1" applyProtection="1">
      <alignment horizontal="center" vertical="center" wrapText="1"/>
      <protection hidden="1"/>
    </xf>
    <xf numFmtId="0" fontId="23" fillId="0" borderId="32" xfId="0" applyFont="1" applyBorder="1" applyAlignment="1" applyProtection="1">
      <alignment horizontal="center" vertical="center" wrapText="1"/>
      <protection hidden="1"/>
    </xf>
    <xf numFmtId="3" fontId="23" fillId="0" borderId="28" xfId="0" applyNumberFormat="1" applyFont="1" applyBorder="1" applyAlignment="1" applyProtection="1">
      <alignment vertical="center" wrapText="1"/>
      <protection hidden="1"/>
    </xf>
    <xf numFmtId="3" fontId="23" fillId="0" borderId="23" xfId="0" applyNumberFormat="1" applyFont="1" applyBorder="1" applyAlignment="1" applyProtection="1">
      <alignment vertical="center" wrapText="1"/>
      <protection hidden="1"/>
    </xf>
    <xf numFmtId="49" fontId="13" fillId="8" borderId="25" xfId="0" applyNumberFormat="1" applyFont="1" applyFill="1" applyBorder="1" applyAlignment="1" applyProtection="1">
      <alignment horizontal="center" vertical="center" wrapText="1"/>
      <protection hidden="1"/>
    </xf>
    <xf numFmtId="0" fontId="23" fillId="8" borderId="33" xfId="0" applyFont="1" applyFill="1" applyBorder="1" applyAlignment="1" applyProtection="1">
      <alignment horizontal="left" vertical="center" wrapText="1" indent="1"/>
      <protection hidden="1"/>
    </xf>
    <xf numFmtId="49" fontId="11" fillId="0" borderId="0" xfId="0" applyNumberFormat="1" applyFont="1" applyAlignment="1" applyProtection="1">
      <alignment vertical="center"/>
      <protection hidden="1"/>
    </xf>
    <xf numFmtId="49" fontId="48" fillId="0" borderId="34" xfId="0" applyNumberFormat="1" applyFont="1" applyBorder="1" applyAlignment="1" applyProtection="1">
      <alignment horizontal="center"/>
      <protection hidden="1"/>
    </xf>
    <xf numFmtId="0" fontId="48" fillId="0" borderId="34" xfId="0" applyFont="1" applyBorder="1" applyAlignment="1" applyProtection="1">
      <alignment horizontal="center"/>
      <protection hidden="1"/>
    </xf>
    <xf numFmtId="0" fontId="43" fillId="5" borderId="45" xfId="0" applyFont="1" applyFill="1" applyBorder="1" applyAlignment="1" applyProtection="1">
      <alignment horizontal="center" vertical="center"/>
      <protection hidden="1"/>
    </xf>
    <xf numFmtId="0" fontId="0" fillId="0" borderId="0" xfId="0" applyAlignment="1" applyProtection="1">
      <alignment horizontal="left" vertical="center"/>
      <protection hidden="1"/>
    </xf>
    <xf numFmtId="2" fontId="31" fillId="0" borderId="0" xfId="1" applyNumberFormat="1" applyFont="1" applyAlignment="1" applyProtection="1">
      <alignment horizontal="left"/>
      <protection hidden="1"/>
    </xf>
    <xf numFmtId="2" fontId="31" fillId="0" borderId="0" xfId="1" applyNumberFormat="1" applyFont="1" applyProtection="1">
      <protection hidden="1"/>
    </xf>
    <xf numFmtId="2" fontId="33" fillId="0" borderId="34" xfId="1" applyNumberFormat="1" applyFont="1" applyBorder="1" applyAlignment="1" applyProtection="1">
      <alignment horizontal="left"/>
      <protection hidden="1"/>
    </xf>
    <xf numFmtId="2" fontId="31" fillId="0" borderId="27" xfId="1" applyNumberFormat="1" applyFont="1" applyBorder="1" applyAlignment="1" applyProtection="1">
      <alignment horizontal="left"/>
      <protection hidden="1"/>
    </xf>
    <xf numFmtId="2" fontId="31" fillId="0" borderId="27" xfId="1" applyNumberFormat="1" applyFont="1" applyBorder="1" applyAlignment="1" applyProtection="1">
      <alignment horizontal="center"/>
      <protection hidden="1"/>
    </xf>
    <xf numFmtId="0" fontId="34" fillId="0" borderId="27" xfId="0" applyFont="1" applyBorder="1" applyProtection="1">
      <protection hidden="1"/>
    </xf>
    <xf numFmtId="0" fontId="33" fillId="0" borderId="22" xfId="1" applyFont="1" applyBorder="1" applyProtection="1">
      <protection hidden="1"/>
    </xf>
    <xf numFmtId="2" fontId="31" fillId="0" borderId="0" xfId="1" applyNumberFormat="1" applyFont="1" applyAlignment="1" applyProtection="1">
      <alignment horizontal="center"/>
      <protection hidden="1"/>
    </xf>
    <xf numFmtId="2" fontId="43" fillId="0" borderId="17" xfId="1" applyNumberFormat="1" applyFont="1" applyBorder="1" applyAlignment="1" applyProtection="1">
      <alignment horizontal="right" vertical="center"/>
      <protection hidden="1"/>
    </xf>
    <xf numFmtId="2" fontId="43" fillId="0" borderId="18" xfId="1" applyNumberFormat="1" applyFont="1" applyBorder="1" applyAlignment="1" applyProtection="1">
      <alignment horizontal="right" vertical="center"/>
      <protection hidden="1"/>
    </xf>
    <xf numFmtId="2" fontId="44" fillId="0" borderId="18" xfId="1" applyNumberFormat="1" applyFont="1" applyBorder="1" applyAlignment="1" applyProtection="1">
      <alignment horizontal="center" vertical="center"/>
      <protection hidden="1"/>
    </xf>
    <xf numFmtId="2" fontId="43" fillId="0" borderId="18" xfId="1" applyNumberFormat="1" applyFont="1" applyBorder="1" applyProtection="1">
      <protection hidden="1"/>
    </xf>
    <xf numFmtId="2" fontId="43" fillId="0" borderId="19" xfId="1" applyNumberFormat="1" applyFont="1" applyBorder="1" applyProtection="1">
      <protection hidden="1"/>
    </xf>
    <xf numFmtId="2" fontId="31" fillId="0" borderId="10" xfId="1" applyNumberFormat="1" applyFont="1" applyBorder="1" applyProtection="1">
      <protection hidden="1"/>
    </xf>
    <xf numFmtId="2" fontId="33" fillId="0" borderId="0" xfId="1" applyNumberFormat="1" applyFont="1" applyProtection="1">
      <protection hidden="1"/>
    </xf>
    <xf numFmtId="2" fontId="43" fillId="0" borderId="21" xfId="1" applyNumberFormat="1" applyFont="1" applyBorder="1" applyProtection="1">
      <protection hidden="1"/>
    </xf>
    <xf numFmtId="2" fontId="44" fillId="0" borderId="20" xfId="1" applyNumberFormat="1" applyFont="1" applyBorder="1" applyProtection="1">
      <protection hidden="1"/>
    </xf>
    <xf numFmtId="2" fontId="43" fillId="0" borderId="20" xfId="1" applyNumberFormat="1" applyFont="1" applyBorder="1" applyProtection="1">
      <protection hidden="1"/>
    </xf>
    <xf numFmtId="2" fontId="43" fillId="0" borderId="29" xfId="1" applyNumberFormat="1" applyFont="1" applyBorder="1" applyProtection="1">
      <protection hidden="1"/>
    </xf>
    <xf numFmtId="0" fontId="44" fillId="0" borderId="30" xfId="1" applyFont="1" applyBorder="1" applyProtection="1">
      <protection hidden="1"/>
    </xf>
    <xf numFmtId="0" fontId="43" fillId="0" borderId="30" xfId="1" applyFont="1" applyBorder="1" applyProtection="1">
      <protection hidden="1"/>
    </xf>
    <xf numFmtId="0" fontId="43" fillId="0" borderId="31" xfId="1" applyFont="1" applyBorder="1" applyProtection="1">
      <protection hidden="1"/>
    </xf>
    <xf numFmtId="0" fontId="0" fillId="0" borderId="29" xfId="0" applyBorder="1" applyProtection="1">
      <protection hidden="1"/>
    </xf>
    <xf numFmtId="0" fontId="43" fillId="9" borderId="0" xfId="1" applyFont="1" applyFill="1" applyProtection="1">
      <protection hidden="1"/>
    </xf>
    <xf numFmtId="0" fontId="43" fillId="0" borderId="0" xfId="1" applyFont="1" applyProtection="1">
      <protection hidden="1"/>
    </xf>
    <xf numFmtId="0" fontId="44" fillId="0" borderId="0" xfId="1" applyFont="1" applyProtection="1">
      <protection hidden="1"/>
    </xf>
    <xf numFmtId="0" fontId="31" fillId="0" borderId="17" xfId="1" applyFont="1" applyBorder="1" applyAlignment="1" applyProtection="1">
      <alignment horizontal="center" vertical="center" wrapText="1"/>
      <protection hidden="1"/>
    </xf>
    <xf numFmtId="0" fontId="31" fillId="0" borderId="20" xfId="1" applyFont="1" applyBorder="1" applyAlignment="1" applyProtection="1">
      <alignment horizontal="center" vertical="center" wrapText="1"/>
      <protection hidden="1"/>
    </xf>
    <xf numFmtId="0" fontId="31" fillId="0" borderId="29" xfId="1" applyFont="1" applyBorder="1" applyAlignment="1" applyProtection="1">
      <alignment horizontal="center" vertical="center" wrapText="1"/>
      <protection hidden="1"/>
    </xf>
    <xf numFmtId="0" fontId="42" fillId="0" borderId="0" xfId="0" applyFont="1" applyAlignment="1" applyProtection="1">
      <alignment vertical="center"/>
      <protection hidden="1"/>
    </xf>
    <xf numFmtId="0" fontId="46" fillId="0" borderId="20" xfId="1" applyFont="1" applyBorder="1" applyAlignment="1" applyProtection="1">
      <alignment vertical="center"/>
      <protection hidden="1"/>
    </xf>
    <xf numFmtId="0" fontId="46" fillId="0" borderId="0" xfId="1" applyFont="1" applyAlignment="1" applyProtection="1">
      <alignment vertical="center"/>
      <protection hidden="1"/>
    </xf>
    <xf numFmtId="0" fontId="46" fillId="0" borderId="18" xfId="1" applyFont="1" applyBorder="1" applyAlignment="1" applyProtection="1">
      <alignment vertical="center"/>
      <protection hidden="1"/>
    </xf>
    <xf numFmtId="0" fontId="46" fillId="0" borderId="19" xfId="1" applyFont="1" applyBorder="1" applyAlignment="1" applyProtection="1">
      <alignment vertical="center"/>
      <protection hidden="1"/>
    </xf>
    <xf numFmtId="0" fontId="46" fillId="0" borderId="30" xfId="1" applyFont="1" applyBorder="1" applyAlignment="1" applyProtection="1">
      <alignment vertical="center"/>
      <protection hidden="1"/>
    </xf>
    <xf numFmtId="0" fontId="46" fillId="0" borderId="31" xfId="1" applyFont="1" applyBorder="1" applyAlignment="1" applyProtection="1">
      <alignment vertical="center"/>
      <protection hidden="1"/>
    </xf>
    <xf numFmtId="0" fontId="46" fillId="0" borderId="0" xfId="1" applyFont="1" applyProtection="1">
      <protection hidden="1"/>
    </xf>
    <xf numFmtId="0" fontId="43" fillId="0" borderId="0" xfId="1" applyFont="1" applyAlignment="1" applyProtection="1">
      <alignment vertical="center"/>
      <protection hidden="1"/>
    </xf>
    <xf numFmtId="0" fontId="47" fillId="0" borderId="0" xfId="1" applyFont="1" applyAlignment="1" applyProtection="1">
      <alignment vertical="center"/>
      <protection hidden="1"/>
    </xf>
    <xf numFmtId="0" fontId="45" fillId="0" borderId="0" xfId="1" applyFont="1" applyAlignment="1" applyProtection="1">
      <alignment vertical="center"/>
      <protection hidden="1"/>
    </xf>
    <xf numFmtId="1" fontId="43" fillId="0" borderId="0" xfId="1" applyNumberFormat="1" applyFont="1" applyAlignment="1" applyProtection="1">
      <alignment vertical="center"/>
      <protection hidden="1"/>
    </xf>
    <xf numFmtId="0" fontId="13" fillId="0" borderId="22" xfId="0" applyFont="1" applyBorder="1" applyAlignment="1" applyProtection="1">
      <alignment vertical="center"/>
      <protection hidden="1"/>
    </xf>
    <xf numFmtId="0" fontId="35" fillId="5" borderId="28" xfId="0" applyFont="1" applyFill="1" applyBorder="1" applyAlignment="1" applyProtection="1">
      <alignment horizontal="center" vertical="center" wrapText="1"/>
      <protection hidden="1"/>
    </xf>
    <xf numFmtId="0" fontId="36" fillId="0" borderId="28" xfId="0" applyFont="1" applyBorder="1" applyAlignment="1" applyProtection="1">
      <alignment horizontal="center" vertical="center" wrapText="1"/>
      <protection hidden="1"/>
    </xf>
    <xf numFmtId="0" fontId="37" fillId="0" borderId="28" xfId="0" applyFont="1" applyBorder="1" applyAlignment="1" applyProtection="1">
      <alignment horizontal="center" vertical="center" wrapText="1"/>
      <protection hidden="1"/>
    </xf>
    <xf numFmtId="0" fontId="39" fillId="0" borderId="0" xfId="0" applyFont="1" applyAlignment="1" applyProtection="1">
      <alignment horizontal="center"/>
      <protection hidden="1"/>
    </xf>
    <xf numFmtId="0" fontId="39" fillId="0" borderId="0" xfId="0" applyFont="1" applyProtection="1">
      <protection hidden="1"/>
    </xf>
    <xf numFmtId="0" fontId="39" fillId="0" borderId="21" xfId="0" applyFont="1" applyBorder="1" applyProtection="1">
      <protection hidden="1"/>
    </xf>
    <xf numFmtId="0" fontId="37" fillId="0" borderId="37" xfId="0" applyFont="1" applyBorder="1" applyAlignment="1" applyProtection="1">
      <alignment horizontal="center" vertical="center" wrapText="1"/>
      <protection hidden="1"/>
    </xf>
    <xf numFmtId="0" fontId="13" fillId="0" borderId="22" xfId="0" applyFont="1" applyBorder="1" applyAlignment="1" applyProtection="1">
      <alignment horizontal="left" vertical="center"/>
      <protection hidden="1"/>
    </xf>
    <xf numFmtId="0" fontId="26" fillId="0" borderId="0" xfId="0" applyFont="1" applyAlignment="1" applyProtection="1">
      <alignment horizontal="center" vertical="center" wrapText="1"/>
      <protection hidden="1"/>
    </xf>
    <xf numFmtId="0" fontId="26" fillId="0" borderId="0" xfId="0" applyFont="1" applyAlignment="1" applyProtection="1">
      <alignment horizontal="center" vertical="center"/>
      <protection hidden="1"/>
    </xf>
    <xf numFmtId="0" fontId="30" fillId="0" borderId="0" xfId="0" applyFont="1" applyProtection="1">
      <protection hidden="1"/>
    </xf>
    <xf numFmtId="0" fontId="0" fillId="6" borderId="33" xfId="0" applyFill="1" applyBorder="1" applyProtection="1">
      <protection hidden="1"/>
    </xf>
    <xf numFmtId="0" fontId="31" fillId="0" borderId="20" xfId="1" applyFont="1" applyBorder="1" applyAlignment="1" applyProtection="1">
      <alignment vertical="center"/>
      <protection hidden="1"/>
    </xf>
    <xf numFmtId="49" fontId="31" fillId="6" borderId="32" xfId="1" applyNumberFormat="1" applyFont="1" applyFill="1" applyBorder="1" applyAlignment="1" applyProtection="1">
      <alignment horizontal="center" vertical="center"/>
      <protection hidden="1"/>
    </xf>
    <xf numFmtId="0" fontId="0" fillId="6" borderId="32" xfId="0" applyFill="1" applyBorder="1" applyProtection="1">
      <protection hidden="1"/>
    </xf>
    <xf numFmtId="0" fontId="31" fillId="6" borderId="32" xfId="1" applyFont="1" applyFill="1" applyBorder="1" applyAlignment="1" applyProtection="1">
      <alignment horizontal="center" vertical="center"/>
      <protection hidden="1"/>
    </xf>
    <xf numFmtId="0" fontId="31" fillId="0" borderId="0" xfId="1" applyFont="1" applyAlignment="1" applyProtection="1">
      <alignment vertical="center"/>
      <protection hidden="1"/>
    </xf>
    <xf numFmtId="0" fontId="33" fillId="6" borderId="32" xfId="1" applyFont="1" applyFill="1" applyBorder="1" applyAlignment="1" applyProtection="1">
      <alignment horizontal="center"/>
      <protection hidden="1"/>
    </xf>
    <xf numFmtId="0" fontId="31" fillId="0" borderId="0" xfId="1" applyFont="1" applyProtection="1">
      <protection hidden="1"/>
    </xf>
    <xf numFmtId="49" fontId="31" fillId="6" borderId="32" xfId="1" quotePrefix="1" applyNumberFormat="1" applyFont="1" applyFill="1" applyBorder="1" applyAlignment="1" applyProtection="1">
      <alignment horizontal="center" vertical="center"/>
      <protection hidden="1"/>
    </xf>
    <xf numFmtId="0" fontId="33" fillId="0" borderId="0" xfId="1" applyFont="1" applyProtection="1">
      <protection hidden="1"/>
    </xf>
    <xf numFmtId="0" fontId="31" fillId="6" borderId="32" xfId="1" applyFont="1" applyFill="1" applyBorder="1" applyAlignment="1" applyProtection="1">
      <alignment horizontal="center"/>
      <protection hidden="1"/>
    </xf>
    <xf numFmtId="0" fontId="33" fillId="0" borderId="20" xfId="1" applyFont="1" applyBorder="1" applyAlignment="1" applyProtection="1">
      <alignment vertical="center"/>
      <protection hidden="1"/>
    </xf>
    <xf numFmtId="0" fontId="33" fillId="0" borderId="29" xfId="1" applyFont="1" applyBorder="1" applyAlignment="1" applyProtection="1">
      <alignment vertical="center"/>
      <protection hidden="1"/>
    </xf>
    <xf numFmtId="0" fontId="31" fillId="6" borderId="37" xfId="1" applyFont="1" applyFill="1" applyBorder="1" applyAlignment="1" applyProtection="1">
      <alignment horizontal="center" vertical="center"/>
      <protection hidden="1"/>
    </xf>
    <xf numFmtId="0" fontId="31" fillId="0" borderId="30" xfId="1" applyFont="1" applyBorder="1" applyAlignment="1" applyProtection="1">
      <alignment vertical="center"/>
      <protection hidden="1"/>
    </xf>
    <xf numFmtId="0" fontId="0" fillId="0" borderId="38" xfId="0" applyBorder="1" applyProtection="1">
      <protection hidden="1"/>
    </xf>
    <xf numFmtId="0" fontId="31" fillId="0" borderId="20" xfId="1" applyFont="1" applyBorder="1" applyProtection="1">
      <protection hidden="1"/>
    </xf>
    <xf numFmtId="0" fontId="33" fillId="0" borderId="21" xfId="1" applyFont="1" applyBorder="1" applyProtection="1">
      <protection hidden="1"/>
    </xf>
    <xf numFmtId="0" fontId="34" fillId="0" borderId="29" xfId="0" applyFont="1" applyBorder="1" applyProtection="1">
      <protection hidden="1"/>
    </xf>
    <xf numFmtId="0" fontId="33" fillId="0" borderId="30" xfId="1" applyFont="1" applyBorder="1" applyProtection="1">
      <protection hidden="1"/>
    </xf>
    <xf numFmtId="0" fontId="33" fillId="0" borderId="31" xfId="1" applyFont="1" applyBorder="1" applyProtection="1">
      <protection hidden="1"/>
    </xf>
    <xf numFmtId="0" fontId="21" fillId="0" borderId="0" xfId="0" applyFont="1" applyProtection="1">
      <protection hidden="1"/>
    </xf>
    <xf numFmtId="0" fontId="18" fillId="0" borderId="0" xfId="0" applyFont="1" applyAlignment="1" applyProtection="1">
      <alignment vertical="top" wrapText="1"/>
      <protection hidden="1"/>
    </xf>
    <xf numFmtId="0" fontId="0" fillId="0" borderId="23" xfId="0" applyBorder="1" applyProtection="1">
      <protection locked="0"/>
    </xf>
    <xf numFmtId="0" fontId="0" fillId="0" borderId="24" xfId="0" applyBorder="1" applyProtection="1">
      <protection locked="0"/>
    </xf>
    <xf numFmtId="0" fontId="6" fillId="0" borderId="24" xfId="0" applyFont="1" applyBorder="1" applyAlignment="1" applyProtection="1">
      <alignment horizontal="center" vertical="center"/>
      <protection locked="0"/>
    </xf>
    <xf numFmtId="0" fontId="0" fillId="0" borderId="25" xfId="0" applyBorder="1" applyProtection="1">
      <protection locked="0"/>
    </xf>
    <xf numFmtId="0" fontId="13" fillId="0" borderId="22" xfId="0" applyFont="1" applyBorder="1" applyAlignment="1" applyProtection="1">
      <alignment vertical="center"/>
      <protection locked="0"/>
    </xf>
    <xf numFmtId="0" fontId="14" fillId="0" borderId="22" xfId="0" applyFont="1" applyBorder="1" applyAlignment="1" applyProtection="1">
      <alignment vertical="center"/>
      <protection locked="0"/>
    </xf>
    <xf numFmtId="0" fontId="0" fillId="0" borderId="21" xfId="0" applyBorder="1" applyAlignment="1" applyProtection="1">
      <alignment vertical="center"/>
      <protection locked="0"/>
    </xf>
    <xf numFmtId="0" fontId="15" fillId="0" borderId="0" xfId="0" applyFont="1" applyProtection="1">
      <protection locked="0"/>
    </xf>
    <xf numFmtId="0" fontId="0" fillId="0" borderId="22" xfId="0" applyBorder="1" applyAlignment="1" applyProtection="1">
      <alignment vertical="center"/>
      <protection locked="0"/>
    </xf>
    <xf numFmtId="0" fontId="13" fillId="0" borderId="22" xfId="0" applyFont="1" applyBorder="1" applyProtection="1">
      <protection locked="0"/>
    </xf>
    <xf numFmtId="0" fontId="0" fillId="0" borderId="26" xfId="0" applyBorder="1" applyProtection="1">
      <protection locked="0"/>
    </xf>
    <xf numFmtId="0" fontId="3" fillId="0" borderId="0" xfId="0" applyFont="1" applyAlignment="1" applyProtection="1">
      <alignment horizontal="center"/>
      <protection locked="0"/>
    </xf>
    <xf numFmtId="0" fontId="13" fillId="0" borderId="23" xfId="0" applyFont="1" applyBorder="1" applyAlignment="1" applyProtection="1">
      <alignment horizontal="left" vertical="center" indent="1"/>
      <protection locked="0"/>
    </xf>
    <xf numFmtId="0" fontId="0" fillId="0" borderId="24" xfId="0" applyBorder="1" applyAlignment="1" applyProtection="1">
      <alignment vertical="center"/>
      <protection locked="0"/>
    </xf>
    <xf numFmtId="0" fontId="19" fillId="0" borderId="28" xfId="0" applyFont="1" applyBorder="1" applyAlignment="1" applyProtection="1">
      <alignment horizontal="center" vertical="center"/>
      <protection locked="0"/>
    </xf>
    <xf numFmtId="0" fontId="18" fillId="0" borderId="20" xfId="0" applyFont="1" applyBorder="1" applyProtection="1">
      <protection locked="0"/>
    </xf>
    <xf numFmtId="0" fontId="0" fillId="0" borderId="32" xfId="0" applyBorder="1" applyProtection="1">
      <protection locked="0"/>
    </xf>
    <xf numFmtId="0" fontId="3" fillId="0" borderId="28" xfId="0" applyFont="1" applyBorder="1" applyAlignment="1" applyProtection="1">
      <alignment horizontal="center" vertical="center"/>
      <protection locked="0"/>
    </xf>
    <xf numFmtId="0" fontId="13" fillId="0" borderId="29" xfId="0" applyFont="1" applyBorder="1" applyAlignment="1" applyProtection="1">
      <alignment horizontal="left" vertical="center" indent="1"/>
      <protection locked="0"/>
    </xf>
    <xf numFmtId="0" fontId="3" fillId="0" borderId="33" xfId="0" applyFont="1" applyBorder="1" applyAlignment="1" applyProtection="1">
      <alignment horizontal="center" vertical="center"/>
      <protection locked="0"/>
    </xf>
    <xf numFmtId="0" fontId="0" fillId="0" borderId="29" xfId="0" applyBorder="1" applyProtection="1">
      <protection locked="0"/>
    </xf>
    <xf numFmtId="0" fontId="43" fillId="5" borderId="67" xfId="0" applyFont="1" applyFill="1" applyBorder="1" applyAlignment="1" applyProtection="1">
      <alignment horizontal="center" vertical="center" wrapText="1"/>
      <protection hidden="1"/>
    </xf>
    <xf numFmtId="49" fontId="68" fillId="50" borderId="154" xfId="0" applyNumberFormat="1" applyFont="1" applyFill="1" applyBorder="1" applyAlignment="1" applyProtection="1">
      <alignment vertical="center"/>
      <protection locked="0"/>
    </xf>
    <xf numFmtId="3" fontId="13" fillId="0" borderId="0" xfId="0" applyNumberFormat="1" applyFont="1" applyProtection="1">
      <protection hidden="1"/>
    </xf>
    <xf numFmtId="3" fontId="186" fillId="0" borderId="0" xfId="0" applyNumberFormat="1" applyFont="1" applyAlignment="1" applyProtection="1">
      <alignment horizontal="centerContinuous"/>
      <protection hidden="1"/>
    </xf>
    <xf numFmtId="3" fontId="186" fillId="0" borderId="0" xfId="0" applyNumberFormat="1" applyFont="1" applyProtection="1">
      <protection hidden="1"/>
    </xf>
    <xf numFmtId="0" fontId="187" fillId="0" borderId="0" xfId="0" applyFont="1" applyProtection="1">
      <protection hidden="1"/>
    </xf>
    <xf numFmtId="171" fontId="0" fillId="0" borderId="0" xfId="0" applyNumberFormat="1" applyProtection="1">
      <protection hidden="1"/>
    </xf>
    <xf numFmtId="168" fontId="40" fillId="0" borderId="0" xfId="0" applyNumberFormat="1" applyFont="1" applyAlignment="1" applyProtection="1">
      <alignment horizontal="centerContinuous"/>
      <protection hidden="1"/>
    </xf>
    <xf numFmtId="168" fontId="20" fillId="0" borderId="0" xfId="0" applyNumberFormat="1" applyFont="1" applyAlignment="1" applyProtection="1">
      <alignment horizontal="centerContinuous"/>
      <protection hidden="1"/>
    </xf>
    <xf numFmtId="0" fontId="0" fillId="0" borderId="0" xfId="0" applyAlignment="1" applyProtection="1">
      <alignment horizontal="centerContinuous"/>
      <protection hidden="1"/>
    </xf>
    <xf numFmtId="167" fontId="187" fillId="0" borderId="0" xfId="0" applyNumberFormat="1" applyFont="1" applyProtection="1">
      <protection hidden="1"/>
    </xf>
    <xf numFmtId="167" fontId="149" fillId="0" borderId="0" xfId="0" applyNumberFormat="1" applyFont="1" applyAlignment="1" applyProtection="1">
      <alignment horizontal="right" vertical="center"/>
      <protection hidden="1"/>
    </xf>
    <xf numFmtId="164" fontId="0" fillId="0" borderId="0" xfId="0" applyNumberFormat="1" applyProtection="1">
      <protection hidden="1"/>
    </xf>
    <xf numFmtId="0" fontId="179" fillId="59" borderId="0" xfId="0" applyFont="1" applyFill="1" applyAlignment="1" applyProtection="1">
      <alignment horizontal="centerContinuous" vertical="center"/>
      <protection hidden="1"/>
    </xf>
    <xf numFmtId="0" fontId="5" fillId="0" borderId="0" xfId="0" applyFont="1" applyAlignment="1" applyProtection="1">
      <alignment horizontal="centerContinuous"/>
      <protection hidden="1"/>
    </xf>
    <xf numFmtId="49" fontId="188" fillId="0" borderId="0" xfId="0" applyNumberFormat="1" applyFont="1" applyAlignment="1" applyProtection="1">
      <alignment horizontal="center" vertical="center"/>
      <protection hidden="1"/>
    </xf>
    <xf numFmtId="49" fontId="188" fillId="0" borderId="0" xfId="11" applyNumberFormat="1" applyFont="1" applyFill="1" applyAlignment="1" applyProtection="1">
      <alignment horizontal="center" vertical="center" shrinkToFit="1"/>
      <protection hidden="1"/>
    </xf>
    <xf numFmtId="49" fontId="188" fillId="0" borderId="0" xfId="11" applyNumberFormat="1" applyFont="1" applyFill="1" applyAlignment="1" applyProtection="1">
      <alignment horizontal="center" vertical="center"/>
      <protection hidden="1"/>
    </xf>
    <xf numFmtId="49" fontId="188" fillId="0" borderId="0" xfId="0" applyNumberFormat="1" applyFont="1" applyAlignment="1" applyProtection="1">
      <alignment horizontal="center"/>
      <protection hidden="1"/>
    </xf>
    <xf numFmtId="49" fontId="188" fillId="0" borderId="0" xfId="11" applyNumberFormat="1" applyFont="1" applyFill="1" applyAlignment="1" applyProtection="1">
      <alignment horizontal="center"/>
      <protection hidden="1"/>
    </xf>
    <xf numFmtId="49" fontId="188" fillId="0" borderId="0" xfId="15" applyNumberFormat="1" applyFont="1" applyAlignment="1" applyProtection="1">
      <alignment horizontal="center"/>
      <protection hidden="1"/>
    </xf>
    <xf numFmtId="49" fontId="188" fillId="0" borderId="0" xfId="15" applyNumberFormat="1" applyFont="1" applyAlignment="1" applyProtection="1">
      <alignment horizontal="center" shrinkToFit="1"/>
      <protection hidden="1"/>
    </xf>
    <xf numFmtId="0" fontId="189" fillId="0" borderId="0" xfId="12" applyFont="1" applyAlignment="1" applyProtection="1">
      <alignment horizontal="centerContinuous" vertical="center"/>
      <protection hidden="1"/>
    </xf>
    <xf numFmtId="0" fontId="190" fillId="0" borderId="0" xfId="12" applyFont="1" applyAlignment="1" applyProtection="1">
      <alignment horizontal="centerContinuous" vertical="center"/>
      <protection hidden="1"/>
    </xf>
    <xf numFmtId="0" fontId="191" fillId="0" borderId="0" xfId="0" applyFont="1" applyAlignment="1" applyProtection="1">
      <alignment horizontal="centerContinuous" vertical="center"/>
      <protection hidden="1"/>
    </xf>
    <xf numFmtId="0" fontId="179" fillId="60" borderId="0" xfId="0" applyFont="1" applyFill="1" applyAlignment="1" applyProtection="1">
      <alignment horizontal="centerContinuous" vertical="center"/>
      <protection hidden="1"/>
    </xf>
    <xf numFmtId="172" fontId="188" fillId="0" borderId="0" xfId="5" applyNumberFormat="1" applyFont="1" applyFill="1" applyAlignment="1" applyProtection="1">
      <alignment vertical="center"/>
      <protection locked="0"/>
    </xf>
    <xf numFmtId="0" fontId="188" fillId="0" borderId="0" xfId="5" applyNumberFormat="1" applyFont="1" applyFill="1" applyAlignment="1" applyProtection="1">
      <alignment vertical="center" shrinkToFit="1"/>
      <protection locked="0"/>
    </xf>
    <xf numFmtId="0" fontId="188" fillId="0" borderId="0" xfId="5" applyNumberFormat="1" applyFont="1" applyFill="1" applyAlignment="1" applyProtection="1">
      <alignment vertical="center"/>
      <protection locked="0"/>
    </xf>
    <xf numFmtId="49" fontId="188" fillId="0" borderId="0" xfId="12" applyNumberFormat="1" applyFont="1" applyAlignment="1" applyProtection="1">
      <alignment vertical="center" shrinkToFit="1"/>
      <protection locked="0"/>
    </xf>
    <xf numFmtId="164" fontId="188" fillId="0" borderId="0" xfId="12" applyNumberFormat="1" applyFont="1" applyAlignment="1" applyProtection="1">
      <alignment vertical="center" shrinkToFit="1"/>
      <protection locked="0"/>
    </xf>
    <xf numFmtId="49" fontId="188" fillId="0" borderId="0" xfId="12" applyNumberFormat="1" applyFont="1" applyAlignment="1" applyProtection="1">
      <alignment horizontal="left" vertical="center" shrinkToFit="1"/>
      <protection locked="0"/>
    </xf>
    <xf numFmtId="164" fontId="188" fillId="0" borderId="0" xfId="11" applyNumberFormat="1" applyFont="1" applyFill="1" applyAlignment="1" applyProtection="1">
      <alignment vertical="center" shrinkToFit="1"/>
      <protection locked="0"/>
    </xf>
    <xf numFmtId="170" fontId="188" fillId="0" borderId="0" xfId="11" applyNumberFormat="1" applyFont="1" applyFill="1" applyAlignment="1" applyProtection="1">
      <alignment shrinkToFit="1"/>
      <protection hidden="1"/>
    </xf>
    <xf numFmtId="0" fontId="188" fillId="0" borderId="0" xfId="15" applyFont="1" applyAlignment="1" applyProtection="1">
      <alignment shrinkToFit="1"/>
      <protection hidden="1"/>
    </xf>
    <xf numFmtId="167" fontId="188" fillId="0" borderId="0" xfId="15" applyNumberFormat="1" applyFont="1" applyAlignment="1" applyProtection="1">
      <alignment shrinkToFit="1"/>
      <protection locked="0"/>
    </xf>
    <xf numFmtId="164" fontId="42" fillId="0" borderId="0" xfId="17" applyFont="1" applyProtection="1">
      <protection hidden="1"/>
    </xf>
    <xf numFmtId="0" fontId="193" fillId="0" borderId="0" xfId="0" applyFont="1" applyAlignment="1" applyProtection="1">
      <alignment horizontal="left" vertical="center"/>
      <protection hidden="1"/>
    </xf>
    <xf numFmtId="0" fontId="194" fillId="0" borderId="0" xfId="0" applyFont="1" applyAlignment="1" applyProtection="1">
      <alignment horizontal="centerContinuous" vertical="center"/>
      <protection hidden="1"/>
    </xf>
    <xf numFmtId="164" fontId="192" fillId="59" borderId="208" xfId="0" applyNumberFormat="1" applyFont="1" applyFill="1" applyBorder="1" applyAlignment="1">
      <alignment vertical="center" shrinkToFit="1"/>
    </xf>
    <xf numFmtId="164" fontId="192" fillId="59" borderId="209" xfId="0" applyNumberFormat="1" applyFont="1" applyFill="1" applyBorder="1" applyAlignment="1">
      <alignment vertical="center" shrinkToFit="1"/>
    </xf>
    <xf numFmtId="164" fontId="192" fillId="60" borderId="208" xfId="0" applyNumberFormat="1" applyFont="1" applyFill="1" applyBorder="1" applyAlignment="1">
      <alignment vertical="center" shrinkToFit="1"/>
    </xf>
    <xf numFmtId="164" fontId="192" fillId="60" borderId="209" xfId="0" applyNumberFormat="1" applyFont="1" applyFill="1" applyBorder="1" applyAlignment="1">
      <alignment vertical="center" shrinkToFit="1"/>
    </xf>
    <xf numFmtId="0" fontId="18" fillId="0" borderId="0" xfId="0" applyFont="1"/>
    <xf numFmtId="0" fontId="50" fillId="0" borderId="0" xfId="0" applyFont="1"/>
    <xf numFmtId="0" fontId="196" fillId="0" borderId="0" xfId="0" applyFont="1"/>
    <xf numFmtId="0" fontId="46" fillId="0" borderId="0" xfId="0" applyFont="1"/>
    <xf numFmtId="0" fontId="50" fillId="0" borderId="0" xfId="0" applyFont="1" applyAlignment="1">
      <alignment horizontal="left" indent="1"/>
    </xf>
    <xf numFmtId="0" fontId="46" fillId="3" borderId="0" xfId="0" applyFont="1" applyFill="1" applyAlignment="1">
      <alignment horizontal="left" vertical="center" indent="1"/>
    </xf>
    <xf numFmtId="0" fontId="46" fillId="3" borderId="8" xfId="0" applyFont="1" applyFill="1" applyBorder="1" applyAlignment="1">
      <alignment horizontal="center" vertical="center"/>
    </xf>
    <xf numFmtId="0" fontId="46" fillId="62" borderId="210" xfId="0" applyFont="1" applyFill="1" applyBorder="1" applyAlignment="1">
      <alignment horizontal="centerContinuous" vertical="center"/>
    </xf>
    <xf numFmtId="0" fontId="46" fillId="62" borderId="211" xfId="0" applyFont="1" applyFill="1" applyBorder="1" applyAlignment="1">
      <alignment horizontal="centerContinuous" vertical="center"/>
    </xf>
    <xf numFmtId="0" fontId="46" fillId="3" borderId="15" xfId="0" applyFont="1" applyFill="1" applyBorder="1" applyAlignment="1">
      <alignment horizontal="left" vertical="center" indent="1"/>
    </xf>
    <xf numFmtId="0" fontId="46" fillId="3" borderId="16" xfId="0" applyFont="1" applyFill="1" applyBorder="1" applyAlignment="1">
      <alignment horizontal="center" vertical="center"/>
    </xf>
    <xf numFmtId="0" fontId="46" fillId="62" borderId="212" xfId="0" applyFont="1" applyFill="1" applyBorder="1" applyAlignment="1">
      <alignment horizontal="center" vertical="center"/>
    </xf>
    <xf numFmtId="0" fontId="50" fillId="0" borderId="213" xfId="0" applyFont="1" applyBorder="1" applyAlignment="1">
      <alignment horizontal="left" vertical="center" indent="1"/>
    </xf>
    <xf numFmtId="0" fontId="50" fillId="0" borderId="1" xfId="0" applyFont="1" applyBorder="1" applyAlignment="1">
      <alignment horizontal="left" vertical="center" indent="1"/>
    </xf>
    <xf numFmtId="49" fontId="50" fillId="0" borderId="213" xfId="0" applyNumberFormat="1" applyFont="1" applyBorder="1" applyAlignment="1">
      <alignment horizontal="center" vertical="center"/>
    </xf>
    <xf numFmtId="173" fontId="50" fillId="0" borderId="3" xfId="0" applyNumberFormat="1" applyFont="1" applyBorder="1" applyAlignment="1">
      <alignment horizontal="right" vertical="center" indent="1"/>
    </xf>
    <xf numFmtId="173" fontId="50" fillId="0" borderId="3" xfId="0" applyNumberFormat="1" applyFont="1" applyBorder="1" applyAlignment="1">
      <alignment horizontal="right" vertical="center" wrapText="1" indent="1"/>
    </xf>
    <xf numFmtId="0" fontId="50" fillId="0" borderId="214" xfId="0" applyFont="1" applyBorder="1" applyAlignment="1">
      <alignment horizontal="left" vertical="center" wrapText="1" indent="1"/>
    </xf>
    <xf numFmtId="0" fontId="50" fillId="0" borderId="4" xfId="0" applyFont="1" applyBorder="1" applyAlignment="1">
      <alignment horizontal="left" vertical="center" wrapText="1" indent="1"/>
    </xf>
    <xf numFmtId="49" fontId="50" fillId="0" borderId="214" xfId="0" applyNumberFormat="1" applyFont="1" applyBorder="1" applyAlignment="1">
      <alignment horizontal="center" vertical="center"/>
    </xf>
    <xf numFmtId="173" fontId="50" fillId="0" borderId="8" xfId="0" applyNumberFormat="1" applyFont="1" applyBorder="1" applyAlignment="1">
      <alignment horizontal="right" vertical="center" indent="1"/>
    </xf>
    <xf numFmtId="173" fontId="50" fillId="0" borderId="8" xfId="0" applyNumberFormat="1" applyFont="1" applyBorder="1" applyAlignment="1">
      <alignment horizontal="right" vertical="center" wrapText="1" indent="1"/>
    </xf>
    <xf numFmtId="0" fontId="50" fillId="0" borderId="212" xfId="0" applyFont="1" applyBorder="1" applyAlignment="1">
      <alignment horizontal="left" vertical="center" indent="1"/>
    </xf>
    <xf numFmtId="0" fontId="50" fillId="0" borderId="14" xfId="0" applyFont="1" applyBorder="1" applyAlignment="1">
      <alignment horizontal="left" vertical="center" indent="1"/>
    </xf>
    <xf numFmtId="49" fontId="50" fillId="0" borderId="212" xfId="0" applyNumberFormat="1" applyFont="1" applyBorder="1" applyAlignment="1">
      <alignment horizontal="center" vertical="center"/>
    </xf>
    <xf numFmtId="173" fontId="50" fillId="0" borderId="16" xfId="0" applyNumberFormat="1" applyFont="1" applyBorder="1" applyAlignment="1">
      <alignment horizontal="right" vertical="center" indent="1"/>
    </xf>
    <xf numFmtId="0" fontId="46" fillId="62" borderId="215" xfId="0" applyFont="1" applyFill="1" applyBorder="1" applyAlignment="1">
      <alignment horizontal="left" vertical="center" indent="1"/>
    </xf>
    <xf numFmtId="0" fontId="46" fillId="62" borderId="210" xfId="0" applyFont="1" applyFill="1" applyBorder="1" applyAlignment="1">
      <alignment horizontal="left" vertical="center" indent="1"/>
    </xf>
    <xf numFmtId="0" fontId="46" fillId="62" borderId="215" xfId="0" applyFont="1" applyFill="1" applyBorder="1" applyAlignment="1">
      <alignment horizontal="center" vertical="center"/>
    </xf>
    <xf numFmtId="173" fontId="46" fillId="62" borderId="16" xfId="0" applyNumberFormat="1" applyFont="1" applyFill="1" applyBorder="1" applyAlignment="1">
      <alignment horizontal="right" vertical="center" indent="1"/>
    </xf>
    <xf numFmtId="0" fontId="50" fillId="0" borderId="214" xfId="0" applyFont="1" applyBorder="1" applyAlignment="1">
      <alignment horizontal="left" vertical="center" indent="1"/>
    </xf>
    <xf numFmtId="0" fontId="50" fillId="0" borderId="4" xfId="0" applyFont="1" applyBorder="1" applyAlignment="1">
      <alignment horizontal="left" vertical="center" indent="1"/>
    </xf>
    <xf numFmtId="173" fontId="50" fillId="0" borderId="16" xfId="0" applyNumberFormat="1" applyFont="1" applyBorder="1" applyAlignment="1">
      <alignment horizontal="right" vertical="center" wrapText="1" indent="1"/>
    </xf>
    <xf numFmtId="0" fontId="46" fillId="6" borderId="215" xfId="0" applyFont="1" applyFill="1" applyBorder="1" applyAlignment="1">
      <alignment horizontal="left" vertical="center" indent="1"/>
    </xf>
    <xf numFmtId="0" fontId="46" fillId="6" borderId="210" xfId="0" applyFont="1" applyFill="1" applyBorder="1" applyAlignment="1">
      <alignment horizontal="left" vertical="center" indent="1"/>
    </xf>
    <xf numFmtId="0" fontId="46" fillId="6" borderId="215" xfId="0" applyFont="1" applyFill="1" applyBorder="1" applyAlignment="1">
      <alignment horizontal="left" vertical="center"/>
    </xf>
    <xf numFmtId="173" fontId="46" fillId="6" borderId="211" xfId="0" applyNumberFormat="1" applyFont="1" applyFill="1" applyBorder="1" applyAlignment="1">
      <alignment horizontal="right" vertical="center" indent="1"/>
    </xf>
    <xf numFmtId="0" fontId="50" fillId="6" borderId="216" xfId="0" applyFont="1" applyFill="1" applyBorder="1" applyAlignment="1">
      <alignment horizontal="left" vertical="center" indent="1"/>
    </xf>
    <xf numFmtId="0" fontId="50" fillId="6" borderId="217" xfId="0" applyFont="1" applyFill="1" applyBorder="1" applyAlignment="1">
      <alignment horizontal="left" vertical="center" indent="1"/>
    </xf>
    <xf numFmtId="49" fontId="50" fillId="6" borderId="216" xfId="0" applyNumberFormat="1" applyFont="1" applyFill="1" applyBorder="1" applyAlignment="1">
      <alignment horizontal="center" vertical="center"/>
    </xf>
    <xf numFmtId="173" fontId="50" fillId="6" borderId="218" xfId="0" applyNumberFormat="1" applyFont="1" applyFill="1" applyBorder="1" applyAlignment="1">
      <alignment horizontal="right" vertical="center" indent="1"/>
    </xf>
    <xf numFmtId="0" fontId="50" fillId="6" borderId="214" xfId="0" applyFont="1" applyFill="1" applyBorder="1" applyAlignment="1">
      <alignment horizontal="left" vertical="center" indent="1"/>
    </xf>
    <xf numFmtId="0" fontId="50" fillId="6" borderId="4" xfId="0" applyFont="1" applyFill="1" applyBorder="1" applyAlignment="1">
      <alignment horizontal="left" vertical="center" indent="1"/>
    </xf>
    <xf numFmtId="49" fontId="50" fillId="6" borderId="214" xfId="0" applyNumberFormat="1" applyFont="1" applyFill="1" applyBorder="1" applyAlignment="1">
      <alignment horizontal="center" vertical="center"/>
    </xf>
    <xf numFmtId="173" fontId="50" fillId="6" borderId="8" xfId="0" applyNumberFormat="1" applyFont="1" applyFill="1" applyBorder="1" applyAlignment="1">
      <alignment horizontal="right" vertical="center" indent="1"/>
    </xf>
    <xf numFmtId="173" fontId="50" fillId="6" borderId="8" xfId="0" applyNumberFormat="1" applyFont="1" applyFill="1" applyBorder="1" applyAlignment="1">
      <alignment horizontal="right" vertical="center" wrapText="1" indent="1"/>
    </xf>
    <xf numFmtId="0" fontId="46" fillId="62" borderId="215" xfId="0" applyFont="1" applyFill="1" applyBorder="1" applyAlignment="1">
      <alignment horizontal="left" vertical="center"/>
    </xf>
    <xf numFmtId="173" fontId="46" fillId="62" borderId="211" xfId="0" applyNumberFormat="1" applyFont="1" applyFill="1" applyBorder="1" applyAlignment="1">
      <alignment horizontal="right" vertical="center" indent="1"/>
    </xf>
    <xf numFmtId="49" fontId="50" fillId="6" borderId="216" xfId="0" applyNumberFormat="1" applyFont="1" applyFill="1" applyBorder="1" applyAlignment="1">
      <alignment horizontal="left" vertical="center" indent="1"/>
    </xf>
    <xf numFmtId="49" fontId="50" fillId="6" borderId="217" xfId="0" applyNumberFormat="1" applyFont="1" applyFill="1" applyBorder="1" applyAlignment="1">
      <alignment horizontal="left" vertical="center" indent="1"/>
    </xf>
    <xf numFmtId="173" fontId="46" fillId="6" borderId="218" xfId="0" applyNumberFormat="1" applyFont="1" applyFill="1" applyBorder="1" applyAlignment="1">
      <alignment horizontal="right" vertical="center" indent="1"/>
    </xf>
    <xf numFmtId="0" fontId="50" fillId="0" borderId="215" xfId="0" applyFont="1" applyBorder="1" applyAlignment="1">
      <alignment horizontal="left" vertical="center" indent="1"/>
    </xf>
    <xf numFmtId="0" fontId="50" fillId="0" borderId="210" xfId="0" applyFont="1" applyBorder="1" applyAlignment="1">
      <alignment horizontal="left" vertical="center" indent="1"/>
    </xf>
    <xf numFmtId="49" fontId="50" fillId="0" borderId="215" xfId="0" applyNumberFormat="1" applyFont="1" applyBorder="1" applyAlignment="1">
      <alignment horizontal="center" vertical="center"/>
    </xf>
    <xf numFmtId="173" fontId="50" fillId="0" borderId="211" xfId="0" applyNumberFormat="1" applyFont="1" applyBorder="1" applyAlignment="1">
      <alignment horizontal="right" vertical="center" indent="1"/>
    </xf>
    <xf numFmtId="49" fontId="50" fillId="63" borderId="219" xfId="0" applyNumberFormat="1" applyFont="1" applyFill="1" applyBorder="1" applyAlignment="1">
      <alignment horizontal="left" vertical="center" indent="1"/>
    </xf>
    <xf numFmtId="49" fontId="50" fillId="63" borderId="220" xfId="0" applyNumberFormat="1" applyFont="1" applyFill="1" applyBorder="1" applyAlignment="1">
      <alignment horizontal="left" vertical="center" indent="1"/>
    </xf>
    <xf numFmtId="49" fontId="50" fillId="63" borderId="219" xfId="0" applyNumberFormat="1" applyFont="1" applyFill="1" applyBorder="1" applyAlignment="1">
      <alignment horizontal="center" vertical="center"/>
    </xf>
    <xf numFmtId="173" fontId="46" fillId="63" borderId="8" xfId="0" applyNumberFormat="1" applyFont="1" applyFill="1" applyBorder="1" applyAlignment="1">
      <alignment horizontal="right" vertical="center" indent="1"/>
    </xf>
    <xf numFmtId="49" fontId="50" fillId="63" borderId="221" xfId="0" applyNumberFormat="1" applyFont="1" applyFill="1" applyBorder="1" applyAlignment="1">
      <alignment horizontal="left" vertical="center" indent="1"/>
    </xf>
    <xf numFmtId="49" fontId="50" fillId="63" borderId="222" xfId="0" applyNumberFormat="1" applyFont="1" applyFill="1" applyBorder="1" applyAlignment="1">
      <alignment horizontal="left" vertical="center" indent="1"/>
    </xf>
    <xf numFmtId="49" fontId="46" fillId="63" borderId="221" xfId="0" applyNumberFormat="1" applyFont="1" applyFill="1" applyBorder="1" applyAlignment="1">
      <alignment horizontal="center" vertical="center"/>
    </xf>
    <xf numFmtId="173" fontId="46" fillId="63" borderId="211" xfId="0" applyNumberFormat="1" applyFont="1" applyFill="1" applyBorder="1" applyAlignment="1">
      <alignment horizontal="right" vertical="center" indent="1"/>
    </xf>
    <xf numFmtId="49" fontId="46" fillId="63" borderId="215" xfId="0" applyNumberFormat="1" applyFont="1" applyFill="1" applyBorder="1" applyAlignment="1">
      <alignment horizontal="center" vertical="center"/>
    </xf>
    <xf numFmtId="173" fontId="46" fillId="63" borderId="215" xfId="0" applyNumberFormat="1" applyFont="1" applyFill="1" applyBorder="1" applyAlignment="1">
      <alignment horizontal="right" vertical="center" indent="1"/>
    </xf>
    <xf numFmtId="49" fontId="46" fillId="0" borderId="213" xfId="0" applyNumberFormat="1" applyFont="1" applyBorder="1" applyAlignment="1">
      <alignment horizontal="center" vertical="center"/>
    </xf>
    <xf numFmtId="49" fontId="46" fillId="0" borderId="214" xfId="0" applyNumberFormat="1" applyFont="1" applyBorder="1" applyAlignment="1">
      <alignment horizontal="center" vertical="center"/>
    </xf>
    <xf numFmtId="49" fontId="46" fillId="0" borderId="212" xfId="0" applyNumberFormat="1" applyFont="1" applyBorder="1" applyAlignment="1">
      <alignment horizontal="center" vertical="center"/>
    </xf>
    <xf numFmtId="0" fontId="46" fillId="3" borderId="215" xfId="0" applyFont="1" applyFill="1" applyBorder="1" applyAlignment="1">
      <alignment horizontal="left" vertical="center" indent="1"/>
    </xf>
    <xf numFmtId="0" fontId="46" fillId="3" borderId="210" xfId="0" applyFont="1" applyFill="1" applyBorder="1" applyAlignment="1">
      <alignment horizontal="left" vertical="center" indent="1"/>
    </xf>
    <xf numFmtId="0" fontId="46" fillId="3" borderId="215" xfId="0" applyFont="1" applyFill="1" applyBorder="1" applyAlignment="1">
      <alignment horizontal="right" vertical="center"/>
    </xf>
    <xf numFmtId="173" fontId="46" fillId="54" borderId="211" xfId="0" applyNumberFormat="1" applyFont="1" applyFill="1" applyBorder="1" applyAlignment="1">
      <alignment horizontal="right" vertical="center" indent="1"/>
    </xf>
    <xf numFmtId="167" fontId="188" fillId="0" borderId="0" xfId="15" applyNumberFormat="1" applyFont="1" applyAlignment="1">
      <alignment shrinkToFit="1"/>
    </xf>
    <xf numFmtId="0" fontId="197" fillId="0" borderId="0" xfId="0" applyFont="1" applyAlignment="1">
      <alignment horizontal="centerContinuous" vertical="center"/>
    </xf>
    <xf numFmtId="1" fontId="197" fillId="0" borderId="0" xfId="0" applyNumberFormat="1" applyFont="1" applyAlignment="1">
      <alignment horizontal="centerContinuous" vertical="center"/>
    </xf>
    <xf numFmtId="0" fontId="18" fillId="0" borderId="0" xfId="0" applyFont="1" applyAlignment="1">
      <alignment vertical="center"/>
    </xf>
    <xf numFmtId="1" fontId="18" fillId="0" borderId="0" xfId="0" applyNumberFormat="1" applyFont="1" applyAlignment="1">
      <alignment vertical="center"/>
    </xf>
    <xf numFmtId="1" fontId="18" fillId="0" borderId="223" xfId="0" applyNumberFormat="1" applyFont="1" applyBorder="1" applyAlignment="1">
      <alignment horizontal="center" vertical="center"/>
    </xf>
    <xf numFmtId="1" fontId="18" fillId="0" borderId="224" xfId="0" applyNumberFormat="1" applyFont="1" applyBorder="1" applyAlignment="1">
      <alignment horizontal="center" vertical="center"/>
    </xf>
    <xf numFmtId="0" fontId="18" fillId="0" borderId="223" xfId="0" applyFont="1" applyBorder="1" applyAlignment="1">
      <alignment vertical="center"/>
    </xf>
    <xf numFmtId="0" fontId="18" fillId="0" borderId="224" xfId="0" applyFont="1" applyBorder="1" applyAlignment="1">
      <alignment vertical="center"/>
    </xf>
    <xf numFmtId="3" fontId="18" fillId="0" borderId="223" xfId="0" applyNumberFormat="1" applyFont="1" applyBorder="1" applyAlignment="1">
      <alignment horizontal="right" vertical="center" indent="1"/>
    </xf>
    <xf numFmtId="3" fontId="18" fillId="0" borderId="224" xfId="0" applyNumberFormat="1" applyFont="1" applyBorder="1" applyAlignment="1">
      <alignment horizontal="right" vertical="center" indent="1"/>
    </xf>
    <xf numFmtId="0" fontId="18" fillId="0" borderId="225" xfId="0" applyFont="1" applyBorder="1" applyAlignment="1">
      <alignment vertical="center"/>
    </xf>
    <xf numFmtId="0" fontId="18" fillId="0" borderId="226" xfId="0" applyFont="1" applyBorder="1" applyAlignment="1">
      <alignment vertical="center"/>
    </xf>
    <xf numFmtId="3" fontId="18" fillId="0" borderId="225" xfId="0" applyNumberFormat="1" applyFont="1" applyBorder="1" applyAlignment="1">
      <alignment horizontal="right" vertical="center" indent="1"/>
    </xf>
    <xf numFmtId="3" fontId="18" fillId="0" borderId="226" xfId="0" applyNumberFormat="1" applyFont="1" applyBorder="1" applyAlignment="1">
      <alignment horizontal="right" vertical="center" indent="1"/>
    </xf>
    <xf numFmtId="0" fontId="18" fillId="0" borderId="227" xfId="0" applyFont="1" applyBorder="1" applyAlignment="1">
      <alignment vertical="center"/>
    </xf>
    <xf numFmtId="0" fontId="18" fillId="0" borderId="228" xfId="0" applyFont="1" applyBorder="1" applyAlignment="1">
      <alignment vertical="center"/>
    </xf>
    <xf numFmtId="3" fontId="18" fillId="0" borderId="227" xfId="0" applyNumberFormat="1" applyFont="1" applyBorder="1" applyAlignment="1">
      <alignment horizontal="right" vertical="center" indent="1"/>
    </xf>
    <xf numFmtId="3" fontId="18" fillId="0" borderId="228" xfId="0" applyNumberFormat="1" applyFont="1" applyBorder="1" applyAlignment="1">
      <alignment horizontal="right" vertical="center" indent="1"/>
    </xf>
    <xf numFmtId="0" fontId="18" fillId="0" borderId="210" xfId="0" applyFont="1" applyBorder="1" applyAlignment="1">
      <alignment vertical="center"/>
    </xf>
    <xf numFmtId="0" fontId="18" fillId="0" borderId="211" xfId="0" applyFont="1" applyBorder="1" applyAlignment="1">
      <alignment vertical="center"/>
    </xf>
    <xf numFmtId="3" fontId="18" fillId="0" borderId="210" xfId="0" applyNumberFormat="1" applyFont="1" applyBorder="1" applyAlignment="1">
      <alignment horizontal="right" vertical="center" indent="1"/>
    </xf>
    <xf numFmtId="3" fontId="18" fillId="0" borderId="211" xfId="0" applyNumberFormat="1" applyFont="1" applyBorder="1" applyAlignment="1">
      <alignment horizontal="right" vertical="center" indent="1"/>
    </xf>
    <xf numFmtId="0" fontId="18" fillId="0" borderId="1" xfId="0" applyFont="1" applyBorder="1" applyAlignment="1">
      <alignment vertical="center"/>
    </xf>
    <xf numFmtId="0" fontId="18" fillId="0" borderId="3" xfId="0" applyFont="1" applyBorder="1" applyAlignment="1">
      <alignment vertical="center"/>
    </xf>
    <xf numFmtId="3" fontId="18" fillId="0" borderId="1" xfId="0" applyNumberFormat="1" applyFont="1" applyBorder="1" applyAlignment="1">
      <alignment horizontal="right" vertical="center" indent="1"/>
    </xf>
    <xf numFmtId="3" fontId="18" fillId="0" borderId="3" xfId="0" applyNumberFormat="1" applyFont="1" applyBorder="1" applyAlignment="1">
      <alignment horizontal="right" vertical="center" indent="1"/>
    </xf>
    <xf numFmtId="0" fontId="18" fillId="0" borderId="14" xfId="0" applyFont="1" applyBorder="1" applyAlignment="1">
      <alignment vertical="center"/>
    </xf>
    <xf numFmtId="0" fontId="18" fillId="0" borderId="16" xfId="0" applyFont="1" applyBorder="1" applyAlignment="1">
      <alignment vertical="center"/>
    </xf>
    <xf numFmtId="3" fontId="18" fillId="0" borderId="14" xfId="0" applyNumberFormat="1" applyFont="1" applyBorder="1" applyAlignment="1">
      <alignment horizontal="right" vertical="center" indent="1"/>
    </xf>
    <xf numFmtId="3" fontId="18" fillId="0" borderId="16" xfId="0" applyNumberFormat="1" applyFont="1" applyBorder="1" applyAlignment="1">
      <alignment horizontal="right" vertical="center" indent="1"/>
    </xf>
    <xf numFmtId="0" fontId="18" fillId="0" borderId="229" xfId="0" applyFont="1" applyBorder="1" applyAlignment="1">
      <alignment vertical="center"/>
    </xf>
    <xf numFmtId="0" fontId="18" fillId="0" borderId="230" xfId="0" applyFont="1" applyBorder="1" applyAlignment="1">
      <alignment vertical="center"/>
    </xf>
    <xf numFmtId="3" fontId="18" fillId="0" borderId="229" xfId="0" applyNumberFormat="1" applyFont="1" applyBorder="1" applyAlignment="1">
      <alignment horizontal="right" vertical="center" indent="1"/>
    </xf>
    <xf numFmtId="3" fontId="18" fillId="0" borderId="230" xfId="0" applyNumberFormat="1" applyFont="1" applyBorder="1" applyAlignment="1">
      <alignment horizontal="right" vertical="center" indent="1"/>
    </xf>
    <xf numFmtId="3" fontId="18" fillId="0" borderId="224" xfId="0" applyNumberFormat="1" applyFont="1" applyBorder="1" applyAlignment="1">
      <alignment horizontal="right" vertical="center" wrapText="1" indent="1"/>
    </xf>
    <xf numFmtId="0" fontId="181" fillId="0" borderId="0" xfId="0" applyFont="1" applyAlignment="1" applyProtection="1">
      <alignment shrinkToFit="1"/>
      <protection locked="0" hidden="1"/>
    </xf>
    <xf numFmtId="0" fontId="181" fillId="0" borderId="0" xfId="0" applyFont="1" applyProtection="1">
      <protection locked="0" hidden="1"/>
    </xf>
    <xf numFmtId="0" fontId="185" fillId="0" borderId="0" xfId="0" applyFont="1" applyAlignment="1" applyProtection="1">
      <alignment shrinkToFit="1"/>
      <protection locked="0" hidden="1"/>
    </xf>
    <xf numFmtId="0" fontId="185" fillId="0" borderId="0" xfId="0" applyFont="1" applyProtection="1">
      <protection locked="0" hidden="1"/>
    </xf>
    <xf numFmtId="0" fontId="181" fillId="3" borderId="0" xfId="0" applyFont="1" applyFill="1" applyProtection="1">
      <protection locked="0" hidden="1"/>
    </xf>
    <xf numFmtId="0" fontId="181" fillId="0" borderId="0" xfId="0" applyFont="1" applyAlignment="1" applyProtection="1">
      <alignment vertical="top" shrinkToFit="1"/>
      <protection locked="0" hidden="1"/>
    </xf>
    <xf numFmtId="0" fontId="181" fillId="0" borderId="0" xfId="0" applyFont="1" applyAlignment="1" applyProtection="1">
      <alignment vertical="top"/>
      <protection locked="0" hidden="1"/>
    </xf>
    <xf numFmtId="0" fontId="181" fillId="0" borderId="0" xfId="0" applyFont="1" applyAlignment="1" applyProtection="1">
      <alignment vertical="center" shrinkToFit="1"/>
      <protection locked="0" hidden="1"/>
    </xf>
    <xf numFmtId="0" fontId="181" fillId="0" borderId="0" xfId="0" applyFont="1" applyAlignment="1" applyProtection="1">
      <alignment vertical="center"/>
      <protection locked="0" hidden="1"/>
    </xf>
    <xf numFmtId="0" fontId="181" fillId="3" borderId="0" xfId="0" applyFont="1" applyFill="1" applyAlignment="1" applyProtection="1">
      <alignment vertical="center"/>
      <protection locked="0" hidden="1"/>
    </xf>
    <xf numFmtId="49" fontId="183" fillId="0" borderId="0" xfId="12" applyNumberFormat="1" applyFont="1" applyAlignment="1">
      <alignment horizontal="center" vertical="center"/>
    </xf>
    <xf numFmtId="49" fontId="188" fillId="0" borderId="0" xfId="11" applyNumberFormat="1" applyFont="1" applyFill="1" applyAlignment="1" applyProtection="1">
      <alignment horizontal="center" vertical="center"/>
    </xf>
    <xf numFmtId="49" fontId="188" fillId="0" borderId="0" xfId="5" applyNumberFormat="1" applyFont="1" applyFill="1" applyAlignment="1" applyProtection="1">
      <alignment horizontal="center" vertical="center"/>
    </xf>
    <xf numFmtId="0" fontId="199" fillId="53" borderId="0" xfId="0" applyFont="1" applyFill="1" applyProtection="1">
      <protection locked="0"/>
    </xf>
    <xf numFmtId="0" fontId="188" fillId="0" borderId="0" xfId="5" applyNumberFormat="1" applyFont="1" applyFill="1" applyAlignment="1" applyProtection="1">
      <alignment vertical="center" shrinkToFit="1"/>
    </xf>
    <xf numFmtId="0" fontId="188" fillId="0" borderId="0" xfId="5" applyNumberFormat="1" applyFont="1" applyFill="1" applyAlignment="1" applyProtection="1">
      <alignment vertical="center"/>
    </xf>
    <xf numFmtId="172" fontId="188" fillId="0" borderId="0" xfId="5" applyNumberFormat="1" applyFont="1" applyFill="1" applyAlignment="1" applyProtection="1">
      <alignment vertical="center"/>
    </xf>
    <xf numFmtId="0" fontId="165" fillId="0" borderId="0" xfId="14" applyFont="1" applyAlignment="1" applyProtection="1">
      <alignment horizontal="left" vertical="center" indent="1"/>
      <protection locked="0" hidden="1"/>
    </xf>
    <xf numFmtId="0" fontId="167" fillId="54" borderId="132" xfId="14" applyFont="1" applyFill="1" applyBorder="1" applyAlignment="1" applyProtection="1">
      <alignment horizontal="left" vertical="center" indent="1"/>
      <protection locked="0" hidden="1"/>
    </xf>
    <xf numFmtId="164" fontId="181" fillId="0" borderId="0" xfId="4" applyNumberFormat="1" applyFont="1" applyAlignment="1" applyProtection="1">
      <alignment shrinkToFit="1"/>
      <protection locked="0" hidden="1"/>
    </xf>
    <xf numFmtId="167" fontId="188" fillId="0" borderId="0" xfId="15" applyNumberFormat="1" applyFont="1" applyAlignment="1" applyProtection="1">
      <alignment shrinkToFit="1"/>
      <protection locked="0" hidden="1"/>
    </xf>
    <xf numFmtId="3" fontId="20" fillId="50" borderId="45" xfId="0" applyNumberFormat="1" applyFont="1" applyFill="1" applyBorder="1" applyAlignment="1" applyProtection="1">
      <alignment horizontal="right" vertical="center" wrapText="1"/>
      <protection locked="0" hidden="1"/>
    </xf>
    <xf numFmtId="0" fontId="31" fillId="0" borderId="46" xfId="0" applyFont="1" applyBorder="1" applyAlignment="1" applyProtection="1">
      <alignment horizontal="left" vertical="center" indent="1"/>
      <protection hidden="1"/>
    </xf>
    <xf numFmtId="0" fontId="31" fillId="0" borderId="48" xfId="0" applyFont="1" applyBorder="1" applyAlignment="1" applyProtection="1">
      <alignment horizontal="left" vertical="center" indent="1"/>
      <protection hidden="1"/>
    </xf>
    <xf numFmtId="0" fontId="31" fillId="0" borderId="47" xfId="0" applyFont="1" applyBorder="1" applyAlignment="1" applyProtection="1">
      <alignment horizontal="left" vertical="center" indent="1"/>
      <protection hidden="1"/>
    </xf>
    <xf numFmtId="3" fontId="13" fillId="50" borderId="46" xfId="0" applyNumberFormat="1" applyFont="1" applyFill="1" applyBorder="1" applyAlignment="1" applyProtection="1">
      <alignment horizontal="right" vertical="center" indent="1"/>
      <protection locked="0"/>
    </xf>
    <xf numFmtId="3" fontId="13" fillId="50" borderId="47" xfId="0" applyNumberFormat="1" applyFont="1" applyFill="1" applyBorder="1" applyAlignment="1" applyProtection="1">
      <alignment horizontal="right" vertical="center" indent="1"/>
      <protection locked="0"/>
    </xf>
    <xf numFmtId="0" fontId="26" fillId="0" borderId="0" xfId="0" applyFont="1" applyAlignment="1" applyProtection="1">
      <alignment horizontal="center" vertical="center"/>
      <protection hidden="1"/>
    </xf>
    <xf numFmtId="0" fontId="23" fillId="5" borderId="48" xfId="0" applyFont="1" applyFill="1" applyBorder="1" applyAlignment="1" applyProtection="1">
      <alignment horizontal="center" vertical="center"/>
      <protection hidden="1"/>
    </xf>
    <xf numFmtId="1" fontId="23" fillId="0" borderId="44" xfId="0" applyNumberFormat="1" applyFont="1" applyBorder="1" applyAlignment="1" applyProtection="1">
      <alignment horizontal="left"/>
      <protection hidden="1"/>
    </xf>
    <xf numFmtId="0" fontId="11" fillId="0" borderId="0" xfId="0" applyFont="1" applyAlignment="1" applyProtection="1">
      <alignment horizontal="center" vertical="center"/>
      <protection hidden="1"/>
    </xf>
    <xf numFmtId="49" fontId="11" fillId="0" borderId="0" xfId="0" applyNumberFormat="1" applyFont="1" applyAlignment="1" applyProtection="1">
      <alignment horizontal="center" vertical="center"/>
      <protection hidden="1"/>
    </xf>
    <xf numFmtId="49" fontId="20" fillId="0" borderId="46" xfId="0" applyNumberFormat="1" applyFont="1" applyBorder="1" applyAlignment="1" applyProtection="1">
      <alignment horizontal="center" vertical="center" wrapText="1"/>
      <protection hidden="1"/>
    </xf>
    <xf numFmtId="49" fontId="20" fillId="0" borderId="47" xfId="0" applyNumberFormat="1" applyFont="1" applyBorder="1" applyAlignment="1" applyProtection="1">
      <alignment horizontal="center" vertical="center" wrapText="1"/>
      <protection hidden="1"/>
    </xf>
    <xf numFmtId="0" fontId="23" fillId="0" borderId="34" xfId="0" applyFont="1" applyBorder="1" applyAlignment="1" applyProtection="1">
      <alignment horizontal="left" vertical="center"/>
      <protection hidden="1"/>
    </xf>
    <xf numFmtId="0" fontId="23" fillId="0" borderId="35" xfId="0" applyFont="1" applyBorder="1" applyAlignment="1" applyProtection="1">
      <alignment horizontal="left" vertical="center"/>
      <protection hidden="1"/>
    </xf>
    <xf numFmtId="14" fontId="23" fillId="0" borderId="34" xfId="0" applyNumberFormat="1" applyFont="1" applyBorder="1" applyAlignment="1" applyProtection="1">
      <alignment horizontal="center" vertical="center"/>
      <protection hidden="1"/>
    </xf>
    <xf numFmtId="0" fontId="4" fillId="43" borderId="107" xfId="0" applyFont="1" applyFill="1" applyBorder="1" applyAlignment="1" applyProtection="1">
      <alignment horizontal="center"/>
      <protection locked="0"/>
    </xf>
    <xf numFmtId="0" fontId="4" fillId="43" borderId="108" xfId="0" applyFont="1" applyFill="1" applyBorder="1" applyAlignment="1" applyProtection="1">
      <alignment horizontal="center"/>
      <protection locked="0"/>
    </xf>
    <xf numFmtId="0" fontId="0" fillId="45" borderId="182" xfId="0" applyFill="1" applyBorder="1" applyAlignment="1" applyProtection="1">
      <alignment horizontal="center" vertical="center"/>
      <protection locked="0"/>
    </xf>
    <xf numFmtId="0" fontId="0" fillId="45" borderId="183" xfId="0" applyFill="1" applyBorder="1" applyAlignment="1" applyProtection="1">
      <alignment horizontal="center" vertical="center"/>
      <protection locked="0"/>
    </xf>
    <xf numFmtId="0" fontId="4" fillId="43" borderId="109" xfId="0" applyFont="1" applyFill="1" applyBorder="1" applyAlignment="1" applyProtection="1">
      <alignment horizontal="center"/>
      <protection locked="0"/>
    </xf>
    <xf numFmtId="0" fontId="1" fillId="46" borderId="174" xfId="0" applyFont="1" applyFill="1" applyBorder="1" applyAlignment="1">
      <alignment horizontal="center" vertical="center"/>
    </xf>
    <xf numFmtId="0" fontId="1" fillId="0" borderId="174" xfId="0" applyFont="1" applyBorder="1" applyAlignment="1">
      <alignment horizontal="left" wrapText="1"/>
    </xf>
    <xf numFmtId="0" fontId="1" fillId="46" borderId="107" xfId="0" applyFont="1" applyFill="1" applyBorder="1" applyAlignment="1">
      <alignment horizontal="center"/>
    </xf>
    <xf numFmtId="0" fontId="1" fillId="46" borderId="108" xfId="0" applyFont="1" applyFill="1" applyBorder="1" applyAlignment="1">
      <alignment horizontal="center"/>
    </xf>
    <xf numFmtId="0" fontId="1" fillId="46" borderId="109" xfId="0" applyFont="1" applyFill="1" applyBorder="1" applyAlignment="1">
      <alignment horizontal="center"/>
    </xf>
    <xf numFmtId="0" fontId="0" fillId="0" borderId="107" xfId="0" applyBorder="1" applyAlignment="1">
      <alignment horizontal="left" wrapText="1"/>
    </xf>
    <xf numFmtId="0" fontId="0" fillId="0" borderId="108" xfId="0" applyBorder="1" applyAlignment="1">
      <alignment horizontal="left" wrapText="1"/>
    </xf>
    <xf numFmtId="0" fontId="0" fillId="0" borderId="109" xfId="0" applyBorder="1" applyAlignment="1">
      <alignment horizontal="left" wrapText="1"/>
    </xf>
    <xf numFmtId="0" fontId="111" fillId="42" borderId="0" xfId="0" applyFont="1" applyFill="1" applyAlignment="1">
      <alignment horizontal="center" vertical="center"/>
    </xf>
    <xf numFmtId="0" fontId="97" fillId="46" borderId="107" xfId="0" applyFont="1" applyFill="1" applyBorder="1" applyAlignment="1">
      <alignment horizontal="center"/>
    </xf>
    <xf numFmtId="0" fontId="97" fillId="46" borderId="108" xfId="0" applyFont="1" applyFill="1" applyBorder="1" applyAlignment="1">
      <alignment horizontal="center"/>
    </xf>
    <xf numFmtId="0" fontId="97" fillId="46" borderId="109" xfId="0" applyFont="1" applyFill="1" applyBorder="1" applyAlignment="1">
      <alignment horizontal="center"/>
    </xf>
    <xf numFmtId="0" fontId="97" fillId="46" borderId="107" xfId="0" applyFont="1" applyFill="1" applyBorder="1" applyAlignment="1" applyProtection="1">
      <alignment horizontal="center"/>
      <protection locked="0"/>
    </xf>
    <xf numFmtId="0" fontId="97" fillId="46" borderId="108" xfId="0" applyFont="1" applyFill="1" applyBorder="1" applyAlignment="1" applyProtection="1">
      <alignment horizontal="center"/>
      <protection locked="0"/>
    </xf>
    <xf numFmtId="0" fontId="97" fillId="46" borderId="109" xfId="0" applyFont="1" applyFill="1" applyBorder="1" applyAlignment="1" applyProtection="1">
      <alignment horizontal="center"/>
      <protection locked="0"/>
    </xf>
    <xf numFmtId="0" fontId="124" fillId="6" borderId="0" xfId="0" applyFont="1" applyFill="1" applyAlignment="1">
      <alignment horizontal="center"/>
    </xf>
    <xf numFmtId="0" fontId="1" fillId="35" borderId="0" xfId="0" applyFont="1" applyFill="1" applyAlignment="1">
      <alignment horizontal="center"/>
    </xf>
    <xf numFmtId="0" fontId="8" fillId="0" borderId="174" xfId="0" applyFont="1" applyBorder="1" applyAlignment="1">
      <alignment horizontal="center"/>
    </xf>
    <xf numFmtId="0" fontId="1" fillId="47" borderId="107" xfId="0" applyFont="1" applyFill="1" applyBorder="1" applyAlignment="1">
      <alignment horizontal="center"/>
    </xf>
    <xf numFmtId="0" fontId="1" fillId="47" borderId="108" xfId="0" applyFont="1" applyFill="1" applyBorder="1" applyAlignment="1">
      <alignment horizontal="center"/>
    </xf>
    <xf numFmtId="0" fontId="1" fillId="47" borderId="109" xfId="0" applyFont="1" applyFill="1" applyBorder="1" applyAlignment="1">
      <alignment horizontal="center"/>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0" fillId="3" borderId="9" xfId="0" applyFill="1" applyBorder="1" applyAlignment="1">
      <alignment horizontal="center" wrapText="1"/>
    </xf>
    <xf numFmtId="0" fontId="0" fillId="3" borderId="0" xfId="0" applyFill="1" applyAlignment="1">
      <alignment horizontal="center" wrapText="1"/>
    </xf>
    <xf numFmtId="0" fontId="0" fillId="3" borderId="10" xfId="0" applyFill="1" applyBorder="1" applyAlignment="1">
      <alignment horizontal="center" wrapText="1"/>
    </xf>
    <xf numFmtId="0" fontId="0" fillId="3" borderId="11" xfId="0" applyFill="1" applyBorder="1" applyAlignment="1">
      <alignment horizontal="center" wrapText="1"/>
    </xf>
    <xf numFmtId="0" fontId="0" fillId="3" borderId="12" xfId="0" applyFill="1" applyBorder="1" applyAlignment="1">
      <alignment horizontal="center" wrapText="1"/>
    </xf>
    <xf numFmtId="0" fontId="0" fillId="3" borderId="13" xfId="0" applyFill="1" applyBorder="1" applyAlignment="1">
      <alignment horizontal="center" wrapText="1"/>
    </xf>
    <xf numFmtId="0" fontId="132" fillId="3" borderId="0" xfId="0" applyFont="1" applyFill="1" applyAlignment="1">
      <alignment horizontal="center"/>
    </xf>
    <xf numFmtId="0" fontId="97" fillId="3" borderId="0" xfId="0" applyFont="1" applyFill="1" applyAlignment="1">
      <alignment horizontal="center"/>
    </xf>
    <xf numFmtId="0" fontId="1" fillId="0" borderId="107" xfId="0" applyFont="1" applyBorder="1" applyAlignment="1">
      <alignment horizontal="left" wrapText="1"/>
    </xf>
    <xf numFmtId="0" fontId="1" fillId="0" borderId="108" xfId="0" applyFont="1" applyBorder="1" applyAlignment="1">
      <alignment horizontal="left" wrapText="1"/>
    </xf>
    <xf numFmtId="0" fontId="1" fillId="0" borderId="109" xfId="0" applyFont="1" applyBorder="1" applyAlignment="1">
      <alignment horizontal="left" wrapText="1"/>
    </xf>
    <xf numFmtId="0" fontId="0" fillId="0" borderId="107" xfId="0" applyBorder="1" applyAlignment="1">
      <alignment horizontal="left"/>
    </xf>
    <xf numFmtId="0" fontId="0" fillId="0" borderId="108" xfId="0" applyBorder="1" applyAlignment="1">
      <alignment horizontal="left"/>
    </xf>
    <xf numFmtId="0" fontId="0" fillId="0" borderId="109" xfId="0" applyBorder="1" applyAlignment="1">
      <alignment horizontal="left"/>
    </xf>
    <xf numFmtId="0" fontId="1" fillId="0" borderId="107" xfId="0" applyFont="1" applyBorder="1" applyAlignment="1">
      <alignment horizontal="left"/>
    </xf>
    <xf numFmtId="0" fontId="1" fillId="0" borderId="108" xfId="0" applyFont="1" applyBorder="1" applyAlignment="1">
      <alignment horizontal="left"/>
    </xf>
    <xf numFmtId="0" fontId="1" fillId="0" borderId="109" xfId="0" applyFont="1" applyBorder="1" applyAlignment="1">
      <alignment horizontal="left"/>
    </xf>
    <xf numFmtId="0" fontId="0" fillId="3" borderId="107" xfId="0" applyFill="1" applyBorder="1" applyAlignment="1">
      <alignment horizontal="center" vertical="top" wrapText="1"/>
    </xf>
    <xf numFmtId="0" fontId="0" fillId="3" borderId="108" xfId="0" applyFill="1" applyBorder="1" applyAlignment="1">
      <alignment horizontal="center" vertical="top" wrapText="1"/>
    </xf>
    <xf numFmtId="0" fontId="0" fillId="3" borderId="109" xfId="0" applyFill="1" applyBorder="1" applyAlignment="1">
      <alignment horizontal="center" vertical="top" wrapText="1"/>
    </xf>
    <xf numFmtId="0" fontId="112" fillId="3" borderId="107" xfId="0" applyFont="1" applyFill="1" applyBorder="1" applyAlignment="1">
      <alignment horizontal="center" vertical="top" wrapText="1"/>
    </xf>
    <xf numFmtId="0" fontId="112" fillId="3" borderId="108" xfId="0" applyFont="1" applyFill="1" applyBorder="1" applyAlignment="1">
      <alignment horizontal="center" vertical="top" wrapText="1"/>
    </xf>
    <xf numFmtId="0" fontId="112" fillId="3" borderId="109" xfId="0" applyFont="1" applyFill="1" applyBorder="1" applyAlignment="1">
      <alignment horizontal="center" vertical="top" wrapText="1"/>
    </xf>
    <xf numFmtId="0" fontId="110" fillId="3" borderId="107" xfId="0" applyFont="1" applyFill="1" applyBorder="1" applyAlignment="1" applyProtection="1">
      <alignment horizontal="center" vertical="center"/>
      <protection locked="0"/>
    </xf>
    <xf numFmtId="0" fontId="110" fillId="3" borderId="108" xfId="0" applyFont="1" applyFill="1" applyBorder="1" applyAlignment="1" applyProtection="1">
      <alignment horizontal="center" vertical="center"/>
      <protection locked="0"/>
    </xf>
    <xf numFmtId="0" fontId="110" fillId="3" borderId="109" xfId="0" applyFont="1" applyFill="1" applyBorder="1" applyAlignment="1" applyProtection="1">
      <alignment horizontal="center" vertical="center"/>
      <protection locked="0"/>
    </xf>
    <xf numFmtId="0" fontId="118" fillId="3" borderId="107" xfId="0" applyFont="1" applyFill="1" applyBorder="1" applyAlignment="1" applyProtection="1">
      <alignment horizontal="left"/>
      <protection locked="0"/>
    </xf>
    <xf numFmtId="0" fontId="118" fillId="3" borderId="108" xfId="0" applyFont="1" applyFill="1" applyBorder="1" applyAlignment="1" applyProtection="1">
      <alignment horizontal="left"/>
      <protection locked="0"/>
    </xf>
    <xf numFmtId="0" fontId="118" fillId="3" borderId="109" xfId="0" applyFont="1" applyFill="1" applyBorder="1" applyAlignment="1" applyProtection="1">
      <alignment horizontal="left"/>
      <protection locked="0"/>
    </xf>
    <xf numFmtId="0" fontId="6" fillId="36" borderId="174" xfId="0" applyFont="1" applyFill="1" applyBorder="1" applyAlignment="1" applyProtection="1">
      <alignment horizontal="center"/>
      <protection locked="0"/>
    </xf>
    <xf numFmtId="0" fontId="112" fillId="0" borderId="0" xfId="0" applyFont="1" applyAlignment="1" applyProtection="1">
      <alignment horizontal="center" vertical="center" wrapText="1"/>
      <protection locked="0"/>
    </xf>
    <xf numFmtId="0" fontId="121" fillId="39" borderId="178" xfId="0" applyFont="1" applyFill="1" applyBorder="1" applyAlignment="1" applyProtection="1">
      <alignment horizontal="center" vertical="center"/>
      <protection locked="0"/>
    </xf>
    <xf numFmtId="0" fontId="122" fillId="39" borderId="176" xfId="0" applyFont="1" applyFill="1" applyBorder="1" applyAlignment="1" applyProtection="1">
      <alignment horizontal="center" vertical="center"/>
      <protection locked="0"/>
    </xf>
    <xf numFmtId="0" fontId="8" fillId="34" borderId="107" xfId="0" applyFont="1" applyFill="1" applyBorder="1" applyAlignment="1" applyProtection="1">
      <alignment horizontal="center"/>
      <protection locked="0"/>
    </xf>
    <xf numFmtId="0" fontId="8" fillId="34" borderId="108" xfId="0" applyFont="1" applyFill="1" applyBorder="1" applyAlignment="1" applyProtection="1">
      <alignment horizontal="center"/>
      <protection locked="0"/>
    </xf>
    <xf numFmtId="0" fontId="8" fillId="34" borderId="109" xfId="0" applyFont="1" applyFill="1" applyBorder="1" applyAlignment="1" applyProtection="1">
      <alignment horizontal="center"/>
      <protection locked="0"/>
    </xf>
    <xf numFmtId="0" fontId="97" fillId="0" borderId="107" xfId="0" applyFont="1" applyBorder="1" applyAlignment="1" applyProtection="1">
      <alignment horizontal="center" vertical="center" wrapText="1"/>
      <protection locked="0"/>
    </xf>
    <xf numFmtId="0" fontId="114" fillId="0" borderId="109" xfId="0" applyFont="1" applyBorder="1" applyAlignment="1" applyProtection="1">
      <alignment horizontal="center" vertical="center" wrapText="1"/>
      <protection locked="0"/>
    </xf>
    <xf numFmtId="0" fontId="97" fillId="0" borderId="108" xfId="0" applyFont="1" applyBorder="1" applyAlignment="1" applyProtection="1">
      <alignment horizontal="center" vertical="center" wrapText="1"/>
      <protection locked="0"/>
    </xf>
    <xf numFmtId="0" fontId="6" fillId="34" borderId="174" xfId="0" applyFont="1" applyFill="1" applyBorder="1" applyAlignment="1" applyProtection="1">
      <alignment horizontal="center"/>
      <protection locked="0"/>
    </xf>
    <xf numFmtId="0" fontId="111" fillId="29" borderId="0" xfId="0" applyFont="1" applyFill="1" applyAlignment="1" applyProtection="1">
      <alignment horizontal="center" vertical="center"/>
      <protection locked="0"/>
    </xf>
    <xf numFmtId="0" fontId="97" fillId="0" borderId="174" xfId="0" applyFont="1" applyBorder="1" applyAlignment="1" applyProtection="1">
      <alignment horizontal="center" vertical="center" wrapText="1"/>
      <protection locked="0"/>
    </xf>
    <xf numFmtId="0" fontId="97" fillId="0" borderId="0" xfId="0" applyFont="1" applyAlignment="1" applyProtection="1">
      <alignment horizontal="center" vertical="center" wrapText="1"/>
      <protection locked="0"/>
    </xf>
    <xf numFmtId="0" fontId="0" fillId="0" borderId="177" xfId="0" applyBorder="1" applyAlignment="1" applyProtection="1">
      <alignment horizontal="center"/>
      <protection locked="0"/>
    </xf>
    <xf numFmtId="0" fontId="8" fillId="36" borderId="107" xfId="0" applyFont="1" applyFill="1" applyBorder="1" applyAlignment="1" applyProtection="1">
      <alignment horizontal="center"/>
      <protection locked="0"/>
    </xf>
    <xf numFmtId="0" fontId="8" fillId="36" borderId="108" xfId="0" applyFont="1" applyFill="1" applyBorder="1" applyAlignment="1" applyProtection="1">
      <alignment horizontal="center"/>
      <protection locked="0"/>
    </xf>
    <xf numFmtId="0" fontId="8" fillId="36" borderId="109" xfId="0" applyFont="1" applyFill="1" applyBorder="1" applyAlignment="1" applyProtection="1">
      <alignment horizontal="center"/>
      <protection locked="0"/>
    </xf>
    <xf numFmtId="0" fontId="0" fillId="0" borderId="0" xfId="0" applyAlignment="1" applyProtection="1">
      <alignment horizontal="center"/>
      <protection locked="0"/>
    </xf>
    <xf numFmtId="0" fontId="110" fillId="3" borderId="107" xfId="0" applyFont="1" applyFill="1" applyBorder="1" applyAlignment="1" applyProtection="1">
      <alignment horizontal="left" wrapText="1"/>
      <protection locked="0"/>
    </xf>
    <xf numFmtId="0" fontId="110" fillId="3" borderId="108" xfId="0" applyFont="1" applyFill="1" applyBorder="1" applyAlignment="1" applyProtection="1">
      <alignment horizontal="left" wrapText="1"/>
      <protection locked="0"/>
    </xf>
    <xf numFmtId="0" fontId="110" fillId="3" borderId="109" xfId="0" applyFont="1" applyFill="1" applyBorder="1" applyAlignment="1" applyProtection="1">
      <alignment horizontal="left" wrapText="1"/>
      <protection locked="0"/>
    </xf>
    <xf numFmtId="0" fontId="119" fillId="29" borderId="0" xfId="0" applyFont="1" applyFill="1" applyAlignment="1" applyProtection="1">
      <alignment horizontal="center"/>
      <protection locked="0"/>
    </xf>
    <xf numFmtId="0" fontId="119" fillId="33" borderId="0" xfId="0" applyFont="1" applyFill="1" applyAlignment="1" applyProtection="1">
      <alignment horizontal="center"/>
      <protection locked="0"/>
    </xf>
    <xf numFmtId="0" fontId="119" fillId="32" borderId="0" xfId="0" applyFont="1" applyFill="1" applyAlignment="1" applyProtection="1">
      <alignment horizontal="center"/>
      <protection locked="0"/>
    </xf>
    <xf numFmtId="0" fontId="110" fillId="35" borderId="174" xfId="0" applyFont="1" applyFill="1" applyBorder="1" applyAlignment="1" applyProtection="1">
      <alignment horizontal="center" vertical="center"/>
      <protection locked="0"/>
    </xf>
    <xf numFmtId="0" fontId="110" fillId="3" borderId="174" xfId="0" applyFont="1" applyFill="1" applyBorder="1" applyAlignment="1" applyProtection="1">
      <alignment horizontal="left"/>
      <protection locked="0"/>
    </xf>
    <xf numFmtId="0" fontId="110" fillId="3" borderId="174" xfId="0" applyFont="1" applyFill="1" applyBorder="1" applyAlignment="1" applyProtection="1">
      <alignment horizontal="left" vertical="center" wrapText="1"/>
      <protection locked="0"/>
    </xf>
    <xf numFmtId="0" fontId="110" fillId="3" borderId="174" xfId="0" applyFont="1" applyFill="1" applyBorder="1" applyAlignment="1" applyProtection="1">
      <alignment horizontal="left" wrapText="1"/>
      <protection locked="0"/>
    </xf>
    <xf numFmtId="0" fontId="121" fillId="39" borderId="180" xfId="0" applyFont="1" applyFill="1" applyBorder="1" applyAlignment="1" applyProtection="1">
      <alignment horizontal="center" vertical="center"/>
      <protection locked="0"/>
    </xf>
    <xf numFmtId="0" fontId="121" fillId="39" borderId="176" xfId="0" applyFont="1" applyFill="1" applyBorder="1" applyAlignment="1" applyProtection="1">
      <alignment horizontal="center" vertical="center"/>
      <protection locked="0"/>
    </xf>
    <xf numFmtId="0" fontId="97" fillId="0" borderId="109" xfId="0" applyFont="1" applyBorder="1" applyAlignment="1" applyProtection="1">
      <alignment horizontal="center" vertical="center" wrapText="1"/>
      <protection locked="0"/>
    </xf>
    <xf numFmtId="0" fontId="111" fillId="29" borderId="0" xfId="0" applyFont="1" applyFill="1" applyAlignment="1" applyProtection="1">
      <alignment horizontal="center" vertical="center" wrapText="1"/>
      <protection locked="0"/>
    </xf>
    <xf numFmtId="0" fontId="119" fillId="29" borderId="0" xfId="0" applyFont="1" applyFill="1" applyAlignment="1" applyProtection="1">
      <alignment horizontal="center" vertical="center"/>
      <protection locked="0"/>
    </xf>
    <xf numFmtId="0" fontId="119" fillId="29" borderId="179" xfId="0" applyFont="1" applyFill="1" applyBorder="1" applyAlignment="1" applyProtection="1">
      <alignment horizontal="center" vertical="center"/>
      <protection locked="0"/>
    </xf>
    <xf numFmtId="0" fontId="119" fillId="28" borderId="166" xfId="0" applyFont="1" applyFill="1" applyBorder="1" applyAlignment="1" applyProtection="1">
      <alignment horizontal="center" vertical="center"/>
      <protection locked="0"/>
    </xf>
    <xf numFmtId="0" fontId="119" fillId="28" borderId="167" xfId="0" applyFont="1" applyFill="1" applyBorder="1" applyAlignment="1" applyProtection="1">
      <alignment horizontal="center" vertical="center"/>
      <protection locked="0"/>
    </xf>
    <xf numFmtId="0" fontId="119" fillId="40" borderId="0" xfId="0" applyFont="1" applyFill="1" applyAlignment="1" applyProtection="1">
      <alignment horizontal="center" vertical="center"/>
      <protection locked="0"/>
    </xf>
    <xf numFmtId="0" fontId="8" fillId="34" borderId="174" xfId="0" applyFont="1" applyFill="1" applyBorder="1" applyAlignment="1" applyProtection="1">
      <alignment horizontal="center"/>
      <protection locked="0"/>
    </xf>
    <xf numFmtId="0" fontId="110" fillId="3" borderId="174" xfId="0" applyFont="1" applyFill="1" applyBorder="1" applyAlignment="1" applyProtection="1">
      <alignment horizontal="left" vertical="center"/>
      <protection locked="0"/>
    </xf>
    <xf numFmtId="0" fontId="118" fillId="3" borderId="174" xfId="0" applyFont="1" applyFill="1" applyBorder="1" applyAlignment="1" applyProtection="1">
      <alignment horizontal="left" vertical="center"/>
      <protection locked="0"/>
    </xf>
    <xf numFmtId="0" fontId="118" fillId="3" borderId="107" xfId="0" applyFont="1" applyFill="1" applyBorder="1" applyAlignment="1" applyProtection="1">
      <alignment horizontal="left" vertical="center"/>
      <protection locked="0"/>
    </xf>
    <xf numFmtId="0" fontId="118" fillId="3" borderId="108" xfId="0" applyFont="1" applyFill="1" applyBorder="1" applyAlignment="1" applyProtection="1">
      <alignment horizontal="left" vertical="center"/>
      <protection locked="0"/>
    </xf>
    <xf numFmtId="0" fontId="118" fillId="3" borderId="109" xfId="0" applyFont="1" applyFill="1" applyBorder="1" applyAlignment="1" applyProtection="1">
      <alignment horizontal="left" vertical="center"/>
      <protection locked="0"/>
    </xf>
    <xf numFmtId="0" fontId="110" fillId="3" borderId="107" xfId="0" applyFont="1" applyFill="1" applyBorder="1" applyAlignment="1" applyProtection="1">
      <alignment horizontal="left" vertical="center"/>
      <protection locked="0"/>
    </xf>
    <xf numFmtId="0" fontId="110" fillId="3" borderId="108" xfId="0" applyFont="1" applyFill="1" applyBorder="1" applyAlignment="1" applyProtection="1">
      <alignment horizontal="left" vertical="center"/>
      <protection locked="0"/>
    </xf>
    <xf numFmtId="0" fontId="110" fillId="3" borderId="109" xfId="0" applyFont="1" applyFill="1" applyBorder="1" applyAlignment="1" applyProtection="1">
      <alignment horizontal="left" vertical="center"/>
      <protection locked="0"/>
    </xf>
    <xf numFmtId="0" fontId="110" fillId="3" borderId="107" xfId="0" applyFont="1" applyFill="1" applyBorder="1" applyAlignment="1" applyProtection="1">
      <alignment horizontal="left" vertical="center" wrapText="1"/>
      <protection locked="0"/>
    </xf>
    <xf numFmtId="0" fontId="110" fillId="3" borderId="108" xfId="0" applyFont="1" applyFill="1" applyBorder="1" applyAlignment="1" applyProtection="1">
      <alignment horizontal="left" vertical="center" wrapText="1"/>
      <protection locked="0"/>
    </xf>
    <xf numFmtId="0" fontId="110" fillId="3" borderId="109" xfId="0" applyFont="1" applyFill="1" applyBorder="1" applyAlignment="1" applyProtection="1">
      <alignment horizontal="left" vertical="center" wrapText="1"/>
      <protection locked="0"/>
    </xf>
    <xf numFmtId="0" fontId="6" fillId="34" borderId="107" xfId="0" applyFont="1" applyFill="1" applyBorder="1" applyAlignment="1" applyProtection="1">
      <alignment horizontal="left" vertical="center"/>
      <protection locked="0"/>
    </xf>
    <xf numFmtId="0" fontId="6" fillId="34" borderId="108" xfId="0" applyFont="1" applyFill="1" applyBorder="1" applyAlignment="1" applyProtection="1">
      <alignment horizontal="left" vertical="center"/>
      <protection locked="0"/>
    </xf>
    <xf numFmtId="0" fontId="6" fillId="34" borderId="109" xfId="0" applyFont="1" applyFill="1" applyBorder="1" applyAlignment="1" applyProtection="1">
      <alignment horizontal="left" vertical="center"/>
      <protection locked="0"/>
    </xf>
    <xf numFmtId="0" fontId="0" fillId="0" borderId="181" xfId="0" applyBorder="1" applyAlignment="1" applyProtection="1">
      <alignment horizontal="center"/>
      <protection locked="0"/>
    </xf>
    <xf numFmtId="0" fontId="121" fillId="39" borderId="180" xfId="0" applyFont="1" applyFill="1" applyBorder="1" applyAlignment="1">
      <alignment horizontal="center" vertical="center"/>
    </xf>
    <xf numFmtId="0" fontId="121" fillId="39" borderId="176" xfId="0" applyFont="1" applyFill="1" applyBorder="1" applyAlignment="1">
      <alignment horizontal="center" vertical="center"/>
    </xf>
    <xf numFmtId="0" fontId="119" fillId="29" borderId="167" xfId="0" applyFont="1" applyFill="1" applyBorder="1" applyAlignment="1">
      <alignment horizontal="center" vertical="center"/>
    </xf>
    <xf numFmtId="0" fontId="109" fillId="29" borderId="167" xfId="0" applyFont="1" applyFill="1" applyBorder="1" applyAlignment="1">
      <alignment horizontal="center" vertical="center"/>
    </xf>
    <xf numFmtId="0" fontId="111" fillId="29" borderId="0" xfId="0" applyFont="1" applyFill="1" applyAlignment="1">
      <alignment horizontal="center" vertical="center" wrapText="1"/>
    </xf>
    <xf numFmtId="0" fontId="0" fillId="0" borderId="174" xfId="0" applyBorder="1" applyAlignment="1">
      <alignment horizontal="center" vertical="center" wrapText="1"/>
    </xf>
    <xf numFmtId="0" fontId="97" fillId="0" borderId="174" xfId="0" applyFont="1" applyBorder="1" applyAlignment="1">
      <alignment horizontal="center" vertical="center" wrapText="1"/>
    </xf>
    <xf numFmtId="0" fontId="160" fillId="56" borderId="0" xfId="0" applyFont="1" applyFill="1" applyAlignment="1" applyProtection="1">
      <alignment horizontal="center" vertical="center"/>
      <protection hidden="1"/>
    </xf>
    <xf numFmtId="0" fontId="162" fillId="56" borderId="0" xfId="0" applyFont="1" applyFill="1" applyAlignment="1" applyProtection="1">
      <alignment horizontal="center" vertical="center"/>
      <protection hidden="1"/>
    </xf>
    <xf numFmtId="0" fontId="164" fillId="8" borderId="127" xfId="14" applyFont="1" applyFill="1" applyBorder="1" applyAlignment="1" applyProtection="1">
      <alignment horizontal="left" vertical="center" indent="1"/>
      <protection locked="0" hidden="1"/>
    </xf>
    <xf numFmtId="0" fontId="164" fillId="0" borderId="127" xfId="14" applyFont="1" applyBorder="1" applyAlignment="1" applyProtection="1">
      <alignment horizontal="left" vertical="center" indent="1"/>
      <protection locked="0" hidden="1"/>
    </xf>
    <xf numFmtId="0" fontId="168" fillId="57" borderId="0" xfId="0" applyFont="1" applyFill="1" applyAlignment="1" applyProtection="1">
      <alignment horizontal="center" vertical="center"/>
      <protection hidden="1"/>
    </xf>
    <xf numFmtId="0" fontId="169" fillId="57" borderId="0" xfId="0" applyFont="1" applyFill="1" applyAlignment="1" applyProtection="1">
      <alignment horizontal="center" vertical="center"/>
      <protection hidden="1"/>
    </xf>
    <xf numFmtId="0" fontId="169" fillId="57" borderId="0" xfId="0" quotePrefix="1" applyFont="1" applyFill="1" applyAlignment="1" applyProtection="1">
      <alignment horizontal="center" vertical="center"/>
      <protection hidden="1"/>
    </xf>
    <xf numFmtId="0" fontId="169" fillId="57" borderId="0" xfId="2" applyFont="1" applyFill="1" applyAlignment="1" applyProtection="1">
      <alignment horizontal="center" vertical="center"/>
      <protection locked="0" hidden="1"/>
    </xf>
    <xf numFmtId="0" fontId="164" fillId="0" borderId="132" xfId="14" applyFont="1" applyBorder="1" applyAlignment="1" applyProtection="1">
      <alignment horizontal="left" vertical="center" indent="1"/>
      <protection locked="0" hidden="1"/>
    </xf>
    <xf numFmtId="0" fontId="164" fillId="0" borderId="0" xfId="14" applyFont="1" applyAlignment="1" applyProtection="1">
      <alignment horizontal="left" vertical="center" indent="1"/>
      <protection locked="0" hidden="1"/>
    </xf>
    <xf numFmtId="0" fontId="172" fillId="0" borderId="0" xfId="0" applyFont="1" applyAlignment="1" applyProtection="1">
      <alignment horizontal="center" vertical="center" wrapText="1"/>
      <protection hidden="1"/>
    </xf>
    <xf numFmtId="0" fontId="170" fillId="58" borderId="231" xfId="14" applyFont="1" applyFill="1" applyBorder="1" applyAlignment="1" applyProtection="1">
      <alignment horizontal="center" vertical="center" wrapText="1"/>
      <protection hidden="1"/>
    </xf>
    <xf numFmtId="0" fontId="170" fillId="58" borderId="232" xfId="14" applyFont="1" applyFill="1" applyBorder="1" applyAlignment="1" applyProtection="1">
      <alignment horizontal="center" vertical="center" wrapText="1"/>
      <protection hidden="1"/>
    </xf>
    <xf numFmtId="0" fontId="170" fillId="58" borderId="233" xfId="14" applyFont="1" applyFill="1" applyBorder="1" applyAlignment="1" applyProtection="1">
      <alignment horizontal="center" vertical="center" wrapText="1"/>
      <protection hidden="1"/>
    </xf>
    <xf numFmtId="0" fontId="170" fillId="58" borderId="234" xfId="14" applyFont="1" applyFill="1" applyBorder="1" applyAlignment="1" applyProtection="1">
      <alignment horizontal="center" vertical="center" wrapText="1"/>
      <protection hidden="1"/>
    </xf>
    <xf numFmtId="0" fontId="170" fillId="58" borderId="0" xfId="14" applyFont="1" applyFill="1" applyAlignment="1" applyProtection="1">
      <alignment horizontal="center" vertical="center" wrapText="1"/>
      <protection hidden="1"/>
    </xf>
    <xf numFmtId="0" fontId="170" fillId="58" borderId="235" xfId="14" applyFont="1" applyFill="1" applyBorder="1" applyAlignment="1" applyProtection="1">
      <alignment horizontal="center" vertical="center" wrapText="1"/>
      <protection hidden="1"/>
    </xf>
    <xf numFmtId="0" fontId="170" fillId="58" borderId="236" xfId="14" applyFont="1" applyFill="1" applyBorder="1" applyAlignment="1" applyProtection="1">
      <alignment horizontal="center" vertical="center" wrapText="1"/>
      <protection hidden="1"/>
    </xf>
    <xf numFmtId="0" fontId="170" fillId="58" borderId="194" xfId="14" applyFont="1" applyFill="1" applyBorder="1" applyAlignment="1" applyProtection="1">
      <alignment horizontal="center" vertical="center" wrapText="1"/>
      <protection hidden="1"/>
    </xf>
    <xf numFmtId="0" fontId="170" fillId="58" borderId="237" xfId="14" applyFont="1" applyFill="1" applyBorder="1" applyAlignment="1" applyProtection="1">
      <alignment horizontal="center" vertical="center" wrapText="1"/>
      <protection hidden="1"/>
    </xf>
    <xf numFmtId="14" fontId="175" fillId="50" borderId="196" xfId="6" applyNumberFormat="1" applyFont="1" applyFill="1" applyBorder="1" applyAlignment="1" applyProtection="1">
      <alignment horizontal="left" indent="1"/>
      <protection locked="0"/>
    </xf>
    <xf numFmtId="14" fontId="175" fillId="50" borderId="197" xfId="6" applyNumberFormat="1" applyFont="1" applyFill="1" applyBorder="1" applyAlignment="1" applyProtection="1">
      <alignment horizontal="left" indent="1"/>
      <protection locked="0"/>
    </xf>
    <xf numFmtId="14" fontId="175" fillId="50" borderId="198" xfId="6" applyNumberFormat="1" applyFont="1" applyFill="1" applyBorder="1" applyAlignment="1" applyProtection="1">
      <alignment horizontal="left" indent="1"/>
      <protection locked="0"/>
    </xf>
    <xf numFmtId="49" fontId="174" fillId="50" borderId="196" xfId="6" applyNumberFormat="1" applyFont="1" applyFill="1" applyBorder="1" applyAlignment="1" applyProtection="1">
      <alignment horizontal="left"/>
      <protection locked="0"/>
    </xf>
    <xf numFmtId="49" fontId="174" fillId="50" borderId="197" xfId="6" applyNumberFormat="1" applyFont="1" applyFill="1" applyBorder="1" applyAlignment="1" applyProtection="1">
      <alignment horizontal="left"/>
      <protection locked="0"/>
    </xf>
    <xf numFmtId="49" fontId="174" fillId="50" borderId="198" xfId="6" applyNumberFormat="1" applyFont="1" applyFill="1" applyBorder="1" applyAlignment="1" applyProtection="1">
      <alignment horizontal="left"/>
      <protection locked="0"/>
    </xf>
    <xf numFmtId="49" fontId="175" fillId="50" borderId="196" xfId="6" applyNumberFormat="1" applyFont="1" applyFill="1" applyBorder="1" applyAlignment="1" applyProtection="1">
      <alignment horizontal="left" indent="1"/>
      <protection locked="0"/>
    </xf>
    <xf numFmtId="49" fontId="175" fillId="50" borderId="197" xfId="6" applyNumberFormat="1" applyFont="1" applyFill="1" applyBorder="1" applyAlignment="1" applyProtection="1">
      <alignment horizontal="left" indent="1"/>
      <protection locked="0"/>
    </xf>
    <xf numFmtId="49" fontId="175" fillId="50" borderId="198" xfId="6" applyNumberFormat="1" applyFont="1" applyFill="1" applyBorder="1" applyAlignment="1" applyProtection="1">
      <alignment horizontal="left" indent="1"/>
      <protection locked="0"/>
    </xf>
    <xf numFmtId="49" fontId="175" fillId="50" borderId="196" xfId="6" applyNumberFormat="1" applyFont="1" applyFill="1" applyBorder="1" applyAlignment="1" applyProtection="1">
      <alignment horizontal="left"/>
      <protection locked="0"/>
    </xf>
    <xf numFmtId="49" fontId="175" fillId="50" borderId="197" xfId="6" applyNumberFormat="1" applyFont="1" applyFill="1" applyBorder="1" applyAlignment="1" applyProtection="1">
      <alignment horizontal="left"/>
      <protection locked="0"/>
    </xf>
    <xf numFmtId="49" fontId="175" fillId="50" borderId="198" xfId="6" applyNumberFormat="1" applyFont="1" applyFill="1" applyBorder="1" applyAlignment="1" applyProtection="1">
      <alignment horizontal="left"/>
      <protection locked="0"/>
    </xf>
    <xf numFmtId="49" fontId="175" fillId="50" borderId="196" xfId="6" quotePrefix="1" applyNumberFormat="1" applyFont="1" applyFill="1" applyBorder="1" applyAlignment="1" applyProtection="1">
      <alignment horizontal="left" indent="1"/>
      <protection locked="0"/>
    </xf>
    <xf numFmtId="14" fontId="174" fillId="50" borderId="196" xfId="6" applyNumberFormat="1" applyFont="1" applyFill="1" applyBorder="1" applyAlignment="1" applyProtection="1">
      <alignment horizontal="left" indent="1"/>
      <protection locked="0"/>
    </xf>
    <xf numFmtId="14" fontId="174" fillId="50" borderId="198" xfId="6" applyNumberFormat="1" applyFont="1" applyFill="1" applyBorder="1" applyAlignment="1" applyProtection="1">
      <alignment horizontal="left" indent="1"/>
      <protection locked="0"/>
    </xf>
    <xf numFmtId="49" fontId="175" fillId="50" borderId="196" xfId="6" applyNumberFormat="1" applyFont="1" applyFill="1" applyBorder="1" applyAlignment="1" applyProtection="1">
      <alignment horizontal="center"/>
      <protection locked="0"/>
    </xf>
    <xf numFmtId="49" fontId="175" fillId="50" borderId="197" xfId="6" applyNumberFormat="1" applyFont="1" applyFill="1" applyBorder="1" applyAlignment="1" applyProtection="1">
      <alignment horizontal="center"/>
      <protection locked="0"/>
    </xf>
    <xf numFmtId="49" fontId="175" fillId="50" borderId="198" xfId="6" applyNumberFormat="1" applyFont="1" applyFill="1" applyBorder="1" applyAlignment="1" applyProtection="1">
      <alignment horizontal="center"/>
      <protection locked="0"/>
    </xf>
    <xf numFmtId="49" fontId="175" fillId="50" borderId="196" xfId="6" applyNumberFormat="1" applyFont="1" applyFill="1" applyBorder="1" applyAlignment="1" applyProtection="1">
      <protection locked="0"/>
    </xf>
    <xf numFmtId="49" fontId="175" fillId="50" borderId="197" xfId="6" applyNumberFormat="1" applyFont="1" applyFill="1" applyBorder="1" applyAlignment="1" applyProtection="1">
      <protection locked="0"/>
    </xf>
    <xf numFmtId="49" fontId="175" fillId="50" borderId="198" xfId="6" applyNumberFormat="1" applyFont="1" applyFill="1" applyBorder="1" applyAlignment="1" applyProtection="1">
      <protection locked="0"/>
    </xf>
    <xf numFmtId="10" fontId="175" fillId="50" borderId="196" xfId="6" applyNumberFormat="1" applyFont="1" applyFill="1" applyBorder="1" applyAlignment="1" applyProtection="1">
      <alignment horizontal="left" indent="1"/>
      <protection locked="0"/>
    </xf>
    <xf numFmtId="10" fontId="175" fillId="50" borderId="197" xfId="6" applyNumberFormat="1" applyFont="1" applyFill="1" applyBorder="1" applyAlignment="1" applyProtection="1">
      <alignment horizontal="left" indent="1"/>
      <protection locked="0"/>
    </xf>
    <xf numFmtId="10" fontId="175" fillId="50" borderId="198" xfId="6" applyNumberFormat="1" applyFont="1" applyFill="1" applyBorder="1" applyAlignment="1" applyProtection="1">
      <alignment horizontal="left" indent="1"/>
      <protection locked="0"/>
    </xf>
    <xf numFmtId="0" fontId="8" fillId="0" borderId="0" xfId="0" applyFont="1" applyAlignment="1" applyProtection="1">
      <alignment horizontal="center" vertical="center" wrapText="1"/>
      <protection hidden="1"/>
    </xf>
    <xf numFmtId="0" fontId="8" fillId="0" borderId="0" xfId="0" applyFont="1" applyAlignment="1" applyProtection="1">
      <alignment horizontal="center" vertical="center"/>
      <protection hidden="1"/>
    </xf>
    <xf numFmtId="0" fontId="9" fillId="0" borderId="0" xfId="0" applyFont="1" applyAlignment="1" applyProtection="1">
      <alignment horizontal="center"/>
      <protection hidden="1"/>
    </xf>
    <xf numFmtId="0" fontId="10" fillId="0" borderId="0" xfId="0" applyFont="1" applyAlignment="1" applyProtection="1">
      <alignment horizontal="center"/>
      <protection hidden="1"/>
    </xf>
    <xf numFmtId="0" fontId="0" fillId="2" borderId="9" xfId="0" applyFill="1" applyBorder="1" applyProtection="1">
      <protection hidden="1"/>
    </xf>
    <xf numFmtId="0" fontId="0" fillId="2" borderId="0" xfId="0" applyFill="1" applyProtection="1">
      <protection hidden="1"/>
    </xf>
    <xf numFmtId="0" fontId="0" fillId="2" borderId="5" xfId="0" applyFill="1" applyBorder="1" applyProtection="1">
      <protection hidden="1"/>
    </xf>
    <xf numFmtId="0" fontId="0" fillId="2" borderId="6" xfId="0" applyFill="1" applyBorder="1" applyProtection="1">
      <protection hidden="1"/>
    </xf>
    <xf numFmtId="0" fontId="5" fillId="0" borderId="0" xfId="0" applyFont="1" applyAlignment="1" applyProtection="1">
      <alignment horizontal="center"/>
      <protection hidden="1"/>
    </xf>
    <xf numFmtId="0" fontId="20" fillId="0" borderId="17" xfId="0" applyFont="1" applyBorder="1" applyAlignment="1" applyProtection="1">
      <alignment horizontal="center" vertical="top"/>
      <protection locked="0"/>
    </xf>
    <xf numFmtId="0" fontId="20" fillId="0" borderId="18" xfId="0" applyFont="1" applyBorder="1" applyAlignment="1" applyProtection="1">
      <alignment horizontal="center" vertical="top"/>
      <protection locked="0"/>
    </xf>
    <xf numFmtId="0" fontId="20" fillId="0" borderId="19" xfId="0" applyFont="1" applyBorder="1" applyAlignment="1" applyProtection="1">
      <alignment horizontal="center" vertical="top"/>
      <protection locked="0"/>
    </xf>
    <xf numFmtId="0" fontId="18" fillId="0" borderId="20"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8" fillId="0" borderId="21" xfId="0" applyFont="1" applyBorder="1" applyAlignment="1" applyProtection="1">
      <alignment horizontal="center" vertical="center"/>
      <protection locked="0"/>
    </xf>
    <xf numFmtId="0" fontId="18" fillId="0" borderId="29" xfId="0" applyFont="1" applyBorder="1" applyAlignment="1" applyProtection="1">
      <alignment horizontal="center" vertical="center"/>
      <protection locked="0"/>
    </xf>
    <xf numFmtId="0" fontId="18" fillId="0" borderId="30" xfId="0" applyFont="1" applyBorder="1" applyAlignment="1" applyProtection="1">
      <alignment horizontal="center" vertical="center"/>
      <protection locked="0"/>
    </xf>
    <xf numFmtId="0" fontId="18" fillId="0" borderId="31" xfId="0" applyFont="1" applyBorder="1" applyAlignment="1" applyProtection="1">
      <alignment horizontal="center" vertical="center"/>
      <protection locked="0"/>
    </xf>
    <xf numFmtId="0" fontId="20" fillId="0" borderId="17" xfId="0" applyFont="1" applyBorder="1" applyAlignment="1" applyProtection="1">
      <alignment horizontal="center" vertical="top" wrapText="1"/>
      <protection locked="0"/>
    </xf>
    <xf numFmtId="0" fontId="20" fillId="0" borderId="18" xfId="0" applyFont="1" applyBorder="1" applyAlignment="1" applyProtection="1">
      <alignment horizontal="center" vertical="top" wrapText="1"/>
      <protection locked="0"/>
    </xf>
    <xf numFmtId="0" fontId="20" fillId="0" borderId="19" xfId="0" applyFont="1" applyBorder="1" applyAlignment="1" applyProtection="1">
      <alignment horizontal="center" vertical="top" wrapText="1"/>
      <protection locked="0"/>
    </xf>
    <xf numFmtId="0" fontId="3" fillId="0" borderId="22" xfId="0" applyFont="1" applyBorder="1" applyAlignment="1" applyProtection="1">
      <alignment horizontal="left" vertical="center"/>
      <protection locked="0"/>
    </xf>
    <xf numFmtId="1" fontId="3" fillId="0" borderId="26" xfId="0" applyNumberFormat="1" applyFont="1" applyBorder="1" applyAlignment="1" applyProtection="1">
      <alignment horizontal="left"/>
      <protection locked="0"/>
    </xf>
    <xf numFmtId="0" fontId="16" fillId="0" borderId="27" xfId="0" applyFont="1" applyBorder="1" applyAlignment="1" applyProtection="1">
      <alignment horizontal="center" vertical="center"/>
      <protection locked="0"/>
    </xf>
    <xf numFmtId="0" fontId="17" fillId="0" borderId="0" xfId="0" applyFont="1" applyAlignment="1" applyProtection="1">
      <alignment horizontal="center"/>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
      <protection locked="0"/>
    </xf>
    <xf numFmtId="49" fontId="3" fillId="0" borderId="22" xfId="0" applyNumberFormat="1"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0" fontId="8" fillId="0" borderId="0" xfId="0" applyFont="1" applyAlignment="1" applyProtection="1">
      <alignment horizontal="center" vertical="center" wrapText="1"/>
      <protection locked="0"/>
    </xf>
    <xf numFmtId="0" fontId="0" fillId="0" borderId="0" xfId="0" applyAlignment="1" applyProtection="1">
      <alignment horizontal="center" vertical="center"/>
      <protection locked="0"/>
    </xf>
    <xf numFmtId="14" fontId="3" fillId="0" borderId="22" xfId="0" applyNumberFormat="1" applyFont="1" applyBorder="1" applyAlignment="1" applyProtection="1">
      <alignment horizontal="center" vertical="center"/>
      <protection locked="0"/>
    </xf>
    <xf numFmtId="0" fontId="12" fillId="0" borderId="24" xfId="0" applyFont="1" applyBorder="1" applyAlignment="1" applyProtection="1">
      <alignment horizontal="center" vertical="center"/>
      <protection locked="0"/>
    </xf>
    <xf numFmtId="0" fontId="11" fillId="0" borderId="0" xfId="0" applyFont="1" applyAlignment="1" applyProtection="1">
      <alignment horizontal="center"/>
      <protection hidden="1"/>
    </xf>
    <xf numFmtId="1" fontId="25" fillId="0" borderId="22" xfId="0" applyNumberFormat="1" applyFont="1" applyBorder="1" applyAlignment="1" applyProtection="1">
      <alignment horizontal="left" vertical="center"/>
      <protection hidden="1"/>
    </xf>
    <xf numFmtId="0" fontId="26" fillId="0" borderId="0" xfId="0" applyFont="1" applyAlignment="1" applyProtection="1">
      <alignment horizontal="center" vertical="center" wrapText="1"/>
      <protection hidden="1"/>
    </xf>
    <xf numFmtId="0" fontId="28" fillId="5" borderId="28" xfId="1" applyFont="1" applyFill="1" applyBorder="1" applyAlignment="1" applyProtection="1">
      <alignment horizontal="center" vertical="center" wrapText="1"/>
      <protection hidden="1"/>
    </xf>
    <xf numFmtId="49" fontId="22" fillId="0" borderId="23" xfId="0" applyNumberFormat="1" applyFont="1" applyBorder="1" applyAlignment="1" applyProtection="1">
      <alignment horizontal="center" vertical="center" wrapText="1"/>
      <protection hidden="1"/>
    </xf>
    <xf numFmtId="49" fontId="22" fillId="0" borderId="24" xfId="0" applyNumberFormat="1" applyFont="1" applyBorder="1" applyAlignment="1" applyProtection="1">
      <alignment horizontal="center" vertical="center" wrapText="1"/>
      <protection hidden="1"/>
    </xf>
    <xf numFmtId="49" fontId="22" fillId="0" borderId="25" xfId="0" applyNumberFormat="1" applyFont="1" applyBorder="1" applyAlignment="1" applyProtection="1">
      <alignment horizontal="center" vertical="center" wrapText="1"/>
      <protection hidden="1"/>
    </xf>
    <xf numFmtId="0" fontId="23" fillId="0" borderId="35" xfId="0" applyFont="1" applyBorder="1" applyAlignment="1" applyProtection="1">
      <alignment horizontal="center" vertical="center"/>
      <protection hidden="1"/>
    </xf>
    <xf numFmtId="0" fontId="24" fillId="0" borderId="0" xfId="0" applyFont="1" applyAlignment="1" applyProtection="1">
      <alignment horizontal="left" vertical="center"/>
      <protection hidden="1"/>
    </xf>
    <xf numFmtId="0" fontId="13" fillId="0" borderId="36" xfId="0" applyFont="1" applyBorder="1" applyAlignment="1" applyProtection="1">
      <alignment horizontal="center" vertical="center"/>
      <protection hidden="1"/>
    </xf>
    <xf numFmtId="0" fontId="23" fillId="0" borderId="34" xfId="0" applyFont="1" applyBorder="1" applyAlignment="1" applyProtection="1">
      <alignment horizontal="center" vertical="center"/>
      <protection hidden="1"/>
    </xf>
    <xf numFmtId="0" fontId="37" fillId="0" borderId="28" xfId="0" applyFont="1" applyBorder="1" applyAlignment="1" applyProtection="1">
      <alignment horizontal="left" vertical="center" wrapText="1"/>
      <protection hidden="1"/>
    </xf>
    <xf numFmtId="0" fontId="36" fillId="0" borderId="28" xfId="0" applyFont="1" applyBorder="1" applyAlignment="1" applyProtection="1">
      <alignment horizontal="left" vertical="center" wrapText="1"/>
      <protection hidden="1"/>
    </xf>
    <xf numFmtId="0" fontId="37" fillId="0" borderId="23" xfId="0" applyFont="1" applyBorder="1" applyAlignment="1" applyProtection="1">
      <alignment horizontal="left" vertical="center" wrapText="1"/>
      <protection hidden="1"/>
    </xf>
    <xf numFmtId="0" fontId="37" fillId="0" borderId="24" xfId="0" applyFont="1" applyBorder="1" applyAlignment="1" applyProtection="1">
      <alignment horizontal="left" vertical="center" wrapText="1"/>
      <protection hidden="1"/>
    </xf>
    <xf numFmtId="0" fontId="37" fillId="0" borderId="25" xfId="0" applyFont="1" applyBorder="1" applyAlignment="1" applyProtection="1">
      <alignment horizontal="left" vertical="center" wrapText="1"/>
      <protection hidden="1"/>
    </xf>
    <xf numFmtId="0" fontId="38" fillId="0" borderId="28" xfId="0" applyFont="1" applyBorder="1" applyAlignment="1" applyProtection="1">
      <alignment horizontal="left" vertical="center" wrapText="1"/>
      <protection hidden="1"/>
    </xf>
    <xf numFmtId="0" fontId="23" fillId="0" borderId="0" xfId="0" applyFont="1" applyAlignment="1" applyProtection="1">
      <alignment horizontal="center" wrapText="1"/>
      <protection hidden="1"/>
    </xf>
    <xf numFmtId="0" fontId="20" fillId="0" borderId="0" xfId="0" applyFont="1" applyAlignment="1" applyProtection="1">
      <alignment horizontal="center" vertical="center"/>
      <protection hidden="1"/>
    </xf>
    <xf numFmtId="0" fontId="16" fillId="0" borderId="0" xfId="0" applyFont="1" applyAlignment="1" applyProtection="1">
      <alignment horizontal="center" vertical="center"/>
      <protection hidden="1"/>
    </xf>
    <xf numFmtId="0" fontId="35" fillId="5" borderId="28" xfId="0" applyFont="1" applyFill="1" applyBorder="1" applyAlignment="1" applyProtection="1">
      <alignment horizontal="center" vertical="center" wrapText="1"/>
      <protection hidden="1"/>
    </xf>
    <xf numFmtId="0" fontId="23" fillId="50" borderId="23" xfId="0" applyFont="1" applyFill="1" applyBorder="1" applyAlignment="1" applyProtection="1">
      <alignment horizontal="left" vertical="center" indent="1"/>
      <protection locked="0"/>
    </xf>
    <xf numFmtId="0" fontId="23" fillId="50" borderId="24" xfId="0" applyFont="1" applyFill="1" applyBorder="1" applyAlignment="1" applyProtection="1">
      <alignment horizontal="left" vertical="center" indent="1"/>
      <protection locked="0"/>
    </xf>
    <xf numFmtId="0" fontId="23" fillId="50" borderId="25" xfId="0" applyFont="1" applyFill="1" applyBorder="1" applyAlignment="1" applyProtection="1">
      <alignment horizontal="left" vertical="center" indent="1"/>
      <protection locked="0"/>
    </xf>
    <xf numFmtId="49" fontId="23" fillId="50" borderId="23" xfId="0" applyNumberFormat="1" applyFont="1" applyFill="1" applyBorder="1" applyAlignment="1" applyProtection="1">
      <alignment horizontal="left" vertical="center" indent="1"/>
      <protection locked="0"/>
    </xf>
    <xf numFmtId="49" fontId="23" fillId="50" borderId="24" xfId="0" applyNumberFormat="1" applyFont="1" applyFill="1" applyBorder="1" applyAlignment="1" applyProtection="1">
      <alignment horizontal="left" vertical="center" indent="1"/>
      <protection locked="0"/>
    </xf>
    <xf numFmtId="49" fontId="23" fillId="50" borderId="25" xfId="0" applyNumberFormat="1" applyFont="1" applyFill="1" applyBorder="1" applyAlignment="1" applyProtection="1">
      <alignment horizontal="left" vertical="center" indent="1"/>
      <protection locked="0"/>
    </xf>
    <xf numFmtId="0" fontId="20" fillId="0" borderId="18" xfId="0" applyFont="1" applyBorder="1" applyAlignment="1" applyProtection="1">
      <alignment horizontal="center" vertical="center"/>
      <protection hidden="1"/>
    </xf>
    <xf numFmtId="0" fontId="20" fillId="8" borderId="23" xfId="0" applyFont="1" applyFill="1" applyBorder="1" applyAlignment="1" applyProtection="1">
      <alignment horizontal="center" vertical="center"/>
      <protection hidden="1"/>
    </xf>
    <xf numFmtId="0" fontId="20" fillId="8" borderId="24" xfId="0" applyFont="1" applyFill="1" applyBorder="1" applyAlignment="1" applyProtection="1">
      <alignment horizontal="center" vertical="center"/>
      <protection hidden="1"/>
    </xf>
    <xf numFmtId="0" fontId="20" fillId="8" borderId="25" xfId="0" applyFont="1" applyFill="1" applyBorder="1" applyAlignment="1" applyProtection="1">
      <alignment horizontal="center" vertical="center"/>
      <protection hidden="1"/>
    </xf>
    <xf numFmtId="0" fontId="23" fillId="50" borderId="29" xfId="0" applyFont="1" applyFill="1" applyBorder="1" applyAlignment="1" applyProtection="1">
      <alignment horizontal="center" vertical="center"/>
      <protection locked="0"/>
    </xf>
    <xf numFmtId="0" fontId="23" fillId="50" borderId="30" xfId="0" applyFont="1" applyFill="1" applyBorder="1" applyAlignment="1" applyProtection="1">
      <alignment horizontal="center" vertical="center"/>
      <protection locked="0"/>
    </xf>
    <xf numFmtId="0" fontId="23" fillId="50" borderId="31" xfId="0" applyFont="1" applyFill="1" applyBorder="1" applyAlignment="1" applyProtection="1">
      <alignment horizontal="center" vertical="center"/>
      <protection locked="0"/>
    </xf>
    <xf numFmtId="14" fontId="23" fillId="50" borderId="29" xfId="0" applyNumberFormat="1" applyFont="1" applyFill="1" applyBorder="1" applyAlignment="1" applyProtection="1">
      <alignment horizontal="center" vertical="center"/>
      <protection locked="0"/>
    </xf>
    <xf numFmtId="0" fontId="20" fillId="0" borderId="19" xfId="0" applyFont="1" applyBorder="1" applyAlignment="1" applyProtection="1">
      <alignment horizontal="center" vertical="center"/>
      <protection hidden="1"/>
    </xf>
    <xf numFmtId="0" fontId="20" fillId="0" borderId="21" xfId="0" applyFont="1" applyBorder="1" applyAlignment="1" applyProtection="1">
      <alignment horizontal="center" vertical="center"/>
      <protection hidden="1"/>
    </xf>
    <xf numFmtId="0" fontId="20" fillId="50" borderId="107" xfId="0" applyFont="1" applyFill="1" applyBorder="1" applyAlignment="1" applyProtection="1">
      <alignment horizontal="center" vertical="center"/>
      <protection locked="0"/>
    </xf>
    <xf numFmtId="0" fontId="20" fillId="50" borderId="108" xfId="0" applyFont="1" applyFill="1" applyBorder="1" applyAlignment="1" applyProtection="1">
      <alignment horizontal="center" vertical="center"/>
      <protection locked="0"/>
    </xf>
    <xf numFmtId="0" fontId="20" fillId="50" borderId="109" xfId="0" applyFont="1" applyFill="1" applyBorder="1" applyAlignment="1" applyProtection="1">
      <alignment horizontal="center" vertical="center"/>
      <protection locked="0"/>
    </xf>
    <xf numFmtId="0" fontId="20" fillId="0" borderId="0" xfId="0" applyFont="1" applyAlignment="1" applyProtection="1">
      <alignment horizontal="center" vertical="center" wrapText="1"/>
      <protection hidden="1"/>
    </xf>
    <xf numFmtId="0" fontId="20" fillId="0" borderId="21" xfId="0" applyFont="1" applyBorder="1" applyAlignment="1" applyProtection="1">
      <alignment horizontal="center" vertical="center" wrapText="1"/>
      <protection hidden="1"/>
    </xf>
    <xf numFmtId="0" fontId="40" fillId="8" borderId="23" xfId="0" applyFont="1" applyFill="1" applyBorder="1" applyAlignment="1" applyProtection="1">
      <alignment horizontal="center" vertical="center"/>
      <protection hidden="1"/>
    </xf>
    <xf numFmtId="0" fontId="40" fillId="8" borderId="24" xfId="0" applyFont="1" applyFill="1" applyBorder="1" applyAlignment="1" applyProtection="1">
      <alignment horizontal="center" vertical="center"/>
      <protection hidden="1"/>
    </xf>
    <xf numFmtId="0" fontId="40" fillId="8" borderId="25" xfId="0" applyFont="1" applyFill="1" applyBorder="1" applyAlignment="1" applyProtection="1">
      <alignment horizontal="center" vertical="center"/>
      <protection hidden="1"/>
    </xf>
    <xf numFmtId="0" fontId="23" fillId="0" borderId="29" xfId="0" applyFont="1" applyBorder="1" applyAlignment="1" applyProtection="1">
      <alignment horizontal="center" vertical="center"/>
      <protection hidden="1"/>
    </xf>
    <xf numFmtId="0" fontId="23" fillId="0" borderId="30" xfId="0" applyFont="1" applyBorder="1" applyAlignment="1" applyProtection="1">
      <alignment horizontal="center" vertical="center"/>
      <protection hidden="1"/>
    </xf>
    <xf numFmtId="0" fontId="23" fillId="0" borderId="31" xfId="0" applyFont="1" applyBorder="1" applyAlignment="1" applyProtection="1">
      <alignment horizontal="center" vertical="center"/>
      <protection hidden="1"/>
    </xf>
    <xf numFmtId="10" fontId="23" fillId="50" borderId="29" xfId="0" applyNumberFormat="1" applyFont="1" applyFill="1" applyBorder="1" applyAlignment="1" applyProtection="1">
      <alignment horizontal="center" vertical="center"/>
      <protection locked="0"/>
    </xf>
    <xf numFmtId="0" fontId="20" fillId="0" borderId="0" xfId="0" applyFont="1" applyAlignment="1" applyProtection="1">
      <alignment horizontal="center" vertical="top"/>
      <protection hidden="1"/>
    </xf>
    <xf numFmtId="0" fontId="20" fillId="0" borderId="21" xfId="0" applyFont="1" applyBorder="1" applyAlignment="1" applyProtection="1">
      <alignment horizontal="center" vertical="top"/>
      <protection hidden="1"/>
    </xf>
    <xf numFmtId="0" fontId="13" fillId="0" borderId="0" xfId="0" applyFont="1" applyAlignment="1" applyProtection="1">
      <alignment horizontal="center" vertical="top"/>
      <protection hidden="1"/>
    </xf>
    <xf numFmtId="0" fontId="13" fillId="0" borderId="21" xfId="0" applyFont="1" applyBorder="1" applyAlignment="1" applyProtection="1">
      <alignment horizontal="center" vertical="top"/>
      <protection hidden="1"/>
    </xf>
    <xf numFmtId="0" fontId="129" fillId="50" borderId="29" xfId="2" applyFont="1" applyFill="1" applyBorder="1" applyAlignment="1" applyProtection="1">
      <alignment horizontal="center" vertical="center"/>
      <protection locked="0"/>
    </xf>
    <xf numFmtId="0" fontId="129" fillId="50" borderId="30" xfId="2" applyFont="1" applyFill="1" applyBorder="1" applyAlignment="1" applyProtection="1">
      <alignment horizontal="center" vertical="center"/>
      <protection locked="0"/>
    </xf>
    <xf numFmtId="0" fontId="129" fillId="50" borderId="31" xfId="2" applyFont="1" applyFill="1" applyBorder="1" applyAlignment="1" applyProtection="1">
      <alignment horizontal="center" vertical="center"/>
      <protection locked="0"/>
    </xf>
    <xf numFmtId="0" fontId="57" fillId="0" borderId="29" xfId="2" applyNumberFormat="1" applyFont="1" applyBorder="1" applyAlignment="1" applyProtection="1">
      <alignment horizontal="center" vertical="center"/>
      <protection hidden="1"/>
    </xf>
    <xf numFmtId="0" fontId="33" fillId="0" borderId="30" xfId="0" applyFont="1" applyBorder="1" applyAlignment="1" applyProtection="1">
      <alignment horizontal="center" vertical="center"/>
      <protection hidden="1"/>
    </xf>
    <xf numFmtId="0" fontId="33" fillId="0" borderId="31" xfId="0" applyFont="1" applyBorder="1" applyAlignment="1" applyProtection="1">
      <alignment horizontal="center" vertical="center"/>
      <protection hidden="1"/>
    </xf>
    <xf numFmtId="3" fontId="23" fillId="0" borderId="29" xfId="0" applyNumberFormat="1" applyFont="1" applyBorder="1" applyAlignment="1" applyProtection="1">
      <alignment horizontal="center" vertical="center"/>
      <protection hidden="1"/>
    </xf>
    <xf numFmtId="3" fontId="23" fillId="0" borderId="31" xfId="0" applyNumberFormat="1" applyFont="1" applyBorder="1" applyAlignment="1" applyProtection="1">
      <alignment horizontal="center" vertical="center"/>
      <protection hidden="1"/>
    </xf>
    <xf numFmtId="0" fontId="49" fillId="0" borderId="0" xfId="0" applyFont="1" applyAlignment="1" applyProtection="1">
      <alignment horizontal="left" vertical="top" wrapText="1"/>
      <protection hidden="1"/>
    </xf>
    <xf numFmtId="0" fontId="23" fillId="0" borderId="26" xfId="0" applyFont="1" applyBorder="1" applyAlignment="1" applyProtection="1">
      <alignment horizontal="left"/>
      <protection hidden="1"/>
    </xf>
    <xf numFmtId="14" fontId="23" fillId="0" borderId="22" xfId="0" applyNumberFormat="1" applyFont="1" applyBorder="1" applyAlignment="1" applyProtection="1">
      <alignment horizontal="center"/>
      <protection hidden="1"/>
    </xf>
    <xf numFmtId="0" fontId="23" fillId="0" borderId="26" xfId="0" applyFont="1" applyBorder="1" applyAlignment="1" applyProtection="1">
      <alignment horizontal="center"/>
      <protection hidden="1"/>
    </xf>
    <xf numFmtId="49" fontId="20" fillId="0" borderId="23" xfId="0" applyNumberFormat="1" applyFont="1" applyBorder="1" applyAlignment="1" applyProtection="1">
      <alignment horizontal="center" vertical="center" wrapText="1"/>
      <protection hidden="1"/>
    </xf>
    <xf numFmtId="49" fontId="20" fillId="0" borderId="24" xfId="0" applyNumberFormat="1" applyFont="1" applyBorder="1" applyAlignment="1" applyProtection="1">
      <alignment horizontal="center" vertical="center" wrapText="1"/>
      <protection hidden="1"/>
    </xf>
    <xf numFmtId="49" fontId="20" fillId="0" borderId="25" xfId="0" applyNumberFormat="1" applyFont="1" applyBorder="1" applyAlignment="1" applyProtection="1">
      <alignment horizontal="center" vertical="center" wrapText="1"/>
      <protection hidden="1"/>
    </xf>
    <xf numFmtId="0" fontId="23" fillId="0" borderId="22" xfId="0" applyFont="1" applyBorder="1" applyAlignment="1" applyProtection="1">
      <alignment horizontal="left"/>
      <protection hidden="1"/>
    </xf>
    <xf numFmtId="1" fontId="23" fillId="0" borderId="26" xfId="0" applyNumberFormat="1" applyFont="1" applyBorder="1" applyAlignment="1" applyProtection="1">
      <alignment horizontal="left"/>
      <protection hidden="1"/>
    </xf>
    <xf numFmtId="14" fontId="23" fillId="0" borderId="39" xfId="0" applyNumberFormat="1" applyFont="1" applyBorder="1" applyAlignment="1" applyProtection="1">
      <alignment horizontal="center" vertical="center"/>
      <protection hidden="1"/>
    </xf>
    <xf numFmtId="14" fontId="23" fillId="0" borderId="40" xfId="0" applyNumberFormat="1" applyFont="1" applyBorder="1" applyAlignment="1" applyProtection="1">
      <alignment horizontal="center" vertical="center"/>
      <protection hidden="1"/>
    </xf>
    <xf numFmtId="14" fontId="23" fillId="0" borderId="29" xfId="0" applyNumberFormat="1" applyFont="1" applyBorder="1" applyAlignment="1" applyProtection="1">
      <alignment horizontal="center" vertical="center"/>
      <protection hidden="1"/>
    </xf>
    <xf numFmtId="14" fontId="23" fillId="0" borderId="31" xfId="0" applyNumberFormat="1" applyFont="1" applyBorder="1" applyAlignment="1" applyProtection="1">
      <alignment horizontal="center" vertical="center"/>
      <protection hidden="1"/>
    </xf>
    <xf numFmtId="0" fontId="40" fillId="7" borderId="41" xfId="0" applyFont="1" applyFill="1" applyBorder="1" applyAlignment="1" applyProtection="1">
      <alignment horizontal="center" vertical="center"/>
      <protection hidden="1"/>
    </xf>
    <xf numFmtId="0" fontId="40" fillId="7" borderId="42" xfId="0" applyFont="1" applyFill="1" applyBorder="1" applyAlignment="1" applyProtection="1">
      <alignment horizontal="center" vertical="center"/>
      <protection hidden="1"/>
    </xf>
    <xf numFmtId="0" fontId="43" fillId="0" borderId="0" xfId="1" applyFont="1" applyAlignment="1" applyProtection="1">
      <alignment horizontal="left"/>
      <protection hidden="1"/>
    </xf>
    <xf numFmtId="0" fontId="44" fillId="50" borderId="23" xfId="1" applyFont="1" applyFill="1" applyBorder="1" applyAlignment="1" applyProtection="1">
      <alignment horizontal="left" vertical="center"/>
      <protection locked="0"/>
    </xf>
    <xf numFmtId="0" fontId="44" fillId="50" borderId="24" xfId="1" applyFont="1" applyFill="1" applyBorder="1" applyAlignment="1" applyProtection="1">
      <alignment horizontal="left" vertical="center"/>
      <protection locked="0"/>
    </xf>
    <xf numFmtId="0" fontId="44" fillId="50" borderId="25" xfId="1" applyFont="1" applyFill="1" applyBorder="1" applyAlignment="1" applyProtection="1">
      <alignment horizontal="left" vertical="center"/>
      <protection locked="0"/>
    </xf>
    <xf numFmtId="0" fontId="43" fillId="50" borderId="23" xfId="1" applyFont="1" applyFill="1" applyBorder="1" applyAlignment="1" applyProtection="1">
      <alignment horizontal="left" vertical="center"/>
      <protection locked="0"/>
    </xf>
    <xf numFmtId="0" fontId="43" fillId="50" borderId="24" xfId="1" applyFont="1" applyFill="1" applyBorder="1" applyAlignment="1" applyProtection="1">
      <alignment horizontal="left" vertical="center"/>
      <protection locked="0"/>
    </xf>
    <xf numFmtId="0" fontId="43" fillId="50" borderId="25" xfId="1" applyFont="1" applyFill="1" applyBorder="1" applyAlignment="1" applyProtection="1">
      <alignment horizontal="left" vertical="center"/>
      <protection locked="0"/>
    </xf>
    <xf numFmtId="3" fontId="44" fillId="50" borderId="17" xfId="1" applyNumberFormat="1" applyFont="1" applyFill="1" applyBorder="1" applyAlignment="1" applyProtection="1">
      <alignment horizontal="center" vertical="center"/>
      <protection locked="0"/>
    </xf>
    <xf numFmtId="3" fontId="44" fillId="50" borderId="18" xfId="1" applyNumberFormat="1" applyFont="1" applyFill="1" applyBorder="1" applyAlignment="1" applyProtection="1">
      <alignment horizontal="center" vertical="center"/>
      <protection locked="0"/>
    </xf>
    <xf numFmtId="3" fontId="44" fillId="50" borderId="19" xfId="1" applyNumberFormat="1" applyFont="1" applyFill="1" applyBorder="1" applyAlignment="1" applyProtection="1">
      <alignment horizontal="center" vertical="center"/>
      <protection locked="0"/>
    </xf>
    <xf numFmtId="10" fontId="44" fillId="0" borderId="17" xfId="1" applyNumberFormat="1" applyFont="1" applyBorder="1" applyAlignment="1" applyProtection="1">
      <alignment horizontal="center" vertical="center"/>
      <protection hidden="1"/>
    </xf>
    <xf numFmtId="10" fontId="44" fillId="0" borderId="18" xfId="1" applyNumberFormat="1" applyFont="1" applyBorder="1" applyAlignment="1" applyProtection="1">
      <alignment horizontal="center" vertical="center"/>
      <protection hidden="1"/>
    </xf>
    <xf numFmtId="10" fontId="44" fillId="0" borderId="19" xfId="1" applyNumberFormat="1" applyFont="1" applyBorder="1" applyAlignment="1" applyProtection="1">
      <alignment horizontal="center" vertical="center"/>
      <protection hidden="1"/>
    </xf>
    <xf numFmtId="0" fontId="43" fillId="0" borderId="23" xfId="1" applyFont="1" applyBorder="1" applyAlignment="1" applyProtection="1">
      <alignment horizontal="left" vertical="center"/>
      <protection hidden="1"/>
    </xf>
    <xf numFmtId="0" fontId="43" fillId="0" borderId="24" xfId="1" applyFont="1" applyBorder="1" applyAlignment="1" applyProtection="1">
      <alignment horizontal="left" vertical="center"/>
      <protection hidden="1"/>
    </xf>
    <xf numFmtId="0" fontId="43" fillId="0" borderId="25" xfId="1" applyFont="1" applyBorder="1" applyAlignment="1" applyProtection="1">
      <alignment horizontal="left" vertical="center"/>
      <protection hidden="1"/>
    </xf>
    <xf numFmtId="3" fontId="44" fillId="0" borderId="17" xfId="1" applyNumberFormat="1" applyFont="1" applyBorder="1" applyAlignment="1" applyProtection="1">
      <alignment horizontal="center" vertical="center"/>
      <protection hidden="1"/>
    </xf>
    <xf numFmtId="3" fontId="44" fillId="0" borderId="18" xfId="1" applyNumberFormat="1" applyFont="1" applyBorder="1" applyAlignment="1" applyProtection="1">
      <alignment horizontal="center" vertical="center"/>
      <protection hidden="1"/>
    </xf>
    <xf numFmtId="3" fontId="44" fillId="0" borderId="19" xfId="1" applyNumberFormat="1" applyFont="1" applyBorder="1" applyAlignment="1" applyProtection="1">
      <alignment horizontal="center" vertical="center"/>
      <protection hidden="1"/>
    </xf>
    <xf numFmtId="3" fontId="44" fillId="0" borderId="29" xfId="1" applyNumberFormat="1" applyFont="1" applyBorder="1" applyAlignment="1" applyProtection="1">
      <alignment horizontal="center" vertical="center"/>
      <protection hidden="1"/>
    </xf>
    <xf numFmtId="3" fontId="44" fillId="0" borderId="30" xfId="1" applyNumberFormat="1" applyFont="1" applyBorder="1" applyAlignment="1" applyProtection="1">
      <alignment horizontal="center" vertical="center"/>
      <protection hidden="1"/>
    </xf>
    <xf numFmtId="3" fontId="44" fillId="0" borderId="31" xfId="1" applyNumberFormat="1" applyFont="1" applyBorder="1" applyAlignment="1" applyProtection="1">
      <alignment horizontal="center" vertical="center"/>
      <protection hidden="1"/>
    </xf>
    <xf numFmtId="10" fontId="44" fillId="0" borderId="29" xfId="1" applyNumberFormat="1" applyFont="1" applyBorder="1" applyAlignment="1" applyProtection="1">
      <alignment horizontal="center" vertical="center"/>
      <protection hidden="1"/>
    </xf>
    <xf numFmtId="10" fontId="44" fillId="0" borderId="30" xfId="1" applyNumberFormat="1" applyFont="1" applyBorder="1" applyAlignment="1" applyProtection="1">
      <alignment horizontal="center" vertical="center"/>
      <protection hidden="1"/>
    </xf>
    <xf numFmtId="10" fontId="44" fillId="0" borderId="31" xfId="1" applyNumberFormat="1" applyFont="1" applyBorder="1" applyAlignment="1" applyProtection="1">
      <alignment horizontal="center" vertical="center"/>
      <protection hidden="1"/>
    </xf>
    <xf numFmtId="0" fontId="46" fillId="8" borderId="17" xfId="1" applyFont="1" applyFill="1" applyBorder="1" applyAlignment="1" applyProtection="1">
      <alignment horizontal="center" vertical="center"/>
      <protection hidden="1"/>
    </xf>
    <xf numFmtId="0" fontId="46" fillId="8" borderId="18" xfId="1" applyFont="1" applyFill="1" applyBorder="1" applyAlignment="1" applyProtection="1">
      <alignment horizontal="center" vertical="center"/>
      <protection hidden="1"/>
    </xf>
    <xf numFmtId="0" fontId="46" fillId="8" borderId="19" xfId="1" applyFont="1" applyFill="1" applyBorder="1" applyAlignment="1" applyProtection="1">
      <alignment horizontal="center" vertical="center"/>
      <protection hidden="1"/>
    </xf>
    <xf numFmtId="0" fontId="33" fillId="0" borderId="18" xfId="1" applyFont="1" applyBorder="1" applyAlignment="1" applyProtection="1">
      <alignment horizontal="right" vertical="center"/>
      <protection hidden="1"/>
    </xf>
    <xf numFmtId="0" fontId="33" fillId="0" borderId="30" xfId="1" applyFont="1" applyBorder="1" applyAlignment="1" applyProtection="1">
      <alignment horizontal="right" vertical="center"/>
      <protection hidden="1"/>
    </xf>
    <xf numFmtId="0" fontId="31" fillId="0" borderId="33" xfId="1" applyFont="1" applyBorder="1" applyAlignment="1" applyProtection="1">
      <alignment horizontal="center" vertical="center"/>
      <protection hidden="1"/>
    </xf>
    <xf numFmtId="0" fontId="31" fillId="0" borderId="32" xfId="1" applyFont="1" applyBorder="1" applyAlignment="1" applyProtection="1">
      <alignment horizontal="center" vertical="center"/>
      <protection hidden="1"/>
    </xf>
    <xf numFmtId="0" fontId="31" fillId="0" borderId="37" xfId="1" applyFont="1" applyBorder="1" applyAlignment="1" applyProtection="1">
      <alignment horizontal="center" vertical="center"/>
      <protection hidden="1"/>
    </xf>
    <xf numFmtId="0" fontId="31" fillId="0" borderId="17" xfId="1" applyFont="1" applyBorder="1" applyAlignment="1" applyProtection="1">
      <alignment horizontal="center" vertical="center" wrapText="1"/>
      <protection hidden="1"/>
    </xf>
    <xf numFmtId="0" fontId="31" fillId="0" borderId="18" xfId="1" applyFont="1" applyBorder="1" applyAlignment="1" applyProtection="1">
      <alignment horizontal="center" vertical="center"/>
      <protection hidden="1"/>
    </xf>
    <xf numFmtId="0" fontId="31" fillId="0" borderId="19" xfId="1" applyFont="1" applyBorder="1" applyAlignment="1" applyProtection="1">
      <alignment horizontal="center" vertical="center"/>
      <protection hidden="1"/>
    </xf>
    <xf numFmtId="0" fontId="31" fillId="0" borderId="20" xfId="1" applyFont="1" applyBorder="1" applyAlignment="1" applyProtection="1">
      <alignment horizontal="center" vertical="center"/>
      <protection hidden="1"/>
    </xf>
    <xf numFmtId="0" fontId="31" fillId="0" borderId="0" xfId="1" applyFont="1" applyAlignment="1" applyProtection="1">
      <alignment horizontal="center" vertical="center"/>
      <protection hidden="1"/>
    </xf>
    <xf numFmtId="0" fontId="31" fillId="0" borderId="21" xfId="1" applyFont="1" applyBorder="1" applyAlignment="1" applyProtection="1">
      <alignment horizontal="center" vertical="center"/>
      <protection hidden="1"/>
    </xf>
    <xf numFmtId="0" fontId="31" fillId="0" borderId="29" xfId="1" applyFont="1" applyBorder="1" applyAlignment="1" applyProtection="1">
      <alignment horizontal="center" vertical="center"/>
      <protection hidden="1"/>
    </xf>
    <xf numFmtId="0" fontId="31" fillId="0" borderId="30" xfId="1" applyFont="1" applyBorder="1" applyAlignment="1" applyProtection="1">
      <alignment horizontal="center" vertical="center"/>
      <protection hidden="1"/>
    </xf>
    <xf numFmtId="0" fontId="31" fillId="0" borderId="31" xfId="1" applyFont="1" applyBorder="1" applyAlignment="1" applyProtection="1">
      <alignment horizontal="center" vertical="center"/>
      <protection hidden="1"/>
    </xf>
    <xf numFmtId="0" fontId="31" fillId="50" borderId="33" xfId="1" applyFont="1" applyFill="1" applyBorder="1" applyAlignment="1" applyProtection="1">
      <alignment horizontal="center" vertical="center" wrapText="1"/>
      <protection locked="0"/>
    </xf>
    <xf numFmtId="0" fontId="31" fillId="50" borderId="32" xfId="1" applyFont="1" applyFill="1" applyBorder="1" applyAlignment="1" applyProtection="1">
      <alignment horizontal="center" vertical="center" wrapText="1"/>
      <protection locked="0"/>
    </xf>
    <xf numFmtId="0" fontId="31" fillId="50" borderId="37" xfId="1" applyFont="1" applyFill="1" applyBorder="1" applyAlignment="1" applyProtection="1">
      <alignment horizontal="center" vertical="center" wrapText="1"/>
      <protection locked="0"/>
    </xf>
    <xf numFmtId="0" fontId="31" fillId="0" borderId="19" xfId="1" applyFont="1" applyBorder="1" applyAlignment="1" applyProtection="1">
      <alignment horizontal="center" vertical="center" wrapText="1"/>
      <protection hidden="1"/>
    </xf>
    <xf numFmtId="0" fontId="31" fillId="0" borderId="33" xfId="1" applyFont="1" applyBorder="1" applyAlignment="1" applyProtection="1">
      <alignment horizontal="center" vertical="center" wrapText="1"/>
      <protection hidden="1"/>
    </xf>
    <xf numFmtId="0" fontId="31" fillId="0" borderId="21" xfId="1" applyFont="1" applyBorder="1" applyAlignment="1" applyProtection="1">
      <alignment horizontal="center" vertical="center" wrapText="1"/>
      <protection hidden="1"/>
    </xf>
    <xf numFmtId="0" fontId="31" fillId="0" borderId="32" xfId="1" applyFont="1" applyBorder="1" applyAlignment="1" applyProtection="1">
      <alignment horizontal="center" vertical="center" wrapText="1"/>
      <protection hidden="1"/>
    </xf>
    <xf numFmtId="0" fontId="31" fillId="0" borderId="31" xfId="1" applyFont="1" applyBorder="1" applyAlignment="1" applyProtection="1">
      <alignment horizontal="center" vertical="center" wrapText="1"/>
      <protection hidden="1"/>
    </xf>
    <xf numFmtId="0" fontId="31" fillId="0" borderId="37" xfId="1" applyFont="1" applyBorder="1" applyAlignment="1" applyProtection="1">
      <alignment horizontal="center" vertical="center" wrapText="1"/>
      <protection hidden="1"/>
    </xf>
    <xf numFmtId="0" fontId="28" fillId="0" borderId="0" xfId="1" applyFont="1" applyAlignment="1" applyProtection="1">
      <alignment horizontal="center"/>
      <protection hidden="1"/>
    </xf>
    <xf numFmtId="2" fontId="44" fillId="8" borderId="23" xfId="1" applyNumberFormat="1" applyFont="1" applyFill="1" applyBorder="1" applyAlignment="1" applyProtection="1">
      <alignment horizontal="center" vertical="center"/>
      <protection hidden="1"/>
    </xf>
    <xf numFmtId="2" fontId="44" fillId="8" borderId="25" xfId="1" applyNumberFormat="1" applyFont="1" applyFill="1" applyBorder="1" applyAlignment="1" applyProtection="1">
      <alignment horizontal="center" vertical="center"/>
      <protection hidden="1"/>
    </xf>
    <xf numFmtId="1" fontId="33" fillId="0" borderId="29" xfId="1" applyNumberFormat="1" applyFont="1" applyBorder="1" applyAlignment="1" applyProtection="1">
      <alignment horizontal="center" vertical="center"/>
      <protection hidden="1"/>
    </xf>
    <xf numFmtId="1" fontId="33" fillId="0" borderId="31" xfId="1" applyNumberFormat="1" applyFont="1" applyBorder="1" applyAlignment="1" applyProtection="1">
      <alignment horizontal="center" vertical="center"/>
      <protection hidden="1"/>
    </xf>
    <xf numFmtId="1" fontId="33" fillId="50" borderId="29" xfId="1" applyNumberFormat="1" applyFont="1" applyFill="1" applyBorder="1" applyAlignment="1" applyProtection="1">
      <alignment horizontal="center" vertical="center"/>
      <protection locked="0"/>
    </xf>
    <xf numFmtId="1" fontId="33" fillId="50" borderId="31" xfId="1" applyNumberFormat="1" applyFont="1" applyFill="1" applyBorder="1" applyAlignment="1" applyProtection="1">
      <alignment horizontal="center" vertical="center"/>
      <protection locked="0"/>
    </xf>
    <xf numFmtId="1" fontId="33" fillId="0" borderId="30" xfId="1" applyNumberFormat="1" applyFont="1" applyBorder="1" applyAlignment="1" applyProtection="1">
      <alignment horizontal="center" vertical="center"/>
      <protection hidden="1"/>
    </xf>
    <xf numFmtId="2" fontId="31" fillId="0" borderId="23" xfId="1" applyNumberFormat="1" applyFont="1" applyBorder="1" applyAlignment="1" applyProtection="1">
      <alignment horizontal="center" vertical="center"/>
      <protection hidden="1"/>
    </xf>
    <xf numFmtId="2" fontId="31" fillId="0" borderId="24" xfId="1" applyNumberFormat="1" applyFont="1" applyBorder="1" applyAlignment="1" applyProtection="1">
      <alignment horizontal="center" vertical="center"/>
      <protection hidden="1"/>
    </xf>
    <xf numFmtId="2" fontId="31" fillId="0" borderId="25" xfId="1" applyNumberFormat="1" applyFont="1" applyBorder="1" applyAlignment="1" applyProtection="1">
      <alignment horizontal="center" vertical="center"/>
      <protection hidden="1"/>
    </xf>
    <xf numFmtId="0" fontId="33" fillId="0" borderId="22" xfId="1" applyFont="1" applyBorder="1" applyAlignment="1" applyProtection="1">
      <alignment horizontal="left"/>
      <protection hidden="1"/>
    </xf>
    <xf numFmtId="0" fontId="33" fillId="0" borderId="34" xfId="1" applyFont="1" applyBorder="1" applyAlignment="1" applyProtection="1">
      <alignment horizontal="left"/>
      <protection hidden="1"/>
    </xf>
    <xf numFmtId="0" fontId="33" fillId="0" borderId="26" xfId="1" applyFont="1" applyBorder="1" applyAlignment="1" applyProtection="1">
      <alignment horizontal="center"/>
      <protection hidden="1"/>
    </xf>
    <xf numFmtId="0" fontId="34" fillId="0" borderId="0" xfId="0" applyFont="1" applyAlignment="1" applyProtection="1">
      <alignment horizontal="left" vertical="top" wrapText="1"/>
      <protection hidden="1"/>
    </xf>
    <xf numFmtId="2" fontId="31" fillId="0" borderId="0" xfId="1" applyNumberFormat="1" applyFont="1" applyAlignment="1" applyProtection="1">
      <alignment horizontal="center"/>
      <protection hidden="1"/>
    </xf>
    <xf numFmtId="14" fontId="23" fillId="0" borderId="34" xfId="0" applyNumberFormat="1" applyFont="1" applyBorder="1" applyAlignment="1" applyProtection="1">
      <alignment horizontal="center"/>
      <protection hidden="1"/>
    </xf>
    <xf numFmtId="1" fontId="33" fillId="0" borderId="43" xfId="1" applyNumberFormat="1" applyFont="1" applyBorder="1" applyAlignment="1" applyProtection="1">
      <alignment horizontal="center"/>
      <protection hidden="1"/>
    </xf>
    <xf numFmtId="0" fontId="0" fillId="50" borderId="174" xfId="0" applyFill="1" applyBorder="1" applyAlignment="1" applyProtection="1">
      <alignment horizontal="center"/>
      <protection locked="0"/>
    </xf>
    <xf numFmtId="2" fontId="26" fillId="0" borderId="0" xfId="1" applyNumberFormat="1" applyFont="1" applyAlignment="1" applyProtection="1">
      <alignment horizontal="center" vertical="center"/>
      <protection hidden="1"/>
    </xf>
    <xf numFmtId="0" fontId="31" fillId="0" borderId="23" xfId="1" applyFont="1" applyBorder="1" applyAlignment="1" applyProtection="1">
      <alignment horizontal="center" vertical="center" wrapText="1"/>
      <protection hidden="1"/>
    </xf>
    <xf numFmtId="0" fontId="31" fillId="0" borderId="24" xfId="1" applyFont="1" applyBorder="1" applyAlignment="1" applyProtection="1">
      <alignment horizontal="center" vertical="center" wrapText="1"/>
      <protection hidden="1"/>
    </xf>
    <xf numFmtId="0" fontId="31" fillId="0" borderId="25" xfId="1" applyFont="1" applyBorder="1" applyAlignment="1" applyProtection="1">
      <alignment horizontal="center" vertical="center" wrapText="1"/>
      <protection hidden="1"/>
    </xf>
    <xf numFmtId="0" fontId="34" fillId="0" borderId="17" xfId="0" applyFont="1" applyBorder="1" applyAlignment="1" applyProtection="1">
      <alignment horizontal="center"/>
      <protection hidden="1"/>
    </xf>
    <xf numFmtId="0" fontId="34" fillId="0" borderId="18" xfId="0" applyFont="1" applyBorder="1" applyAlignment="1" applyProtection="1">
      <alignment horizontal="center"/>
      <protection hidden="1"/>
    </xf>
    <xf numFmtId="0" fontId="34" fillId="0" borderId="19" xfId="0" applyFont="1" applyBorder="1" applyAlignment="1" applyProtection="1">
      <alignment horizontal="center"/>
      <protection hidden="1"/>
    </xf>
    <xf numFmtId="0" fontId="33" fillId="50" borderId="46" xfId="0" applyFont="1" applyFill="1" applyBorder="1" applyAlignment="1" applyProtection="1">
      <alignment horizontal="left" vertical="center" wrapText="1" indent="1"/>
      <protection locked="0"/>
    </xf>
    <xf numFmtId="0" fontId="33" fillId="50" borderId="47" xfId="0" applyFont="1" applyFill="1" applyBorder="1" applyAlignment="1" applyProtection="1">
      <alignment horizontal="left" vertical="center" wrapText="1" indent="1"/>
      <protection locked="0"/>
    </xf>
    <xf numFmtId="0" fontId="31" fillId="50" borderId="46" xfId="0" applyFont="1" applyFill="1" applyBorder="1" applyAlignment="1" applyProtection="1">
      <alignment horizontal="left" vertical="center" wrapText="1"/>
      <protection locked="0"/>
    </xf>
    <xf numFmtId="0" fontId="31" fillId="50" borderId="47" xfId="0" applyFont="1" applyFill="1" applyBorder="1" applyAlignment="1" applyProtection="1">
      <alignment horizontal="left" vertical="center" wrapText="1"/>
      <protection locked="0"/>
    </xf>
    <xf numFmtId="0" fontId="31" fillId="50" borderId="46" xfId="0" applyFont="1" applyFill="1" applyBorder="1" applyAlignment="1" applyProtection="1">
      <alignment vertical="center" wrapText="1"/>
      <protection locked="0"/>
    </xf>
    <xf numFmtId="0" fontId="31" fillId="50" borderId="47" xfId="0" applyFont="1" applyFill="1" applyBorder="1" applyAlignment="1" applyProtection="1">
      <alignment vertical="center" wrapText="1"/>
      <protection locked="0"/>
    </xf>
    <xf numFmtId="0" fontId="31" fillId="50" borderId="48" xfId="0" applyFont="1" applyFill="1" applyBorder="1" applyAlignment="1" applyProtection="1">
      <alignment horizontal="left" vertical="center" wrapText="1"/>
      <protection locked="0"/>
    </xf>
    <xf numFmtId="0" fontId="33" fillId="50" borderId="45" xfId="0" applyFont="1" applyFill="1" applyBorder="1" applyAlignment="1" applyProtection="1">
      <alignment horizontal="left" vertical="center" wrapText="1" indent="1"/>
      <protection locked="0"/>
    </xf>
    <xf numFmtId="0" fontId="13" fillId="50" borderId="45" xfId="0" applyFont="1" applyFill="1" applyBorder="1" applyAlignment="1" applyProtection="1">
      <alignment horizontal="left" vertical="center" wrapText="1"/>
      <protection locked="0"/>
    </xf>
    <xf numFmtId="0" fontId="28" fillId="0" borderId="0" xfId="0" applyFont="1" applyAlignment="1" applyProtection="1">
      <alignment horizontal="center"/>
      <protection hidden="1"/>
    </xf>
    <xf numFmtId="0" fontId="31" fillId="5" borderId="45" xfId="0" applyFont="1" applyFill="1" applyBorder="1" applyAlignment="1" applyProtection="1">
      <alignment horizontal="center" vertical="center"/>
      <protection hidden="1"/>
    </xf>
    <xf numFmtId="0" fontId="31" fillId="5" borderId="45" xfId="0" applyFont="1" applyFill="1" applyBorder="1" applyAlignment="1" applyProtection="1">
      <alignment horizontal="center" vertical="center" wrapText="1"/>
      <protection hidden="1"/>
    </xf>
    <xf numFmtId="0" fontId="43" fillId="5" borderId="45" xfId="0" applyFont="1" applyFill="1" applyBorder="1" applyAlignment="1" applyProtection="1">
      <alignment horizontal="center" vertical="center"/>
      <protection hidden="1"/>
    </xf>
    <xf numFmtId="0" fontId="43" fillId="5" borderId="45" xfId="0" applyFont="1" applyFill="1" applyBorder="1" applyAlignment="1" applyProtection="1">
      <alignment horizontal="center" vertical="center" wrapText="1"/>
      <protection hidden="1"/>
    </xf>
    <xf numFmtId="49" fontId="23" fillId="0" borderId="34" xfId="0" applyNumberFormat="1" applyFont="1" applyBorder="1" applyAlignment="1" applyProtection="1">
      <alignment horizontal="left"/>
      <protection hidden="1"/>
    </xf>
    <xf numFmtId="0" fontId="23" fillId="0" borderId="34" xfId="0" applyFont="1" applyBorder="1" applyAlignment="1" applyProtection="1">
      <alignment horizontal="left"/>
      <protection hidden="1"/>
    </xf>
    <xf numFmtId="14" fontId="23" fillId="0" borderId="35" xfId="0" applyNumberFormat="1" applyFont="1" applyBorder="1" applyAlignment="1" applyProtection="1">
      <alignment horizontal="center" vertical="center"/>
      <protection hidden="1"/>
    </xf>
    <xf numFmtId="0" fontId="13" fillId="0" borderId="0" xfId="0" applyFont="1" applyAlignment="1" applyProtection="1">
      <alignment horizontal="center"/>
      <protection hidden="1"/>
    </xf>
    <xf numFmtId="0" fontId="13" fillId="0" borderId="36" xfId="0" applyFont="1" applyBorder="1" applyAlignment="1" applyProtection="1">
      <alignment horizontal="center"/>
      <protection hidden="1"/>
    </xf>
    <xf numFmtId="0" fontId="23" fillId="8" borderId="23" xfId="0" applyFont="1" applyFill="1" applyBorder="1" applyAlignment="1" applyProtection="1">
      <alignment horizontal="left" vertical="center" wrapText="1" indent="1"/>
      <protection hidden="1"/>
    </xf>
    <xf numFmtId="0" fontId="23" fillId="8" borderId="24" xfId="0" applyFont="1" applyFill="1" applyBorder="1" applyAlignment="1" applyProtection="1">
      <alignment horizontal="left" vertical="center" wrapText="1" indent="1"/>
      <protection hidden="1"/>
    </xf>
    <xf numFmtId="0" fontId="23" fillId="8" borderId="25" xfId="0" applyFont="1" applyFill="1" applyBorder="1" applyAlignment="1" applyProtection="1">
      <alignment horizontal="left" vertical="center" wrapText="1" indent="1"/>
      <protection hidden="1"/>
    </xf>
    <xf numFmtId="0" fontId="13" fillId="0" borderId="20" xfId="0" applyFont="1" applyBorder="1" applyAlignment="1" applyProtection="1">
      <alignment horizontal="left" vertical="center" wrapText="1" indent="1"/>
      <protection hidden="1"/>
    </xf>
    <xf numFmtId="0" fontId="13" fillId="0" borderId="0" xfId="0" applyFont="1" applyAlignment="1" applyProtection="1">
      <alignment horizontal="left" vertical="center" wrapText="1" indent="1"/>
      <protection hidden="1"/>
    </xf>
    <xf numFmtId="0" fontId="13" fillId="0" borderId="21" xfId="0" applyFont="1" applyBorder="1" applyAlignment="1" applyProtection="1">
      <alignment horizontal="left" vertical="center" wrapText="1" indent="1"/>
      <protection hidden="1"/>
    </xf>
    <xf numFmtId="0" fontId="23" fillId="0" borderId="20" xfId="0" applyFont="1" applyBorder="1" applyAlignment="1" applyProtection="1">
      <alignment horizontal="left" vertical="center" wrapText="1" indent="1"/>
      <protection hidden="1"/>
    </xf>
    <xf numFmtId="0" fontId="23" fillId="0" borderId="0" xfId="0" applyFont="1" applyAlignment="1" applyProtection="1">
      <alignment horizontal="left" vertical="center" wrapText="1" indent="1"/>
      <protection hidden="1"/>
    </xf>
    <xf numFmtId="0" fontId="23" fillId="0" borderId="21" xfId="0" applyFont="1" applyBorder="1" applyAlignment="1" applyProtection="1">
      <alignment horizontal="left" vertical="center" wrapText="1" indent="1"/>
      <protection hidden="1"/>
    </xf>
    <xf numFmtId="0" fontId="23" fillId="8" borderId="20" xfId="0" applyFont="1" applyFill="1" applyBorder="1" applyAlignment="1" applyProtection="1">
      <alignment horizontal="left" vertical="center" wrapText="1" indent="1"/>
      <protection hidden="1"/>
    </xf>
    <xf numFmtId="0" fontId="23" fillId="8" borderId="0" xfId="0" applyFont="1" applyFill="1" applyAlignment="1" applyProtection="1">
      <alignment horizontal="left" vertical="center" wrapText="1" indent="1"/>
      <protection hidden="1"/>
    </xf>
    <xf numFmtId="0" fontId="23" fillId="8" borderId="21" xfId="0" applyFont="1" applyFill="1" applyBorder="1" applyAlignment="1" applyProtection="1">
      <alignment horizontal="left" vertical="center" wrapText="1" indent="1"/>
      <protection hidden="1"/>
    </xf>
    <xf numFmtId="0" fontId="13" fillId="5" borderId="28" xfId="0" applyFont="1" applyFill="1" applyBorder="1" applyAlignment="1" applyProtection="1">
      <alignment horizontal="center" vertical="center" wrapText="1"/>
      <protection hidden="1"/>
    </xf>
    <xf numFmtId="0" fontId="13" fillId="5" borderId="33" xfId="0" applyFont="1" applyFill="1" applyBorder="1" applyAlignment="1" applyProtection="1">
      <alignment horizontal="center" vertical="center" wrapText="1"/>
      <protection hidden="1"/>
    </xf>
    <xf numFmtId="0" fontId="23" fillId="7" borderId="23" xfId="0" applyFont="1" applyFill="1" applyBorder="1" applyAlignment="1" applyProtection="1">
      <alignment horizontal="left" vertical="center" wrapText="1" indent="1"/>
      <protection hidden="1"/>
    </xf>
    <xf numFmtId="0" fontId="23" fillId="7" borderId="24" xfId="0" applyFont="1" applyFill="1" applyBorder="1" applyAlignment="1" applyProtection="1">
      <alignment horizontal="left" vertical="center" wrapText="1" indent="1"/>
      <protection hidden="1"/>
    </xf>
    <xf numFmtId="0" fontId="23" fillId="7" borderId="25" xfId="0" applyFont="1" applyFill="1" applyBorder="1" applyAlignment="1" applyProtection="1">
      <alignment horizontal="left" vertical="center" wrapText="1" indent="1"/>
      <protection hidden="1"/>
    </xf>
    <xf numFmtId="0" fontId="31" fillId="5" borderId="28" xfId="0" applyFont="1" applyFill="1" applyBorder="1" applyAlignment="1" applyProtection="1">
      <alignment horizontal="center" vertical="center" wrapText="1"/>
      <protection hidden="1"/>
    </xf>
    <xf numFmtId="0" fontId="31" fillId="5" borderId="33" xfId="0" applyFont="1" applyFill="1" applyBorder="1" applyAlignment="1" applyProtection="1">
      <alignment horizontal="center" vertical="center" wrapText="1"/>
      <protection hidden="1"/>
    </xf>
    <xf numFmtId="0" fontId="26" fillId="0" borderId="30" xfId="0" applyFont="1" applyBorder="1" applyAlignment="1" applyProtection="1">
      <alignment horizontal="center" vertical="center"/>
      <protection hidden="1"/>
    </xf>
    <xf numFmtId="49" fontId="20" fillId="0" borderId="49" xfId="0" applyNumberFormat="1" applyFont="1" applyBorder="1" applyAlignment="1" applyProtection="1">
      <alignment horizontal="center" vertical="center" wrapText="1"/>
      <protection hidden="1"/>
    </xf>
    <xf numFmtId="49" fontId="20" fillId="0" borderId="50" xfId="0" applyNumberFormat="1" applyFont="1" applyBorder="1" applyAlignment="1" applyProtection="1">
      <alignment horizontal="center" vertical="center" wrapText="1"/>
      <protection hidden="1"/>
    </xf>
    <xf numFmtId="49" fontId="20" fillId="0" borderId="51" xfId="0" applyNumberFormat="1" applyFont="1" applyBorder="1" applyAlignment="1" applyProtection="1">
      <alignment horizontal="center" vertical="center" wrapText="1"/>
      <protection hidden="1"/>
    </xf>
    <xf numFmtId="0" fontId="23" fillId="0" borderId="52" xfId="0" applyFont="1" applyBorder="1" applyAlignment="1" applyProtection="1">
      <alignment horizontal="left" vertical="center"/>
      <protection hidden="1"/>
    </xf>
    <xf numFmtId="0" fontId="13" fillId="0" borderId="0" xfId="0" applyFont="1" applyAlignment="1" applyProtection="1">
      <alignment horizontal="left" vertical="center"/>
      <protection hidden="1"/>
    </xf>
    <xf numFmtId="49" fontId="23" fillId="0" borderId="52" xfId="0" applyNumberFormat="1" applyFont="1" applyBorder="1" applyAlignment="1" applyProtection="1">
      <alignment horizontal="left" vertical="center"/>
      <protection hidden="1"/>
    </xf>
    <xf numFmtId="0" fontId="13" fillId="0" borderId="0" xfId="0" applyFont="1" applyAlignment="1" applyProtection="1">
      <alignment horizontal="center" vertical="center"/>
      <protection hidden="1"/>
    </xf>
    <xf numFmtId="0" fontId="55" fillId="0" borderId="0" xfId="0" applyFont="1" applyAlignment="1" applyProtection="1">
      <alignment horizontal="left" vertical="center" wrapText="1"/>
      <protection hidden="1"/>
    </xf>
    <xf numFmtId="0" fontId="53" fillId="0" borderId="0" xfId="0" applyFont="1" applyAlignment="1" applyProtection="1">
      <alignment horizontal="left" vertical="center" wrapText="1" indent="1"/>
      <protection hidden="1"/>
    </xf>
    <xf numFmtId="0" fontId="23" fillId="8" borderId="60" xfId="0" applyFont="1" applyFill="1" applyBorder="1" applyAlignment="1" applyProtection="1">
      <alignment horizontal="left" vertical="center" wrapText="1" indent="1"/>
      <protection hidden="1"/>
    </xf>
    <xf numFmtId="0" fontId="23" fillId="8" borderId="58" xfId="0" applyFont="1" applyFill="1" applyBorder="1" applyAlignment="1" applyProtection="1">
      <alignment horizontal="left" vertical="center" wrapText="1" indent="1"/>
      <protection hidden="1"/>
    </xf>
    <xf numFmtId="0" fontId="23" fillId="8" borderId="61" xfId="0" applyFont="1" applyFill="1" applyBorder="1" applyAlignment="1" applyProtection="1">
      <alignment horizontal="left" vertical="center" wrapText="1" indent="1"/>
      <protection hidden="1"/>
    </xf>
    <xf numFmtId="1" fontId="23" fillId="0" borderId="22" xfId="0" applyNumberFormat="1" applyFont="1" applyBorder="1" applyAlignment="1" applyProtection="1">
      <alignment horizontal="left"/>
      <protection hidden="1"/>
    </xf>
    <xf numFmtId="0" fontId="13" fillId="5" borderId="57" xfId="0" applyFont="1" applyFill="1" applyBorder="1" applyAlignment="1" applyProtection="1">
      <alignment horizontal="center" vertical="center" wrapText="1"/>
      <protection hidden="1"/>
    </xf>
    <xf numFmtId="0" fontId="13" fillId="5" borderId="58" xfId="0" applyFont="1" applyFill="1" applyBorder="1" applyAlignment="1" applyProtection="1">
      <alignment horizontal="center" vertical="center" wrapText="1"/>
      <protection hidden="1"/>
    </xf>
    <xf numFmtId="0" fontId="13" fillId="5" borderId="59" xfId="0" applyFont="1" applyFill="1" applyBorder="1" applyAlignment="1" applyProtection="1">
      <alignment horizontal="center" vertical="center" wrapText="1"/>
      <protection hidden="1"/>
    </xf>
    <xf numFmtId="0" fontId="13" fillId="5" borderId="25" xfId="0" quotePrefix="1" applyFont="1" applyFill="1" applyBorder="1" applyAlignment="1" applyProtection="1">
      <alignment horizontal="center" vertical="center" wrapText="1"/>
      <protection hidden="1"/>
    </xf>
    <xf numFmtId="0" fontId="13" fillId="5" borderId="25" xfId="0" applyFont="1" applyFill="1" applyBorder="1" applyAlignment="1" applyProtection="1">
      <alignment horizontal="center" vertical="center" wrapText="1"/>
      <protection hidden="1"/>
    </xf>
    <xf numFmtId="0" fontId="20" fillId="0" borderId="49" xfId="0" applyFont="1" applyBorder="1" applyAlignment="1" applyProtection="1">
      <alignment horizontal="center" vertical="center" wrapText="1"/>
      <protection hidden="1"/>
    </xf>
    <xf numFmtId="0" fontId="20" fillId="0" borderId="50" xfId="0" applyFont="1" applyBorder="1" applyAlignment="1" applyProtection="1">
      <alignment horizontal="center" vertical="center" wrapText="1"/>
      <protection hidden="1"/>
    </xf>
    <xf numFmtId="0" fontId="20" fillId="0" borderId="51" xfId="0" applyFont="1" applyBorder="1" applyAlignment="1" applyProtection="1">
      <alignment horizontal="center" vertical="center" wrapText="1"/>
      <protection hidden="1"/>
    </xf>
    <xf numFmtId="14" fontId="23" fillId="0" borderId="191" xfId="0" applyNumberFormat="1" applyFont="1" applyBorder="1" applyAlignment="1" applyProtection="1">
      <alignment horizontal="center" vertical="center"/>
      <protection hidden="1"/>
    </xf>
    <xf numFmtId="0" fontId="23" fillId="12" borderId="24" xfId="0" applyFont="1" applyFill="1" applyBorder="1" applyAlignment="1" applyProtection="1">
      <alignment horizontal="left" vertical="center" wrapText="1" indent="1"/>
      <protection hidden="1"/>
    </xf>
    <xf numFmtId="0" fontId="23" fillId="12" borderId="25" xfId="0" applyFont="1" applyFill="1" applyBorder="1" applyAlignment="1" applyProtection="1">
      <alignment horizontal="left" vertical="center" wrapText="1" indent="1"/>
      <protection hidden="1"/>
    </xf>
    <xf numFmtId="0" fontId="23" fillId="10" borderId="24" xfId="0" applyFont="1" applyFill="1" applyBorder="1" applyAlignment="1" applyProtection="1">
      <alignment horizontal="left" vertical="center" wrapText="1" indent="1"/>
      <protection hidden="1"/>
    </xf>
    <xf numFmtId="0" fontId="23" fillId="10" borderId="25" xfId="0" applyFont="1" applyFill="1" applyBorder="1" applyAlignment="1" applyProtection="1">
      <alignment horizontal="left" vertical="center" wrapText="1" indent="1"/>
      <protection hidden="1"/>
    </xf>
    <xf numFmtId="0" fontId="23" fillId="0" borderId="26" xfId="0" applyFont="1" applyBorder="1" applyAlignment="1" applyProtection="1">
      <alignment horizontal="left" vertical="center"/>
      <protection hidden="1"/>
    </xf>
    <xf numFmtId="49" fontId="23" fillId="0" borderId="22" xfId="0" applyNumberFormat="1" applyFont="1" applyBorder="1" applyAlignment="1" applyProtection="1">
      <alignment horizontal="left" vertical="center"/>
      <protection hidden="1"/>
    </xf>
    <xf numFmtId="0" fontId="23" fillId="0" borderId="22" xfId="0" applyFont="1" applyBorder="1" applyAlignment="1" applyProtection="1">
      <alignment horizontal="left" vertical="center"/>
      <protection hidden="1"/>
    </xf>
    <xf numFmtId="49" fontId="23" fillId="0" borderId="26" xfId="0" applyNumberFormat="1" applyFont="1" applyBorder="1" applyAlignment="1" applyProtection="1">
      <alignment horizontal="left" vertical="center"/>
      <protection hidden="1"/>
    </xf>
    <xf numFmtId="3" fontId="23" fillId="13" borderId="187" xfId="0" applyNumberFormat="1" applyFont="1" applyFill="1" applyBorder="1" applyAlignment="1" applyProtection="1">
      <alignment horizontal="right" vertical="center" wrapText="1"/>
      <protection hidden="1"/>
    </xf>
    <xf numFmtId="3" fontId="23" fillId="13" borderId="188" xfId="0" applyNumberFormat="1" applyFont="1" applyFill="1" applyBorder="1" applyAlignment="1" applyProtection="1">
      <alignment horizontal="right" vertical="center" wrapText="1"/>
      <protection hidden="1"/>
    </xf>
    <xf numFmtId="3" fontId="23" fillId="13" borderId="189" xfId="0" applyNumberFormat="1" applyFont="1" applyFill="1" applyBorder="1" applyAlignment="1" applyProtection="1">
      <alignment horizontal="right" vertical="center" wrapText="1"/>
      <protection hidden="1"/>
    </xf>
    <xf numFmtId="0" fontId="13" fillId="0" borderId="18" xfId="0" applyFont="1" applyBorder="1" applyAlignment="1" applyProtection="1">
      <alignment horizontal="left" vertical="center" wrapText="1" indent="1"/>
      <protection hidden="1"/>
    </xf>
    <xf numFmtId="0" fontId="13" fillId="0" borderId="19" xfId="0" applyFont="1" applyBorder="1" applyAlignment="1" applyProtection="1">
      <alignment horizontal="left" vertical="center" wrapText="1" indent="1"/>
      <protection hidden="1"/>
    </xf>
    <xf numFmtId="14" fontId="23" fillId="0" borderId="190" xfId="0" applyNumberFormat="1" applyFont="1" applyBorder="1" applyAlignment="1" applyProtection="1">
      <alignment horizontal="center" vertical="center"/>
      <protection hidden="1"/>
    </xf>
    <xf numFmtId="0" fontId="20" fillId="0" borderId="18" xfId="0" applyFont="1" applyBorder="1" applyAlignment="1" applyProtection="1">
      <alignment horizontal="left" vertical="center" wrapText="1"/>
      <protection hidden="1"/>
    </xf>
    <xf numFmtId="0" fontId="13" fillId="0" borderId="0" xfId="0" quotePrefix="1" applyFont="1" applyAlignment="1" applyProtection="1">
      <alignment horizontal="left" vertical="center" wrapText="1" indent="1"/>
      <protection hidden="1"/>
    </xf>
    <xf numFmtId="0" fontId="23" fillId="12" borderId="23" xfId="0" applyFont="1" applyFill="1" applyBorder="1" applyAlignment="1" applyProtection="1">
      <alignment horizontal="left" vertical="center" wrapText="1" indent="1"/>
      <protection hidden="1"/>
    </xf>
    <xf numFmtId="0" fontId="23" fillId="12" borderId="17" xfId="0" applyFont="1" applyFill="1" applyBorder="1" applyAlignment="1" applyProtection="1">
      <alignment horizontal="left" vertical="center" wrapText="1" indent="1"/>
      <protection hidden="1"/>
    </xf>
    <xf numFmtId="0" fontId="23" fillId="12" borderId="18" xfId="0" applyFont="1" applyFill="1" applyBorder="1" applyAlignment="1" applyProtection="1">
      <alignment horizontal="left" vertical="center" wrapText="1" indent="1"/>
      <protection hidden="1"/>
    </xf>
    <xf numFmtId="0" fontId="13" fillId="12" borderId="29" xfId="0" applyFont="1" applyFill="1" applyBorder="1" applyAlignment="1" applyProtection="1">
      <alignment horizontal="left" vertical="top" wrapText="1" indent="1"/>
      <protection hidden="1"/>
    </xf>
    <xf numFmtId="0" fontId="13" fillId="12" borderId="30" xfId="0" applyFont="1" applyFill="1" applyBorder="1" applyAlignment="1" applyProtection="1">
      <alignment horizontal="left" vertical="top" wrapText="1" indent="1"/>
      <protection hidden="1"/>
    </xf>
    <xf numFmtId="3" fontId="13" fillId="12" borderId="30" xfId="0" applyNumberFormat="1" applyFont="1" applyFill="1" applyBorder="1" applyAlignment="1" applyProtection="1">
      <alignment horizontal="center" vertical="top" wrapText="1"/>
      <protection hidden="1"/>
    </xf>
    <xf numFmtId="3" fontId="13" fillId="12" borderId="31" xfId="0" applyNumberFormat="1" applyFont="1" applyFill="1" applyBorder="1" applyAlignment="1" applyProtection="1">
      <alignment horizontal="center" vertical="top" wrapText="1"/>
      <protection hidden="1"/>
    </xf>
    <xf numFmtId="0" fontId="13" fillId="5" borderId="37" xfId="0" applyFont="1" applyFill="1" applyBorder="1" applyAlignment="1" applyProtection="1">
      <alignment horizontal="center" vertical="center" wrapText="1"/>
      <protection hidden="1"/>
    </xf>
    <xf numFmtId="0" fontId="13" fillId="5" borderId="17" xfId="0" applyFont="1" applyFill="1" applyBorder="1" applyAlignment="1" applyProtection="1">
      <alignment horizontal="center" vertical="center" wrapText="1"/>
      <protection hidden="1"/>
    </xf>
    <xf numFmtId="0" fontId="13" fillId="5" borderId="18" xfId="0" applyFont="1" applyFill="1" applyBorder="1" applyAlignment="1" applyProtection="1">
      <alignment horizontal="center" vertical="center" wrapText="1"/>
      <protection hidden="1"/>
    </xf>
    <xf numFmtId="0" fontId="13" fillId="5" borderId="19" xfId="0" applyFont="1" applyFill="1" applyBorder="1" applyAlignment="1" applyProtection="1">
      <alignment horizontal="center" vertical="center" wrapText="1"/>
      <protection hidden="1"/>
    </xf>
    <xf numFmtId="0" fontId="13" fillId="5" borderId="29" xfId="0" applyFont="1" applyFill="1" applyBorder="1" applyAlignment="1" applyProtection="1">
      <alignment horizontal="center" vertical="center" wrapText="1"/>
      <protection hidden="1"/>
    </xf>
    <xf numFmtId="0" fontId="13" fillId="5" borderId="30" xfId="0" applyFont="1" applyFill="1" applyBorder="1" applyAlignment="1" applyProtection="1">
      <alignment horizontal="center" vertical="center" wrapText="1"/>
      <protection hidden="1"/>
    </xf>
    <xf numFmtId="0" fontId="13" fillId="5" borderId="31" xfId="0" applyFont="1" applyFill="1" applyBorder="1" applyAlignment="1" applyProtection="1">
      <alignment horizontal="center" vertical="center" wrapText="1"/>
      <protection hidden="1"/>
    </xf>
    <xf numFmtId="49" fontId="20" fillId="0" borderId="48" xfId="0" applyNumberFormat="1" applyFont="1" applyBorder="1" applyAlignment="1" applyProtection="1">
      <alignment horizontal="center" vertical="center" wrapText="1"/>
      <protection hidden="1"/>
    </xf>
    <xf numFmtId="14" fontId="23" fillId="0" borderId="26" xfId="0" applyNumberFormat="1" applyFont="1" applyBorder="1" applyAlignment="1" applyProtection="1">
      <alignment horizontal="center" vertical="center"/>
      <protection hidden="1"/>
    </xf>
    <xf numFmtId="0" fontId="23" fillId="6" borderId="23" xfId="0" applyFont="1" applyFill="1" applyBorder="1" applyAlignment="1" applyProtection="1">
      <alignment horizontal="left" vertical="center" wrapText="1" indent="1"/>
      <protection hidden="1"/>
    </xf>
    <xf numFmtId="0" fontId="23" fillId="6" borderId="24" xfId="0" applyFont="1" applyFill="1" applyBorder="1" applyAlignment="1" applyProtection="1">
      <alignment horizontal="left" vertical="center" wrapText="1" indent="1"/>
      <protection hidden="1"/>
    </xf>
    <xf numFmtId="3" fontId="23" fillId="0" borderId="56" xfId="0" applyNumberFormat="1" applyFont="1" applyBorder="1" applyAlignment="1" applyProtection="1">
      <alignment vertical="center" wrapText="1"/>
      <protection hidden="1"/>
    </xf>
    <xf numFmtId="3" fontId="23" fillId="0" borderId="53" xfId="0" applyNumberFormat="1" applyFont="1" applyBorder="1" applyAlignment="1" applyProtection="1">
      <alignment vertical="center" wrapText="1"/>
      <protection hidden="1"/>
    </xf>
    <xf numFmtId="0" fontId="195" fillId="61" borderId="0" xfId="0" applyFont="1" applyFill="1" applyAlignment="1">
      <alignment horizontal="center" vertical="center"/>
    </xf>
    <xf numFmtId="0" fontId="198" fillId="0" borderId="0" xfId="0" applyFont="1" applyAlignment="1">
      <alignment horizontal="center" vertical="center" textRotation="90"/>
    </xf>
    <xf numFmtId="0" fontId="57" fillId="0" borderId="45" xfId="0" applyFont="1" applyBorder="1" applyAlignment="1" applyProtection="1">
      <alignment horizontal="left" vertical="center"/>
      <protection hidden="1"/>
    </xf>
    <xf numFmtId="0" fontId="15" fillId="0" borderId="0" xfId="0" applyFont="1" applyAlignment="1" applyProtection="1">
      <alignment horizontal="left" vertical="top" wrapText="1"/>
      <protection hidden="1"/>
    </xf>
    <xf numFmtId="0" fontId="58" fillId="0" borderId="45" xfId="0" applyFont="1" applyBorder="1" applyAlignment="1" applyProtection="1">
      <alignment horizontal="left" vertical="center"/>
      <protection hidden="1"/>
    </xf>
    <xf numFmtId="0" fontId="57" fillId="0" borderId="46" xfId="0" applyFont="1" applyBorder="1" applyAlignment="1" applyProtection="1">
      <alignment horizontal="left" vertical="center"/>
      <protection hidden="1"/>
    </xf>
    <xf numFmtId="0" fontId="57" fillId="0" borderId="48" xfId="0" applyFont="1" applyBorder="1" applyAlignment="1" applyProtection="1">
      <alignment horizontal="left" vertical="center"/>
      <protection hidden="1"/>
    </xf>
    <xf numFmtId="0" fontId="57" fillId="0" borderId="47" xfId="0" applyFont="1" applyBorder="1" applyAlignment="1" applyProtection="1">
      <alignment horizontal="left" vertical="center"/>
      <protection hidden="1"/>
    </xf>
    <xf numFmtId="0" fontId="57" fillId="0" borderId="45" xfId="0" applyFont="1" applyBorder="1" applyAlignment="1" applyProtection="1">
      <alignment horizontal="left" vertical="center" wrapText="1"/>
      <protection hidden="1"/>
    </xf>
    <xf numFmtId="0" fontId="34" fillId="5" borderId="46" xfId="0" applyFont="1" applyFill="1" applyBorder="1" applyAlignment="1" applyProtection="1">
      <alignment horizontal="center" vertical="center"/>
      <protection hidden="1"/>
    </xf>
    <xf numFmtId="0" fontId="34" fillId="5" borderId="48" xfId="0" applyFont="1" applyFill="1" applyBorder="1" applyAlignment="1" applyProtection="1">
      <alignment horizontal="center" vertical="center"/>
      <protection hidden="1"/>
    </xf>
    <xf numFmtId="0" fontId="34" fillId="5" borderId="47" xfId="0" applyFont="1" applyFill="1" applyBorder="1" applyAlignment="1" applyProtection="1">
      <alignment horizontal="center" vertical="center"/>
      <protection hidden="1"/>
    </xf>
    <xf numFmtId="0" fontId="48" fillId="0" borderId="63" xfId="0" applyFont="1" applyBorder="1" applyAlignment="1" applyProtection="1">
      <alignment horizontal="center"/>
      <protection hidden="1"/>
    </xf>
    <xf numFmtId="0" fontId="48" fillId="0" borderId="62" xfId="0" applyFont="1" applyBorder="1" applyAlignment="1" applyProtection="1">
      <alignment horizontal="center"/>
      <protection hidden="1"/>
    </xf>
    <xf numFmtId="0" fontId="49" fillId="0" borderId="0" xfId="0" applyFont="1" applyAlignment="1" applyProtection="1">
      <alignment horizontal="left" vertical="center" wrapText="1"/>
      <protection hidden="1"/>
    </xf>
    <xf numFmtId="0" fontId="31" fillId="0" borderId="45" xfId="0" applyFont="1" applyBorder="1" applyAlignment="1" applyProtection="1">
      <alignment horizontal="left" vertical="center" wrapText="1" indent="1"/>
      <protection hidden="1"/>
    </xf>
    <xf numFmtId="0" fontId="31" fillId="0" borderId="46" xfId="0" applyFont="1" applyBorder="1" applyAlignment="1" applyProtection="1">
      <alignment horizontal="left" vertical="center" wrapText="1" indent="1"/>
      <protection hidden="1"/>
    </xf>
    <xf numFmtId="0" fontId="23" fillId="11" borderId="45" xfId="0" applyFont="1" applyFill="1" applyBorder="1" applyAlignment="1" applyProtection="1">
      <alignment horizontal="left" vertical="center" wrapText="1" indent="1"/>
      <protection hidden="1"/>
    </xf>
    <xf numFmtId="0" fontId="23" fillId="11" borderId="46" xfId="0" applyFont="1" applyFill="1" applyBorder="1" applyAlignment="1" applyProtection="1">
      <alignment horizontal="left" vertical="center" wrapText="1" indent="1"/>
      <protection hidden="1"/>
    </xf>
    <xf numFmtId="0" fontId="13" fillId="0" borderId="45" xfId="0" applyFont="1" applyBorder="1" applyAlignment="1" applyProtection="1">
      <alignment horizontal="left" vertical="center" wrapText="1" indent="1"/>
      <protection hidden="1"/>
    </xf>
    <xf numFmtId="0" fontId="13" fillId="0" borderId="46" xfId="0" applyFont="1" applyBorder="1" applyAlignment="1" applyProtection="1">
      <alignment horizontal="left" vertical="center" wrapText="1" indent="1"/>
      <protection hidden="1"/>
    </xf>
    <xf numFmtId="0" fontId="23" fillId="12" borderId="45" xfId="0" applyFont="1" applyFill="1" applyBorder="1" applyAlignment="1" applyProtection="1">
      <alignment horizontal="left" vertical="center" wrapText="1" indent="1"/>
      <protection hidden="1"/>
    </xf>
    <xf numFmtId="0" fontId="23" fillId="0" borderId="45" xfId="0" applyFont="1" applyBorder="1" applyAlignment="1" applyProtection="1">
      <alignment horizontal="center" vertical="center" wrapText="1"/>
      <protection hidden="1"/>
    </xf>
    <xf numFmtId="0" fontId="23" fillId="0" borderId="46" xfId="0" applyFont="1" applyBorder="1" applyAlignment="1" applyProtection="1">
      <alignment horizontal="center" vertical="center" wrapText="1"/>
      <protection hidden="1"/>
    </xf>
    <xf numFmtId="0" fontId="61" fillId="0" borderId="45" xfId="0" applyFont="1" applyBorder="1" applyAlignment="1" applyProtection="1">
      <alignment horizontal="left" vertical="center" wrapText="1" indent="1"/>
      <protection hidden="1"/>
    </xf>
    <xf numFmtId="0" fontId="13" fillId="5" borderId="64" xfId="0" applyFont="1" applyFill="1" applyBorder="1" applyAlignment="1" applyProtection="1">
      <alignment horizontal="center" vertical="center" wrapText="1"/>
      <protection hidden="1"/>
    </xf>
    <xf numFmtId="0" fontId="13" fillId="5" borderId="65" xfId="0" applyFont="1" applyFill="1" applyBorder="1" applyAlignment="1" applyProtection="1">
      <alignment horizontal="center" vertical="center" wrapText="1"/>
      <protection hidden="1"/>
    </xf>
    <xf numFmtId="0" fontId="13" fillId="5" borderId="66" xfId="0" applyFont="1" applyFill="1" applyBorder="1" applyAlignment="1" applyProtection="1">
      <alignment horizontal="center" vertical="center" wrapText="1"/>
      <protection hidden="1"/>
    </xf>
    <xf numFmtId="0" fontId="13" fillId="5" borderId="68" xfId="0" applyFont="1" applyFill="1" applyBorder="1" applyAlignment="1" applyProtection="1">
      <alignment horizontal="center" vertical="center" wrapText="1"/>
      <protection hidden="1"/>
    </xf>
    <xf numFmtId="0" fontId="13" fillId="5" borderId="69" xfId="0" applyFont="1" applyFill="1" applyBorder="1" applyAlignment="1" applyProtection="1">
      <alignment horizontal="center" vertical="center" wrapText="1"/>
      <protection hidden="1"/>
    </xf>
    <xf numFmtId="0" fontId="13" fillId="5" borderId="54" xfId="0" applyFont="1" applyFill="1" applyBorder="1" applyAlignment="1" applyProtection="1">
      <alignment horizontal="center" vertical="center" wrapText="1"/>
      <protection hidden="1"/>
    </xf>
    <xf numFmtId="0" fontId="13" fillId="5" borderId="67" xfId="0" applyFont="1" applyFill="1" applyBorder="1" applyAlignment="1" applyProtection="1">
      <alignment horizontal="center" vertical="center" wrapText="1"/>
      <protection hidden="1"/>
    </xf>
    <xf numFmtId="0" fontId="13" fillId="5" borderId="55" xfId="0" applyFont="1" applyFill="1" applyBorder="1" applyAlignment="1" applyProtection="1">
      <alignment horizontal="center" vertical="center" wrapText="1"/>
      <protection hidden="1"/>
    </xf>
    <xf numFmtId="0" fontId="13" fillId="5" borderId="46" xfId="0" applyFont="1" applyFill="1" applyBorder="1" applyAlignment="1" applyProtection="1">
      <alignment horizontal="center" vertical="center" wrapText="1"/>
      <protection hidden="1"/>
    </xf>
    <xf numFmtId="0" fontId="13" fillId="5" borderId="48" xfId="0" applyFont="1" applyFill="1" applyBorder="1" applyAlignment="1" applyProtection="1">
      <alignment horizontal="center" vertical="center" wrapText="1"/>
      <protection hidden="1"/>
    </xf>
    <xf numFmtId="0" fontId="13" fillId="5" borderId="47" xfId="0" applyFont="1" applyFill="1" applyBorder="1" applyAlignment="1" applyProtection="1">
      <alignment horizontal="center" vertical="center" wrapText="1"/>
      <protection hidden="1"/>
    </xf>
    <xf numFmtId="49" fontId="20" fillId="0" borderId="47" xfId="0" applyNumberFormat="1" applyFont="1" applyBorder="1" applyAlignment="1" applyProtection="1">
      <alignment horizontal="center" vertical="center"/>
      <protection hidden="1"/>
    </xf>
    <xf numFmtId="49" fontId="49" fillId="0" borderId="0" xfId="0" applyNumberFormat="1" applyFont="1" applyAlignment="1" applyProtection="1">
      <alignment horizontal="left" vertical="top" wrapText="1"/>
      <protection hidden="1"/>
    </xf>
    <xf numFmtId="0" fontId="64" fillId="50" borderId="70" xfId="0" applyFont="1" applyFill="1" applyBorder="1" applyAlignment="1" applyProtection="1">
      <alignment horizontal="left" vertical="top" wrapText="1" indent="1"/>
      <protection locked="0"/>
    </xf>
    <xf numFmtId="0" fontId="64" fillId="50" borderId="0" xfId="0" applyFont="1" applyFill="1" applyAlignment="1" applyProtection="1">
      <alignment horizontal="left" vertical="top" wrapText="1" indent="1"/>
      <protection locked="0"/>
    </xf>
    <xf numFmtId="0" fontId="64" fillId="50" borderId="71" xfId="0" applyFont="1" applyFill="1" applyBorder="1" applyAlignment="1" applyProtection="1">
      <alignment horizontal="left" vertical="top" wrapText="1" indent="1"/>
      <protection locked="0"/>
    </xf>
    <xf numFmtId="0" fontId="23" fillId="5" borderId="46" xfId="0" applyFont="1" applyFill="1" applyBorder="1" applyAlignment="1" applyProtection="1">
      <alignment horizontal="center" vertical="center" wrapText="1"/>
      <protection hidden="1"/>
    </xf>
    <xf numFmtId="0" fontId="23" fillId="5" borderId="48" xfId="0" applyFont="1" applyFill="1" applyBorder="1" applyAlignment="1" applyProtection="1">
      <alignment horizontal="center" vertical="center" wrapText="1"/>
      <protection hidden="1"/>
    </xf>
    <xf numFmtId="0" fontId="23" fillId="5" borderId="47" xfId="0" applyFont="1" applyFill="1" applyBorder="1" applyAlignment="1" applyProtection="1">
      <alignment horizontal="center" vertical="center" wrapText="1"/>
      <protection hidden="1"/>
    </xf>
    <xf numFmtId="0" fontId="64" fillId="50" borderId="68" xfId="0" applyFont="1" applyFill="1" applyBorder="1" applyAlignment="1" applyProtection="1">
      <alignment horizontal="left" vertical="top" wrapText="1" indent="1"/>
      <protection locked="0"/>
    </xf>
    <xf numFmtId="0" fontId="64" fillId="50" borderId="69" xfId="0" applyFont="1" applyFill="1" applyBorder="1" applyAlignment="1" applyProtection="1">
      <alignment horizontal="left" vertical="top" wrapText="1" indent="1"/>
      <protection locked="0"/>
    </xf>
    <xf numFmtId="0" fontId="64" fillId="50" borderId="54" xfId="0" applyFont="1" applyFill="1" applyBorder="1" applyAlignment="1" applyProtection="1">
      <alignment horizontal="left" vertical="top" wrapText="1" indent="1"/>
      <protection locked="0"/>
    </xf>
    <xf numFmtId="49" fontId="63" fillId="0" borderId="0" xfId="0" applyNumberFormat="1" applyFont="1" applyAlignment="1" applyProtection="1">
      <alignment vertical="center"/>
      <protection hidden="1"/>
    </xf>
    <xf numFmtId="0" fontId="13" fillId="0" borderId="46" xfId="0" applyFont="1" applyBorder="1" applyAlignment="1" applyProtection="1">
      <alignment horizontal="left" vertical="center" indent="1"/>
      <protection hidden="1"/>
    </xf>
    <xf numFmtId="0" fontId="13" fillId="0" borderId="48" xfId="0" applyFont="1" applyBorder="1" applyAlignment="1" applyProtection="1">
      <alignment horizontal="left" vertical="center" indent="1"/>
      <protection hidden="1"/>
    </xf>
    <xf numFmtId="0" fontId="13" fillId="0" borderId="47" xfId="0" applyFont="1" applyBorder="1" applyAlignment="1" applyProtection="1">
      <alignment horizontal="left" vertical="center" indent="1"/>
      <protection hidden="1"/>
    </xf>
    <xf numFmtId="0" fontId="23" fillId="10" borderId="46" xfId="0" applyFont="1" applyFill="1" applyBorder="1" applyAlignment="1" applyProtection="1">
      <alignment horizontal="left" vertical="center" wrapText="1" indent="1"/>
      <protection hidden="1"/>
    </xf>
    <xf numFmtId="0" fontId="23" fillId="10" borderId="48" xfId="0" applyFont="1" applyFill="1" applyBorder="1" applyAlignment="1" applyProtection="1">
      <alignment horizontal="left" vertical="center" wrapText="1" indent="1"/>
      <protection hidden="1"/>
    </xf>
    <xf numFmtId="0" fontId="23" fillId="10" borderId="47" xfId="0" applyFont="1" applyFill="1" applyBorder="1" applyAlignment="1" applyProtection="1">
      <alignment horizontal="left" vertical="center" wrapText="1" indent="1"/>
      <protection hidden="1"/>
    </xf>
    <xf numFmtId="0" fontId="13" fillId="0" borderId="48" xfId="0" applyFont="1" applyBorder="1" applyAlignment="1" applyProtection="1">
      <alignment horizontal="left" vertical="center" wrapText="1" indent="1"/>
      <protection hidden="1"/>
    </xf>
    <xf numFmtId="0" fontId="13" fillId="0" borderId="47" xfId="0" applyFont="1" applyBorder="1" applyAlignment="1" applyProtection="1">
      <alignment horizontal="left" vertical="center" wrapText="1" indent="1"/>
      <protection hidden="1"/>
    </xf>
    <xf numFmtId="0" fontId="13" fillId="0" borderId="70" xfId="0" applyFont="1" applyBorder="1" applyAlignment="1" applyProtection="1">
      <alignment horizontal="left" vertical="center" wrapText="1" indent="1"/>
      <protection hidden="1"/>
    </xf>
    <xf numFmtId="0" fontId="13" fillId="0" borderId="70" xfId="0" applyFont="1" applyBorder="1" applyAlignment="1" applyProtection="1">
      <alignment horizontal="left" vertical="center" indent="1"/>
      <protection hidden="1"/>
    </xf>
    <xf numFmtId="0" fontId="13" fillId="0" borderId="0" xfId="0" applyFont="1" applyAlignment="1" applyProtection="1">
      <alignment horizontal="left" vertical="center" indent="1"/>
      <protection hidden="1"/>
    </xf>
    <xf numFmtId="0" fontId="26" fillId="0" borderId="69" xfId="0" applyFont="1" applyBorder="1" applyAlignment="1" applyProtection="1">
      <alignment horizontal="center" vertical="center"/>
      <protection hidden="1"/>
    </xf>
    <xf numFmtId="0" fontId="20" fillId="5" borderId="67" xfId="0" applyFont="1" applyFill="1" applyBorder="1" applyAlignment="1" applyProtection="1">
      <alignment horizontal="right" vertical="center" wrapText="1"/>
      <protection hidden="1"/>
    </xf>
    <xf numFmtId="0" fontId="20" fillId="5" borderId="73" xfId="0" applyFont="1" applyFill="1" applyBorder="1" applyAlignment="1" applyProtection="1">
      <alignment horizontal="center" vertical="center"/>
      <protection hidden="1"/>
    </xf>
    <xf numFmtId="0" fontId="20" fillId="5" borderId="48" xfId="0" applyFont="1" applyFill="1" applyBorder="1" applyAlignment="1" applyProtection="1">
      <alignment horizontal="center" vertical="center"/>
      <protection hidden="1"/>
    </xf>
    <xf numFmtId="0" fontId="20" fillId="5" borderId="74" xfId="0" applyFont="1" applyFill="1" applyBorder="1" applyAlignment="1" applyProtection="1">
      <alignment horizontal="center" vertical="center"/>
      <protection hidden="1"/>
    </xf>
    <xf numFmtId="0" fontId="20" fillId="5" borderId="76" xfId="0" applyFont="1" applyFill="1" applyBorder="1" applyAlignment="1" applyProtection="1">
      <alignment horizontal="left" wrapText="1"/>
      <protection hidden="1"/>
    </xf>
    <xf numFmtId="0" fontId="20" fillId="5" borderId="72" xfId="0" applyFont="1" applyFill="1" applyBorder="1" applyAlignment="1" applyProtection="1">
      <alignment horizontal="center" vertical="center" wrapText="1"/>
      <protection hidden="1"/>
    </xf>
    <xf numFmtId="0" fontId="20" fillId="5" borderId="78" xfId="0" applyFont="1" applyFill="1" applyBorder="1" applyAlignment="1" applyProtection="1">
      <alignment horizontal="center" vertical="center" wrapText="1"/>
      <protection hidden="1"/>
    </xf>
    <xf numFmtId="0" fontId="20" fillId="5" borderId="77" xfId="0" applyFont="1" applyFill="1" applyBorder="1" applyAlignment="1" applyProtection="1">
      <alignment horizontal="center" vertical="center" wrapText="1"/>
      <protection hidden="1"/>
    </xf>
    <xf numFmtId="0" fontId="20" fillId="5" borderId="79" xfId="0" applyFont="1" applyFill="1" applyBorder="1" applyAlignment="1" applyProtection="1">
      <alignment horizontal="center" vertical="center" wrapText="1"/>
      <protection hidden="1"/>
    </xf>
    <xf numFmtId="0" fontId="20" fillId="5" borderId="67" xfId="0" applyFont="1" applyFill="1" applyBorder="1" applyAlignment="1" applyProtection="1">
      <alignment horizontal="center" vertical="center" wrapText="1"/>
      <protection hidden="1"/>
    </xf>
    <xf numFmtId="0" fontId="20" fillId="5" borderId="55" xfId="0" applyFont="1" applyFill="1" applyBorder="1" applyAlignment="1" applyProtection="1">
      <alignment horizontal="center" vertical="center" wrapText="1"/>
      <protection hidden="1"/>
    </xf>
    <xf numFmtId="0" fontId="23" fillId="14" borderId="46" xfId="0" applyFont="1" applyFill="1" applyBorder="1" applyAlignment="1" applyProtection="1">
      <alignment horizontal="left" vertical="center" wrapText="1" indent="1"/>
      <protection hidden="1"/>
    </xf>
    <xf numFmtId="0" fontId="23" fillId="14" borderId="48" xfId="0" applyFont="1" applyFill="1" applyBorder="1" applyAlignment="1" applyProtection="1">
      <alignment horizontal="left" vertical="center" wrapText="1" indent="1"/>
      <protection hidden="1"/>
    </xf>
    <xf numFmtId="0" fontId="23" fillId="14" borderId="47" xfId="0" applyFont="1" applyFill="1" applyBorder="1" applyAlignment="1" applyProtection="1">
      <alignment horizontal="left" vertical="center" wrapText="1" indent="1"/>
      <protection hidden="1"/>
    </xf>
    <xf numFmtId="0" fontId="20" fillId="5" borderId="68" xfId="0" applyFont="1" applyFill="1" applyBorder="1" applyAlignment="1" applyProtection="1">
      <alignment horizontal="left" vertical="center" wrapText="1" indent="1"/>
      <protection hidden="1"/>
    </xf>
    <xf numFmtId="0" fontId="20" fillId="5" borderId="69" xfId="0" applyFont="1" applyFill="1" applyBorder="1" applyAlignment="1" applyProtection="1">
      <alignment horizontal="left" vertical="center" wrapText="1" indent="1"/>
      <protection hidden="1"/>
    </xf>
    <xf numFmtId="0" fontId="20" fillId="5" borderId="54" xfId="0" applyFont="1" applyFill="1" applyBorder="1" applyAlignment="1" applyProtection="1">
      <alignment horizontal="left" vertical="center" wrapText="1" indent="1"/>
      <protection hidden="1"/>
    </xf>
    <xf numFmtId="14" fontId="23" fillId="0" borderId="44" xfId="0" applyNumberFormat="1" applyFont="1" applyBorder="1" applyAlignment="1" applyProtection="1">
      <alignment horizontal="center" vertical="center"/>
      <protection hidden="1"/>
    </xf>
    <xf numFmtId="0" fontId="20" fillId="5" borderId="70" xfId="0" applyFont="1" applyFill="1" applyBorder="1" applyAlignment="1" applyProtection="1">
      <alignment horizontal="center" vertical="center" wrapText="1"/>
      <protection hidden="1"/>
    </xf>
    <xf numFmtId="0" fontId="20" fillId="5" borderId="0" xfId="0" applyFont="1" applyFill="1" applyAlignment="1" applyProtection="1">
      <alignment horizontal="center" vertical="center" wrapText="1"/>
      <protection hidden="1"/>
    </xf>
    <xf numFmtId="0" fontId="20" fillId="5" borderId="76" xfId="0" applyFont="1" applyFill="1" applyBorder="1" applyAlignment="1" applyProtection="1">
      <alignment horizontal="center" vertical="center" wrapText="1"/>
      <protection hidden="1"/>
    </xf>
    <xf numFmtId="0" fontId="20" fillId="5" borderId="64" xfId="0" applyFont="1" applyFill="1" applyBorder="1" applyAlignment="1" applyProtection="1">
      <alignment horizontal="right" vertical="center" wrapText="1"/>
      <protection hidden="1"/>
    </xf>
    <xf numFmtId="0" fontId="20" fillId="5" borderId="65" xfId="0" applyFont="1" applyFill="1" applyBorder="1" applyAlignment="1" applyProtection="1">
      <alignment horizontal="right" vertical="center" wrapText="1"/>
      <protection hidden="1"/>
    </xf>
    <xf numFmtId="0" fontId="20" fillId="5" borderId="45" xfId="0" applyFont="1" applyFill="1" applyBorder="1" applyAlignment="1" applyProtection="1">
      <alignment horizontal="center" vertical="center" wrapText="1"/>
      <protection hidden="1"/>
    </xf>
    <xf numFmtId="3" fontId="23" fillId="12" borderId="46" xfId="0" applyNumberFormat="1" applyFont="1" applyFill="1" applyBorder="1" applyAlignment="1" applyProtection="1">
      <alignment horizontal="right" vertical="center" wrapText="1"/>
      <protection hidden="1"/>
    </xf>
    <xf numFmtId="3" fontId="23" fillId="12" borderId="47" xfId="0" applyNumberFormat="1" applyFont="1" applyFill="1" applyBorder="1" applyAlignment="1" applyProtection="1">
      <alignment horizontal="right" vertical="center" wrapText="1"/>
      <protection hidden="1"/>
    </xf>
    <xf numFmtId="0" fontId="23" fillId="14" borderId="90" xfId="0" applyFont="1" applyFill="1" applyBorder="1" applyAlignment="1" applyProtection="1">
      <alignment horizontal="left" vertical="center" wrapText="1" indent="1"/>
      <protection hidden="1"/>
    </xf>
    <xf numFmtId="0" fontId="23" fillId="14" borderId="91" xfId="0" applyFont="1" applyFill="1" applyBorder="1" applyAlignment="1" applyProtection="1">
      <alignment horizontal="left" vertical="center" wrapText="1" indent="1"/>
      <protection hidden="1"/>
    </xf>
    <xf numFmtId="0" fontId="23" fillId="14" borderId="92" xfId="0" applyFont="1" applyFill="1" applyBorder="1" applyAlignment="1" applyProtection="1">
      <alignment horizontal="left" vertical="center" wrapText="1" indent="1"/>
      <protection hidden="1"/>
    </xf>
    <xf numFmtId="3" fontId="23" fillId="14" borderId="46" xfId="0" applyNumberFormat="1" applyFont="1" applyFill="1" applyBorder="1" applyAlignment="1" applyProtection="1">
      <alignment horizontal="right" vertical="center" wrapText="1"/>
      <protection hidden="1"/>
    </xf>
    <xf numFmtId="3" fontId="23" fillId="14" borderId="47" xfId="0" applyNumberFormat="1" applyFont="1" applyFill="1" applyBorder="1" applyAlignment="1" applyProtection="1">
      <alignment horizontal="right" vertical="center" wrapText="1"/>
      <protection hidden="1"/>
    </xf>
    <xf numFmtId="0" fontId="23" fillId="12" borderId="46" xfId="0" applyFont="1" applyFill="1" applyBorder="1" applyAlignment="1" applyProtection="1">
      <alignment horizontal="left" vertical="center" wrapText="1" indent="1"/>
      <protection hidden="1"/>
    </xf>
    <xf numFmtId="0" fontId="23" fillId="12" borderId="48" xfId="0" applyFont="1" applyFill="1" applyBorder="1" applyAlignment="1" applyProtection="1">
      <alignment horizontal="left" vertical="center" wrapText="1" indent="1"/>
      <protection hidden="1"/>
    </xf>
    <xf numFmtId="0" fontId="23" fillId="12" borderId="47" xfId="0" applyFont="1" applyFill="1" applyBorder="1" applyAlignment="1" applyProtection="1">
      <alignment horizontal="left" vertical="center" wrapText="1" indent="1"/>
      <protection hidden="1"/>
    </xf>
    <xf numFmtId="3" fontId="13" fillId="0" borderId="46" xfId="0" applyNumberFormat="1" applyFont="1" applyBorder="1" applyAlignment="1" applyProtection="1">
      <alignment horizontal="right" vertical="center" wrapText="1"/>
      <protection hidden="1"/>
    </xf>
    <xf numFmtId="3" fontId="13" fillId="0" borderId="47" xfId="0" applyNumberFormat="1" applyFont="1" applyBorder="1" applyAlignment="1" applyProtection="1">
      <alignment horizontal="right" vertical="center" wrapText="1"/>
      <protection hidden="1"/>
    </xf>
    <xf numFmtId="0" fontId="13" fillId="0" borderId="71" xfId="0" applyFont="1" applyBorder="1" applyAlignment="1" applyProtection="1">
      <alignment horizontal="left" vertical="center" wrapText="1" indent="1"/>
      <protection hidden="1"/>
    </xf>
    <xf numFmtId="3" fontId="13" fillId="50" borderId="46" xfId="0" applyNumberFormat="1" applyFont="1" applyFill="1" applyBorder="1" applyAlignment="1" applyProtection="1">
      <alignment horizontal="right" vertical="center" wrapText="1"/>
      <protection locked="0"/>
    </xf>
    <xf numFmtId="3" fontId="13" fillId="50" borderId="47" xfId="0" applyNumberFormat="1" applyFont="1" applyFill="1" applyBorder="1" applyAlignment="1" applyProtection="1">
      <alignment horizontal="right" vertical="center" wrapText="1"/>
      <protection locked="0"/>
    </xf>
    <xf numFmtId="3" fontId="13" fillId="50" borderId="48" xfId="0" applyNumberFormat="1" applyFont="1" applyFill="1" applyBorder="1" applyAlignment="1" applyProtection="1">
      <alignment horizontal="right" vertical="center" wrapText="1"/>
      <protection locked="0"/>
    </xf>
    <xf numFmtId="0" fontId="13" fillId="0" borderId="64" xfId="0" applyFont="1" applyBorder="1" applyAlignment="1" applyProtection="1">
      <alignment horizontal="left" vertical="center" wrapText="1" indent="1"/>
      <protection hidden="1"/>
    </xf>
    <xf numFmtId="0" fontId="13" fillId="0" borderId="65" xfId="0" applyFont="1" applyBorder="1" applyAlignment="1" applyProtection="1">
      <alignment horizontal="left" vertical="center" wrapText="1" indent="1"/>
      <protection hidden="1"/>
    </xf>
    <xf numFmtId="0" fontId="13" fillId="0" borderId="66" xfId="0" applyFont="1" applyBorder="1" applyAlignment="1" applyProtection="1">
      <alignment horizontal="left" vertical="center" wrapText="1" indent="1"/>
      <protection hidden="1"/>
    </xf>
    <xf numFmtId="0" fontId="13" fillId="5" borderId="84" xfId="0" applyFont="1" applyFill="1" applyBorder="1" applyAlignment="1" applyProtection="1">
      <alignment horizontal="center" wrapText="1"/>
      <protection hidden="1"/>
    </xf>
    <xf numFmtId="0" fontId="13" fillId="5" borderId="85" xfId="0" applyFont="1" applyFill="1" applyBorder="1" applyAlignment="1" applyProtection="1">
      <alignment horizontal="center" wrapText="1"/>
      <protection hidden="1"/>
    </xf>
    <xf numFmtId="0" fontId="13" fillId="5" borderId="86" xfId="0" applyFont="1" applyFill="1" applyBorder="1" applyAlignment="1" applyProtection="1">
      <alignment horizontal="center" wrapText="1"/>
      <protection hidden="1"/>
    </xf>
    <xf numFmtId="0" fontId="34" fillId="5" borderId="46" xfId="0" applyFont="1" applyFill="1" applyBorder="1" applyAlignment="1" applyProtection="1">
      <alignment horizontal="center"/>
      <protection hidden="1"/>
    </xf>
    <xf numFmtId="0" fontId="34" fillId="5" borderId="47" xfId="0" applyFont="1" applyFill="1" applyBorder="1" applyAlignment="1" applyProtection="1">
      <alignment horizontal="center"/>
      <protection hidden="1"/>
    </xf>
    <xf numFmtId="0" fontId="34" fillId="5" borderId="48" xfId="0" applyFont="1" applyFill="1" applyBorder="1" applyAlignment="1" applyProtection="1">
      <alignment horizontal="center"/>
      <protection hidden="1"/>
    </xf>
    <xf numFmtId="0" fontId="13" fillId="5" borderId="45" xfId="0" applyFont="1" applyFill="1" applyBorder="1" applyAlignment="1" applyProtection="1">
      <alignment horizontal="center" vertical="center" wrapText="1"/>
      <protection hidden="1"/>
    </xf>
    <xf numFmtId="0" fontId="13" fillId="5" borderId="87" xfId="0" applyFont="1" applyFill="1" applyBorder="1" applyAlignment="1" applyProtection="1">
      <alignment horizontal="left" vertical="center" wrapText="1" indent="1"/>
      <protection hidden="1"/>
    </xf>
    <xf numFmtId="0" fontId="13" fillId="5" borderId="88" xfId="0" applyFont="1" applyFill="1" applyBorder="1" applyAlignment="1" applyProtection="1">
      <alignment horizontal="left" vertical="center" wrapText="1" indent="1"/>
      <protection hidden="1"/>
    </xf>
    <xf numFmtId="0" fontId="13" fillId="5" borderId="89" xfId="0" applyFont="1" applyFill="1" applyBorder="1" applyAlignment="1" applyProtection="1">
      <alignment horizontal="left" vertical="center" wrapText="1" indent="1"/>
      <protection hidden="1"/>
    </xf>
    <xf numFmtId="0" fontId="23" fillId="0" borderId="0" xfId="0" applyFont="1" applyAlignment="1" applyProtection="1">
      <alignment horizontal="left" vertical="center"/>
      <protection hidden="1"/>
    </xf>
    <xf numFmtId="0" fontId="13" fillId="0" borderId="36" xfId="0" applyFont="1" applyBorder="1" applyAlignment="1" applyProtection="1">
      <alignment horizontal="right" vertical="center"/>
      <protection hidden="1"/>
    </xf>
    <xf numFmtId="0" fontId="13" fillId="5" borderId="81" xfId="0" applyFont="1" applyFill="1" applyBorder="1" applyAlignment="1" applyProtection="1">
      <alignment horizontal="center" vertical="center" wrapText="1"/>
      <protection hidden="1"/>
    </xf>
    <xf numFmtId="0" fontId="13" fillId="5" borderId="82" xfId="0" applyFont="1" applyFill="1" applyBorder="1" applyAlignment="1" applyProtection="1">
      <alignment horizontal="center" vertical="center" wrapText="1"/>
      <protection hidden="1"/>
    </xf>
    <xf numFmtId="0" fontId="13" fillId="5" borderId="83" xfId="0" applyFont="1" applyFill="1" applyBorder="1" applyAlignment="1" applyProtection="1">
      <alignment horizontal="center" vertical="center" wrapText="1"/>
      <protection hidden="1"/>
    </xf>
    <xf numFmtId="0" fontId="23" fillId="5" borderId="45" xfId="0" applyFont="1" applyFill="1" applyBorder="1" applyAlignment="1" applyProtection="1">
      <alignment horizontal="center" vertical="center" wrapText="1"/>
      <protection hidden="1"/>
    </xf>
    <xf numFmtId="0" fontId="13" fillId="0" borderId="0" xfId="0" applyFont="1" applyAlignment="1" applyProtection="1">
      <alignment horizontal="right" vertical="center"/>
      <protection hidden="1"/>
    </xf>
    <xf numFmtId="14" fontId="23" fillId="0" borderId="43" xfId="0" applyNumberFormat="1" applyFont="1" applyBorder="1" applyAlignment="1" applyProtection="1">
      <alignment horizontal="center" vertical="center"/>
      <protection hidden="1"/>
    </xf>
    <xf numFmtId="0" fontId="20" fillId="5" borderId="66" xfId="0" applyFont="1" applyFill="1" applyBorder="1" applyAlignment="1" applyProtection="1">
      <alignment horizontal="right" vertical="center" wrapText="1"/>
      <protection hidden="1"/>
    </xf>
    <xf numFmtId="0" fontId="70" fillId="50" borderId="46" xfId="0" applyFont="1" applyFill="1" applyBorder="1" applyAlignment="1" applyProtection="1">
      <alignment horizontal="left" vertical="center" wrapText="1"/>
      <protection locked="0"/>
    </xf>
    <xf numFmtId="0" fontId="127" fillId="50" borderId="48" xfId="0" applyFont="1" applyFill="1" applyBorder="1" applyAlignment="1" applyProtection="1">
      <alignment horizontal="left" vertical="center" wrapText="1"/>
      <protection locked="0"/>
    </xf>
    <xf numFmtId="0" fontId="127" fillId="50" borderId="47" xfId="0" applyFont="1" applyFill="1" applyBorder="1" applyAlignment="1" applyProtection="1">
      <alignment horizontal="left" vertical="center" wrapText="1"/>
      <protection locked="0"/>
    </xf>
    <xf numFmtId="0" fontId="23" fillId="0" borderId="64" xfId="0" applyFont="1" applyBorder="1" applyAlignment="1" applyProtection="1">
      <alignment horizontal="left" vertical="center" wrapText="1" indent="1"/>
      <protection hidden="1"/>
    </xf>
    <xf numFmtId="0" fontId="23" fillId="0" borderId="65" xfId="0" applyFont="1" applyBorder="1" applyAlignment="1" applyProtection="1">
      <alignment horizontal="left" vertical="center" wrapText="1" indent="1"/>
      <protection hidden="1"/>
    </xf>
    <xf numFmtId="0" fontId="23" fillId="0" borderId="66" xfId="0" applyFont="1" applyBorder="1" applyAlignment="1" applyProtection="1">
      <alignment horizontal="left" vertical="center" wrapText="1" indent="1"/>
      <protection hidden="1"/>
    </xf>
    <xf numFmtId="0" fontId="23" fillId="8" borderId="45" xfId="0" applyFont="1" applyFill="1" applyBorder="1" applyAlignment="1" applyProtection="1">
      <alignment horizontal="left" vertical="center" wrapText="1" indent="1"/>
      <protection hidden="1"/>
    </xf>
    <xf numFmtId="3" fontId="23" fillId="50" borderId="45" xfId="0" applyNumberFormat="1" applyFont="1" applyFill="1" applyBorder="1" applyAlignment="1" applyProtection="1">
      <alignment horizontal="center" vertical="center" wrapText="1"/>
      <protection locked="0"/>
    </xf>
    <xf numFmtId="0" fontId="23" fillId="8" borderId="45" xfId="0" applyFont="1" applyFill="1" applyBorder="1" applyAlignment="1" applyProtection="1">
      <alignment horizontal="right" vertical="center" wrapText="1" indent="1"/>
      <protection hidden="1"/>
    </xf>
    <xf numFmtId="0" fontId="64" fillId="50" borderId="68" xfId="0" applyFont="1" applyFill="1" applyBorder="1" applyAlignment="1" applyProtection="1">
      <alignment horizontal="left" vertical="top" wrapText="1" indent="2"/>
      <protection locked="0"/>
    </xf>
    <xf numFmtId="0" fontId="64" fillId="50" borderId="69" xfId="0" applyFont="1" applyFill="1" applyBorder="1" applyAlignment="1" applyProtection="1">
      <alignment horizontal="left" vertical="top" wrapText="1" indent="2"/>
      <protection locked="0"/>
    </xf>
    <xf numFmtId="0" fontId="64" fillId="50" borderId="54" xfId="0" applyFont="1" applyFill="1" applyBorder="1" applyAlignment="1" applyProtection="1">
      <alignment horizontal="left" vertical="top" wrapText="1" indent="2"/>
      <protection locked="0"/>
    </xf>
    <xf numFmtId="0" fontId="40" fillId="5" borderId="45" xfId="0" applyFont="1" applyFill="1" applyBorder="1" applyAlignment="1" applyProtection="1">
      <alignment horizontal="left" vertical="center" wrapText="1" indent="1"/>
      <protection hidden="1"/>
    </xf>
    <xf numFmtId="0" fontId="71" fillId="50" borderId="45" xfId="0" applyFont="1" applyFill="1" applyBorder="1" applyAlignment="1" applyProtection="1">
      <alignment horizontal="left" indent="1"/>
      <protection locked="0"/>
    </xf>
    <xf numFmtId="0" fontId="20" fillId="5" borderId="46" xfId="0" applyFont="1" applyFill="1" applyBorder="1" applyAlignment="1" applyProtection="1">
      <alignment horizontal="center" vertical="center" wrapText="1"/>
      <protection hidden="1"/>
    </xf>
    <xf numFmtId="0" fontId="20" fillId="5" borderId="48" xfId="0" applyFont="1" applyFill="1" applyBorder="1" applyAlignment="1" applyProtection="1">
      <alignment horizontal="center" vertical="center" wrapText="1"/>
      <protection hidden="1"/>
    </xf>
    <xf numFmtId="0" fontId="20" fillId="5" borderId="47" xfId="0" applyFont="1" applyFill="1" applyBorder="1" applyAlignment="1" applyProtection="1">
      <alignment horizontal="center" vertical="center" wrapText="1"/>
      <protection hidden="1"/>
    </xf>
    <xf numFmtId="0" fontId="23" fillId="10" borderId="45" xfId="0" applyFont="1" applyFill="1" applyBorder="1" applyAlignment="1" applyProtection="1">
      <alignment horizontal="left" vertical="center" wrapText="1" indent="1"/>
      <protection hidden="1"/>
    </xf>
    <xf numFmtId="0" fontId="23" fillId="0" borderId="69" xfId="0" applyFont="1" applyBorder="1" applyAlignment="1" applyProtection="1">
      <alignment horizontal="center" vertical="center"/>
      <protection hidden="1"/>
    </xf>
    <xf numFmtId="0" fontId="23" fillId="0" borderId="22" xfId="0" applyFont="1" applyBorder="1" applyAlignment="1" applyProtection="1">
      <alignment horizontal="center" vertical="center"/>
      <protection hidden="1"/>
    </xf>
    <xf numFmtId="3" fontId="23" fillId="10" borderId="45" xfId="0" applyNumberFormat="1" applyFont="1" applyFill="1" applyBorder="1" applyAlignment="1" applyProtection="1">
      <alignment horizontal="right" vertical="center" wrapText="1"/>
      <protection hidden="1"/>
    </xf>
    <xf numFmtId="3" fontId="13" fillId="0" borderId="45" xfId="0" applyNumberFormat="1" applyFont="1" applyBorder="1" applyAlignment="1" applyProtection="1">
      <alignment horizontal="right" vertical="center" wrapText="1"/>
      <protection hidden="1"/>
    </xf>
    <xf numFmtId="0" fontId="15" fillId="0" borderId="0" xfId="0" applyFont="1" applyAlignment="1" applyProtection="1">
      <alignment horizontal="left" vertical="center" wrapText="1"/>
      <protection hidden="1"/>
    </xf>
    <xf numFmtId="3" fontId="23" fillId="12" borderId="45" xfId="0" applyNumberFormat="1" applyFont="1" applyFill="1" applyBorder="1" applyAlignment="1" applyProtection="1">
      <alignment horizontal="right" vertical="center" wrapText="1"/>
      <protection hidden="1"/>
    </xf>
    <xf numFmtId="14" fontId="23" fillId="0" borderId="22" xfId="0" applyNumberFormat="1" applyFont="1" applyBorder="1" applyAlignment="1" applyProtection="1">
      <alignment horizontal="center" vertical="center"/>
      <protection hidden="1"/>
    </xf>
    <xf numFmtId="0" fontId="13" fillId="0" borderId="45" xfId="0" applyFont="1" applyBorder="1" applyAlignment="1" applyProtection="1">
      <alignment horizontal="center" vertical="center" wrapText="1"/>
      <protection hidden="1"/>
    </xf>
    <xf numFmtId="0" fontId="75" fillId="0" borderId="45" xfId="0" applyFont="1" applyBorder="1" applyAlignment="1" applyProtection="1">
      <alignment horizontal="left" vertical="center" wrapText="1" indent="1"/>
      <protection hidden="1"/>
    </xf>
    <xf numFmtId="0" fontId="23" fillId="0" borderId="48" xfId="0" applyFont="1" applyBorder="1" applyAlignment="1" applyProtection="1">
      <alignment horizontal="center" vertical="center" wrapText="1"/>
      <protection hidden="1"/>
    </xf>
    <xf numFmtId="0" fontId="23" fillId="0" borderId="47" xfId="0" applyFont="1" applyBorder="1" applyAlignment="1" applyProtection="1">
      <alignment horizontal="center" vertical="center" wrapText="1"/>
      <protection hidden="1"/>
    </xf>
    <xf numFmtId="3" fontId="23" fillId="0" borderId="45" xfId="0" applyNumberFormat="1" applyFont="1" applyBorder="1" applyAlignment="1" applyProtection="1">
      <alignment horizontal="center" vertical="center" wrapText="1"/>
      <protection hidden="1"/>
    </xf>
    <xf numFmtId="0" fontId="13" fillId="19" borderId="46" xfId="0" applyFont="1" applyFill="1" applyBorder="1" applyAlignment="1" applyProtection="1">
      <alignment horizontal="center" vertical="center" wrapText="1"/>
      <protection hidden="1"/>
    </xf>
    <xf numFmtId="0" fontId="13" fillId="19" borderId="48" xfId="0" applyFont="1" applyFill="1" applyBorder="1" applyAlignment="1" applyProtection="1">
      <alignment horizontal="center" vertical="center" wrapText="1"/>
      <protection hidden="1"/>
    </xf>
    <xf numFmtId="0" fontId="13" fillId="19" borderId="47" xfId="0" applyFont="1" applyFill="1" applyBorder="1" applyAlignment="1" applyProtection="1">
      <alignment horizontal="center" vertical="center" wrapText="1"/>
      <protection hidden="1"/>
    </xf>
    <xf numFmtId="3" fontId="13" fillId="50" borderId="48" xfId="0" applyNumberFormat="1" applyFont="1" applyFill="1" applyBorder="1" applyAlignment="1" applyProtection="1">
      <alignment horizontal="right" vertical="center" wrapText="1" indent="1"/>
      <protection locked="0"/>
    </xf>
    <xf numFmtId="3" fontId="13" fillId="50" borderId="47" xfId="0" applyNumberFormat="1" applyFont="1" applyFill="1" applyBorder="1" applyAlignment="1" applyProtection="1">
      <alignment horizontal="right" vertical="center" wrapText="1" indent="1"/>
      <protection locked="0"/>
    </xf>
    <xf numFmtId="3" fontId="23" fillId="11" borderId="48" xfId="0" applyNumberFormat="1" applyFont="1" applyFill="1" applyBorder="1" applyAlignment="1" applyProtection="1">
      <alignment horizontal="right" vertical="center" wrapText="1" indent="1"/>
      <protection hidden="1"/>
    </xf>
    <xf numFmtId="3" fontId="23" fillId="11" borderId="47" xfId="0" applyNumberFormat="1" applyFont="1" applyFill="1" applyBorder="1" applyAlignment="1" applyProtection="1">
      <alignment horizontal="right" vertical="center" wrapText="1" indent="1"/>
      <protection hidden="1"/>
    </xf>
    <xf numFmtId="3" fontId="13" fillId="0" borderId="48" xfId="0" applyNumberFormat="1" applyFont="1" applyBorder="1" applyAlignment="1" applyProtection="1">
      <alignment horizontal="right" vertical="center" wrapText="1" indent="1"/>
      <protection hidden="1"/>
    </xf>
    <xf numFmtId="3" fontId="13" fillId="0" borderId="47" xfId="0" applyNumberFormat="1" applyFont="1" applyBorder="1" applyAlignment="1" applyProtection="1">
      <alignment horizontal="right" vertical="center" wrapText="1" indent="1"/>
      <protection hidden="1"/>
    </xf>
    <xf numFmtId="3" fontId="13" fillId="50" borderId="46" xfId="0" applyNumberFormat="1" applyFont="1" applyFill="1" applyBorder="1" applyAlignment="1" applyProtection="1">
      <alignment horizontal="center" vertical="center" wrapText="1"/>
      <protection locked="0"/>
    </xf>
    <xf numFmtId="3" fontId="13" fillId="50" borderId="48" xfId="0" applyNumberFormat="1" applyFont="1" applyFill="1" applyBorder="1" applyAlignment="1" applyProtection="1">
      <alignment horizontal="center" vertical="center" wrapText="1"/>
      <protection locked="0"/>
    </xf>
    <xf numFmtId="3" fontId="13" fillId="50" borderId="47" xfId="0" applyNumberFormat="1" applyFont="1" applyFill="1" applyBorder="1" applyAlignment="1" applyProtection="1">
      <alignment horizontal="center" vertical="center" wrapText="1"/>
      <protection locked="0"/>
    </xf>
    <xf numFmtId="0" fontId="13" fillId="0" borderId="68" xfId="0" applyFont="1" applyBorder="1" applyAlignment="1" applyProtection="1">
      <alignment horizontal="center" vertical="center" wrapText="1"/>
      <protection hidden="1"/>
    </xf>
    <xf numFmtId="0" fontId="13" fillId="0" borderId="69" xfId="0" applyFont="1" applyBorder="1" applyAlignment="1" applyProtection="1">
      <alignment horizontal="center" vertical="center" wrapText="1"/>
      <protection hidden="1"/>
    </xf>
    <xf numFmtId="0" fontId="13" fillId="0" borderId="54" xfId="0" applyFont="1" applyBorder="1" applyAlignment="1" applyProtection="1">
      <alignment horizontal="center" vertical="center" wrapText="1"/>
      <protection hidden="1"/>
    </xf>
    <xf numFmtId="3" fontId="23" fillId="50" borderId="46" xfId="0" applyNumberFormat="1" applyFont="1" applyFill="1" applyBorder="1" applyAlignment="1" applyProtection="1">
      <alignment horizontal="center" vertical="center" wrapText="1"/>
      <protection locked="0"/>
    </xf>
    <xf numFmtId="3" fontId="23" fillId="50" borderId="48" xfId="0" applyNumberFormat="1" applyFont="1" applyFill="1" applyBorder="1" applyAlignment="1" applyProtection="1">
      <alignment horizontal="center" vertical="center" wrapText="1"/>
      <protection locked="0"/>
    </xf>
    <xf numFmtId="3" fontId="23" fillId="50" borderId="47" xfId="0" applyNumberFormat="1" applyFont="1" applyFill="1" applyBorder="1" applyAlignment="1" applyProtection="1">
      <alignment horizontal="center" vertical="center" wrapText="1"/>
      <protection locked="0"/>
    </xf>
    <xf numFmtId="0" fontId="75" fillId="0" borderId="46" xfId="0" applyFont="1" applyBorder="1" applyAlignment="1" applyProtection="1">
      <alignment horizontal="center" vertical="center" wrapText="1"/>
      <protection hidden="1"/>
    </xf>
    <xf numFmtId="0" fontId="75" fillId="0" borderId="48" xfId="0" applyFont="1" applyBorder="1" applyAlignment="1" applyProtection="1">
      <alignment horizontal="center" vertical="center" wrapText="1"/>
      <protection hidden="1"/>
    </xf>
    <xf numFmtId="0" fontId="75" fillId="0" borderId="47" xfId="0" applyFont="1" applyBorder="1" applyAlignment="1" applyProtection="1">
      <alignment horizontal="center" vertical="center" wrapText="1"/>
      <protection hidden="1"/>
    </xf>
    <xf numFmtId="0" fontId="13" fillId="20" borderId="46" xfId="0" applyFont="1" applyFill="1" applyBorder="1" applyAlignment="1" applyProtection="1">
      <alignment horizontal="center" vertical="center" wrapText="1"/>
      <protection hidden="1"/>
    </xf>
    <xf numFmtId="0" fontId="13" fillId="20" borderId="48" xfId="0" applyFont="1" applyFill="1" applyBorder="1" applyAlignment="1" applyProtection="1">
      <alignment horizontal="center" vertical="center" wrapText="1"/>
      <protection hidden="1"/>
    </xf>
    <xf numFmtId="0" fontId="13" fillId="20" borderId="47" xfId="0" applyFont="1" applyFill="1" applyBorder="1" applyAlignment="1" applyProtection="1">
      <alignment horizontal="center" vertical="center" wrapText="1"/>
      <protection hidden="1"/>
    </xf>
    <xf numFmtId="0" fontId="75" fillId="11" borderId="45" xfId="0" applyFont="1" applyFill="1" applyBorder="1" applyAlignment="1" applyProtection="1">
      <alignment horizontal="left" vertical="center" wrapText="1" indent="1"/>
      <protection hidden="1"/>
    </xf>
    <xf numFmtId="3" fontId="23" fillId="11" borderId="48" xfId="0" applyNumberFormat="1" applyFont="1" applyFill="1" applyBorder="1" applyAlignment="1" applyProtection="1">
      <alignment horizontal="right" vertical="center" wrapText="1"/>
      <protection hidden="1"/>
    </xf>
    <xf numFmtId="3" fontId="23" fillId="11" borderId="47" xfId="0" applyNumberFormat="1" applyFont="1" applyFill="1" applyBorder="1" applyAlignment="1" applyProtection="1">
      <alignment horizontal="right" vertical="center" wrapText="1"/>
      <protection hidden="1"/>
    </xf>
    <xf numFmtId="3" fontId="13" fillId="0" borderId="48" xfId="0" applyNumberFormat="1" applyFont="1" applyBorder="1" applyAlignment="1" applyProtection="1">
      <alignment horizontal="right" vertical="center" wrapText="1"/>
      <protection hidden="1"/>
    </xf>
    <xf numFmtId="0" fontId="13" fillId="50" borderId="46" xfId="0" applyFont="1" applyFill="1" applyBorder="1" applyAlignment="1" applyProtection="1">
      <alignment horizontal="center" vertical="center" wrapText="1"/>
      <protection locked="0"/>
    </xf>
    <xf numFmtId="0" fontId="13" fillId="50" borderId="48" xfId="0" applyFont="1" applyFill="1" applyBorder="1" applyAlignment="1" applyProtection="1">
      <alignment horizontal="center" vertical="center" wrapText="1"/>
      <protection locked="0"/>
    </xf>
    <xf numFmtId="0" fontId="13" fillId="50" borderId="47" xfId="0" applyFont="1" applyFill="1" applyBorder="1" applyAlignment="1" applyProtection="1">
      <alignment horizontal="center" vertical="center" wrapText="1"/>
      <protection locked="0"/>
    </xf>
    <xf numFmtId="3" fontId="13" fillId="50" borderId="69" xfId="0" applyNumberFormat="1" applyFont="1" applyFill="1" applyBorder="1" applyAlignment="1" applyProtection="1">
      <alignment horizontal="right" vertical="center" wrapText="1"/>
      <protection locked="0"/>
    </xf>
    <xf numFmtId="3" fontId="13" fillId="50" borderId="54" xfId="0" applyNumberFormat="1" applyFont="1" applyFill="1" applyBorder="1" applyAlignment="1" applyProtection="1">
      <alignment horizontal="right" vertical="center" wrapText="1"/>
      <protection locked="0"/>
    </xf>
    <xf numFmtId="0" fontId="76" fillId="0" borderId="0" xfId="0" applyFont="1" applyAlignment="1" applyProtection="1">
      <alignment horizontal="left" vertical="center" wrapText="1" indent="1"/>
      <protection hidden="1"/>
    </xf>
    <xf numFmtId="0" fontId="15" fillId="0" borderId="65" xfId="0" quotePrefix="1" applyFont="1" applyBorder="1" applyAlignment="1" applyProtection="1">
      <alignment horizontal="left"/>
      <protection hidden="1"/>
    </xf>
    <xf numFmtId="0" fontId="15" fillId="0" borderId="65" xfId="0" applyFont="1" applyBorder="1" applyAlignment="1" applyProtection="1">
      <alignment horizontal="left"/>
      <protection hidden="1"/>
    </xf>
    <xf numFmtId="0" fontId="71" fillId="50" borderId="45" xfId="0" applyFont="1" applyFill="1" applyBorder="1" applyAlignment="1" applyProtection="1">
      <alignment horizontal="left" vertical="center" indent="1"/>
      <protection locked="0"/>
    </xf>
    <xf numFmtId="0" fontId="71" fillId="50" borderId="45" xfId="0" applyFont="1" applyFill="1" applyBorder="1" applyAlignment="1" applyProtection="1">
      <alignment horizontal="left" vertical="center" wrapText="1" indent="1"/>
      <protection locked="0"/>
    </xf>
    <xf numFmtId="0" fontId="15" fillId="0" borderId="65" xfId="0" applyFont="1" applyBorder="1" applyAlignment="1" applyProtection="1">
      <alignment horizontal="left" vertical="center" wrapText="1"/>
      <protection hidden="1"/>
    </xf>
    <xf numFmtId="0" fontId="68" fillId="50" borderId="46" xfId="0" applyFont="1" applyFill="1" applyBorder="1" applyAlignment="1" applyProtection="1">
      <alignment horizontal="left" vertical="center"/>
      <protection locked="0"/>
    </xf>
    <xf numFmtId="0" fontId="68" fillId="50" borderId="48" xfId="0" applyFont="1" applyFill="1" applyBorder="1" applyAlignment="1" applyProtection="1">
      <alignment horizontal="left" vertical="center"/>
      <protection locked="0"/>
    </xf>
    <xf numFmtId="0" fontId="68" fillId="50" borderId="47" xfId="0" applyFont="1" applyFill="1" applyBorder="1" applyAlignment="1" applyProtection="1">
      <alignment horizontal="left" vertical="center"/>
      <protection locked="0"/>
    </xf>
    <xf numFmtId="0" fontId="23" fillId="0" borderId="45" xfId="0" applyFont="1" applyBorder="1" applyAlignment="1" applyProtection="1">
      <alignment horizontal="left" vertical="center" wrapText="1" indent="1"/>
      <protection hidden="1"/>
    </xf>
    <xf numFmtId="0" fontId="23" fillId="14" borderId="90" xfId="0" applyFont="1" applyFill="1" applyBorder="1" applyAlignment="1" applyProtection="1">
      <alignment horizontal="center" vertical="center" wrapText="1"/>
      <protection hidden="1"/>
    </xf>
    <xf numFmtId="0" fontId="23" fillId="14" borderId="91" xfId="0" applyFont="1" applyFill="1" applyBorder="1" applyAlignment="1" applyProtection="1">
      <alignment horizontal="center" vertical="center" wrapText="1"/>
      <protection hidden="1"/>
    </xf>
    <xf numFmtId="0" fontId="23" fillId="14" borderId="93" xfId="0" applyFont="1" applyFill="1" applyBorder="1" applyAlignment="1" applyProtection="1">
      <alignment horizontal="center" vertical="center" wrapText="1"/>
      <protection hidden="1"/>
    </xf>
    <xf numFmtId="0" fontId="23" fillId="14" borderId="92" xfId="0" applyFont="1" applyFill="1" applyBorder="1" applyAlignment="1" applyProtection="1">
      <alignment horizontal="center" vertical="center" wrapText="1"/>
      <protection hidden="1"/>
    </xf>
    <xf numFmtId="0" fontId="23" fillId="0" borderId="0" xfId="0" applyFont="1" applyAlignment="1" applyProtection="1">
      <alignment horizontal="center" vertical="center" wrapText="1"/>
      <protection hidden="1"/>
    </xf>
    <xf numFmtId="0" fontId="13" fillId="0" borderId="45" xfId="0" applyFont="1" applyBorder="1" applyAlignment="1" applyProtection="1">
      <alignment horizontal="left" vertical="center" indent="1"/>
      <protection hidden="1"/>
    </xf>
    <xf numFmtId="0" fontId="33" fillId="14" borderId="45" xfId="0" applyFont="1" applyFill="1" applyBorder="1" applyAlignment="1" applyProtection="1">
      <alignment horizontal="left" vertical="center" wrapText="1" indent="1"/>
      <protection hidden="1"/>
    </xf>
    <xf numFmtId="49" fontId="49" fillId="0" borderId="0" xfId="0" applyNumberFormat="1" applyFont="1" applyAlignment="1" applyProtection="1">
      <alignment horizontal="left" wrapText="1" indent="1"/>
      <protection hidden="1"/>
    </xf>
    <xf numFmtId="0" fontId="78" fillId="0" borderId="65" xfId="0" quotePrefix="1" applyFont="1" applyBorder="1" applyAlignment="1" applyProtection="1">
      <alignment horizontal="left" vertical="center"/>
      <protection hidden="1"/>
    </xf>
    <xf numFmtId="0" fontId="78" fillId="0" borderId="65" xfId="0" applyFont="1" applyBorder="1" applyAlignment="1" applyProtection="1">
      <alignment horizontal="left" vertical="center"/>
      <protection hidden="1"/>
    </xf>
    <xf numFmtId="49" fontId="49" fillId="0" borderId="0" xfId="0" applyNumberFormat="1" applyFont="1" applyAlignment="1" applyProtection="1">
      <alignment horizontal="left" vertical="top" wrapText="1" indent="1"/>
      <protection hidden="1"/>
    </xf>
    <xf numFmtId="0" fontId="23" fillId="0" borderId="44" xfId="0" applyFont="1" applyBorder="1" applyAlignment="1" applyProtection="1">
      <alignment horizontal="left" vertical="center"/>
      <protection hidden="1"/>
    </xf>
    <xf numFmtId="0" fontId="33" fillId="5" borderId="45" xfId="0" applyFont="1" applyFill="1" applyBorder="1" applyAlignment="1" applyProtection="1">
      <alignment horizontal="center" vertical="center" wrapText="1"/>
      <protection hidden="1"/>
    </xf>
    <xf numFmtId="0" fontId="13" fillId="0" borderId="45" xfId="0" applyFont="1" applyBorder="1" applyAlignment="1" applyProtection="1">
      <alignment horizontal="center"/>
      <protection hidden="1"/>
    </xf>
    <xf numFmtId="0" fontId="64" fillId="50" borderId="45" xfId="0" applyFont="1" applyFill="1" applyBorder="1" applyAlignment="1" applyProtection="1">
      <alignment horizontal="left" vertical="center" wrapText="1" indent="1"/>
      <protection locked="0"/>
    </xf>
    <xf numFmtId="0" fontId="15" fillId="0" borderId="0" xfId="0" applyFont="1" applyAlignment="1" applyProtection="1">
      <alignment horizontal="left" vertical="center" wrapText="1" indent="1"/>
      <protection hidden="1"/>
    </xf>
    <xf numFmtId="0" fontId="33" fillId="10" borderId="45" xfId="0" applyFont="1" applyFill="1" applyBorder="1" applyAlignment="1" applyProtection="1">
      <alignment horizontal="left" vertical="center" wrapText="1" indent="1"/>
      <protection hidden="1"/>
    </xf>
    <xf numFmtId="0" fontId="46" fillId="0" borderId="69" xfId="0" applyFont="1" applyBorder="1" applyAlignment="1" applyProtection="1">
      <alignment horizontal="center" vertical="center"/>
      <protection hidden="1"/>
    </xf>
    <xf numFmtId="0" fontId="31" fillId="0" borderId="48" xfId="0" applyFont="1" applyBorder="1" applyAlignment="1" applyProtection="1">
      <alignment horizontal="left" vertical="center" wrapText="1" indent="1"/>
      <protection hidden="1"/>
    </xf>
    <xf numFmtId="0" fontId="31" fillId="0" borderId="47" xfId="0" applyFont="1" applyBorder="1" applyAlignment="1" applyProtection="1">
      <alignment horizontal="left" vertical="center" wrapText="1" indent="1"/>
      <protection hidden="1"/>
    </xf>
    <xf numFmtId="0" fontId="27" fillId="0" borderId="0" xfId="0" applyFont="1" applyAlignment="1" applyProtection="1">
      <alignment horizontal="center" vertical="center"/>
      <protection hidden="1"/>
    </xf>
    <xf numFmtId="49" fontId="27" fillId="0" borderId="0" xfId="0" applyNumberFormat="1" applyFont="1" applyAlignment="1" applyProtection="1">
      <alignment horizontal="center" vertical="center"/>
      <protection hidden="1"/>
    </xf>
    <xf numFmtId="49" fontId="43" fillId="0" borderId="46" xfId="0" applyNumberFormat="1" applyFont="1" applyBorder="1" applyAlignment="1" applyProtection="1">
      <alignment horizontal="center" vertical="center" wrapText="1"/>
      <protection hidden="1"/>
    </xf>
    <xf numFmtId="49" fontId="43" fillId="0" borderId="47" xfId="0" applyNumberFormat="1" applyFont="1" applyBorder="1" applyAlignment="1" applyProtection="1">
      <alignment horizontal="center" vertical="center" wrapText="1"/>
      <protection hidden="1"/>
    </xf>
    <xf numFmtId="0" fontId="33" fillId="0" borderId="34" xfId="0" applyFont="1" applyBorder="1" applyAlignment="1" applyProtection="1">
      <alignment horizontal="left" vertical="center"/>
      <protection hidden="1"/>
    </xf>
    <xf numFmtId="14" fontId="33" fillId="0" borderId="34" xfId="0" applyNumberFormat="1" applyFont="1" applyBorder="1" applyAlignment="1" applyProtection="1">
      <alignment horizontal="center" vertical="center"/>
      <protection hidden="1"/>
    </xf>
    <xf numFmtId="0" fontId="33" fillId="12" borderId="45" xfId="0" applyFont="1" applyFill="1" applyBorder="1" applyAlignment="1" applyProtection="1">
      <alignment horizontal="left" vertical="center" wrapText="1" indent="1"/>
      <protection hidden="1"/>
    </xf>
    <xf numFmtId="0" fontId="33" fillId="14" borderId="46" xfId="0" applyFont="1" applyFill="1" applyBorder="1" applyAlignment="1" applyProtection="1">
      <alignment horizontal="left" vertical="center" wrapText="1" indent="1"/>
      <protection hidden="1"/>
    </xf>
    <xf numFmtId="0" fontId="33" fillId="14" borderId="48" xfId="0" applyFont="1" applyFill="1" applyBorder="1" applyAlignment="1" applyProtection="1">
      <alignment horizontal="left" vertical="center" wrapText="1" indent="1"/>
      <protection hidden="1"/>
    </xf>
    <xf numFmtId="0" fontId="33" fillId="14" borderId="47" xfId="0" applyFont="1" applyFill="1" applyBorder="1" applyAlignment="1" applyProtection="1">
      <alignment horizontal="left" vertical="center" wrapText="1" indent="1"/>
      <protection hidden="1"/>
    </xf>
    <xf numFmtId="0" fontId="46" fillId="0" borderId="0" xfId="0" applyFont="1" applyAlignment="1" applyProtection="1">
      <alignment horizontal="center" vertical="center"/>
      <protection hidden="1"/>
    </xf>
    <xf numFmtId="0" fontId="31" fillId="0" borderId="46" xfId="0" applyFont="1" applyBorder="1" applyAlignment="1" applyProtection="1">
      <alignment horizontal="left" vertical="center" wrapText="1"/>
      <protection hidden="1"/>
    </xf>
    <xf numFmtId="0" fontId="31" fillId="0" borderId="48" xfId="0" applyFont="1" applyBorder="1" applyAlignment="1" applyProtection="1">
      <alignment horizontal="left" vertical="center" wrapText="1"/>
      <protection hidden="1"/>
    </xf>
    <xf numFmtId="0" fontId="31" fillId="0" borderId="47" xfId="0" applyFont="1" applyBorder="1" applyAlignment="1" applyProtection="1">
      <alignment horizontal="left" vertical="center" wrapText="1"/>
      <protection hidden="1"/>
    </xf>
    <xf numFmtId="0" fontId="15" fillId="0" borderId="65" xfId="0" quotePrefix="1" applyFont="1" applyBorder="1" applyAlignment="1" applyProtection="1">
      <alignment horizontal="left" vertical="center"/>
      <protection hidden="1"/>
    </xf>
    <xf numFmtId="0" fontId="15" fillId="0" borderId="65" xfId="0" applyFont="1" applyBorder="1" applyAlignment="1" applyProtection="1">
      <alignment horizontal="left" vertical="center"/>
      <protection hidden="1"/>
    </xf>
    <xf numFmtId="49" fontId="15" fillId="0" borderId="0" xfId="0" applyNumberFormat="1" applyFont="1" applyAlignment="1" applyProtection="1">
      <alignment horizontal="left" vertical="top" wrapText="1" indent="2"/>
      <protection hidden="1"/>
    </xf>
    <xf numFmtId="0" fontId="33" fillId="11" borderId="45" xfId="0" applyFont="1" applyFill="1" applyBorder="1" applyAlignment="1" applyProtection="1">
      <alignment horizontal="left" vertical="center" wrapText="1" indent="1"/>
      <protection hidden="1"/>
    </xf>
    <xf numFmtId="0" fontId="33" fillId="0" borderId="45" xfId="0" applyFont="1" applyBorder="1" applyAlignment="1" applyProtection="1">
      <alignment horizontal="left" vertical="center" wrapText="1" indent="1"/>
      <protection hidden="1"/>
    </xf>
    <xf numFmtId="0" fontId="80" fillId="50" borderId="45" xfId="0" applyFont="1" applyFill="1" applyBorder="1" applyAlignment="1" applyProtection="1">
      <alignment horizontal="left" vertical="center" wrapText="1" indent="2"/>
      <protection locked="0"/>
    </xf>
    <xf numFmtId="0" fontId="24" fillId="0" borderId="94" xfId="0" applyFont="1" applyBorder="1" applyAlignment="1" applyProtection="1">
      <alignment horizontal="left" vertical="center" wrapText="1" indent="1"/>
      <protection hidden="1"/>
    </xf>
    <xf numFmtId="0" fontId="24" fillId="0" borderId="95" xfId="0" applyFont="1" applyBorder="1" applyAlignment="1" applyProtection="1">
      <alignment horizontal="left" vertical="center" wrapText="1" indent="1"/>
      <protection hidden="1"/>
    </xf>
    <xf numFmtId="0" fontId="24" fillId="0" borderId="96" xfId="0" applyFont="1" applyBorder="1" applyAlignment="1" applyProtection="1">
      <alignment horizontal="left" vertical="center" wrapText="1" indent="1"/>
      <protection hidden="1"/>
    </xf>
    <xf numFmtId="0" fontId="24" fillId="0" borderId="97" xfId="0" applyFont="1" applyBorder="1" applyAlignment="1" applyProtection="1">
      <alignment horizontal="left" vertical="center" wrapText="1" indent="1"/>
      <protection hidden="1"/>
    </xf>
    <xf numFmtId="0" fontId="24" fillId="0" borderId="98" xfId="0" applyFont="1" applyBorder="1" applyAlignment="1" applyProtection="1">
      <alignment horizontal="left" vertical="center" wrapText="1" indent="1"/>
      <protection hidden="1"/>
    </xf>
    <xf numFmtId="0" fontId="24" fillId="0" borderId="99" xfId="0" applyFont="1" applyBorder="1" applyAlignment="1" applyProtection="1">
      <alignment horizontal="left" vertical="center" wrapText="1" indent="1"/>
      <protection hidden="1"/>
    </xf>
    <xf numFmtId="0" fontId="24" fillId="0" borderId="100" xfId="0" applyFont="1" applyBorder="1" applyAlignment="1" applyProtection="1">
      <alignment horizontal="left" vertical="center" wrapText="1" indent="1"/>
      <protection hidden="1"/>
    </xf>
    <xf numFmtId="0" fontId="24" fillId="0" borderId="101" xfId="0" applyFont="1" applyBorder="1" applyAlignment="1" applyProtection="1">
      <alignment horizontal="left" vertical="center" wrapText="1" indent="1"/>
      <protection hidden="1"/>
    </xf>
    <xf numFmtId="0" fontId="24" fillId="0" borderId="102" xfId="0" applyFont="1" applyBorder="1" applyAlignment="1" applyProtection="1">
      <alignment horizontal="left" vertical="center" wrapText="1" indent="1"/>
      <protection hidden="1"/>
    </xf>
    <xf numFmtId="0" fontId="40" fillId="0" borderId="45" xfId="0" applyFont="1" applyBorder="1" applyAlignment="1" applyProtection="1">
      <alignment horizontal="left" vertical="center" wrapText="1" indent="1"/>
      <protection hidden="1"/>
    </xf>
    <xf numFmtId="0" fontId="84" fillId="0" borderId="65" xfId="0" applyFont="1" applyBorder="1" applyAlignment="1" applyProtection="1">
      <alignment horizontal="left" indent="1"/>
      <protection hidden="1"/>
    </xf>
    <xf numFmtId="0" fontId="49" fillId="0" borderId="0" xfId="0" applyFont="1" applyAlignment="1" applyProtection="1">
      <alignment horizontal="left"/>
      <protection hidden="1"/>
    </xf>
    <xf numFmtId="0" fontId="20" fillId="0" borderId="45" xfId="0" applyFont="1" applyBorder="1" applyAlignment="1" applyProtection="1">
      <alignment horizontal="left" vertical="center" wrapText="1" indent="1"/>
      <protection hidden="1"/>
    </xf>
    <xf numFmtId="0" fontId="82" fillId="0" borderId="0" xfId="0" applyFont="1" applyAlignment="1" applyProtection="1">
      <alignment horizontal="left" vertical="top" wrapText="1" indent="1"/>
      <protection hidden="1"/>
    </xf>
    <xf numFmtId="0" fontId="82" fillId="0" borderId="0" xfId="0" quotePrefix="1" applyFont="1" applyAlignment="1" applyProtection="1">
      <alignment horizontal="left" vertical="top" wrapText="1" indent="1"/>
      <protection hidden="1"/>
    </xf>
    <xf numFmtId="0" fontId="82" fillId="8" borderId="45" xfId="0" applyFont="1" applyFill="1" applyBorder="1" applyAlignment="1" applyProtection="1">
      <alignment horizontal="center" vertical="center" wrapText="1"/>
      <protection hidden="1"/>
    </xf>
    <xf numFmtId="0" fontId="20" fillId="0" borderId="0" xfId="0" applyFont="1" applyAlignment="1" applyProtection="1">
      <alignment horizontal="left" vertical="center" wrapText="1"/>
      <protection hidden="1"/>
    </xf>
    <xf numFmtId="0" fontId="20" fillId="0" borderId="103" xfId="0" applyFont="1" applyBorder="1" applyAlignment="1" applyProtection="1">
      <alignment horizontal="center" vertical="center" wrapText="1"/>
      <protection hidden="1"/>
    </xf>
    <xf numFmtId="0" fontId="20" fillId="0" borderId="104" xfId="0" applyFont="1" applyBorder="1" applyAlignment="1" applyProtection="1">
      <alignment horizontal="center" vertical="center" wrapText="1"/>
      <protection hidden="1"/>
    </xf>
    <xf numFmtId="0" fontId="20" fillId="0" borderId="105" xfId="0" applyFont="1" applyBorder="1" applyAlignment="1" applyProtection="1">
      <alignment horizontal="center" vertical="center" wrapText="1"/>
      <protection hidden="1"/>
    </xf>
    <xf numFmtId="0" fontId="20" fillId="0" borderId="106" xfId="0" applyFont="1" applyBorder="1" applyAlignment="1" applyProtection="1">
      <alignment horizontal="center" vertical="center" wrapText="1"/>
      <protection hidden="1"/>
    </xf>
    <xf numFmtId="0" fontId="82" fillId="0" borderId="67" xfId="0" applyFont="1" applyBorder="1" applyAlignment="1" applyProtection="1">
      <alignment horizontal="center" vertical="center" wrapText="1"/>
      <protection hidden="1"/>
    </xf>
    <xf numFmtId="0" fontId="82" fillId="0" borderId="55" xfId="0" applyFont="1" applyBorder="1" applyAlignment="1" applyProtection="1">
      <alignment horizontal="center" vertical="center" wrapText="1"/>
      <protection hidden="1"/>
    </xf>
    <xf numFmtId="0" fontId="40" fillId="0" borderId="0" xfId="0" applyFont="1" applyAlignment="1" applyProtection="1">
      <alignment horizontal="left" vertical="center" wrapText="1"/>
      <protection hidden="1"/>
    </xf>
    <xf numFmtId="3" fontId="20" fillId="50" borderId="45" xfId="0" applyNumberFormat="1" applyFont="1" applyFill="1" applyBorder="1" applyAlignment="1" applyProtection="1">
      <alignment horizontal="right" vertical="center" wrapText="1"/>
      <protection locked="0"/>
    </xf>
    <xf numFmtId="3" fontId="20" fillId="50" borderId="45" xfId="0" applyNumberFormat="1" applyFont="1" applyFill="1" applyBorder="1" applyAlignment="1" applyProtection="1">
      <alignment horizontal="center" vertical="center" wrapText="1"/>
      <protection locked="0"/>
    </xf>
    <xf numFmtId="0" fontId="43" fillId="0" borderId="45" xfId="0" applyFont="1" applyBorder="1" applyAlignment="1" applyProtection="1">
      <alignment horizontal="center" vertical="center" wrapText="1"/>
      <protection hidden="1"/>
    </xf>
    <xf numFmtId="0" fontId="43" fillId="5" borderId="76" xfId="0" applyFont="1" applyFill="1" applyBorder="1" applyAlignment="1" applyProtection="1">
      <alignment horizontal="left" vertical="center" wrapText="1"/>
      <protection hidden="1"/>
    </xf>
    <xf numFmtId="0" fontId="43" fillId="5" borderId="55" xfId="0" applyFont="1" applyFill="1" applyBorder="1" applyAlignment="1" applyProtection="1">
      <alignment horizontal="center" vertical="center" wrapText="1"/>
      <protection hidden="1"/>
    </xf>
    <xf numFmtId="0" fontId="43" fillId="5" borderId="67" xfId="0" applyFont="1" applyFill="1" applyBorder="1" applyAlignment="1" applyProtection="1">
      <alignment horizontal="center" vertical="center" wrapText="1"/>
      <protection hidden="1"/>
    </xf>
    <xf numFmtId="0" fontId="43" fillId="5" borderId="67" xfId="0" applyFont="1" applyFill="1" applyBorder="1" applyAlignment="1" applyProtection="1">
      <alignment horizontal="right" vertical="center" wrapText="1"/>
      <protection hidden="1"/>
    </xf>
    <xf numFmtId="0" fontId="87" fillId="0" borderId="46" xfId="0" applyFont="1" applyBorder="1" applyAlignment="1" applyProtection="1">
      <alignment horizontal="left" vertical="center" wrapText="1" indent="1"/>
      <protection hidden="1"/>
    </xf>
    <xf numFmtId="0" fontId="87" fillId="0" borderId="48" xfId="0" applyFont="1" applyBorder="1" applyAlignment="1" applyProtection="1">
      <alignment horizontal="left" vertical="center" wrapText="1" indent="1"/>
      <protection hidden="1"/>
    </xf>
    <xf numFmtId="0" fontId="87" fillId="0" borderId="47" xfId="0" applyFont="1" applyBorder="1" applyAlignment="1" applyProtection="1">
      <alignment horizontal="left" vertical="center" wrapText="1" indent="1"/>
      <protection hidden="1"/>
    </xf>
    <xf numFmtId="0" fontId="43" fillId="5" borderId="68" xfId="0" applyFont="1" applyFill="1" applyBorder="1" applyAlignment="1" applyProtection="1">
      <alignment horizontal="left" wrapText="1"/>
      <protection hidden="1"/>
    </xf>
    <xf numFmtId="0" fontId="43" fillId="5" borderId="69" xfId="0" applyFont="1" applyFill="1" applyBorder="1" applyAlignment="1" applyProtection="1">
      <alignment horizontal="left" wrapText="1"/>
      <protection hidden="1"/>
    </xf>
    <xf numFmtId="0" fontId="43" fillId="5" borderId="54" xfId="0" applyFont="1" applyFill="1" applyBorder="1" applyAlignment="1" applyProtection="1">
      <alignment horizontal="left" wrapText="1"/>
      <protection hidden="1"/>
    </xf>
    <xf numFmtId="0" fontId="43" fillId="5" borderId="64" xfId="0" applyFont="1" applyFill="1" applyBorder="1" applyAlignment="1" applyProtection="1">
      <alignment horizontal="right" vertical="center" wrapText="1"/>
      <protection hidden="1"/>
    </xf>
    <xf numFmtId="0" fontId="43" fillId="5" borderId="65" xfId="0" applyFont="1" applyFill="1" applyBorder="1" applyAlignment="1" applyProtection="1">
      <alignment horizontal="right" vertical="center" wrapText="1"/>
      <protection hidden="1"/>
    </xf>
    <xf numFmtId="0" fontId="43" fillId="5" borderId="66" xfId="0" applyFont="1" applyFill="1" applyBorder="1" applyAlignment="1" applyProtection="1">
      <alignment horizontal="right" vertical="center" wrapText="1"/>
      <protection hidden="1"/>
    </xf>
    <xf numFmtId="0" fontId="85" fillId="5" borderId="70" xfId="0" applyFont="1" applyFill="1" applyBorder="1" applyAlignment="1" applyProtection="1">
      <alignment horizontal="center" vertical="center" wrapText="1"/>
      <protection hidden="1"/>
    </xf>
    <xf numFmtId="0" fontId="85" fillId="5" borderId="0" xfId="0" applyFont="1" applyFill="1" applyAlignment="1" applyProtection="1">
      <alignment horizontal="center" vertical="center" wrapText="1"/>
      <protection hidden="1"/>
    </xf>
    <xf numFmtId="0" fontId="85" fillId="5" borderId="71" xfId="0" applyFont="1" applyFill="1" applyBorder="1" applyAlignment="1" applyProtection="1">
      <alignment horizontal="center" vertical="center" wrapText="1"/>
      <protection hidden="1"/>
    </xf>
    <xf numFmtId="0" fontId="27" fillId="0" borderId="46" xfId="0" applyFont="1" applyBorder="1" applyAlignment="1" applyProtection="1">
      <alignment horizontal="left" vertical="center" wrapText="1" indent="1"/>
      <protection hidden="1"/>
    </xf>
    <xf numFmtId="0" fontId="27" fillId="0" borderId="48" xfId="0" applyFont="1" applyBorder="1" applyAlignment="1" applyProtection="1">
      <alignment horizontal="left" vertical="center" wrapText="1" indent="1"/>
      <protection hidden="1"/>
    </xf>
    <xf numFmtId="0" fontId="27" fillId="0" borderId="47" xfId="0" applyFont="1" applyBorder="1" applyAlignment="1" applyProtection="1">
      <alignment horizontal="left" vertical="center" wrapText="1" indent="1"/>
      <protection hidden="1"/>
    </xf>
    <xf numFmtId="0" fontId="70" fillId="50" borderId="46" xfId="0" applyFont="1" applyFill="1" applyBorder="1" applyAlignment="1" applyProtection="1">
      <alignment horizontal="left" vertical="center" wrapText="1" indent="1"/>
      <protection locked="0"/>
    </xf>
    <xf numFmtId="0" fontId="70" fillId="50" borderId="48" xfId="0" applyFont="1" applyFill="1" applyBorder="1" applyAlignment="1" applyProtection="1">
      <alignment horizontal="left" vertical="center" wrapText="1" indent="1"/>
      <protection locked="0"/>
    </xf>
    <xf numFmtId="0" fontId="70" fillId="50" borderId="47" xfId="0" applyFont="1" applyFill="1" applyBorder="1" applyAlignment="1" applyProtection="1">
      <alignment horizontal="left" vertical="center" wrapText="1" indent="1"/>
      <protection locked="0"/>
    </xf>
    <xf numFmtId="0" fontId="82" fillId="0" borderId="45" xfId="0" applyFont="1" applyBorder="1" applyAlignment="1" applyProtection="1">
      <alignment horizontal="left" vertical="center" wrapText="1"/>
      <protection hidden="1"/>
    </xf>
    <xf numFmtId="0" fontId="31" fillId="5" borderId="64" xfId="0" applyFont="1" applyFill="1" applyBorder="1" applyAlignment="1" applyProtection="1">
      <alignment horizontal="right" wrapText="1"/>
      <protection hidden="1"/>
    </xf>
    <xf numFmtId="0" fontId="31" fillId="5" borderId="65" xfId="0" applyFont="1" applyFill="1" applyBorder="1" applyAlignment="1" applyProtection="1">
      <alignment horizontal="right" wrapText="1"/>
      <protection hidden="1"/>
    </xf>
    <xf numFmtId="0" fontId="31" fillId="5" borderId="66" xfId="0" applyFont="1" applyFill="1" applyBorder="1" applyAlignment="1" applyProtection="1">
      <alignment horizontal="right" wrapText="1"/>
      <protection hidden="1"/>
    </xf>
    <xf numFmtId="0" fontId="31" fillId="5" borderId="67" xfId="0" applyFont="1" applyFill="1" applyBorder="1" applyAlignment="1" applyProtection="1">
      <alignment horizontal="center" vertical="center" wrapText="1"/>
      <protection hidden="1"/>
    </xf>
    <xf numFmtId="0" fontId="31" fillId="5" borderId="55" xfId="0" applyFont="1" applyFill="1" applyBorder="1" applyAlignment="1" applyProtection="1">
      <alignment horizontal="center" vertical="center" wrapText="1"/>
      <protection hidden="1"/>
    </xf>
    <xf numFmtId="0" fontId="31" fillId="5" borderId="68" xfId="0" applyFont="1" applyFill="1" applyBorder="1" applyAlignment="1" applyProtection="1">
      <alignment horizontal="left" vertical="center" wrapText="1"/>
      <protection hidden="1"/>
    </xf>
    <xf numFmtId="0" fontId="31" fillId="5" borderId="69" xfId="0" applyFont="1" applyFill="1" applyBorder="1" applyAlignment="1" applyProtection="1">
      <alignment horizontal="left" vertical="center" wrapText="1"/>
      <protection hidden="1"/>
    </xf>
    <xf numFmtId="0" fontId="31" fillId="5" borderId="54" xfId="0" applyFont="1" applyFill="1" applyBorder="1" applyAlignment="1" applyProtection="1">
      <alignment horizontal="left" vertical="center" wrapText="1"/>
      <protection hidden="1"/>
    </xf>
    <xf numFmtId="0" fontId="40" fillId="14" borderId="46" xfId="0" applyFont="1" applyFill="1" applyBorder="1" applyAlignment="1" applyProtection="1">
      <alignment horizontal="left" vertical="center" wrapText="1" indent="1"/>
      <protection hidden="1"/>
    </xf>
    <xf numFmtId="0" fontId="40" fillId="14" borderId="48" xfId="0" applyFont="1" applyFill="1" applyBorder="1" applyAlignment="1" applyProtection="1">
      <alignment horizontal="left" vertical="center" wrapText="1" indent="1"/>
      <protection hidden="1"/>
    </xf>
    <xf numFmtId="0" fontId="40" fillId="14" borderId="47" xfId="0" applyFont="1" applyFill="1" applyBorder="1" applyAlignment="1" applyProtection="1">
      <alignment horizontal="left" vertical="center" wrapText="1" indent="1"/>
      <protection hidden="1"/>
    </xf>
    <xf numFmtId="0" fontId="40" fillId="0" borderId="46" xfId="0" applyFont="1" applyBorder="1" applyAlignment="1" applyProtection="1">
      <alignment horizontal="left" vertical="center" wrapText="1"/>
      <protection hidden="1"/>
    </xf>
    <xf numFmtId="0" fontId="40" fillId="0" borderId="48" xfId="0" applyFont="1" applyBorder="1" applyAlignment="1" applyProtection="1">
      <alignment horizontal="left" vertical="center" wrapText="1"/>
      <protection hidden="1"/>
    </xf>
    <xf numFmtId="0" fontId="40" fillId="10" borderId="46" xfId="0" applyFont="1" applyFill="1" applyBorder="1" applyAlignment="1" applyProtection="1">
      <alignment horizontal="left" vertical="center" wrapText="1" indent="1"/>
      <protection hidden="1"/>
    </xf>
    <xf numFmtId="0" fontId="40" fillId="10" borderId="48" xfId="0" applyFont="1" applyFill="1" applyBorder="1" applyAlignment="1" applyProtection="1">
      <alignment horizontal="left" vertical="center" wrapText="1" indent="1"/>
      <protection hidden="1"/>
    </xf>
    <xf numFmtId="0" fontId="40" fillId="10" borderId="47" xfId="0" applyFont="1" applyFill="1" applyBorder="1" applyAlignment="1" applyProtection="1">
      <alignment horizontal="left" vertical="center" wrapText="1" indent="1"/>
      <protection hidden="1"/>
    </xf>
    <xf numFmtId="0" fontId="70" fillId="50" borderId="45" xfId="0" applyFont="1" applyFill="1" applyBorder="1" applyAlignment="1" applyProtection="1">
      <alignment horizontal="left" vertical="center" wrapText="1" indent="1"/>
      <protection locked="0"/>
    </xf>
    <xf numFmtId="0" fontId="40" fillId="0" borderId="47" xfId="0" applyFont="1" applyBorder="1" applyAlignment="1" applyProtection="1">
      <alignment horizontal="left" vertical="center" wrapText="1"/>
      <protection hidden="1"/>
    </xf>
    <xf numFmtId="0" fontId="44" fillId="0" borderId="46" xfId="0" applyFont="1" applyBorder="1" applyAlignment="1" applyProtection="1">
      <alignment horizontal="left" vertical="center" wrapText="1"/>
      <protection hidden="1"/>
    </xf>
    <xf numFmtId="0" fontId="44" fillId="0" borderId="48" xfId="0" applyFont="1" applyBorder="1" applyAlignment="1" applyProtection="1">
      <alignment horizontal="left" vertical="center" wrapText="1"/>
      <protection hidden="1"/>
    </xf>
    <xf numFmtId="0" fontId="44" fillId="0" borderId="47" xfId="0" applyFont="1" applyBorder="1" applyAlignment="1" applyProtection="1">
      <alignment horizontal="left" vertical="center" wrapText="1"/>
      <protection hidden="1"/>
    </xf>
    <xf numFmtId="0" fontId="82" fillId="0" borderId="65" xfId="0" applyFont="1" applyBorder="1" applyAlignment="1" applyProtection="1">
      <alignment horizontal="left" vertical="top" wrapText="1"/>
      <protection hidden="1"/>
    </xf>
    <xf numFmtId="0" fontId="20" fillId="0" borderId="70" xfId="0" quotePrefix="1" applyFont="1" applyBorder="1" applyAlignment="1" applyProtection="1">
      <alignment horizontal="left" vertical="center" wrapText="1" indent="1"/>
      <protection hidden="1"/>
    </xf>
    <xf numFmtId="0" fontId="20" fillId="0" borderId="0" xfId="0" applyFont="1" applyAlignment="1" applyProtection="1">
      <alignment horizontal="left" vertical="center" wrapText="1" indent="1"/>
      <protection hidden="1"/>
    </xf>
    <xf numFmtId="0" fontId="20" fillId="0" borderId="71" xfId="0" applyFont="1" applyBorder="1" applyAlignment="1" applyProtection="1">
      <alignment horizontal="left" vertical="center" wrapText="1" indent="1"/>
      <protection hidden="1"/>
    </xf>
    <xf numFmtId="0" fontId="44" fillId="0" borderId="68" xfId="0" applyFont="1" applyBorder="1" applyAlignment="1" applyProtection="1">
      <alignment horizontal="left" vertical="center" wrapText="1"/>
      <protection hidden="1"/>
    </xf>
    <xf numFmtId="0" fontId="44" fillId="0" borderId="69" xfId="0" applyFont="1" applyBorder="1" applyAlignment="1" applyProtection="1">
      <alignment horizontal="left" vertical="center" wrapText="1"/>
      <protection hidden="1"/>
    </xf>
    <xf numFmtId="0" fontId="44" fillId="0" borderId="54" xfId="0" applyFont="1" applyBorder="1" applyAlignment="1" applyProtection="1">
      <alignment horizontal="left" vertical="center" wrapText="1"/>
      <protection hidden="1"/>
    </xf>
    <xf numFmtId="0" fontId="44" fillId="5" borderId="46" xfId="0" applyFont="1" applyFill="1" applyBorder="1" applyAlignment="1" applyProtection="1">
      <alignment horizontal="center" vertical="center" wrapText="1"/>
      <protection hidden="1"/>
    </xf>
    <xf numFmtId="0" fontId="44" fillId="5" borderId="48" xfId="0" applyFont="1" applyFill="1" applyBorder="1" applyAlignment="1" applyProtection="1">
      <alignment horizontal="center" vertical="center" wrapText="1"/>
      <protection hidden="1"/>
    </xf>
    <xf numFmtId="0" fontId="44" fillId="5" borderId="47" xfId="0" applyFont="1" applyFill="1" applyBorder="1" applyAlignment="1" applyProtection="1">
      <alignment horizontal="center" vertical="center" wrapText="1"/>
      <protection hidden="1"/>
    </xf>
    <xf numFmtId="0" fontId="40" fillId="0" borderId="64" xfId="0" applyFont="1" applyBorder="1" applyAlignment="1" applyProtection="1">
      <alignment horizontal="left" vertical="center" wrapText="1" indent="1"/>
      <protection hidden="1"/>
    </xf>
    <xf numFmtId="0" fontId="40" fillId="0" borderId="65" xfId="0" applyFont="1" applyBorder="1" applyAlignment="1" applyProtection="1">
      <alignment horizontal="left" vertical="center" wrapText="1" indent="1"/>
      <protection hidden="1"/>
    </xf>
    <xf numFmtId="0" fontId="40" fillId="0" borderId="66" xfId="0" applyFont="1" applyBorder="1" applyAlignment="1" applyProtection="1">
      <alignment horizontal="left" vertical="center" wrapText="1" indent="1"/>
      <protection hidden="1"/>
    </xf>
    <xf numFmtId="0" fontId="40" fillId="0" borderId="68" xfId="0" quotePrefix="1" applyFont="1" applyBorder="1" applyAlignment="1" applyProtection="1">
      <alignment horizontal="left" vertical="center" wrapText="1" indent="1"/>
      <protection hidden="1"/>
    </xf>
    <xf numFmtId="0" fontId="40" fillId="0" borderId="69" xfId="0" applyFont="1" applyBorder="1" applyAlignment="1" applyProtection="1">
      <alignment horizontal="left" vertical="center" wrapText="1" indent="1"/>
      <protection hidden="1"/>
    </xf>
    <xf numFmtId="0" fontId="40" fillId="0" borderId="54" xfId="0" applyFont="1" applyBorder="1" applyAlignment="1" applyProtection="1">
      <alignment horizontal="left" vertical="center" wrapText="1" indent="1"/>
      <protection hidden="1"/>
    </xf>
    <xf numFmtId="0" fontId="20" fillId="0" borderId="64" xfId="0" quotePrefix="1" applyFont="1" applyBorder="1" applyAlignment="1" applyProtection="1">
      <alignment horizontal="left" vertical="center" wrapText="1" indent="1"/>
      <protection hidden="1"/>
    </xf>
    <xf numFmtId="0" fontId="20" fillId="0" borderId="65" xfId="0" applyFont="1" applyBorder="1" applyAlignment="1" applyProtection="1">
      <alignment horizontal="left" vertical="center" wrapText="1" indent="1"/>
      <protection hidden="1"/>
    </xf>
    <xf numFmtId="0" fontId="20" fillId="0" borderId="66" xfId="0" applyFont="1" applyBorder="1" applyAlignment="1" applyProtection="1">
      <alignment horizontal="left" vertical="center" wrapText="1" indent="1"/>
      <protection hidden="1"/>
    </xf>
    <xf numFmtId="0" fontId="44" fillId="0" borderId="46" xfId="0" applyFont="1" applyBorder="1" applyAlignment="1" applyProtection="1">
      <alignment horizontal="left" vertical="center" wrapText="1" indent="1"/>
      <protection hidden="1"/>
    </xf>
    <xf numFmtId="0" fontId="44" fillId="0" borderId="48" xfId="0" applyFont="1" applyBorder="1" applyAlignment="1" applyProtection="1">
      <alignment horizontal="left" vertical="center" wrapText="1" indent="1"/>
      <protection hidden="1"/>
    </xf>
    <xf numFmtId="0" fontId="44" fillId="0" borderId="47" xfId="0" applyFont="1" applyBorder="1" applyAlignment="1" applyProtection="1">
      <alignment horizontal="left" vertical="center" wrapText="1" indent="1"/>
      <protection hidden="1"/>
    </xf>
    <xf numFmtId="0" fontId="20" fillId="0" borderId="70" xfId="0" applyFont="1" applyBorder="1" applyAlignment="1" applyProtection="1">
      <alignment horizontal="left" vertical="center" wrapText="1" indent="1"/>
      <protection hidden="1"/>
    </xf>
    <xf numFmtId="0" fontId="40" fillId="0" borderId="70" xfId="0" applyFont="1" applyBorder="1" applyAlignment="1" applyProtection="1">
      <alignment horizontal="left" vertical="center" wrapText="1"/>
      <protection hidden="1"/>
    </xf>
    <xf numFmtId="0" fontId="40" fillId="0" borderId="71" xfId="0" applyFont="1" applyBorder="1" applyAlignment="1" applyProtection="1">
      <alignment horizontal="left" vertical="center" wrapText="1"/>
      <protection hidden="1"/>
    </xf>
    <xf numFmtId="0" fontId="82" fillId="0" borderId="68" xfId="0" applyFont="1" applyBorder="1" applyAlignment="1" applyProtection="1">
      <alignment horizontal="left" vertical="center" wrapText="1" indent="1"/>
      <protection hidden="1"/>
    </xf>
    <xf numFmtId="0" fontId="82" fillId="0" borderId="69" xfId="0" applyFont="1" applyBorder="1" applyAlignment="1" applyProtection="1">
      <alignment horizontal="left" vertical="center" wrapText="1" indent="1"/>
      <protection hidden="1"/>
    </xf>
    <xf numFmtId="0" fontId="82" fillId="0" borderId="54" xfId="0" applyFont="1" applyBorder="1" applyAlignment="1" applyProtection="1">
      <alignment horizontal="left" vertical="center" wrapText="1" indent="1"/>
      <protection hidden="1"/>
    </xf>
    <xf numFmtId="0" fontId="40" fillId="0" borderId="70" xfId="0" applyFont="1" applyBorder="1" applyAlignment="1" applyProtection="1">
      <alignment horizontal="left" vertical="center" wrapText="1" indent="1"/>
      <protection hidden="1"/>
    </xf>
    <xf numFmtId="0" fontId="40" fillId="0" borderId="0" xfId="0" applyFont="1" applyAlignment="1" applyProtection="1">
      <alignment horizontal="left" vertical="center" wrapText="1" indent="1"/>
      <protection hidden="1"/>
    </xf>
    <xf numFmtId="0" fontId="40" fillId="0" borderId="71" xfId="0" applyFont="1" applyBorder="1" applyAlignment="1" applyProtection="1">
      <alignment horizontal="left" vertical="center" wrapText="1" indent="1"/>
      <protection hidden="1"/>
    </xf>
    <xf numFmtId="0" fontId="43" fillId="0" borderId="70" xfId="0" applyFont="1" applyBorder="1" applyAlignment="1" applyProtection="1">
      <alignment horizontal="left" vertical="center" wrapText="1" indent="1"/>
      <protection hidden="1"/>
    </xf>
    <xf numFmtId="0" fontId="43" fillId="0" borderId="0" xfId="0" applyFont="1" applyAlignment="1" applyProtection="1">
      <alignment horizontal="left" vertical="center" wrapText="1" indent="1"/>
      <protection hidden="1"/>
    </xf>
    <xf numFmtId="0" fontId="43" fillId="0" borderId="71" xfId="0" applyFont="1" applyBorder="1" applyAlignment="1" applyProtection="1">
      <alignment horizontal="left" vertical="center" wrapText="1" indent="1"/>
      <protection hidden="1"/>
    </xf>
    <xf numFmtId="0" fontId="20" fillId="0" borderId="46" xfId="0" applyFont="1" applyBorder="1" applyAlignment="1" applyProtection="1">
      <alignment horizontal="center" vertical="center" wrapText="1"/>
      <protection hidden="1"/>
    </xf>
    <xf numFmtId="0" fontId="20" fillId="0" borderId="48" xfId="0" applyFont="1" applyBorder="1" applyAlignment="1" applyProtection="1">
      <alignment horizontal="center" vertical="center" wrapText="1"/>
      <protection hidden="1"/>
    </xf>
    <xf numFmtId="0" fontId="20" fillId="0" borderId="47" xfId="0" applyFont="1" applyBorder="1" applyAlignment="1" applyProtection="1">
      <alignment horizontal="center" vertical="center" wrapText="1"/>
      <protection hidden="1"/>
    </xf>
    <xf numFmtId="0" fontId="44" fillId="0" borderId="46" xfId="0" quotePrefix="1" applyFont="1" applyBorder="1" applyAlignment="1" applyProtection="1">
      <alignment horizontal="left" vertical="center" wrapText="1"/>
      <protection hidden="1"/>
    </xf>
    <xf numFmtId="0" fontId="20" fillId="0" borderId="64" xfId="0" applyFont="1" applyBorder="1" applyAlignment="1" applyProtection="1">
      <alignment horizontal="left" vertical="center" wrapText="1" indent="1"/>
      <protection hidden="1"/>
    </xf>
    <xf numFmtId="0" fontId="20" fillId="0" borderId="68" xfId="0" applyFont="1" applyBorder="1" applyAlignment="1" applyProtection="1">
      <alignment horizontal="left" vertical="center" wrapText="1" indent="1"/>
      <protection hidden="1"/>
    </xf>
    <xf numFmtId="0" fontId="20" fillId="0" borderId="69" xfId="0" applyFont="1" applyBorder="1" applyAlignment="1" applyProtection="1">
      <alignment horizontal="left" vertical="center" wrapText="1" indent="1"/>
      <protection hidden="1"/>
    </xf>
    <xf numFmtId="0" fontId="20" fillId="0" borderId="54" xfId="0" applyFont="1" applyBorder="1" applyAlignment="1" applyProtection="1">
      <alignment horizontal="left" vertical="center" wrapText="1" indent="1"/>
      <protection hidden="1"/>
    </xf>
    <xf numFmtId="0" fontId="40" fillId="12" borderId="45" xfId="0" applyFont="1" applyFill="1" applyBorder="1" applyAlignment="1" applyProtection="1">
      <alignment horizontal="left" vertical="center" wrapText="1"/>
      <protection hidden="1"/>
    </xf>
    <xf numFmtId="0" fontId="44" fillId="5" borderId="45" xfId="0" applyFont="1" applyFill="1" applyBorder="1" applyAlignment="1" applyProtection="1">
      <alignment horizontal="center" vertical="center" wrapText="1"/>
      <protection hidden="1"/>
    </xf>
    <xf numFmtId="0" fontId="20" fillId="0" borderId="45" xfId="0" applyFont="1" applyBorder="1" applyAlignment="1" applyProtection="1">
      <alignment horizontal="center" vertical="center" wrapText="1"/>
      <protection hidden="1"/>
    </xf>
    <xf numFmtId="0" fontId="40" fillId="0" borderId="5" xfId="0" applyFont="1" applyBorder="1" applyAlignment="1" applyProtection="1">
      <alignment horizontal="left" vertical="center" wrapText="1"/>
      <protection hidden="1"/>
    </xf>
    <xf numFmtId="0" fontId="40" fillId="0" borderId="6" xfId="0" applyFont="1" applyBorder="1" applyAlignment="1" applyProtection="1">
      <alignment horizontal="left" vertical="center" wrapText="1"/>
      <protection hidden="1"/>
    </xf>
    <xf numFmtId="0" fontId="40" fillId="0" borderId="7" xfId="0" applyFont="1" applyBorder="1" applyAlignment="1" applyProtection="1">
      <alignment horizontal="left" vertical="center" wrapText="1"/>
      <protection hidden="1"/>
    </xf>
    <xf numFmtId="0" fontId="20" fillId="0" borderId="11" xfId="0" applyFont="1" applyBorder="1" applyAlignment="1" applyProtection="1">
      <alignment horizontal="left" vertical="center" wrapText="1"/>
      <protection hidden="1"/>
    </xf>
    <xf numFmtId="0" fontId="20" fillId="0" borderId="12" xfId="0" applyFont="1" applyBorder="1" applyAlignment="1" applyProtection="1">
      <alignment horizontal="left" vertical="center" wrapText="1"/>
      <protection hidden="1"/>
    </xf>
    <xf numFmtId="0" fontId="20" fillId="0" borderId="13" xfId="0" applyFont="1" applyBorder="1" applyAlignment="1" applyProtection="1">
      <alignment horizontal="left" vertical="center" wrapText="1"/>
      <protection hidden="1"/>
    </xf>
    <xf numFmtId="0" fontId="52" fillId="50" borderId="107" xfId="0" applyFont="1" applyFill="1" applyBorder="1" applyAlignment="1" applyProtection="1">
      <alignment horizontal="left" vertical="top" wrapText="1"/>
      <protection locked="0"/>
    </xf>
    <xf numFmtId="0" fontId="52" fillId="50" borderId="108" xfId="0" applyFont="1" applyFill="1" applyBorder="1" applyAlignment="1" applyProtection="1">
      <alignment horizontal="left" vertical="top" wrapText="1"/>
      <protection locked="0"/>
    </xf>
    <xf numFmtId="0" fontId="52" fillId="50" borderId="109" xfId="0" applyFont="1" applyFill="1" applyBorder="1" applyAlignment="1" applyProtection="1">
      <alignment horizontal="left" vertical="top" wrapText="1"/>
      <protection locked="0"/>
    </xf>
    <xf numFmtId="0" fontId="20" fillId="0" borderId="9" xfId="0" applyFont="1" applyBorder="1" applyAlignment="1" applyProtection="1">
      <alignment horizontal="left" vertical="center" wrapText="1"/>
      <protection hidden="1"/>
    </xf>
    <xf numFmtId="0" fontId="20" fillId="0" borderId="10" xfId="0" applyFont="1" applyBorder="1" applyAlignment="1" applyProtection="1">
      <alignment horizontal="left" vertical="center" wrapText="1"/>
      <protection hidden="1"/>
    </xf>
    <xf numFmtId="0" fontId="40" fillId="10" borderId="107" xfId="0" applyFont="1" applyFill="1" applyBorder="1" applyAlignment="1" applyProtection="1">
      <alignment horizontal="center" vertical="center" wrapText="1"/>
      <protection hidden="1"/>
    </xf>
    <xf numFmtId="0" fontId="40" fillId="10" borderId="108" xfId="0" applyFont="1" applyFill="1" applyBorder="1" applyAlignment="1" applyProtection="1">
      <alignment horizontal="center" vertical="center" wrapText="1"/>
      <protection hidden="1"/>
    </xf>
    <xf numFmtId="0" fontId="40" fillId="10" borderId="109" xfId="0" applyFont="1" applyFill="1" applyBorder="1" applyAlignment="1" applyProtection="1">
      <alignment horizontal="center" vertical="center" wrapText="1"/>
      <protection hidden="1"/>
    </xf>
    <xf numFmtId="0" fontId="20" fillId="0" borderId="70" xfId="0" applyFont="1" applyBorder="1" applyAlignment="1" applyProtection="1">
      <alignment horizontal="left" vertical="center" wrapText="1"/>
      <protection hidden="1"/>
    </xf>
    <xf numFmtId="0" fontId="20" fillId="0" borderId="71" xfId="0" applyFont="1" applyBorder="1" applyAlignment="1" applyProtection="1">
      <alignment horizontal="left" vertical="center" wrapText="1"/>
      <protection hidden="1"/>
    </xf>
    <xf numFmtId="0" fontId="20" fillId="0" borderId="68" xfId="0" applyFont="1" applyBorder="1" applyAlignment="1" applyProtection="1">
      <alignment horizontal="left" vertical="center" wrapText="1"/>
      <protection hidden="1"/>
    </xf>
    <xf numFmtId="0" fontId="20" fillId="0" borderId="69" xfId="0" applyFont="1" applyBorder="1" applyAlignment="1" applyProtection="1">
      <alignment horizontal="left" vertical="center" wrapText="1"/>
      <protection hidden="1"/>
    </xf>
    <xf numFmtId="0" fontId="20" fillId="0" borderId="54" xfId="0" applyFont="1" applyBorder="1" applyAlignment="1" applyProtection="1">
      <alignment horizontal="left" vertical="center" wrapText="1"/>
      <protection hidden="1"/>
    </xf>
    <xf numFmtId="0" fontId="52" fillId="50" borderId="46" xfId="0" applyFont="1" applyFill="1" applyBorder="1" applyAlignment="1" applyProtection="1">
      <alignment horizontal="left" vertical="top" wrapText="1"/>
      <protection locked="0"/>
    </xf>
    <xf numFmtId="0" fontId="52" fillId="50" borderId="48" xfId="0" applyFont="1" applyFill="1" applyBorder="1" applyAlignment="1" applyProtection="1">
      <alignment horizontal="left" vertical="top" wrapText="1"/>
      <protection locked="0"/>
    </xf>
    <xf numFmtId="0" fontId="52" fillId="50" borderId="47" xfId="0" applyFont="1" applyFill="1" applyBorder="1" applyAlignment="1" applyProtection="1">
      <alignment horizontal="left" vertical="top" wrapText="1"/>
      <protection locked="0"/>
    </xf>
    <xf numFmtId="0" fontId="40" fillId="0" borderId="64" xfId="0" applyFont="1" applyBorder="1" applyAlignment="1" applyProtection="1">
      <alignment horizontal="left" vertical="center" wrapText="1"/>
      <protection hidden="1"/>
    </xf>
    <xf numFmtId="0" fontId="40" fillId="0" borderId="65" xfId="0" applyFont="1" applyBorder="1" applyAlignment="1" applyProtection="1">
      <alignment horizontal="left" vertical="center" wrapText="1"/>
      <protection hidden="1"/>
    </xf>
    <xf numFmtId="0" fontId="40" fillId="0" borderId="66" xfId="0" applyFont="1" applyBorder="1" applyAlignment="1" applyProtection="1">
      <alignment horizontal="left" vertical="center" wrapText="1"/>
      <protection hidden="1"/>
    </xf>
    <xf numFmtId="0" fontId="40" fillId="0" borderId="9" xfId="0" applyFont="1" applyBorder="1" applyAlignment="1" applyProtection="1">
      <alignment horizontal="left" vertical="center" wrapText="1"/>
      <protection hidden="1"/>
    </xf>
    <xf numFmtId="0" fontId="40" fillId="0" borderId="10" xfId="0" applyFont="1" applyBorder="1" applyAlignment="1" applyProtection="1">
      <alignment horizontal="left" vertical="center" wrapText="1"/>
      <protection hidden="1"/>
    </xf>
    <xf numFmtId="0" fontId="40" fillId="0" borderId="34" xfId="0" applyFont="1" applyBorder="1" applyAlignment="1" applyProtection="1">
      <alignment horizontal="left" vertical="center"/>
      <protection hidden="1"/>
    </xf>
    <xf numFmtId="0" fontId="20" fillId="0" borderId="36" xfId="0" applyFont="1" applyBorder="1" applyAlignment="1" applyProtection="1">
      <alignment horizontal="center" vertical="center"/>
      <protection hidden="1"/>
    </xf>
    <xf numFmtId="0" fontId="52" fillId="0" borderId="0" xfId="0" applyFont="1" applyAlignment="1" applyProtection="1">
      <alignment horizontal="center" vertical="center"/>
      <protection hidden="1"/>
    </xf>
    <xf numFmtId="0" fontId="40" fillId="10" borderId="46" xfId="0" applyFont="1" applyFill="1" applyBorder="1" applyAlignment="1" applyProtection="1">
      <alignment horizontal="center" vertical="center" wrapText="1"/>
      <protection hidden="1"/>
    </xf>
    <xf numFmtId="0" fontId="40" fillId="10" borderId="48" xfId="0" applyFont="1" applyFill="1" applyBorder="1" applyAlignment="1" applyProtection="1">
      <alignment horizontal="center" vertical="center" wrapText="1"/>
      <protection hidden="1"/>
    </xf>
    <xf numFmtId="0" fontId="40" fillId="10" borderId="47" xfId="0" applyFont="1" applyFill="1" applyBorder="1" applyAlignment="1" applyProtection="1">
      <alignment horizontal="center" vertical="center" wrapText="1"/>
      <protection hidden="1"/>
    </xf>
    <xf numFmtId="0" fontId="34" fillId="0" borderId="0" xfId="0" applyFont="1" applyProtection="1">
      <protection hidden="1"/>
    </xf>
    <xf numFmtId="0" fontId="13" fillId="8" borderId="174" xfId="0" applyFont="1" applyFill="1" applyBorder="1" applyAlignment="1" applyProtection="1">
      <alignment horizontal="left" vertical="center" indent="1"/>
      <protection hidden="1"/>
    </xf>
    <xf numFmtId="0" fontId="13" fillId="8" borderId="174" xfId="0" applyFont="1" applyFill="1" applyBorder="1" applyAlignment="1" applyProtection="1">
      <alignment horizontal="center" vertical="center"/>
      <protection hidden="1"/>
    </xf>
    <xf numFmtId="0" fontId="92" fillId="0" borderId="0" xfId="0" applyFont="1" applyProtection="1">
      <protection hidden="1"/>
    </xf>
    <xf numFmtId="0" fontId="13" fillId="0" borderId="174" xfId="0" applyFont="1" applyBorder="1" applyAlignment="1" applyProtection="1">
      <alignment horizontal="left" vertical="center" indent="1"/>
      <protection hidden="1"/>
    </xf>
    <xf numFmtId="0" fontId="13" fillId="8" borderId="184" xfId="0" applyFont="1" applyFill="1" applyBorder="1" applyAlignment="1" applyProtection="1">
      <alignment horizontal="left" vertical="center" indent="1"/>
      <protection hidden="1"/>
    </xf>
    <xf numFmtId="0" fontId="13" fillId="8" borderId="108" xfId="0" applyFont="1" applyFill="1" applyBorder="1" applyAlignment="1" applyProtection="1">
      <alignment horizontal="left" vertical="center" indent="1"/>
      <protection hidden="1"/>
    </xf>
    <xf numFmtId="0" fontId="13" fillId="8" borderId="185" xfId="0" applyFont="1" applyFill="1" applyBorder="1" applyAlignment="1" applyProtection="1">
      <alignment horizontal="left" vertical="center" indent="1"/>
      <protection hidden="1"/>
    </xf>
    <xf numFmtId="0" fontId="23" fillId="14" borderId="174" xfId="0" applyFont="1" applyFill="1" applyBorder="1" applyAlignment="1" applyProtection="1">
      <alignment horizontal="left" vertical="center" indent="1"/>
      <protection hidden="1"/>
    </xf>
    <xf numFmtId="0" fontId="13" fillId="5" borderId="17" xfId="0" applyFont="1" applyFill="1" applyBorder="1" applyAlignment="1" applyProtection="1">
      <alignment horizontal="center" vertical="center"/>
      <protection hidden="1"/>
    </xf>
    <xf numFmtId="0" fontId="13" fillId="5" borderId="18" xfId="0" applyFont="1" applyFill="1" applyBorder="1" applyAlignment="1" applyProtection="1">
      <alignment horizontal="center" vertical="center"/>
      <protection hidden="1"/>
    </xf>
    <xf numFmtId="0" fontId="13" fillId="5" borderId="19" xfId="0" applyFont="1" applyFill="1" applyBorder="1" applyAlignment="1" applyProtection="1">
      <alignment horizontal="center" vertical="center"/>
      <protection hidden="1"/>
    </xf>
    <xf numFmtId="0" fontId="13" fillId="8" borderId="107" xfId="0" applyFont="1" applyFill="1" applyBorder="1" applyAlignment="1" applyProtection="1">
      <alignment horizontal="left" vertical="center" indent="1"/>
      <protection hidden="1"/>
    </xf>
    <xf numFmtId="0" fontId="13" fillId="8" borderId="109" xfId="0" applyFont="1" applyFill="1" applyBorder="1" applyAlignment="1" applyProtection="1">
      <alignment horizontal="left" vertical="center" indent="1"/>
      <protection hidden="1"/>
    </xf>
    <xf numFmtId="0" fontId="51" fillId="50" borderId="174" xfId="0" applyFont="1" applyFill="1" applyBorder="1" applyAlignment="1" applyProtection="1">
      <alignment horizontal="left" vertical="top" wrapText="1" indent="1"/>
      <protection locked="0"/>
    </xf>
    <xf numFmtId="0" fontId="13" fillId="0" borderId="20" xfId="0" applyFont="1" applyBorder="1" applyAlignment="1" applyProtection="1">
      <alignment horizontal="left" indent="1"/>
      <protection hidden="1"/>
    </xf>
    <xf numFmtId="0" fontId="13" fillId="0" borderId="0" xfId="0" applyFont="1" applyAlignment="1" applyProtection="1">
      <alignment horizontal="left" indent="1"/>
      <protection hidden="1"/>
    </xf>
    <xf numFmtId="0" fontId="13" fillId="0" borderId="21" xfId="0" applyFont="1" applyBorder="1" applyAlignment="1" applyProtection="1">
      <alignment horizontal="left" indent="1"/>
      <protection hidden="1"/>
    </xf>
    <xf numFmtId="0" fontId="17" fillId="5" borderId="22" xfId="0" applyFont="1" applyFill="1" applyBorder="1" applyAlignment="1" applyProtection="1">
      <alignment horizontal="left"/>
      <protection hidden="1"/>
    </xf>
    <xf numFmtId="0" fontId="17" fillId="5" borderId="56" xfId="0" applyFont="1" applyFill="1" applyBorder="1" applyAlignment="1" applyProtection="1">
      <alignment horizontal="left"/>
      <protection hidden="1"/>
    </xf>
    <xf numFmtId="0" fontId="13" fillId="50" borderId="174" xfId="0" applyFont="1" applyFill="1" applyBorder="1" applyAlignment="1" applyProtection="1">
      <alignment horizontal="center"/>
      <protection locked="0"/>
    </xf>
    <xf numFmtId="0" fontId="23" fillId="11" borderId="29" xfId="0" applyFont="1" applyFill="1" applyBorder="1" applyAlignment="1" applyProtection="1">
      <alignment horizontal="center" vertical="center"/>
      <protection hidden="1"/>
    </xf>
    <xf numFmtId="0" fontId="23" fillId="11" borderId="30" xfId="0" applyFont="1" applyFill="1" applyBorder="1" applyAlignment="1" applyProtection="1">
      <alignment horizontal="center" vertical="center"/>
      <protection hidden="1"/>
    </xf>
    <xf numFmtId="0" fontId="23" fillId="11" borderId="31" xfId="0" applyFont="1" applyFill="1" applyBorder="1" applyAlignment="1" applyProtection="1">
      <alignment horizontal="center" vertical="center"/>
      <protection hidden="1"/>
    </xf>
    <xf numFmtId="0" fontId="23" fillId="11" borderId="23" xfId="0" applyFont="1" applyFill="1" applyBorder="1" applyAlignment="1" applyProtection="1">
      <alignment horizontal="center" vertical="center"/>
      <protection hidden="1"/>
    </xf>
    <xf numFmtId="0" fontId="23" fillId="11" borderId="24" xfId="0" applyFont="1" applyFill="1" applyBorder="1" applyAlignment="1" applyProtection="1">
      <alignment horizontal="center" vertical="center"/>
      <protection hidden="1"/>
    </xf>
    <xf numFmtId="0" fontId="23" fillId="11" borderId="25" xfId="0" applyFont="1" applyFill="1" applyBorder="1" applyAlignment="1" applyProtection="1">
      <alignment horizontal="center" vertical="center"/>
      <protection hidden="1"/>
    </xf>
    <xf numFmtId="0" fontId="94" fillId="0" borderId="20" xfId="0" applyFont="1" applyBorder="1" applyAlignment="1" applyProtection="1">
      <alignment horizontal="left" indent="1"/>
      <protection hidden="1"/>
    </xf>
    <xf numFmtId="0" fontId="94" fillId="0" borderId="0" xfId="0" applyFont="1" applyAlignment="1" applyProtection="1">
      <alignment horizontal="left" indent="1"/>
      <protection hidden="1"/>
    </xf>
    <xf numFmtId="0" fontId="94" fillId="0" borderId="21" xfId="0" applyFont="1" applyBorder="1" applyAlignment="1" applyProtection="1">
      <alignment horizontal="left" indent="1"/>
      <protection hidden="1"/>
    </xf>
    <xf numFmtId="0" fontId="96" fillId="0" borderId="0" xfId="0" applyFont="1" applyAlignment="1" applyProtection="1">
      <alignment horizontal="center" vertical="center" wrapText="1"/>
      <protection locked="0"/>
    </xf>
    <xf numFmtId="0" fontId="96" fillId="0" borderId="0" xfId="0" applyFont="1" applyAlignment="1" applyProtection="1">
      <alignment horizontal="center" vertical="center"/>
      <protection locked="0"/>
    </xf>
    <xf numFmtId="0" fontId="42" fillId="0" borderId="0" xfId="0" applyFont="1" applyAlignment="1" applyProtection="1">
      <alignment horizontal="left" vertical="top"/>
      <protection hidden="1"/>
    </xf>
    <xf numFmtId="0" fontId="48" fillId="50" borderId="46" xfId="0" applyFont="1" applyFill="1" applyBorder="1" applyAlignment="1" applyProtection="1">
      <alignment horizontal="left" vertical="center"/>
      <protection locked="0"/>
    </xf>
    <xf numFmtId="0" fontId="48" fillId="50" borderId="48" xfId="0" applyFont="1" applyFill="1" applyBorder="1" applyAlignment="1" applyProtection="1">
      <alignment horizontal="left" vertical="center"/>
      <protection locked="0"/>
    </xf>
    <xf numFmtId="0" fontId="48" fillId="50" borderId="47" xfId="0" applyFont="1" applyFill="1" applyBorder="1" applyAlignment="1" applyProtection="1">
      <alignment horizontal="left" vertical="center"/>
      <protection locked="0"/>
    </xf>
    <xf numFmtId="0" fontId="48" fillId="50" borderId="46" xfId="0" applyFont="1" applyFill="1" applyBorder="1" applyAlignment="1" applyProtection="1">
      <alignment horizontal="left" vertical="center" wrapText="1"/>
      <protection locked="0"/>
    </xf>
    <xf numFmtId="0" fontId="48" fillId="50" borderId="48" xfId="0" applyFont="1" applyFill="1" applyBorder="1" applyAlignment="1" applyProtection="1">
      <alignment horizontal="left" vertical="center" wrapText="1"/>
      <protection locked="0"/>
    </xf>
    <xf numFmtId="0" fontId="48" fillId="50" borderId="47" xfId="0" applyFont="1" applyFill="1" applyBorder="1" applyAlignment="1" applyProtection="1">
      <alignment horizontal="left" vertical="center" wrapText="1"/>
      <protection locked="0"/>
    </xf>
    <xf numFmtId="0" fontId="48" fillId="50" borderId="45" xfId="0" applyFont="1" applyFill="1" applyBorder="1" applyAlignment="1" applyProtection="1">
      <alignment horizontal="left" vertical="center"/>
      <protection locked="0"/>
    </xf>
    <xf numFmtId="0" fontId="42" fillId="0" borderId="0" xfId="0" applyFont="1" applyAlignment="1" applyProtection="1">
      <alignment horizontal="left" vertical="top" wrapText="1"/>
      <protection hidden="1"/>
    </xf>
    <xf numFmtId="0" fontId="48" fillId="0" borderId="46" xfId="0" applyFont="1" applyBorder="1" applyAlignment="1" applyProtection="1">
      <alignment horizontal="left" vertical="center" wrapText="1"/>
      <protection hidden="1"/>
    </xf>
    <xf numFmtId="0" fontId="48" fillId="0" borderId="48" xfId="0" applyFont="1" applyBorder="1" applyAlignment="1" applyProtection="1">
      <alignment horizontal="left" vertical="center" wrapText="1"/>
      <protection hidden="1"/>
    </xf>
    <xf numFmtId="0" fontId="48" fillId="0" borderId="47" xfId="0" applyFont="1" applyBorder="1" applyAlignment="1" applyProtection="1">
      <alignment horizontal="left" vertical="center" wrapText="1"/>
      <protection hidden="1"/>
    </xf>
    <xf numFmtId="0" fontId="48" fillId="0" borderId="45" xfId="0" applyFont="1" applyBorder="1" applyAlignment="1" applyProtection="1">
      <alignment horizontal="left" vertical="center"/>
      <protection hidden="1"/>
    </xf>
    <xf numFmtId="0" fontId="48" fillId="0" borderId="46" xfId="0" applyFont="1" applyBorder="1" applyAlignment="1" applyProtection="1">
      <alignment horizontal="left" vertical="center"/>
      <protection hidden="1"/>
    </xf>
    <xf numFmtId="0" fontId="48" fillId="0" borderId="48" xfId="0" applyFont="1" applyBorder="1" applyAlignment="1" applyProtection="1">
      <alignment horizontal="left" vertical="center"/>
      <protection hidden="1"/>
    </xf>
    <xf numFmtId="0" fontId="48" fillId="0" borderId="47" xfId="0" applyFont="1" applyBorder="1" applyAlignment="1" applyProtection="1">
      <alignment horizontal="left" vertical="center"/>
      <protection hidden="1"/>
    </xf>
    <xf numFmtId="0" fontId="23" fillId="0" borderId="62" xfId="0" applyFont="1" applyBorder="1" applyAlignment="1" applyProtection="1">
      <alignment horizontal="left"/>
      <protection hidden="1"/>
    </xf>
    <xf numFmtId="14" fontId="23" fillId="0" borderId="35" xfId="0" applyNumberFormat="1" applyFont="1" applyBorder="1" applyAlignment="1" applyProtection="1">
      <alignment horizontal="center"/>
      <protection hidden="1"/>
    </xf>
    <xf numFmtId="0" fontId="3" fillId="0" borderId="144" xfId="0" applyFont="1" applyBorder="1" applyAlignment="1" applyProtection="1">
      <alignment horizontal="center" vertical="center"/>
      <protection hidden="1"/>
    </xf>
    <xf numFmtId="0" fontId="40" fillId="0" borderId="115" xfId="0" applyFont="1" applyBorder="1" applyAlignment="1" applyProtection="1">
      <alignment horizontal="left" vertical="center"/>
      <protection hidden="1"/>
    </xf>
    <xf numFmtId="0" fontId="26" fillId="6" borderId="111" xfId="0" applyFont="1" applyFill="1" applyBorder="1" applyAlignment="1" applyProtection="1">
      <alignment horizontal="center" vertical="center" wrapText="1"/>
      <protection hidden="1"/>
    </xf>
    <xf numFmtId="0" fontId="26" fillId="6" borderId="114" xfId="0" applyFont="1" applyFill="1" applyBorder="1" applyAlignment="1" applyProtection="1">
      <alignment horizontal="center" vertical="center" wrapText="1"/>
      <protection hidden="1"/>
    </xf>
    <xf numFmtId="0" fontId="26" fillId="6" borderId="112" xfId="0" applyFont="1" applyFill="1" applyBorder="1" applyAlignment="1" applyProtection="1">
      <alignment horizontal="center" vertical="center" wrapText="1"/>
      <protection hidden="1"/>
    </xf>
    <xf numFmtId="0" fontId="23" fillId="5" borderId="117" xfId="0" applyFont="1" applyFill="1" applyBorder="1" applyAlignment="1" applyProtection="1">
      <alignment horizontal="center" vertical="center"/>
      <protection hidden="1"/>
    </xf>
    <xf numFmtId="0" fontId="23" fillId="5" borderId="118" xfId="0" applyFont="1" applyFill="1" applyBorder="1" applyAlignment="1" applyProtection="1">
      <alignment horizontal="center" vertical="center"/>
      <protection hidden="1"/>
    </xf>
    <xf numFmtId="0" fontId="23" fillId="5" borderId="119" xfId="0" applyFont="1" applyFill="1" applyBorder="1" applyAlignment="1" applyProtection="1">
      <alignment horizontal="center" vertical="center"/>
      <protection hidden="1"/>
    </xf>
    <xf numFmtId="0" fontId="23" fillId="5" borderId="137" xfId="0" applyFont="1" applyFill="1" applyBorder="1" applyAlignment="1" applyProtection="1">
      <alignment horizontal="center" vertical="center"/>
      <protection hidden="1"/>
    </xf>
    <xf numFmtId="0" fontId="23" fillId="5" borderId="122" xfId="0" applyFont="1" applyFill="1" applyBorder="1" applyAlignment="1" applyProtection="1">
      <alignment horizontal="center" vertical="center"/>
      <protection hidden="1"/>
    </xf>
    <xf numFmtId="0" fontId="23" fillId="5" borderId="143" xfId="0" applyFont="1" applyFill="1" applyBorder="1" applyAlignment="1" applyProtection="1">
      <alignment horizontal="center" vertical="center"/>
      <protection hidden="1"/>
    </xf>
    <xf numFmtId="0" fontId="11" fillId="0" borderId="113" xfId="0" applyFont="1" applyBorder="1" applyAlignment="1" applyProtection="1">
      <alignment horizontal="center" vertical="center"/>
      <protection hidden="1"/>
    </xf>
    <xf numFmtId="0" fontId="20" fillId="0" borderId="111" xfId="0" applyFont="1" applyBorder="1" applyAlignment="1" applyProtection="1">
      <alignment horizontal="center" vertical="center" wrapText="1"/>
      <protection hidden="1"/>
    </xf>
    <xf numFmtId="0" fontId="20" fillId="0" borderId="114" xfId="0" applyFont="1" applyBorder="1" applyAlignment="1" applyProtection="1">
      <alignment horizontal="center" vertical="center" wrapText="1"/>
      <protection hidden="1"/>
    </xf>
    <xf numFmtId="0" fontId="20" fillId="0" borderId="112" xfId="0" applyFont="1" applyBorder="1" applyAlignment="1" applyProtection="1">
      <alignment horizontal="center" vertical="center" wrapText="1"/>
      <protection hidden="1"/>
    </xf>
    <xf numFmtId="0" fontId="23" fillId="5" borderId="120" xfId="0" applyFont="1" applyFill="1" applyBorder="1" applyAlignment="1" applyProtection="1">
      <alignment horizontal="center" vertical="center"/>
      <protection hidden="1"/>
    </xf>
    <xf numFmtId="0" fontId="23" fillId="5" borderId="0" xfId="0" applyFont="1" applyFill="1" applyAlignment="1" applyProtection="1">
      <alignment horizontal="center" vertical="center"/>
      <protection hidden="1"/>
    </xf>
    <xf numFmtId="0" fontId="23" fillId="5" borderId="41" xfId="0" applyFont="1" applyFill="1" applyBorder="1" applyAlignment="1" applyProtection="1">
      <alignment horizontal="center" vertical="center"/>
      <protection hidden="1"/>
    </xf>
    <xf numFmtId="0" fontId="23" fillId="5" borderId="121" xfId="0" applyFont="1" applyFill="1" applyBorder="1" applyAlignment="1" applyProtection="1">
      <alignment horizontal="center" vertical="center"/>
      <protection hidden="1"/>
    </xf>
    <xf numFmtId="0" fontId="26" fillId="8" borderId="23" xfId="0" applyFont="1" applyFill="1" applyBorder="1" applyAlignment="1" applyProtection="1">
      <alignment horizontal="center" vertical="center" wrapText="1"/>
      <protection hidden="1"/>
    </xf>
    <xf numFmtId="0" fontId="26" fillId="8" borderId="24" xfId="0" applyFont="1" applyFill="1" applyBorder="1" applyAlignment="1" applyProtection="1">
      <alignment horizontal="center" vertical="center"/>
      <protection hidden="1"/>
    </xf>
    <xf numFmtId="0" fontId="26" fillId="8" borderId="25" xfId="0" applyFont="1" applyFill="1" applyBorder="1" applyAlignment="1" applyProtection="1">
      <alignment horizontal="center" vertical="center"/>
      <protection hidden="1"/>
    </xf>
    <xf numFmtId="0" fontId="17" fillId="5" borderId="23" xfId="0" applyFont="1" applyFill="1" applyBorder="1" applyAlignment="1" applyProtection="1">
      <alignment horizontal="center" vertical="center" wrapText="1"/>
      <protection hidden="1"/>
    </xf>
    <xf numFmtId="0" fontId="17" fillId="5" borderId="24" xfId="0" applyFont="1" applyFill="1" applyBorder="1" applyAlignment="1" applyProtection="1">
      <alignment horizontal="center" vertical="center" wrapText="1"/>
      <protection hidden="1"/>
    </xf>
    <xf numFmtId="0" fontId="17" fillId="5" borderId="25" xfId="0" applyFont="1" applyFill="1" applyBorder="1" applyAlignment="1" applyProtection="1">
      <alignment horizontal="center" vertical="center" wrapText="1"/>
      <protection hidden="1"/>
    </xf>
    <xf numFmtId="0" fontId="28" fillId="5" borderId="17" xfId="0" applyFont="1" applyFill="1" applyBorder="1" applyAlignment="1" applyProtection="1">
      <alignment horizontal="center" vertical="center" wrapText="1"/>
      <protection hidden="1"/>
    </xf>
    <xf numFmtId="0" fontId="28" fillId="5" borderId="18" xfId="0" applyFont="1" applyFill="1" applyBorder="1" applyAlignment="1" applyProtection="1">
      <alignment horizontal="center" vertical="center" wrapText="1"/>
      <protection hidden="1"/>
    </xf>
    <xf numFmtId="0" fontId="28" fillId="5" borderId="19" xfId="0" applyFont="1" applyFill="1" applyBorder="1" applyAlignment="1" applyProtection="1">
      <alignment horizontal="center" vertical="center" wrapText="1"/>
      <protection hidden="1"/>
    </xf>
    <xf numFmtId="3" fontId="13" fillId="6" borderId="68" xfId="0" applyNumberFormat="1" applyFont="1" applyFill="1" applyBorder="1" applyAlignment="1" applyProtection="1">
      <alignment horizontal="center" vertical="center" wrapText="1"/>
      <protection hidden="1"/>
    </xf>
    <xf numFmtId="3" fontId="13" fillId="6" borderId="69" xfId="0" applyNumberFormat="1" applyFont="1" applyFill="1" applyBorder="1" applyAlignment="1" applyProtection="1">
      <alignment horizontal="center" vertical="center" wrapText="1"/>
      <protection hidden="1"/>
    </xf>
    <xf numFmtId="3" fontId="43" fillId="50" borderId="45" xfId="0" applyNumberFormat="1" applyFont="1" applyFill="1" applyBorder="1" applyAlignment="1" applyProtection="1">
      <alignment horizontal="right" vertical="center" wrapText="1"/>
      <protection locked="0"/>
    </xf>
    <xf numFmtId="3" fontId="43" fillId="0" borderId="45" xfId="0" applyNumberFormat="1" applyFont="1" applyBorder="1" applyAlignment="1" applyProtection="1">
      <alignment horizontal="right" vertical="center" wrapText="1"/>
      <protection hidden="1"/>
    </xf>
    <xf numFmtId="3" fontId="44" fillId="0" borderId="46" xfId="0" applyNumberFormat="1" applyFont="1" applyBorder="1" applyAlignment="1" applyProtection="1">
      <alignment horizontal="right" vertical="center" wrapText="1"/>
      <protection hidden="1"/>
    </xf>
    <xf numFmtId="3" fontId="44" fillId="0" borderId="47" xfId="0" applyNumberFormat="1" applyFont="1" applyBorder="1" applyAlignment="1" applyProtection="1">
      <alignment horizontal="right" vertical="center" wrapText="1"/>
      <protection hidden="1"/>
    </xf>
    <xf numFmtId="0" fontId="98" fillId="6" borderId="68" xfId="0" applyFont="1" applyFill="1" applyBorder="1" applyAlignment="1" applyProtection="1">
      <alignment horizontal="center" vertical="center"/>
      <protection hidden="1"/>
    </xf>
    <xf numFmtId="0" fontId="98" fillId="6" borderId="69" xfId="0" applyFont="1" applyFill="1" applyBorder="1" applyAlignment="1" applyProtection="1">
      <alignment horizontal="center" vertical="center"/>
      <protection hidden="1"/>
    </xf>
    <xf numFmtId="3" fontId="44" fillId="6" borderId="46" xfId="0" applyNumberFormat="1" applyFont="1" applyFill="1" applyBorder="1" applyAlignment="1" applyProtection="1">
      <alignment horizontal="right" vertical="center"/>
      <protection hidden="1"/>
    </xf>
    <xf numFmtId="3" fontId="44" fillId="6" borderId="47" xfId="0" applyNumberFormat="1" applyFont="1" applyFill="1" applyBorder="1" applyAlignment="1" applyProtection="1">
      <alignment horizontal="right" vertical="center"/>
      <protection hidden="1"/>
    </xf>
    <xf numFmtId="3" fontId="44" fillId="6" borderId="46" xfId="0" applyNumberFormat="1" applyFont="1" applyFill="1" applyBorder="1" applyAlignment="1" applyProtection="1">
      <alignment horizontal="right" vertical="center" wrapText="1"/>
      <protection hidden="1"/>
    </xf>
    <xf numFmtId="3" fontId="44" fillId="6" borderId="47" xfId="0" applyNumberFormat="1" applyFont="1" applyFill="1" applyBorder="1" applyAlignment="1" applyProtection="1">
      <alignment horizontal="right" vertical="center" wrapText="1"/>
      <protection hidden="1"/>
    </xf>
    <xf numFmtId="3" fontId="13" fillId="15" borderId="64" xfId="0" applyNumberFormat="1" applyFont="1" applyFill="1" applyBorder="1" applyAlignment="1" applyProtection="1">
      <alignment vertical="center" wrapText="1"/>
      <protection hidden="1"/>
    </xf>
    <xf numFmtId="3" fontId="13" fillId="15" borderId="65" xfId="0" applyNumberFormat="1" applyFont="1" applyFill="1" applyBorder="1" applyAlignment="1" applyProtection="1">
      <alignment vertical="center" wrapText="1"/>
      <protection hidden="1"/>
    </xf>
    <xf numFmtId="3" fontId="13" fillId="15" borderId="66" xfId="0" applyNumberFormat="1" applyFont="1" applyFill="1" applyBorder="1" applyAlignment="1" applyProtection="1">
      <alignment vertical="center" wrapText="1"/>
      <protection hidden="1"/>
    </xf>
    <xf numFmtId="3" fontId="44" fillId="50" borderId="45" xfId="0" applyNumberFormat="1" applyFont="1" applyFill="1" applyBorder="1" applyAlignment="1" applyProtection="1">
      <alignment horizontal="right" vertical="center" wrapText="1"/>
      <protection locked="0"/>
    </xf>
    <xf numFmtId="3" fontId="13" fillId="15" borderId="68" xfId="0" applyNumberFormat="1" applyFont="1" applyFill="1" applyBorder="1" applyAlignment="1" applyProtection="1">
      <alignment vertical="center" wrapText="1"/>
      <protection hidden="1"/>
    </xf>
    <xf numFmtId="3" fontId="13" fillId="15" borderId="54" xfId="0" applyNumberFormat="1" applyFont="1" applyFill="1" applyBorder="1" applyAlignment="1" applyProtection="1">
      <alignment vertical="center" wrapText="1"/>
      <protection hidden="1"/>
    </xf>
    <xf numFmtId="3" fontId="43" fillId="50" borderId="55" xfId="0" applyNumberFormat="1" applyFont="1" applyFill="1" applyBorder="1" applyAlignment="1" applyProtection="1">
      <alignment horizontal="right" vertical="center" wrapText="1"/>
      <protection locked="0"/>
    </xf>
    <xf numFmtId="0" fontId="43" fillId="0" borderId="64" xfId="0" applyFont="1" applyBorder="1" applyAlignment="1" applyProtection="1">
      <alignment horizontal="left" vertical="center" wrapText="1" indent="1"/>
      <protection hidden="1"/>
    </xf>
    <xf numFmtId="0" fontId="43" fillId="0" borderId="65" xfId="0" applyFont="1" applyBorder="1" applyAlignment="1" applyProtection="1">
      <alignment horizontal="left" vertical="center" wrapText="1" indent="1"/>
      <protection hidden="1"/>
    </xf>
    <xf numFmtId="0" fontId="43" fillId="0" borderId="66" xfId="0" applyFont="1" applyBorder="1" applyAlignment="1" applyProtection="1">
      <alignment horizontal="left" vertical="center" wrapText="1" indent="1"/>
      <protection hidden="1"/>
    </xf>
    <xf numFmtId="3" fontId="43" fillId="50" borderId="46" xfId="0" applyNumberFormat="1" applyFont="1" applyFill="1" applyBorder="1" applyAlignment="1" applyProtection="1">
      <alignment horizontal="right" vertical="center" wrapText="1"/>
      <protection locked="0"/>
    </xf>
    <xf numFmtId="3" fontId="43" fillId="50" borderId="47" xfId="0" applyNumberFormat="1" applyFont="1" applyFill="1" applyBorder="1" applyAlignment="1" applyProtection="1">
      <alignment horizontal="right" vertical="center" wrapText="1"/>
      <protection locked="0"/>
    </xf>
    <xf numFmtId="0" fontId="98" fillId="6" borderId="46" xfId="0" applyFont="1" applyFill="1" applyBorder="1" applyAlignment="1" applyProtection="1">
      <alignment horizontal="center" vertical="center" wrapText="1"/>
      <protection hidden="1"/>
    </xf>
    <xf numFmtId="0" fontId="98" fillId="6" borderId="48" xfId="0" applyFont="1" applyFill="1" applyBorder="1" applyAlignment="1" applyProtection="1">
      <alignment horizontal="center" vertical="center" wrapText="1"/>
      <protection hidden="1"/>
    </xf>
    <xf numFmtId="0" fontId="98" fillId="6" borderId="47" xfId="0" applyFont="1" applyFill="1" applyBorder="1" applyAlignment="1" applyProtection="1">
      <alignment horizontal="center" vertical="center" wrapText="1"/>
      <protection hidden="1"/>
    </xf>
    <xf numFmtId="0" fontId="43" fillId="0" borderId="67" xfId="0" applyFont="1" applyBorder="1" applyAlignment="1" applyProtection="1">
      <alignment horizontal="center" vertical="center" wrapText="1"/>
      <protection hidden="1"/>
    </xf>
    <xf numFmtId="3" fontId="43" fillId="50" borderId="64" xfId="0" applyNumberFormat="1" applyFont="1" applyFill="1" applyBorder="1" applyAlignment="1" applyProtection="1">
      <alignment horizontal="right" vertical="center" wrapText="1"/>
      <protection locked="0"/>
    </xf>
    <xf numFmtId="3" fontId="43" fillId="50" borderId="66" xfId="0" applyNumberFormat="1" applyFont="1" applyFill="1" applyBorder="1" applyAlignment="1" applyProtection="1">
      <alignment horizontal="right" vertical="center" wrapText="1"/>
      <protection locked="0"/>
    </xf>
    <xf numFmtId="3" fontId="43" fillId="50" borderId="68" xfId="0" applyNumberFormat="1" applyFont="1" applyFill="1" applyBorder="1" applyAlignment="1" applyProtection="1">
      <alignment horizontal="right" vertical="center" wrapText="1"/>
      <protection locked="0"/>
    </xf>
    <xf numFmtId="3" fontId="43" fillId="50" borderId="54" xfId="0" applyNumberFormat="1" applyFont="1" applyFill="1" applyBorder="1" applyAlignment="1" applyProtection="1">
      <alignment horizontal="right" vertical="center" wrapText="1"/>
      <protection locked="0"/>
    </xf>
    <xf numFmtId="0" fontId="103" fillId="50" borderId="46" xfId="0" applyFont="1" applyFill="1" applyBorder="1" applyAlignment="1" applyProtection="1">
      <alignment horizontal="left" vertical="center" wrapText="1" indent="1"/>
      <protection locked="0"/>
    </xf>
    <xf numFmtId="0" fontId="103" fillId="50" borderId="48" xfId="0" applyFont="1" applyFill="1" applyBorder="1" applyAlignment="1" applyProtection="1">
      <alignment horizontal="left" vertical="center" wrapText="1" indent="1"/>
      <protection locked="0"/>
    </xf>
    <xf numFmtId="0" fontId="103" fillId="50" borderId="47" xfId="0" applyFont="1" applyFill="1" applyBorder="1" applyAlignment="1" applyProtection="1">
      <alignment horizontal="left" vertical="center" wrapText="1" indent="1"/>
      <protection locked="0"/>
    </xf>
    <xf numFmtId="0" fontId="44" fillId="6" borderId="46" xfId="0" applyFont="1" applyFill="1" applyBorder="1" applyAlignment="1" applyProtection="1">
      <alignment horizontal="center" vertical="center" wrapText="1"/>
      <protection hidden="1"/>
    </xf>
    <xf numFmtId="0" fontId="44" fillId="6" borderId="47" xfId="0" applyFont="1" applyFill="1" applyBorder="1" applyAlignment="1" applyProtection="1">
      <alignment horizontal="center" vertical="center" wrapText="1"/>
      <protection hidden="1"/>
    </xf>
    <xf numFmtId="0" fontId="43" fillId="0" borderId="46" xfId="0" applyFont="1" applyBorder="1" applyAlignment="1" applyProtection="1">
      <alignment horizontal="center" vertical="center" wrapText="1"/>
      <protection hidden="1"/>
    </xf>
    <xf numFmtId="0" fontId="43" fillId="0" borderId="48" xfId="0" applyFont="1" applyBorder="1" applyAlignment="1" applyProtection="1">
      <alignment horizontal="center" vertical="center" wrapText="1"/>
      <protection hidden="1"/>
    </xf>
    <xf numFmtId="0" fontId="43" fillId="0" borderId="47" xfId="0" applyFont="1" applyBorder="1" applyAlignment="1" applyProtection="1">
      <alignment horizontal="center" vertical="center" wrapText="1"/>
      <protection hidden="1"/>
    </xf>
    <xf numFmtId="0" fontId="104" fillId="6" borderId="70" xfId="0" applyFont="1" applyFill="1" applyBorder="1" applyAlignment="1" applyProtection="1">
      <alignment horizontal="center" vertical="center" wrapText="1"/>
      <protection hidden="1"/>
    </xf>
    <xf numFmtId="0" fontId="104" fillId="6" borderId="0" xfId="0" applyFont="1" applyFill="1" applyAlignment="1" applyProtection="1">
      <alignment horizontal="center" vertical="center" wrapText="1"/>
      <protection hidden="1"/>
    </xf>
    <xf numFmtId="3" fontId="13" fillId="6" borderId="70" xfId="0" applyNumberFormat="1" applyFont="1" applyFill="1" applyBorder="1" applyAlignment="1" applyProtection="1">
      <alignment horizontal="center" vertical="center" wrapText="1"/>
      <protection hidden="1"/>
    </xf>
    <xf numFmtId="3" fontId="13" fillId="6" borderId="71" xfId="0" applyNumberFormat="1" applyFont="1" applyFill="1" applyBorder="1" applyAlignment="1" applyProtection="1">
      <alignment horizontal="center" vertical="center" wrapText="1"/>
      <protection hidden="1"/>
    </xf>
    <xf numFmtId="3" fontId="43" fillId="50" borderId="76" xfId="0" applyNumberFormat="1" applyFont="1" applyFill="1" applyBorder="1" applyAlignment="1" applyProtection="1">
      <alignment horizontal="right" vertical="center" wrapText="1"/>
      <protection locked="0"/>
    </xf>
    <xf numFmtId="0" fontId="43" fillId="0" borderId="70" xfId="0" applyFont="1" applyBorder="1" applyAlignment="1" applyProtection="1">
      <alignment horizontal="left" indent="1"/>
      <protection hidden="1"/>
    </xf>
    <xf numFmtId="0" fontId="43" fillId="0" borderId="0" xfId="0" applyFont="1" applyAlignment="1" applyProtection="1">
      <alignment horizontal="left" indent="1"/>
      <protection hidden="1"/>
    </xf>
    <xf numFmtId="3" fontId="13" fillId="6" borderId="54" xfId="0" applyNumberFormat="1" applyFont="1" applyFill="1" applyBorder="1" applyAlignment="1" applyProtection="1">
      <alignment horizontal="center" vertical="center" wrapText="1"/>
      <protection hidden="1"/>
    </xf>
    <xf numFmtId="3" fontId="13" fillId="15" borderId="70" xfId="0" applyNumberFormat="1" applyFont="1" applyFill="1" applyBorder="1" applyAlignment="1" applyProtection="1">
      <alignment horizontal="center" vertical="center" wrapText="1"/>
      <protection hidden="1"/>
    </xf>
    <xf numFmtId="3" fontId="13" fillId="15" borderId="71" xfId="0" applyNumberFormat="1" applyFont="1" applyFill="1" applyBorder="1" applyAlignment="1" applyProtection="1">
      <alignment horizontal="center" vertical="center" wrapText="1"/>
      <protection hidden="1"/>
    </xf>
    <xf numFmtId="3" fontId="13" fillId="15" borderId="68" xfId="0" applyNumberFormat="1" applyFont="1" applyFill="1" applyBorder="1" applyAlignment="1" applyProtection="1">
      <alignment horizontal="center" vertical="center" wrapText="1"/>
      <protection hidden="1"/>
    </xf>
    <xf numFmtId="3" fontId="13" fillId="15" borderId="54" xfId="0" applyNumberFormat="1" applyFont="1" applyFill="1" applyBorder="1" applyAlignment="1" applyProtection="1">
      <alignment horizontal="center" vertical="center" wrapText="1"/>
      <protection hidden="1"/>
    </xf>
    <xf numFmtId="0" fontId="43" fillId="5" borderId="64" xfId="0" applyFont="1" applyFill="1" applyBorder="1" applyAlignment="1" applyProtection="1">
      <alignment horizontal="center" vertical="center" wrapText="1"/>
      <protection hidden="1"/>
    </xf>
    <xf numFmtId="0" fontId="44" fillId="5" borderId="65" xfId="0" applyFont="1" applyFill="1" applyBorder="1" applyAlignment="1" applyProtection="1">
      <alignment horizontal="center" vertical="center" wrapText="1"/>
      <protection hidden="1"/>
    </xf>
    <xf numFmtId="0" fontId="44" fillId="5" borderId="66" xfId="0" applyFont="1" applyFill="1" applyBorder="1" applyAlignment="1" applyProtection="1">
      <alignment horizontal="center" vertical="center" wrapText="1"/>
      <protection hidden="1"/>
    </xf>
    <xf numFmtId="0" fontId="43" fillId="5" borderId="65" xfId="0" applyFont="1" applyFill="1" applyBorder="1" applyAlignment="1" applyProtection="1">
      <alignment horizontal="center" vertical="center" wrapText="1"/>
      <protection hidden="1"/>
    </xf>
    <xf numFmtId="0" fontId="43" fillId="5" borderId="66" xfId="0" applyFont="1" applyFill="1" applyBorder="1" applyAlignment="1" applyProtection="1">
      <alignment horizontal="center" vertical="center" wrapText="1"/>
      <protection hidden="1"/>
    </xf>
    <xf numFmtId="0" fontId="43" fillId="5" borderId="76" xfId="0" applyFont="1" applyFill="1" applyBorder="1" applyAlignment="1" applyProtection="1">
      <alignment horizontal="center" vertical="center" wrapText="1"/>
      <protection hidden="1"/>
    </xf>
    <xf numFmtId="0" fontId="105" fillId="6" borderId="46" xfId="0" applyFont="1" applyFill="1" applyBorder="1" applyAlignment="1" applyProtection="1">
      <alignment horizontal="right" vertical="center" indent="1"/>
      <protection hidden="1"/>
    </xf>
    <xf numFmtId="0" fontId="105" fillId="6" borderId="48" xfId="0" applyFont="1" applyFill="1" applyBorder="1" applyAlignment="1" applyProtection="1">
      <alignment horizontal="right" vertical="center" indent="1"/>
      <protection hidden="1"/>
    </xf>
    <xf numFmtId="0" fontId="105" fillId="6" borderId="47" xfId="0" applyFont="1" applyFill="1" applyBorder="1" applyAlignment="1" applyProtection="1">
      <alignment horizontal="right" vertical="center" indent="1"/>
      <protection hidden="1"/>
    </xf>
    <xf numFmtId="0" fontId="68" fillId="50" borderId="64" xfId="0" applyFont="1" applyFill="1" applyBorder="1" applyAlignment="1" applyProtection="1">
      <alignment horizontal="left" vertical="center" indent="1"/>
      <protection locked="0"/>
    </xf>
    <xf numFmtId="0" fontId="68" fillId="50" borderId="65" xfId="0" applyFont="1" applyFill="1" applyBorder="1" applyAlignment="1" applyProtection="1">
      <alignment horizontal="left" vertical="center" indent="1"/>
      <protection locked="0"/>
    </xf>
    <xf numFmtId="0" fontId="68" fillId="50" borderId="66" xfId="0" applyFont="1" applyFill="1" applyBorder="1" applyAlignment="1" applyProtection="1">
      <alignment horizontal="left" vertical="center" indent="1"/>
      <protection locked="0"/>
    </xf>
    <xf numFmtId="0" fontId="40" fillId="6" borderId="156" xfId="0" applyFont="1" applyFill="1" applyBorder="1" applyAlignment="1" applyProtection="1">
      <alignment horizontal="center" vertical="center"/>
      <protection hidden="1"/>
    </xf>
    <xf numFmtId="0" fontId="40" fillId="6" borderId="157" xfId="0" applyFont="1" applyFill="1" applyBorder="1" applyAlignment="1" applyProtection="1">
      <alignment horizontal="center" vertical="center"/>
      <protection hidden="1"/>
    </xf>
    <xf numFmtId="0" fontId="40" fillId="6" borderId="158" xfId="0" applyFont="1" applyFill="1" applyBorder="1" applyAlignment="1" applyProtection="1">
      <alignment horizontal="center" vertical="center"/>
      <protection hidden="1"/>
    </xf>
    <xf numFmtId="0" fontId="68" fillId="50" borderId="205" xfId="0" applyFont="1" applyFill="1" applyBorder="1" applyAlignment="1" applyProtection="1">
      <alignment horizontal="left" vertical="center"/>
      <protection locked="0"/>
    </xf>
    <xf numFmtId="0" fontId="68" fillId="50" borderId="206" xfId="0" applyFont="1" applyFill="1" applyBorder="1" applyAlignment="1" applyProtection="1">
      <alignment horizontal="left" vertical="center"/>
      <protection locked="0"/>
    </xf>
    <xf numFmtId="0" fontId="68" fillId="50" borderId="207" xfId="0" applyFont="1" applyFill="1" applyBorder="1" applyAlignment="1" applyProtection="1">
      <alignment horizontal="left" vertical="center"/>
      <protection locked="0"/>
    </xf>
    <xf numFmtId="0" fontId="43" fillId="5" borderId="67" xfId="0" applyFont="1" applyFill="1" applyBorder="1" applyAlignment="1" applyProtection="1">
      <alignment horizontal="center" vertical="center"/>
      <protection hidden="1"/>
    </xf>
    <xf numFmtId="0" fontId="22" fillId="5" borderId="45" xfId="0" applyFont="1" applyFill="1" applyBorder="1" applyAlignment="1" applyProtection="1">
      <alignment horizontal="center" vertical="center"/>
      <protection hidden="1"/>
    </xf>
    <xf numFmtId="3" fontId="23" fillId="6" borderId="45" xfId="0" applyNumberFormat="1" applyFont="1" applyFill="1" applyBorder="1" applyAlignment="1" applyProtection="1">
      <alignment horizontal="right" vertical="center"/>
      <protection hidden="1"/>
    </xf>
    <xf numFmtId="0" fontId="23" fillId="6" borderId="45" xfId="0" applyFont="1" applyFill="1" applyBorder="1" applyAlignment="1" applyProtection="1">
      <alignment horizontal="left" vertical="center" indent="1"/>
      <protection hidden="1"/>
    </xf>
    <xf numFmtId="3" fontId="48" fillId="6" borderId="45" xfId="0" applyNumberFormat="1" applyFont="1" applyFill="1" applyBorder="1" applyAlignment="1" applyProtection="1">
      <alignment horizontal="right" vertical="center"/>
      <protection hidden="1"/>
    </xf>
    <xf numFmtId="3" fontId="13" fillId="50" borderId="45" xfId="0" applyNumberFormat="1" applyFont="1" applyFill="1" applyBorder="1" applyAlignment="1" applyProtection="1">
      <alignment horizontal="right" vertical="center"/>
      <protection locked="0"/>
    </xf>
    <xf numFmtId="0" fontId="31" fillId="0" borderId="45" xfId="4" applyFont="1" applyBorder="1" applyAlignment="1" applyProtection="1">
      <alignment horizontal="left" vertical="center" indent="1"/>
      <protection hidden="1"/>
    </xf>
    <xf numFmtId="0" fontId="33" fillId="6" borderId="45" xfId="4" applyFont="1" applyFill="1" applyBorder="1" applyAlignment="1" applyProtection="1">
      <alignment horizontal="left" vertical="center"/>
      <protection hidden="1"/>
    </xf>
    <xf numFmtId="0" fontId="33" fillId="6" borderId="46" xfId="4" applyFont="1" applyFill="1" applyBorder="1" applyAlignment="1" applyProtection="1">
      <alignment horizontal="left" vertical="center"/>
      <protection hidden="1"/>
    </xf>
    <xf numFmtId="0" fontId="106" fillId="6" borderId="47" xfId="0" applyFont="1" applyFill="1" applyBorder="1" applyAlignment="1" applyProtection="1">
      <alignment horizontal="center" vertical="center"/>
      <protection hidden="1"/>
    </xf>
    <xf numFmtId="0" fontId="106" fillId="6" borderId="45" xfId="0" applyFont="1" applyFill="1" applyBorder="1" applyAlignment="1" applyProtection="1">
      <alignment horizontal="center" vertical="center"/>
      <protection hidden="1"/>
    </xf>
    <xf numFmtId="0" fontId="31" fillId="5" borderId="45" xfId="4" applyFont="1" applyFill="1" applyBorder="1" applyAlignment="1" applyProtection="1">
      <alignment horizontal="center"/>
      <protection hidden="1"/>
    </xf>
    <xf numFmtId="49" fontId="20" fillId="0" borderId="0" xfId="0" applyNumberFormat="1" applyFont="1" applyAlignment="1" applyProtection="1">
      <alignment horizontal="center" vertical="center"/>
      <protection hidden="1"/>
    </xf>
    <xf numFmtId="0" fontId="48" fillId="5" borderId="45" xfId="0" applyFont="1" applyFill="1" applyBorder="1" applyAlignment="1" applyProtection="1">
      <alignment horizontal="center" vertical="center"/>
      <protection hidden="1"/>
    </xf>
    <xf numFmtId="0" fontId="13" fillId="50" borderId="55" xfId="0" applyFont="1" applyFill="1" applyBorder="1" applyAlignment="1" applyProtection="1">
      <alignment horizontal="left" vertical="center" indent="1"/>
      <protection locked="0"/>
    </xf>
    <xf numFmtId="0" fontId="48" fillId="26" borderId="45" xfId="0" applyFont="1" applyFill="1" applyBorder="1" applyAlignment="1" applyProtection="1">
      <alignment horizontal="center" vertical="center"/>
      <protection hidden="1"/>
    </xf>
    <xf numFmtId="0" fontId="40" fillId="0" borderId="48" xfId="0" applyFont="1" applyBorder="1" applyAlignment="1" applyProtection="1">
      <alignment horizontal="left" vertical="center" indent="1"/>
      <protection hidden="1"/>
    </xf>
    <xf numFmtId="0" fontId="40" fillId="0" borderId="47" xfId="0" applyFont="1" applyBorder="1" applyAlignment="1" applyProtection="1">
      <alignment horizontal="left" vertical="center" indent="1"/>
      <protection hidden="1"/>
    </xf>
    <xf numFmtId="0" fontId="71" fillId="50" borderId="45" xfId="0" applyFont="1" applyFill="1" applyBorder="1" applyAlignment="1" applyProtection="1">
      <alignment horizontal="left" vertical="top" wrapText="1" indent="1"/>
      <protection locked="0"/>
    </xf>
    <xf numFmtId="0" fontId="40" fillId="0" borderId="162" xfId="0" applyFont="1" applyBorder="1" applyAlignment="1" applyProtection="1">
      <alignment horizontal="left" vertical="center"/>
      <protection hidden="1"/>
    </xf>
    <xf numFmtId="0" fontId="26" fillId="0" borderId="46" xfId="0" applyFont="1" applyBorder="1" applyAlignment="1" applyProtection="1">
      <alignment horizontal="center" vertical="center"/>
      <protection hidden="1"/>
    </xf>
    <xf numFmtId="0" fontId="26" fillId="0" borderId="48" xfId="0" applyFont="1" applyBorder="1" applyAlignment="1" applyProtection="1">
      <alignment horizontal="center" vertical="center"/>
      <protection hidden="1"/>
    </xf>
    <xf numFmtId="0" fontId="26" fillId="0" borderId="47" xfId="0" applyFont="1" applyBorder="1" applyAlignment="1" applyProtection="1">
      <alignment horizontal="center" vertical="center"/>
      <protection hidden="1"/>
    </xf>
    <xf numFmtId="0" fontId="20" fillId="0" borderId="64" xfId="0" applyFont="1" applyBorder="1" applyAlignment="1" applyProtection="1">
      <alignment horizontal="center" vertical="center" wrapText="1"/>
      <protection hidden="1"/>
    </xf>
    <xf numFmtId="0" fontId="20" fillId="0" borderId="66" xfId="0" applyFont="1" applyBorder="1" applyAlignment="1" applyProtection="1">
      <alignment horizontal="center" vertical="center"/>
      <protection hidden="1"/>
    </xf>
    <xf numFmtId="0" fontId="40" fillId="0" borderId="159" xfId="0" applyFont="1" applyBorder="1" applyAlignment="1" applyProtection="1">
      <alignment horizontal="left" vertical="center"/>
      <protection hidden="1"/>
    </xf>
    <xf numFmtId="0" fontId="40" fillId="0" borderId="160" xfId="0" applyFont="1" applyBorder="1" applyAlignment="1" applyProtection="1">
      <alignment horizontal="left" vertical="center"/>
      <protection hidden="1"/>
    </xf>
    <xf numFmtId="0" fontId="40" fillId="0" borderId="34" xfId="0" applyFont="1" applyBorder="1" applyAlignment="1" applyProtection="1">
      <alignment horizontal="center" vertical="center"/>
      <protection hidden="1"/>
    </xf>
    <xf numFmtId="0" fontId="40" fillId="0" borderId="161" xfId="0" applyFont="1" applyBorder="1" applyAlignment="1" applyProtection="1">
      <alignment horizontal="center" vertical="center"/>
      <protection hidden="1"/>
    </xf>
    <xf numFmtId="0" fontId="40" fillId="0" borderId="36" xfId="0" applyFont="1" applyBorder="1" applyAlignment="1" applyProtection="1">
      <alignment horizontal="left" vertical="center"/>
      <protection hidden="1"/>
    </xf>
    <xf numFmtId="0" fontId="20" fillId="0" borderId="45" xfId="0" applyFont="1" applyBorder="1" applyAlignment="1" applyProtection="1">
      <alignment horizontal="center" vertical="center"/>
      <protection hidden="1"/>
    </xf>
    <xf numFmtId="0" fontId="107" fillId="0" borderId="70" xfId="0" applyFont="1" applyBorder="1" applyAlignment="1" applyProtection="1">
      <alignment horizontal="left" indent="1"/>
      <protection hidden="1"/>
    </xf>
    <xf numFmtId="0" fontId="107" fillId="0" borderId="0" xfId="0" applyFont="1" applyAlignment="1" applyProtection="1">
      <alignment horizontal="left" indent="1"/>
      <protection hidden="1"/>
    </xf>
    <xf numFmtId="0" fontId="107" fillId="0" borderId="71" xfId="0" applyFont="1" applyBorder="1" applyAlignment="1" applyProtection="1">
      <alignment horizontal="left" indent="1"/>
      <protection hidden="1"/>
    </xf>
    <xf numFmtId="0" fontId="40" fillId="0" borderId="65" xfId="0" applyFont="1" applyBorder="1" applyAlignment="1" applyProtection="1">
      <alignment horizontal="left" vertical="center" indent="1"/>
      <protection hidden="1"/>
    </xf>
    <xf numFmtId="0" fontId="40" fillId="0" borderId="66" xfId="0" applyFont="1" applyBorder="1" applyAlignment="1" applyProtection="1">
      <alignment horizontal="left" vertical="center" indent="1"/>
      <protection hidden="1"/>
    </xf>
    <xf numFmtId="0" fontId="107" fillId="0" borderId="64" xfId="0" applyFont="1" applyBorder="1" applyAlignment="1" applyProtection="1">
      <alignment horizontal="left" indent="1"/>
      <protection hidden="1"/>
    </xf>
    <xf numFmtId="0" fontId="107" fillId="0" borderId="65" xfId="0" applyFont="1" applyBorder="1" applyAlignment="1" applyProtection="1">
      <alignment horizontal="left" indent="1"/>
      <protection hidden="1"/>
    </xf>
    <xf numFmtId="0" fontId="107" fillId="0" borderId="66" xfId="0" applyFont="1" applyBorder="1" applyAlignment="1" applyProtection="1">
      <alignment horizontal="left" indent="1"/>
      <protection hidden="1"/>
    </xf>
    <xf numFmtId="0" fontId="40" fillId="0" borderId="163" xfId="0" applyFont="1" applyBorder="1" applyAlignment="1" applyProtection="1">
      <alignment horizontal="left" vertical="center"/>
      <protection hidden="1"/>
    </xf>
    <xf numFmtId="0" fontId="40" fillId="0" borderId="164" xfId="0" applyFont="1" applyBorder="1" applyAlignment="1" applyProtection="1">
      <alignment horizontal="left" vertical="center"/>
      <protection hidden="1"/>
    </xf>
    <xf numFmtId="0" fontId="40" fillId="0" borderId="22" xfId="0" applyFont="1" applyBorder="1" applyAlignment="1" applyProtection="1">
      <alignment horizontal="left" vertical="center"/>
      <protection hidden="1"/>
    </xf>
    <xf numFmtId="0" fontId="40" fillId="0" borderId="22" xfId="0" applyFont="1" applyBorder="1" applyAlignment="1" applyProtection="1">
      <alignment horizontal="center" vertical="center"/>
      <protection hidden="1"/>
    </xf>
    <xf numFmtId="0" fontId="40" fillId="0" borderId="165" xfId="0" applyFont="1" applyBorder="1" applyAlignment="1" applyProtection="1">
      <alignment horizontal="center" vertical="center"/>
      <protection hidden="1"/>
    </xf>
    <xf numFmtId="0" fontId="40" fillId="0" borderId="69" xfId="0" applyFont="1" applyBorder="1" applyAlignment="1" applyProtection="1">
      <alignment horizontal="left" vertical="center"/>
      <protection hidden="1"/>
    </xf>
    <xf numFmtId="0" fontId="40" fillId="0" borderId="46" xfId="0" applyFont="1" applyBorder="1" applyAlignment="1" applyProtection="1">
      <alignment horizontal="left" vertical="center" indent="1"/>
      <protection hidden="1"/>
    </xf>
    <xf numFmtId="0" fontId="40" fillId="0" borderId="45" xfId="0" applyFont="1" applyBorder="1" applyAlignment="1" applyProtection="1">
      <alignment horizontal="left" vertical="center" indent="1"/>
      <protection hidden="1"/>
    </xf>
    <xf numFmtId="0" fontId="40" fillId="0" borderId="35" xfId="0" applyFont="1" applyBorder="1" applyAlignment="1" applyProtection="1">
      <alignment horizontal="left" vertical="center"/>
      <protection hidden="1"/>
    </xf>
    <xf numFmtId="0" fontId="135" fillId="0" borderId="15" xfId="0" applyFont="1" applyBorder="1" applyAlignment="1" applyProtection="1">
      <alignment horizontal="center"/>
      <protection locked="0" hidden="1"/>
    </xf>
  </cellXfs>
  <cellStyles count="18">
    <cellStyle name="40 % - Accent3" xfId="7" builtinId="39"/>
    <cellStyle name="Lien hypertexte" xfId="2" builtinId="8"/>
    <cellStyle name="Milliers" xfId="5" builtinId="3"/>
    <cellStyle name="Milliers [0]" xfId="17" builtinId="6"/>
    <cellStyle name="Milliers 2" xfId="3" xr:uid="{7A1151D4-BA5A-4D45-A74C-4FDD69148DBE}"/>
    <cellStyle name="Milliers 2 2" xfId="10" xr:uid="{E18D0C6A-32D0-4A8F-95E9-5ED2F09E78B0}"/>
    <cellStyle name="Milliers 3" xfId="11" xr:uid="{44921639-B4FB-4274-92FF-19144915309F}"/>
    <cellStyle name="Mois" xfId="14" xr:uid="{A122055D-9320-4192-9CE9-FF506CF61C64}"/>
    <cellStyle name="Normal" xfId="0" builtinId="0"/>
    <cellStyle name="Normal 2" xfId="8" xr:uid="{FB142AAC-6695-40E2-91E1-273949ED9007}"/>
    <cellStyle name="Normal 3" xfId="4" xr:uid="{80914081-8B1C-44C2-9363-8B7DAA6A1E09}"/>
    <cellStyle name="Normal 3 2" xfId="15" xr:uid="{6D27D2AB-015C-4B3E-B914-668D1E6CF2FC}"/>
    <cellStyle name="Normal 3 2 2" xfId="9" xr:uid="{176B749B-50DC-4921-A4ED-4DB5C659DFA5}"/>
    <cellStyle name="Normal 4" xfId="13" xr:uid="{FF1918DF-1B5F-4741-97B9-4EDB1EB89982}"/>
    <cellStyle name="Normal 6" xfId="12" xr:uid="{035DA0E4-A697-4E7C-A93F-83660E0EA857}"/>
    <cellStyle name="Normal_LIASSE SYSCOA ESSAI 1999" xfId="1" xr:uid="{9B9EC211-676B-49D0-A593-09ABAD16A373}"/>
    <cellStyle name="Note" xfId="6" builtinId="10"/>
    <cellStyle name="Pourcentage" xfId="16" builtinId="5"/>
  </cellStyles>
  <dxfs count="420">
    <dxf>
      <font>
        <b val="0"/>
        <i val="0"/>
        <strike val="0"/>
        <condense val="0"/>
        <extend val="0"/>
        <outline val="0"/>
        <shadow val="0"/>
        <u val="none"/>
        <vertAlign val="baseline"/>
        <sz val="11"/>
        <color theme="1"/>
        <name val="Times New Roman"/>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Times New Roman"/>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Times New Roman"/>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Times New Roman"/>
        <scheme val="none"/>
      </font>
      <numFmt numFmtId="0" formatCode="General"/>
    </dxf>
    <dxf>
      <font>
        <b val="0"/>
        <i val="0"/>
        <strike val="0"/>
        <condense val="0"/>
        <extend val="0"/>
        <outline val="0"/>
        <shadow val="0"/>
        <u val="none"/>
        <vertAlign val="baseline"/>
        <sz val="11"/>
        <color theme="1"/>
        <name val="Times New Roman"/>
        <scheme val="none"/>
      </font>
      <alignment horizontal="general" vertical="top" textRotation="0" wrapText="1" indent="0" justifyLastLine="0" shrinkToFit="0" readingOrder="0"/>
    </dxf>
    <dxf>
      <font>
        <b/>
        <i val="0"/>
        <strike val="0"/>
        <condense val="0"/>
        <extend val="0"/>
        <outline val="0"/>
        <shadow val="0"/>
        <u val="none"/>
        <vertAlign val="baseline"/>
        <sz val="11"/>
        <color theme="0"/>
        <name val="Times New Roman"/>
        <scheme val="none"/>
      </font>
      <fill>
        <patternFill patternType="solid">
          <fgColor indexed="64"/>
          <bgColor theme="0"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Calibri Light"/>
        <scheme val="major"/>
      </font>
      <numFmt numFmtId="0" formatCode="General"/>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numFmt numFmtId="0" formatCode="General"/>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numFmt numFmtId="0" formatCode="General"/>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numFmt numFmtId="0" formatCode="General"/>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numFmt numFmtId="0" formatCode="General"/>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numFmt numFmtId="0" formatCode="General"/>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numFmt numFmtId="0" formatCode="General"/>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family val="2"/>
        <scheme val="major"/>
      </font>
      <numFmt numFmtId="0" formatCode="General"/>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family val="2"/>
        <scheme val="major"/>
      </font>
      <numFmt numFmtId="0" formatCode="General"/>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family val="2"/>
        <scheme val="major"/>
      </font>
      <numFmt numFmtId="0" formatCode="General"/>
      <fill>
        <patternFill patternType="solid">
          <fgColor indexed="64"/>
          <bgColor rgb="FFFFFF00"/>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family val="2"/>
        <scheme val="major"/>
      </font>
      <numFmt numFmtId="0" formatCode="General"/>
      <fill>
        <patternFill patternType="solid">
          <fgColor indexed="64"/>
          <bgColor rgb="FFFFFF00"/>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family val="2"/>
        <scheme val="major"/>
      </font>
      <numFmt numFmtId="0" formatCode="General"/>
      <fill>
        <patternFill patternType="solid">
          <fgColor indexed="64"/>
          <bgColor rgb="FFFFFF00"/>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auto="1"/>
        <name val="Calibri Light"/>
        <scheme val="major"/>
      </font>
      <numFmt numFmtId="0" formatCode="General"/>
      <fill>
        <patternFill patternType="solid">
          <fgColor indexed="64"/>
          <bgColor rgb="FFFFFF00"/>
        </patternFill>
      </fill>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protection locked="0" hidden="0"/>
    </dxf>
    <dxf>
      <font>
        <b val="0"/>
        <i val="0"/>
        <strike val="0"/>
        <condense val="0"/>
        <extend val="0"/>
        <outline val="0"/>
        <shadow val="0"/>
        <u val="none"/>
        <vertAlign val="baseline"/>
        <sz val="8"/>
        <color auto="1"/>
        <name val="Calibri Light"/>
        <scheme val="major"/>
      </font>
      <fill>
        <patternFill patternType="none">
          <fgColor indexed="64"/>
          <bgColor indexed="65"/>
        </patternFill>
      </fill>
      <protection locked="0" hidden="0"/>
    </dxf>
    <dxf>
      <font>
        <b val="0"/>
        <i val="0"/>
        <strike val="0"/>
        <condense val="0"/>
        <extend val="0"/>
        <outline val="0"/>
        <shadow val="0"/>
        <u val="none"/>
        <vertAlign val="baseline"/>
        <sz val="8"/>
        <color auto="1"/>
        <name val="Calibri Light"/>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8"/>
        <color theme="0"/>
        <name val="Calibri Light"/>
        <scheme val="major"/>
      </font>
      <fill>
        <patternFill patternType="solid">
          <fgColor indexed="64"/>
          <bgColor theme="1" tint="0.34998626667073579"/>
        </patternFill>
      </fill>
      <protection locked="0" hidden="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general" vertical="bottom" textRotation="0" wrapText="0" indent="0" justifyLastLine="0" shrinkToFit="0" readingOrder="0"/>
      <protection locked="0"/>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font>
        <b/>
        <i val="0"/>
        <color rgb="FFFF0000"/>
      </font>
      <numFmt numFmtId="0" formatCode="General"/>
      <fill>
        <patternFill patternType="none">
          <bgColor auto="1"/>
        </patternFill>
      </fill>
    </dxf>
    <dxf>
      <font>
        <b/>
        <i val="0"/>
        <color rgb="FFFF0000"/>
      </font>
      <numFmt numFmtId="0" formatCode="General"/>
      <fill>
        <patternFill patternType="none">
          <bgColor auto="1"/>
        </patternFill>
      </fill>
    </dxf>
    <dxf>
      <font>
        <b/>
        <i val="0"/>
        <color rgb="FFFF0000"/>
      </font>
      <numFmt numFmtId="0" formatCode="General"/>
      <fill>
        <patternFill patternType="none">
          <bgColor auto="1"/>
        </patternFill>
      </fill>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horizontal="general" vertical="bottom" textRotation="0" wrapText="0" inden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libri Light"/>
        <family val="2"/>
        <scheme val="major"/>
      </font>
      <numFmt numFmtId="164" formatCode="_(* #,##0_);_(* \(#,##0\);_(* &quot;-&quot;_);_(@_)"/>
      <fill>
        <patternFill patternType="none">
          <fgColor indexed="64"/>
          <bgColor indexed="65"/>
        </patternFill>
      </fill>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fill>
        <patternFill patternType="none">
          <fgColor indexed="64"/>
          <bgColor indexed="65"/>
        </patternFill>
      </fill>
      <alignment textRotation="0" wrapText="0" justifyLastLine="0" shrinkToFit="1" readingOrder="0"/>
    </dxf>
    <dxf>
      <font>
        <b val="0"/>
        <i val="0"/>
        <strike val="0"/>
        <condense val="0"/>
        <extend val="0"/>
        <outline val="0"/>
        <shadow val="0"/>
        <u val="none"/>
        <vertAlign val="baseline"/>
        <sz val="11"/>
        <color theme="1"/>
        <name val="Cambria"/>
        <family val="1"/>
        <scheme val="none"/>
      </font>
      <numFmt numFmtId="170" formatCode="_-* #,##0\ _F_-;\-* #,##0\ _F_-;_-* &quot;-&quot;??\ _F_-;_-@_-"/>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70" formatCode="_-* #,##0\ _F_-;\-* #,##0\ _F_-;_-* &quot;-&quot;??\ _F_-;_-@_-"/>
      <fill>
        <patternFill patternType="none">
          <fgColor indexed="64"/>
          <bgColor indexed="65"/>
        </patternFill>
      </fill>
      <alignment horizontal="left" vertical="bottom" textRotation="0" wrapText="0" indent="0" justifyLastLine="0" shrinkToFit="1" readingOrder="0"/>
    </dxf>
    <dxf>
      <font>
        <b val="0"/>
        <i val="0"/>
        <strike val="0"/>
        <condense val="0"/>
        <extend val="0"/>
        <outline val="0"/>
        <shadow val="0"/>
        <u val="none"/>
        <vertAlign val="baseline"/>
        <sz val="11"/>
        <color rgb="FF000000"/>
        <name val="Cambria"/>
        <family val="1"/>
        <scheme val="none"/>
      </font>
      <numFmt numFmtId="30" formatCode="@"/>
      <fill>
        <patternFill patternType="none">
          <fgColor rgb="FF000000"/>
          <bgColor rgb="FFFFFFFF"/>
        </patternFill>
      </fill>
      <alignment textRotation="0" wrapText="0" justifyLastLine="0" shrinkToFit="1" readingOrder="0"/>
    </dxf>
    <dxf>
      <font>
        <b val="0"/>
        <i val="0"/>
        <strike val="0"/>
        <condense val="0"/>
        <extend val="0"/>
        <outline val="0"/>
        <shadow val="0"/>
        <u val="none"/>
        <vertAlign val="baseline"/>
        <sz val="11"/>
        <color rgb="FF000000"/>
        <name val="Cambria"/>
        <family val="1"/>
        <scheme val="none"/>
      </font>
      <numFmt numFmtId="30" formatCode="@"/>
      <fill>
        <patternFill patternType="none">
          <fgColor rgb="FF000000"/>
          <bgColor rgb="FFFFFFFF"/>
        </patternFill>
      </fill>
      <protection locked="0" hidden="0"/>
    </dxf>
    <dxf>
      <font>
        <b val="0"/>
        <i val="0"/>
        <strike val="0"/>
        <condense val="0"/>
        <extend val="0"/>
        <outline val="0"/>
        <shadow val="0"/>
        <u val="none"/>
        <vertAlign val="baseline"/>
        <sz val="11"/>
        <color theme="1"/>
        <name val="Cambria"/>
        <family val="1"/>
        <scheme val="none"/>
      </font>
      <numFmt numFmtId="30" formatCode="@"/>
      <fill>
        <patternFill patternType="none">
          <fgColor indexed="64"/>
          <bgColor indexed="65"/>
        </patternFill>
      </fill>
      <alignment horizontal="center" textRotation="0" wrapText="0" indent="0" justifyLastLine="0" readingOrder="0"/>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1"/>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1"/>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1"/>
    </dxf>
    <dxf>
      <font>
        <b val="0"/>
        <i val="0"/>
        <strike val="0"/>
        <condense val="0"/>
        <extend val="0"/>
        <outline val="0"/>
        <shadow val="0"/>
        <u val="none"/>
        <vertAlign val="baseline"/>
        <sz val="11"/>
        <color theme="1"/>
        <name val="Cambria"/>
        <family val="1"/>
        <scheme val="none"/>
      </font>
      <numFmt numFmtId="167" formatCode="#,##0_ ;\-#,##0\ "/>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67" formatCode="#,##0_ ;\-#,##0\ "/>
      <fill>
        <patternFill patternType="none">
          <fgColor indexed="64"/>
          <bgColor indexed="65"/>
        </patternFill>
      </fill>
      <alignment textRotation="0" wrapText="0" justifyLastLine="0" shrinkToFit="1" readingOrder="0"/>
      <protection locked="0" hidden="1"/>
    </dxf>
    <dxf>
      <font>
        <b val="0"/>
        <i val="0"/>
        <strike val="0"/>
        <condense val="0"/>
        <extend val="0"/>
        <outline val="0"/>
        <shadow val="0"/>
        <u val="none"/>
        <vertAlign val="baseline"/>
        <sz val="11"/>
        <color theme="1"/>
        <name val="Cambria"/>
        <family val="1"/>
        <scheme val="none"/>
      </font>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fill>
        <patternFill patternType="none">
          <fgColor indexed="64"/>
          <bgColor indexed="65"/>
        </patternFill>
      </fill>
      <alignment textRotation="0" wrapText="0" justifyLastLine="0" shrinkToFit="1" readingOrder="0"/>
    </dxf>
    <dxf>
      <font>
        <b val="0"/>
        <i val="0"/>
        <strike val="0"/>
        <condense val="0"/>
        <extend val="0"/>
        <outline val="0"/>
        <shadow val="0"/>
        <u val="none"/>
        <vertAlign val="baseline"/>
        <sz val="11"/>
        <color theme="1"/>
        <name val="Cambria"/>
        <family val="1"/>
        <scheme val="none"/>
      </font>
      <numFmt numFmtId="170" formatCode="_-* #,##0\ _F_-;\-* #,##0\ _F_-;_-* &quot;-&quot;??\ _F_-;_-@_-"/>
      <alignment horizontal="general" vertical="bottom" textRotation="0" wrapText="0" indent="0" justifyLastLine="0" shrinkToFit="1" readingOrder="0"/>
      <protection locked="1" hidden="1"/>
    </dxf>
    <dxf>
      <font>
        <b val="0"/>
        <i val="0"/>
        <strike val="0"/>
        <condense val="0"/>
        <extend val="0"/>
        <outline val="0"/>
        <shadow val="0"/>
        <u val="none"/>
        <vertAlign val="baseline"/>
        <sz val="11"/>
        <color theme="1"/>
        <name val="Cambria"/>
        <family val="1"/>
        <scheme val="none"/>
      </font>
      <numFmt numFmtId="170" formatCode="_-* #,##0\ _F_-;\-* #,##0\ _F_-;_-* &quot;-&quot;??\ _F_-;_-@_-"/>
      <fill>
        <patternFill patternType="none">
          <fgColor indexed="64"/>
          <bgColor indexed="65"/>
        </patternFill>
      </fill>
      <alignment horizontal="left" vertical="bottom" textRotation="0" wrapText="0" indent="0" justifyLastLine="0" shrinkToFit="1" readingOrder="0"/>
    </dxf>
    <dxf>
      <font>
        <b val="0"/>
        <i val="0"/>
        <strike val="0"/>
        <condense val="0"/>
        <extend val="0"/>
        <outline val="0"/>
        <shadow val="0"/>
        <u val="none"/>
        <vertAlign val="baseline"/>
        <sz val="11"/>
        <color rgb="FF000000"/>
        <name val="Cambria"/>
        <family val="1"/>
        <scheme val="none"/>
      </font>
      <numFmt numFmtId="30" formatCode="@"/>
      <fill>
        <patternFill patternType="none">
          <fgColor rgb="FF000000"/>
          <bgColor rgb="FFFFFFFF"/>
        </patternFill>
      </fill>
      <alignment textRotation="0" wrapText="0" justifyLastLine="0" shrinkToFit="1" readingOrder="0"/>
    </dxf>
    <dxf>
      <font>
        <b val="0"/>
        <i val="0"/>
        <strike val="0"/>
        <condense val="0"/>
        <extend val="0"/>
        <outline val="0"/>
        <shadow val="0"/>
        <u val="none"/>
        <vertAlign val="baseline"/>
        <sz val="11"/>
        <color rgb="FF000000"/>
        <name val="Cambria"/>
        <family val="1"/>
        <scheme val="none"/>
      </font>
      <numFmt numFmtId="30" formatCode="@"/>
      <fill>
        <patternFill patternType="none">
          <fgColor rgb="FF000000"/>
          <bgColor rgb="FFFFFFFF"/>
        </patternFill>
      </fill>
      <protection locked="0" hidden="0"/>
    </dxf>
    <dxf>
      <font>
        <b val="0"/>
        <i val="0"/>
        <strike val="0"/>
        <condense val="0"/>
        <extend val="0"/>
        <outline val="0"/>
        <shadow val="0"/>
        <u val="none"/>
        <vertAlign val="baseline"/>
        <sz val="11"/>
        <color theme="1"/>
        <name val="Cambria"/>
        <family val="1"/>
        <scheme val="none"/>
      </font>
      <numFmt numFmtId="30" formatCode="@"/>
      <fill>
        <patternFill patternType="none">
          <fgColor indexed="64"/>
          <bgColor indexed="65"/>
        </patternFill>
      </fill>
      <alignment horizontal="center" textRotation="0" wrapText="0" indent="0" justifyLastLine="0" readingOrder="0"/>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color rgb="FF9C0006"/>
      </font>
      <numFmt numFmtId="168" formatCode=";;;"/>
      <fill>
        <patternFill patternType="none">
          <bgColor auto="1"/>
        </patternFill>
      </fill>
    </dxf>
    <dxf>
      <numFmt numFmtId="164" formatCode="_(* #,##0_);_(* \(#,##0\);_(* &quot;-&quot;_);_(@_)"/>
      <fill>
        <patternFill>
          <bgColor theme="5" tint="0.79998168889431442"/>
        </patternFill>
      </fill>
    </dxf>
    <dxf>
      <font>
        <b val="0"/>
        <i val="0"/>
        <strike val="0"/>
        <condense val="0"/>
        <extend val="0"/>
        <outline val="0"/>
        <shadow val="0"/>
        <u val="none"/>
        <vertAlign val="baseline"/>
        <sz val="11"/>
        <color theme="1"/>
        <name val="Cambria"/>
        <family val="1"/>
        <scheme val="none"/>
      </font>
      <numFmt numFmtId="165" formatCode="_(* #,##0.00_);_(* \(#,##0.00\);_(* &quot;-&quot;??_);_(@_)"/>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172" formatCode="_-* #.##0\ _€_-;\-* #.##0\ _€_-;_-* &quot;-&quot;??\ _€_-;_-@_-"/>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Cambria"/>
        <family val="1"/>
        <scheme val="none"/>
      </font>
      <numFmt numFmtId="165" formatCode="_(* #,##0.00_);_(* \(#,##0.00\);_(* &quot;-&quot;??_);_(@_)"/>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172" formatCode="_-* #.##0\ _€_-;\-* #.##0\ _€_-;_-* &quot;-&quot;??\ _€_-;_-@_-"/>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Cambria"/>
        <family val="1"/>
        <scheme val="none"/>
      </font>
      <numFmt numFmtId="165" formatCode="_(* #,##0.00_);_(* \(#,##0.00\);_(* &quot;-&quot;??_);_(@_)"/>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Cambria"/>
        <family val="1"/>
        <scheme val="none"/>
      </font>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0" formatCode="General"/>
      <fill>
        <patternFill patternType="none">
          <fgColor indexed="64"/>
          <bgColor indexed="65"/>
        </patternFill>
      </fill>
      <alignment horizontal="general" vertical="center" textRotation="0" wrapText="0" indent="0" justifyLastLine="0" shrinkToFit="1" readingOrder="0"/>
      <protection locked="1" hidden="0"/>
    </dxf>
    <dxf>
      <font>
        <b val="0"/>
        <i val="0"/>
        <strike val="0"/>
        <condense val="0"/>
        <extend val="0"/>
        <outline val="0"/>
        <shadow val="0"/>
        <u val="none"/>
        <vertAlign val="baseline"/>
        <sz val="11"/>
        <color theme="1"/>
        <name val="Cambria"/>
        <family val="1"/>
        <scheme val="none"/>
      </font>
      <numFmt numFmtId="164" formatCode="_(* #,##0_);_(* \(#,##0\);_(* &quot;-&quot;_);_(@_)"/>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4" formatCode="_(* #,##0_);_(* \(#,##0\);_(* &quot;-&quot;_);_(@_)"/>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4" formatCode="_(* #,##0_);_(* \(#,##0\);_(* &quot;-&quot;_);_(@_)"/>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4" formatCode="_(* #,##0_);_(* \(#,##0\);_(* &quot;-&quot;_);_(@_)"/>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4" formatCode="_(* #,##0_);_(* \(#,##0\);_(* &quot;-&quot;_);_(@_)"/>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64" formatCode="_(* #,##0_);_(* \(#,##0\);_(* &quot;-&quot;_);_(@_)"/>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30" formatCode="@"/>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30" formatCode="@"/>
      <fill>
        <patternFill patternType="none">
          <fgColor indexed="64"/>
          <bgColor indexed="65"/>
        </patternFill>
      </fill>
      <alignment horizontal="general" vertical="center" textRotation="0" wrapText="0" inden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30" formatCode="@"/>
      <alignment horizontal="left"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30" formatCode="@"/>
      <fill>
        <patternFill patternType="none">
          <fgColor indexed="64"/>
          <bgColor indexed="6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11"/>
        <color theme="1"/>
        <name val="Cambria"/>
        <family val="1"/>
        <scheme val="none"/>
      </font>
      <numFmt numFmtId="174" formatCode="_-* #,##0\ _€_-;\-* #,##0\ _€_-;_-* &quot;-&quot;??\ _€_-;_-@_-"/>
      <fill>
        <patternFill patternType="none">
          <fgColor indexed="64"/>
          <bgColor indexed="65"/>
        </patternFill>
      </fill>
      <alignment horizontal="general" vertical="center" textRotation="0" wrapText="0" indent="0" justifyLastLine="0" shrinkToFit="1" readingOrder="0"/>
      <protection locked="0" hidden="0"/>
    </dxf>
    <dxf>
      <font>
        <strike val="0"/>
        <outline val="0"/>
        <shadow val="0"/>
        <u val="none"/>
        <vertAlign val="baseline"/>
        <sz val="11"/>
        <color theme="1"/>
        <name val="Cambria"/>
        <family val="1"/>
        <scheme val="none"/>
      </font>
      <numFmt numFmtId="172" formatCode="_-* #.##0\ _€_-;\-* #.##0\ _€_-;_-* &quot;-&quot;??\ _€_-;_-@_-"/>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1"/>
        <color theme="1"/>
        <name val="Cambria"/>
        <family val="1"/>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mbria"/>
        <family val="1"/>
        <scheme val="none"/>
      </font>
      <numFmt numFmtId="174" formatCode="_-* #,##0\ _€_-;\-* #,##0\ _€_-;_-* &quot;-&quot;??\ _€_-;_-@_-"/>
      <alignment horizontal="general" vertical="center" textRotation="0" wrapText="0" indent="0" justifyLastLine="0" shrinkToFit="0" readingOrder="0"/>
      <protection locked="0" hidden="0"/>
    </dxf>
    <dxf>
      <font>
        <strike val="0"/>
        <outline val="0"/>
        <shadow val="0"/>
        <u val="none"/>
        <vertAlign val="baseline"/>
        <sz val="11"/>
        <color theme="1"/>
        <name val="Cambria"/>
        <family val="1"/>
        <scheme val="none"/>
      </font>
      <numFmt numFmtId="172" formatCode="_-* #.##0\ _€_-;\-* #.##0\ _€_-;_-* &quot;-&quot;??\ _€_-;_-@_-"/>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1"/>
        <color theme="0"/>
        <name val="Cambria"/>
        <family val="1"/>
        <scheme val="none"/>
      </font>
      <numFmt numFmtId="165" formatCode="_(* #,##0.00_);_(* \(#,##0.00\);_(* &quot;-&quot;??_);_(@_)"/>
      <alignment horizontal="general" vertical="center" textRotation="0" wrapText="0" indent="0" justifyLastLine="0" shrinkToFit="0" readingOrder="0"/>
      <protection locked="0" hidden="0"/>
    </dxf>
    <dxf>
      <font>
        <strike val="0"/>
        <outline val="0"/>
        <shadow val="0"/>
        <u val="none"/>
        <vertAlign val="baseline"/>
        <sz val="11"/>
        <color theme="1"/>
        <name val="Cambria"/>
        <family val="1"/>
        <scheme val="none"/>
      </font>
      <numFmt numFmtId="172" formatCode="_-* #.##0\ _€_-;\-* #.##0\ _€_-;_-* &quot;-&quot;??\ _€_-;_-@_-"/>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1"/>
        <color theme="0"/>
        <name val="Cambria"/>
        <family val="1"/>
        <scheme val="none"/>
      </font>
      <numFmt numFmtId="165" formatCode="_(* #,##0.00_);_(* \(#,##0.00\);_(* &quot;-&quot;??_);_(@_)"/>
      <alignment horizontal="general" vertical="center" textRotation="0" wrapText="0" indent="0" justifyLastLine="0" shrinkToFit="0" readingOrder="0"/>
      <protection locked="0" hidden="0"/>
    </dxf>
    <dxf>
      <font>
        <strike val="0"/>
        <outline val="0"/>
        <shadow val="0"/>
        <u val="none"/>
        <vertAlign val="baseline"/>
        <sz val="11"/>
        <color theme="1"/>
        <name val="Cambria"/>
        <family val="1"/>
        <scheme val="none"/>
      </font>
      <numFmt numFmtId="0" formatCode="General"/>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1"/>
        <color theme="0"/>
        <name val="Cambria"/>
        <family val="1"/>
        <scheme val="none"/>
      </font>
      <alignment horizontal="general" vertical="bottom" textRotation="0" wrapText="0" indent="0" justifyLastLine="0" shrinkToFit="1" readingOrder="0"/>
      <protection locked="0" hidden="0"/>
    </dxf>
    <dxf>
      <font>
        <strike val="0"/>
        <outline val="0"/>
        <shadow val="0"/>
        <u val="none"/>
        <vertAlign val="baseline"/>
        <sz val="11"/>
        <color theme="1"/>
        <name val="Cambria"/>
        <family val="1"/>
        <scheme val="none"/>
      </font>
      <numFmt numFmtId="0" formatCode="General"/>
      <fill>
        <patternFill patternType="none">
          <fgColor indexed="64"/>
          <bgColor indexed="65"/>
        </patternFill>
      </fill>
      <alignment horizontal="general" vertical="center" textRotation="0" wrapText="0" indent="0" justifyLastLine="0" shrinkToFit="1" readingOrder="0"/>
      <protection locked="0" hidden="0"/>
    </dxf>
    <dxf>
      <font>
        <b/>
        <i val="0"/>
        <strike val="0"/>
        <condense val="0"/>
        <extend val="0"/>
        <outline val="0"/>
        <shadow val="0"/>
        <u val="none"/>
        <vertAlign val="baseline"/>
        <sz val="11"/>
        <color theme="0"/>
        <name val="Cambria"/>
        <family val="1"/>
        <scheme val="none"/>
      </font>
      <numFmt numFmtId="164" formatCode="_(* #,##0_);_(* \(#,##0\);_(* &quot;-&quot;_);_(@_)"/>
      <alignment horizontal="general" vertical="bottom"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i val="0"/>
        <strike val="0"/>
        <condense val="0"/>
        <extend val="0"/>
        <outline val="0"/>
        <shadow val="0"/>
        <u val="none"/>
        <vertAlign val="baseline"/>
        <sz val="11"/>
        <color theme="0"/>
        <name val="Cambria"/>
        <family val="1"/>
        <scheme val="none"/>
      </font>
      <numFmt numFmtId="164" formatCode="_(* #,##0_);_(* \(#,##0\);_(* &quot;-&quot;_);_(@_)"/>
      <alignment horizontal="general" vertical="bottom"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i val="0"/>
        <strike val="0"/>
        <condense val="0"/>
        <extend val="0"/>
        <outline val="0"/>
        <shadow val="0"/>
        <u val="none"/>
        <vertAlign val="baseline"/>
        <sz val="11"/>
        <color theme="0"/>
        <name val="Cambria"/>
        <family val="1"/>
        <scheme val="none"/>
      </font>
      <numFmt numFmtId="164" formatCode="_(* #,##0_);_(* \(#,##0\);_(* &quot;-&quot;_);_(@_)"/>
      <alignment horizontal="general" vertical="bottom"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i val="0"/>
        <strike val="0"/>
        <condense val="0"/>
        <extend val="0"/>
        <outline val="0"/>
        <shadow val="0"/>
        <u val="none"/>
        <vertAlign val="baseline"/>
        <sz val="11"/>
        <color theme="0"/>
        <name val="Cambria"/>
        <family val="1"/>
        <scheme val="none"/>
      </font>
      <numFmt numFmtId="164" formatCode="_(* #,##0_);_(* \(#,##0\);_(* &quot;-&quot;_);_(@_)"/>
      <alignment horizontal="general" vertical="bottom"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i val="0"/>
        <strike val="0"/>
        <condense val="0"/>
        <extend val="0"/>
        <outline val="0"/>
        <shadow val="0"/>
        <u val="none"/>
        <vertAlign val="baseline"/>
        <sz val="11"/>
        <color theme="0"/>
        <name val="Cambria"/>
        <family val="1"/>
        <scheme val="none"/>
      </font>
      <numFmt numFmtId="164" formatCode="_(* #,##0_);_(* \(#,##0\);_(* &quot;-&quot;_);_(@_)"/>
      <alignment horizontal="general" vertical="bottom"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i val="0"/>
        <strike val="0"/>
        <condense val="0"/>
        <extend val="0"/>
        <outline val="0"/>
        <shadow val="0"/>
        <u val="none"/>
        <vertAlign val="baseline"/>
        <sz val="11"/>
        <color theme="0"/>
        <name val="Cambria"/>
        <family val="1"/>
        <scheme val="none"/>
      </font>
      <numFmt numFmtId="164" formatCode="_(* #,##0_);_(* \(#,##0\);_(* &quot;-&quot;_);_(@_)"/>
      <alignment horizontal="general" vertical="bottom" textRotation="0" wrapText="0" indent="0" justifyLastLine="0" shrinkToFit="1" readingOrder="0"/>
      <protection locked="0" hidden="0"/>
    </dxf>
    <dxf>
      <font>
        <strike val="0"/>
        <outline val="0"/>
        <shadow val="0"/>
        <u val="none"/>
        <vertAlign val="baseline"/>
        <sz val="11"/>
        <color theme="1"/>
        <name val="Cambria"/>
        <family val="1"/>
        <scheme val="none"/>
      </font>
      <numFmt numFmtId="164" formatCode="_(* #,##0_);_(* \(#,##0\);_(* &quot;-&quot;_);_(@_)"/>
      <fill>
        <patternFill patternType="none">
          <fgColor indexed="64"/>
          <bgColor indexed="65"/>
        </patternFill>
      </fill>
      <alignment horizontal="general" vertical="center" textRotation="0" wrapText="0" indent="0" justifyLastLine="0" shrinkToFit="1" readingOrder="0"/>
      <protection locked="0" hidden="0"/>
    </dxf>
    <dxf>
      <font>
        <b/>
        <i val="0"/>
        <strike val="0"/>
        <condense val="0"/>
        <extend val="0"/>
        <outline val="0"/>
        <shadow val="0"/>
        <u val="none"/>
        <vertAlign val="baseline"/>
        <sz val="11"/>
        <color theme="0"/>
        <name val="Cambria"/>
        <family val="1"/>
        <scheme val="none"/>
      </font>
      <numFmt numFmtId="30" formatCode="@"/>
      <alignment horizontal="general" vertical="bottom" textRotation="0" wrapText="0" indent="0" justifyLastLine="0" shrinkToFit="1" readingOrder="0"/>
      <protection locked="0" hidden="0"/>
    </dxf>
    <dxf>
      <font>
        <strike val="0"/>
        <outline val="0"/>
        <shadow val="0"/>
        <u val="none"/>
        <vertAlign val="baseline"/>
        <sz val="11"/>
        <color theme="1"/>
        <name val="Cambria"/>
        <family val="1"/>
        <scheme val="none"/>
      </font>
      <numFmt numFmtId="30" formatCode="@"/>
      <fill>
        <patternFill patternType="none">
          <fgColor indexed="64"/>
          <bgColor indexed="65"/>
        </patternFill>
      </fill>
      <alignment horizontal="general" vertical="center" textRotation="0" wrapText="0" indent="0" justifyLastLine="0" shrinkToFit="1" readingOrder="0"/>
      <protection locked="0" hidden="0"/>
    </dxf>
    <dxf>
      <font>
        <b/>
        <i val="0"/>
        <strike val="0"/>
        <condense val="0"/>
        <extend val="0"/>
        <outline val="0"/>
        <shadow val="0"/>
        <u val="none"/>
        <vertAlign val="baseline"/>
        <sz val="11"/>
        <color theme="0"/>
        <name val="Cambria"/>
        <family val="1"/>
        <scheme val="none"/>
      </font>
      <numFmt numFmtId="30" formatCode="@"/>
      <alignment horizontal="general" vertical="bottom" textRotation="0" wrapText="0" indent="0" justifyLastLine="0" shrinkToFit="1" readingOrder="0"/>
      <protection locked="0" hidden="0"/>
    </dxf>
    <dxf>
      <font>
        <strike val="0"/>
        <outline val="0"/>
        <shadow val="0"/>
        <u val="none"/>
        <vertAlign val="baseline"/>
        <sz val="11"/>
        <color theme="1"/>
        <name val="Cambria"/>
        <family val="1"/>
        <scheme val="none"/>
      </font>
      <numFmt numFmtId="30" formatCode="@"/>
      <fill>
        <patternFill patternType="none">
          <fgColor indexed="64"/>
          <bgColor indexed="65"/>
        </patternFill>
      </fill>
      <alignment horizontal="general" vertical="center" textRotation="0" wrapText="0" indent="0" justifyLastLine="0" shrinkToFit="1" readingOrder="0"/>
      <protection locked="0" hidden="0"/>
    </dxf>
    <dxf>
      <font>
        <b/>
        <i val="0"/>
        <strike val="0"/>
        <condense val="0"/>
        <extend val="0"/>
        <outline val="0"/>
        <shadow val="0"/>
        <u val="none"/>
        <vertAlign val="baseline"/>
        <sz val="11"/>
        <color theme="0"/>
        <name val="Cambria"/>
        <family val="1"/>
        <scheme val="none"/>
      </font>
      <numFmt numFmtId="174" formatCode="_-* #,##0\ _€_-;\-* #,##0\ _€_-;_-* &quot;-&quot;??\ _€_-;_-@_-"/>
      <fill>
        <patternFill patternType="none">
          <fgColor indexed="64"/>
          <bgColor indexed="65"/>
        </patternFill>
      </fill>
      <alignment horizontal="general" vertical="center" textRotation="0" wrapText="0" indent="0" justifyLastLine="0" shrinkToFit="0" readingOrder="0"/>
      <protection locked="0" hidden="0"/>
    </dxf>
    <dxf>
      <font>
        <strike val="0"/>
        <outline val="0"/>
        <shadow val="0"/>
        <u val="none"/>
        <vertAlign val="baseline"/>
        <sz val="11"/>
        <color theme="1"/>
        <name val="Cambria"/>
        <family val="1"/>
        <scheme val="none"/>
      </font>
      <numFmt numFmtId="172" formatCode="_-* #.##0\ _€_-;\-* #.##0\ _€_-;_-* &quot;-&quot;??\ _€_-;_-@_-"/>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1"/>
        <color theme="0"/>
        <name val="Cambria"/>
        <family val="1"/>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i val="0"/>
        <color rgb="FFFF0000"/>
      </font>
    </dxf>
    <dxf>
      <font>
        <b/>
        <i val="0"/>
        <color theme="0"/>
      </font>
      <fill>
        <patternFill>
          <bgColor rgb="FFFF0000"/>
        </patternFill>
      </fill>
    </dxf>
    <dxf>
      <font>
        <b/>
        <i val="0"/>
        <color rgb="FFFF0000"/>
      </font>
    </dxf>
    <dxf>
      <font>
        <b/>
        <i val="0"/>
        <color rgb="FFFF0000"/>
      </font>
    </dxf>
    <dxf>
      <font>
        <b/>
        <i val="0"/>
        <color theme="0"/>
      </font>
      <fill>
        <patternFill>
          <bgColor rgb="FFFFC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ont>
        <b/>
        <i val="0"/>
        <color rgb="FFFF0000"/>
      </font>
    </dxf>
    <dxf>
      <font>
        <b/>
        <i val="0"/>
        <color rgb="FFFF0000"/>
      </font>
    </dxf>
    <dxf>
      <font>
        <b/>
        <i val="0"/>
        <color theme="0"/>
      </font>
      <fill>
        <patternFill>
          <bgColor rgb="FFFF0000"/>
        </patternFill>
      </fill>
      <border>
        <left style="thin">
          <color rgb="FFFFC000"/>
        </left>
        <right style="thin">
          <color rgb="FFFFC000"/>
        </right>
        <top style="thin">
          <color rgb="FFFFC000"/>
        </top>
        <bottom style="thin">
          <color rgb="FFFFC000"/>
        </bottom>
        <vertical/>
        <horizontal/>
      </border>
    </dxf>
    <dxf>
      <font>
        <strike val="0"/>
        <outline val="0"/>
        <shadow val="0"/>
        <u val="none"/>
        <vertAlign val="baseline"/>
        <sz val="12"/>
        <name val="Calibri"/>
        <family val="2"/>
        <scheme val="minor"/>
      </font>
      <numFmt numFmtId="1" formatCode="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numFmt numFmtId="0" formatCode="General"/>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minor"/>
      </font>
      <numFmt numFmtId="0" formatCode="General"/>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amily val="2"/>
        <scheme val="minor"/>
      </font>
      <numFmt numFmtId="0" formatCode="Genera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dxf>
    <dxf>
      <border>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2"/>
        <color auto="1"/>
        <name val="Calibri"/>
        <family val="2"/>
        <scheme val="minor"/>
      </font>
      <numFmt numFmtId="1" formatCode="0"/>
      <fill>
        <patternFill patternType="none">
          <fgColor indexed="64"/>
          <bgColor auto="1"/>
        </patternFill>
      </fill>
    </dxf>
    <dxf>
      <font>
        <b val="0"/>
        <strike val="0"/>
        <outline val="0"/>
        <shadow val="0"/>
        <u val="none"/>
        <vertAlign val="baseline"/>
        <sz val="12"/>
        <color auto="1"/>
        <name val="Calibri"/>
        <family val="2"/>
        <scheme val="minor"/>
      </font>
      <numFmt numFmtId="30" formatCode="@"/>
      <fill>
        <patternFill patternType="none">
          <fgColor indexed="64"/>
          <bgColor auto="1"/>
        </patternFill>
      </fill>
    </dxf>
    <dxf>
      <font>
        <b val="0"/>
        <strike val="0"/>
        <outline val="0"/>
        <shadow val="0"/>
        <u val="none"/>
        <vertAlign val="baseline"/>
        <sz val="12"/>
        <color auto="1"/>
        <name val="Calibri"/>
        <family val="2"/>
        <scheme val="minor"/>
      </font>
      <numFmt numFmtId="30" formatCode="@"/>
      <fill>
        <patternFill patternType="none">
          <fgColor indexed="64"/>
          <bgColor auto="1"/>
        </patternFill>
      </fill>
    </dxf>
    <dxf>
      <font>
        <b val="0"/>
        <strike val="0"/>
        <outline val="0"/>
        <shadow val="0"/>
        <u val="none"/>
        <vertAlign val="baseline"/>
        <sz val="12"/>
        <color auto="1"/>
        <name val="Calibri"/>
        <family val="2"/>
        <scheme val="minor"/>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0" indent="0" justifyLastLine="0" shrinkToFit="0" readingOrder="0"/>
    </dxf>
    <dxf>
      <font>
        <strike val="0"/>
        <outline val="0"/>
        <shadow val="0"/>
        <u val="none"/>
        <vertAlign val="baseline"/>
        <sz val="12"/>
        <name val="Calibri"/>
        <family val="2"/>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protection locked="0" hidden="0"/>
    </dxf>
    <dxf>
      <font>
        <strike val="0"/>
        <outline val="0"/>
        <shadow val="0"/>
        <u val="none"/>
        <vertAlign val="baseline"/>
        <sz val="12"/>
        <name val="Calibri"/>
        <family val="2"/>
        <scheme val="minor"/>
      </font>
      <numFmt numFmtId="0" formatCode="General"/>
      <alignment horizontal="general" vertical="center" textRotation="0" wrapText="0" indent="0" justifyLastLine="0" shrinkToFit="0" readingOrder="0"/>
      <protection locked="0" hidden="0"/>
    </dxf>
    <dxf>
      <font>
        <strike val="0"/>
        <outline val="0"/>
        <shadow val="0"/>
        <u val="none"/>
        <vertAlign val="baseline"/>
        <sz val="12"/>
        <name val="Calibri"/>
        <family val="2"/>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protection locked="0" hidden="0"/>
    </dxf>
    <dxf>
      <border outline="0">
        <top style="thin">
          <color theme="4" tint="0.39997558519241921"/>
        </top>
      </border>
    </dxf>
    <dxf>
      <border outline="0">
        <bottom style="thin">
          <color theme="4" tint="0.39997558519241921"/>
        </bottom>
      </border>
    </dxf>
    <dxf>
      <font>
        <strike val="0"/>
        <outline val="0"/>
        <shadow val="0"/>
        <u val="none"/>
        <vertAlign val="baseline"/>
        <sz val="12"/>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auto="1"/>
        </patternFill>
      </fill>
      <border diagonalUp="0" diagonalDown="0" outline="0">
        <left/>
        <right/>
        <top style="thin">
          <color theme="4" tint="0.39997558519241921"/>
        </top>
        <bottom/>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outline="0">
        <left/>
        <right/>
        <top style="thin">
          <color theme="4" tint="0.39997558519241921"/>
        </top>
        <bottom/>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protection locked="0" hidden="0"/>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4" tint="0.39997558519241921"/>
        </top>
        <bottom style="thin">
          <color theme="4" tint="0.39997558519241921"/>
        </bottom>
        <vertical/>
        <horizontal/>
      </border>
      <protection locked="0" hidden="0"/>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auto="1"/>
        </patternFill>
      </fill>
      <border diagonalUp="0" diagonalDown="0">
        <left/>
        <right style="thin">
          <color theme="4" tint="0.39997558519241921"/>
        </right>
        <top style="thin">
          <color theme="4" tint="0.39997558519241921"/>
        </top>
        <bottom style="thin">
          <color theme="4" tint="0.39997558519241921"/>
        </bottom>
        <vertical/>
        <horizontal/>
      </border>
      <protection locked="0" hidden="0"/>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auto="1"/>
        </patternFill>
      </fill>
      <border diagonalUp="0" diagonalDown="0">
        <left/>
        <right/>
        <top style="thin">
          <color theme="4" tint="0.39997558519241921"/>
        </top>
        <bottom style="thin">
          <color theme="4" tint="0.39997558519241921"/>
        </bottom>
        <vertical/>
        <horizontal/>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right/>
        <top style="thin">
          <color theme="4" tint="0.39997558519241921"/>
        </top>
        <bottom style="thin">
          <color theme="4" tint="0.39997558519241921"/>
        </bottom>
        <vertical/>
        <horizontal/>
      </border>
      <protection locked="0" hidden="0"/>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protection locked="0" hidden="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general" vertical="center" textRotation="0" wrapText="0" indent="0" justifyLastLine="0" shrinkToFit="0" readingOrder="0"/>
      <border diagonalUp="0" diagonalDown="0">
        <left/>
        <right/>
        <top style="thin">
          <color theme="4" tint="0.39997558519241921"/>
        </top>
        <bottom/>
        <vertical/>
        <horizontal/>
      </border>
      <protection locked="0" hidden="0"/>
    </dxf>
    <dxf>
      <font>
        <strike val="0"/>
        <outline val="0"/>
        <shadow val="0"/>
        <u val="none"/>
        <vertAlign val="baseline"/>
        <sz val="12"/>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protection locked="0" hidden="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general" vertical="center" textRotation="0" wrapText="0" indent="0" justifyLastLine="0" shrinkToFit="0" readingOrder="0"/>
      <border diagonalUp="0" diagonalDown="0">
        <left/>
        <right/>
        <top style="thin">
          <color theme="4" tint="0.39997558519241921"/>
        </top>
        <bottom/>
        <vertical/>
        <horizontal/>
      </border>
      <protection locked="0" hidden="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general" vertical="center" textRotation="0" wrapText="0" indent="0" justifyLastLine="0" shrinkToFit="0" readingOrder="0"/>
      <border diagonalUp="0" diagonalDown="0">
        <left style="thin">
          <color theme="4" tint="0.39997558519241921"/>
        </left>
        <right/>
        <top style="thin">
          <color theme="4" tint="0.39997558519241921"/>
        </top>
        <bottom/>
        <vertical/>
        <horizontal/>
      </border>
      <protection locked="0" hidden="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vertical/>
        <horizontal/>
      </border>
      <protection locked="0" hidden="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general" vertical="center" textRotation="0" wrapText="0" indent="0" justifyLastLine="0" shrinkToFit="0" readingOrder="0"/>
      <border diagonalUp="0" diagonalDown="0">
        <left style="thin">
          <color theme="4" tint="0.39997558519241921"/>
        </left>
        <right/>
        <top style="thin">
          <color theme="4" tint="0.39997558519241921"/>
        </top>
        <bottom/>
        <vertical/>
        <horizontal/>
      </border>
      <protection locked="0" hidden="0"/>
    </dxf>
    <dxf>
      <border outline="0">
        <left style="thin">
          <color theme="4" tint="0.39997558519241921"/>
        </left>
        <top style="thin">
          <color theme="4" tint="0.39997558519241921"/>
        </top>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s>
  <tableStyles count="0" defaultTableStyle="TableStyleMedium2" defaultPivotStyle="PivotStyleLight16"/>
  <colors>
    <mruColors>
      <color rgb="FFFFFFCC"/>
      <color rgb="FFED7D31"/>
      <color rgb="FF0000C0"/>
      <color rgb="FFD9E1F2"/>
      <color rgb="FF44546A"/>
      <color rgb="FF1F4E78"/>
      <color rgb="FFF75B5B"/>
      <color rgb="FF8CC068"/>
      <color rgb="FF9AC8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2">
    <xs:schema xmlns:xs="http://www.w3.org/2001/XMLSchema" xmlns="" elementFormDefault="qualified" attributeFormDefault="unqualified">
      <xs:element name="EDI">
        <xs:annotation>
          <xs:documentation>POC liasse normale</xs:documentation>
        </xs:annotation>
        <xs:complexType>
          <xs:sequence>
            <xs:element name="informations" maxOccurs="unbounded">
              <xs:complexType>
                <xs:sequence>
                  <xs:element name="type" type="xs:string"/>
                  <xs:element name="ncc" type="xs:string"/>
                  <xs:element name="exercice" type="xs:string"/>
                </xs:sequence>
              </xs:complexType>
            </xs:element>
            <xs:element name="champsTableauxFixes">
              <xs:complexType>
                <xs:sequence>
                  <xs:element name="champTableauFixe" minOccurs="0" maxOccurs="unbounded">
                    <xs:complexType>
                      <xs:sequence>
                        <xs:element name="code" type="xs:string"/>
                        <xs:element name="valeur" type="xs:string"/>
                      </xs:sequence>
                    </xs:complexType>
                  </xs:element>
                </xs:sequence>
              </xs:complexType>
            </xs:element>
            <xs:element name="champsTableauxVariables">
              <xs:complexType>
                <xs:sequence>
                  <xs:element name="champTableauVariable" minOccurs="0" maxOccurs="unbounded">
                    <xs:complexType>
                      <xs:sequence>
                        <xs:element name="colonne" type="xs:string"/>
                        <xs:element name="ligne" type="xs:string"/>
                        <xs:element name="valeur" type="xs:string"/>
                      </xs:sequence>
                    </xs:complexType>
                  </xs:element>
                </xs:sequence>
              </xs:complexType>
            </xs:element>
          </xs:sequence>
        </xs:complexType>
      </xs:element>
    </xs:schema>
  </Schema>
  <Map ID="2" Name="EDI_Mappage" RootElement="EDI" SchemaID="Schema2"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tyles" Target="style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theme" Target="theme/theme1.xml"/><Relationship Id="rId9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eetMetadata" Target="metadata.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xmlMaps" Target="xmlMap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D5" lockText="1" noThreeD="1"/>
</file>

<file path=xl/ctrlProps/ctrlProp2.xml><?xml version="1.0" encoding="utf-8"?>
<formControlPr xmlns="http://schemas.microsoft.com/office/spreadsheetml/2009/9/main" objectType="CheckBox" checked="Checked" fmlaLink="D7" lockText="1" noThreeD="1"/>
</file>

<file path=xl/ctrlProps/ctrlProp3.xml><?xml version="1.0" encoding="utf-8"?>
<formControlPr xmlns="http://schemas.microsoft.com/office/spreadsheetml/2009/9/main" objectType="CheckBox" checked="Checked" fmlaLink="D6" lockText="1" noThreeD="1"/>
</file>

<file path=xl/ctrlProps/ctrlProp4.xml><?xml version="1.0" encoding="utf-8"?>
<formControlPr xmlns="http://schemas.microsoft.com/office/spreadsheetml/2009/9/main" objectType="CheckBox" checked="Checked" fmlaLink="D9" lockText="1" noThreeD="1"/>
</file>

<file path=xl/ctrlProps/ctrlProp5.xml><?xml version="1.0" encoding="utf-8"?>
<formControlPr xmlns="http://schemas.microsoft.com/office/spreadsheetml/2009/9/main" objectType="CheckBox" checked="Checked" fmlaLink="D8" lockText="1" noThreeD="1"/>
</file>

<file path=xl/ctrlProps/ctrlProp6.xml><?xml version="1.0" encoding="utf-8"?>
<formControlPr xmlns="http://schemas.microsoft.com/office/spreadsheetml/2009/9/main" objectType="CheckBox" checked="Checked" fmlaLink="D11" lockText="1" noThreeD="1"/>
</file>

<file path=xl/ctrlProps/ctrlProp7.xml><?xml version="1.0" encoding="utf-8"?>
<formControlPr xmlns="http://schemas.microsoft.com/office/spreadsheetml/2009/9/main" objectType="CheckBox" checked="Checked" fmlaLink="D10" lockText="1" noThreeD="1"/>
</file>

<file path=xl/ctrlProps/ctrlProp8.xml><?xml version="1.0" encoding="utf-8"?>
<formControlPr xmlns="http://schemas.microsoft.com/office/spreadsheetml/2009/9/main" objectType="CheckBox" checked="Checked" fmlaLink="D13" lockText="1" noThreeD="1"/>
</file>

<file path=xl/ctrlProps/ctrlProp9.xml><?xml version="1.0" encoding="utf-8"?>
<formControlPr xmlns="http://schemas.microsoft.com/office/spreadsheetml/2009/9/main" objectType="CheckBox" checked="Checked" fmlaLink="D12" lockText="1" noThreeD="1"/>
</file>

<file path=xl/ctrlProps/ctrlProp10.xml><?xml version="1.0" encoding="utf-8"?>
<formControlPr xmlns="http://schemas.microsoft.com/office/spreadsheetml/2009/9/main" objectType="CheckBox" checked="Checked" fmlaLink="D15" lockText="1" noThreeD="1"/>
</file>

<file path=xl/ctrlProps/ctrlProp11.xml><?xml version="1.0" encoding="utf-8"?>
<formControlPr xmlns="http://schemas.microsoft.com/office/spreadsheetml/2009/9/main" objectType="CheckBox" checked="Checked" fmlaLink="D14" lockText="1" noThreeD="1"/>
</file>

<file path=xl/ctrlProps/ctrlProp12.xml><?xml version="1.0" encoding="utf-8"?>
<formControlPr xmlns="http://schemas.microsoft.com/office/spreadsheetml/2009/9/main" objectType="CheckBox" checked="Checked" fmlaLink="D17" noThreeD="1"/>
</file>

<file path=xl/ctrlProps/ctrlProp13.xml><?xml version="1.0" encoding="utf-8"?>
<formControlPr xmlns="http://schemas.microsoft.com/office/spreadsheetml/2009/9/main" objectType="CheckBox" checked="Checked" fmlaLink="D16" lockText="1" noThreeD="1"/>
</file>

<file path=xl/ctrlProps/ctrlProp14.xml><?xml version="1.0" encoding="utf-8"?>
<formControlPr xmlns="http://schemas.microsoft.com/office/spreadsheetml/2009/9/main" objectType="CheckBox" fmlaLink="D19" noThreeD="1"/>
</file>

<file path=xl/ctrlProps/ctrlProp15.xml><?xml version="1.0" encoding="utf-8"?>
<formControlPr xmlns="http://schemas.microsoft.com/office/spreadsheetml/2009/9/main" objectType="CheckBox" checked="Checked" fmlaLink="D18" noThreeD="1"/>
</file>

<file path=xl/ctrlProps/ctrlProp16.xml><?xml version="1.0" encoding="utf-8"?>
<formControlPr xmlns="http://schemas.microsoft.com/office/spreadsheetml/2009/9/main" objectType="CheckBox" checked="Checked" fmlaLink="D21" noThreeD="1"/>
</file>

<file path=xl/ctrlProps/ctrlProp17.xml><?xml version="1.0" encoding="utf-8"?>
<formControlPr xmlns="http://schemas.microsoft.com/office/spreadsheetml/2009/9/main" objectType="CheckBox" fmlaLink="D20" noThreeD="1"/>
</file>

<file path=xl/ctrlProps/ctrlProp18.xml><?xml version="1.0" encoding="utf-8"?>
<formControlPr xmlns="http://schemas.microsoft.com/office/spreadsheetml/2009/9/main" objectType="CheckBox" checked="Checked" fmlaLink="D23" noThreeD="1"/>
</file>

<file path=xl/ctrlProps/ctrlProp19.xml><?xml version="1.0" encoding="utf-8"?>
<formControlPr xmlns="http://schemas.microsoft.com/office/spreadsheetml/2009/9/main" objectType="CheckBox" fmlaLink="D22" noThreeD="1"/>
</file>

<file path=xl/ctrlProps/ctrlProp20.xml><?xml version="1.0" encoding="utf-8"?>
<formControlPr xmlns="http://schemas.microsoft.com/office/spreadsheetml/2009/9/main" objectType="CheckBox" fmlaLink="I5" noThreeD="1"/>
</file>

<file path=xl/ctrlProps/ctrlProp21.xml><?xml version="1.0" encoding="utf-8"?>
<formControlPr xmlns="http://schemas.microsoft.com/office/spreadsheetml/2009/9/main" objectType="CheckBox" fmlaLink="I4" noThreeD="1"/>
</file>

<file path=xl/ctrlProps/ctrlProp22.xml><?xml version="1.0" encoding="utf-8"?>
<formControlPr xmlns="http://schemas.microsoft.com/office/spreadsheetml/2009/9/main" objectType="CheckBox" fmlaLink="I7" noThreeD="1"/>
</file>

<file path=xl/ctrlProps/ctrlProp23.xml><?xml version="1.0" encoding="utf-8"?>
<formControlPr xmlns="http://schemas.microsoft.com/office/spreadsheetml/2009/9/main" objectType="CheckBox" fmlaLink="I6" noThreeD="1"/>
</file>

<file path=xl/ctrlProps/ctrlProp24.xml><?xml version="1.0" encoding="utf-8"?>
<formControlPr xmlns="http://schemas.microsoft.com/office/spreadsheetml/2009/9/main" objectType="CheckBox" fmlaLink="I9" noThreeD="1"/>
</file>

<file path=xl/ctrlProps/ctrlProp25.xml><?xml version="1.0" encoding="utf-8"?>
<formControlPr xmlns="http://schemas.microsoft.com/office/spreadsheetml/2009/9/main" objectType="CheckBox" fmlaLink="I8" noThreeD="1"/>
</file>

<file path=xl/ctrlProps/ctrlProp26.xml><?xml version="1.0" encoding="utf-8"?>
<formControlPr xmlns="http://schemas.microsoft.com/office/spreadsheetml/2009/9/main" objectType="CheckBox" fmlaLink="I11" noThreeD="1"/>
</file>

<file path=xl/ctrlProps/ctrlProp27.xml><?xml version="1.0" encoding="utf-8"?>
<formControlPr xmlns="http://schemas.microsoft.com/office/spreadsheetml/2009/9/main" objectType="CheckBox" fmlaLink="I10" noThreeD="1"/>
</file>

<file path=xl/ctrlProps/ctrlProp28.xml><?xml version="1.0" encoding="utf-8"?>
<formControlPr xmlns="http://schemas.microsoft.com/office/spreadsheetml/2009/9/main" objectType="CheckBox" fmlaLink="I13" noThreeD="1"/>
</file>

<file path=xl/ctrlProps/ctrlProp29.xml><?xml version="1.0" encoding="utf-8"?>
<formControlPr xmlns="http://schemas.microsoft.com/office/spreadsheetml/2009/9/main" objectType="CheckBox" fmlaLink="I12" noThreeD="1"/>
</file>

<file path=xl/ctrlProps/ctrlProp30.xml><?xml version="1.0" encoding="utf-8"?>
<formControlPr xmlns="http://schemas.microsoft.com/office/spreadsheetml/2009/9/main" objectType="CheckBox" checked="Checked" fmlaLink="I15" noThreeD="1"/>
</file>

<file path=xl/ctrlProps/ctrlProp31.xml><?xml version="1.0" encoding="utf-8"?>
<formControlPr xmlns="http://schemas.microsoft.com/office/spreadsheetml/2009/9/main" objectType="CheckBox" fmlaLink="I14" noThreeD="1"/>
</file>

<file path=xl/ctrlProps/ctrlProp32.xml><?xml version="1.0" encoding="utf-8"?>
<formControlPr xmlns="http://schemas.microsoft.com/office/spreadsheetml/2009/9/main" objectType="CheckBox" checked="Checked" fmlaLink="I17" noThreeD="1"/>
</file>

<file path=xl/ctrlProps/ctrlProp33.xml><?xml version="1.0" encoding="utf-8"?>
<formControlPr xmlns="http://schemas.microsoft.com/office/spreadsheetml/2009/9/main" objectType="CheckBox" fmlaLink="I16" noThreeD="1"/>
</file>

<file path=xl/ctrlProps/ctrlProp34.xml><?xml version="1.0" encoding="utf-8"?>
<formControlPr xmlns="http://schemas.microsoft.com/office/spreadsheetml/2009/9/main" objectType="CheckBox" fmlaLink="I19" noThreeD="1"/>
</file>

<file path=xl/ctrlProps/ctrlProp35.xml><?xml version="1.0" encoding="utf-8"?>
<formControlPr xmlns="http://schemas.microsoft.com/office/spreadsheetml/2009/9/main" objectType="CheckBox" checked="Checked" fmlaLink="I18" noThreeD="1"/>
</file>

<file path=xl/ctrlProps/ctrlProp36.xml><?xml version="1.0" encoding="utf-8"?>
<formControlPr xmlns="http://schemas.microsoft.com/office/spreadsheetml/2009/9/main" objectType="CheckBox" checked="Checked" fmlaLink="I21" noThreeD="1"/>
</file>

<file path=xl/ctrlProps/ctrlProp37.xml><?xml version="1.0" encoding="utf-8"?>
<formControlPr xmlns="http://schemas.microsoft.com/office/spreadsheetml/2009/9/main" objectType="CheckBox" fmlaLink="I20" noThreeD="1"/>
</file>

<file path=xl/ctrlProps/ctrlProp38.xml><?xml version="1.0" encoding="utf-8"?>
<formControlPr xmlns="http://schemas.microsoft.com/office/spreadsheetml/2009/9/main" objectType="CheckBox" fmlaLink="I23" noThreeD="1"/>
</file>

<file path=xl/ctrlProps/ctrlProp39.xml><?xml version="1.0" encoding="utf-8"?>
<formControlPr xmlns="http://schemas.microsoft.com/office/spreadsheetml/2009/9/main" objectType="CheckBox" fmlaLink="I22" noThreeD="1"/>
</file>

<file path=xl/ctrlProps/ctrlProp40.xml><?xml version="1.0" encoding="utf-8"?>
<formControlPr xmlns="http://schemas.microsoft.com/office/spreadsheetml/2009/9/main" objectType="CheckBox" fmlaLink="M5" noThreeD="1"/>
</file>

<file path=xl/ctrlProps/ctrlProp41.xml><?xml version="1.0" encoding="utf-8"?>
<formControlPr xmlns="http://schemas.microsoft.com/office/spreadsheetml/2009/9/main" objectType="CheckBox" checked="Checked" fmlaLink="M4" noThreeD="1"/>
</file>

<file path=xl/ctrlProps/ctrlProp42.xml><?xml version="1.0" encoding="utf-8"?>
<formControlPr xmlns="http://schemas.microsoft.com/office/spreadsheetml/2009/9/main" objectType="CheckBox" checked="Checked" fmlaLink="M7" noThreeD="1"/>
</file>

<file path=xl/ctrlProps/ctrlProp43.xml><?xml version="1.0" encoding="utf-8"?>
<formControlPr xmlns="http://schemas.microsoft.com/office/spreadsheetml/2009/9/main" objectType="CheckBox" checked="Checked" fmlaLink="M6" noThreeD="1"/>
</file>

<file path=xl/ctrlProps/ctrlProp44.xml><?xml version="1.0" encoding="utf-8"?>
<formControlPr xmlns="http://schemas.microsoft.com/office/spreadsheetml/2009/9/main" objectType="CheckBox" checked="Checked" fmlaLink="M9" noThreeD="1"/>
</file>

<file path=xl/ctrlProps/ctrlProp45.xml><?xml version="1.0" encoding="utf-8"?>
<formControlPr xmlns="http://schemas.microsoft.com/office/spreadsheetml/2009/9/main" objectType="CheckBox" checked="Checked" fmlaLink="M8" noThreeD="1"/>
</file>

<file path=xl/ctrlProps/ctrlProp46.xml><?xml version="1.0" encoding="utf-8"?>
<formControlPr xmlns="http://schemas.microsoft.com/office/spreadsheetml/2009/9/main" objectType="CheckBox" checked="Checked" fmlaLink="M11" noThreeD="1"/>
</file>

<file path=xl/ctrlProps/ctrlProp47.xml><?xml version="1.0" encoding="utf-8"?>
<formControlPr xmlns="http://schemas.microsoft.com/office/spreadsheetml/2009/9/main" objectType="CheckBox" checked="Checked" fmlaLink="M10" noThreeD="1"/>
</file>

<file path=xl/ctrlProps/ctrlProp48.xml><?xml version="1.0" encoding="utf-8"?>
<formControlPr xmlns="http://schemas.microsoft.com/office/spreadsheetml/2009/9/main" objectType="CheckBox" checked="Checked" fmlaLink="M13" noThreeD="1"/>
</file>

<file path=xl/ctrlProps/ctrlProp49.xml><?xml version="1.0" encoding="utf-8"?>
<formControlPr xmlns="http://schemas.microsoft.com/office/spreadsheetml/2009/9/main" objectType="CheckBox" fmlaLink="M12" noThreeD="1"/>
</file>

<file path=xl/ctrlProps/ctrlProp50.xml><?xml version="1.0" encoding="utf-8"?>
<formControlPr xmlns="http://schemas.microsoft.com/office/spreadsheetml/2009/9/main" objectType="CheckBox" checked="Checked" fmlaLink="M15" noThreeD="1"/>
</file>

<file path=xl/ctrlProps/ctrlProp51.xml><?xml version="1.0" encoding="utf-8"?>
<formControlPr xmlns="http://schemas.microsoft.com/office/spreadsheetml/2009/9/main" objectType="CheckBox" checked="Checked" fmlaLink="M14" noThreeD="1"/>
</file>

<file path=xl/ctrlProps/ctrlProp52.xml><?xml version="1.0" encoding="utf-8"?>
<formControlPr xmlns="http://schemas.microsoft.com/office/spreadsheetml/2009/9/main" objectType="CheckBox" fmlaLink="M17" noThreeD="1"/>
</file>

<file path=xl/ctrlProps/ctrlProp53.xml><?xml version="1.0" encoding="utf-8"?>
<formControlPr xmlns="http://schemas.microsoft.com/office/spreadsheetml/2009/9/main" objectType="CheckBox" fmlaLink="M16" noThreeD="1"/>
</file>

<file path=xl/ctrlProps/ctrlProp54.xml><?xml version="1.0" encoding="utf-8"?>
<formControlPr xmlns="http://schemas.microsoft.com/office/spreadsheetml/2009/9/main" objectType="CheckBox" fmlaLink="M19" noThreeD="1"/>
</file>

<file path=xl/ctrlProps/ctrlProp55.xml><?xml version="1.0" encoding="utf-8"?>
<formControlPr xmlns="http://schemas.microsoft.com/office/spreadsheetml/2009/9/main" objectType="CheckBox" checked="Checked" fmlaLink="M18" noThreeD="1"/>
</file>

<file path=xl/ctrlProps/ctrlProp56.xml><?xml version="1.0" encoding="utf-8"?>
<formControlPr xmlns="http://schemas.microsoft.com/office/spreadsheetml/2009/9/main" objectType="CheckBox" checked="Checked" fmlaLink="M21" noThreeD="1"/>
</file>

<file path=xl/ctrlProps/ctrlProp57.xml><?xml version="1.0" encoding="utf-8"?>
<formControlPr xmlns="http://schemas.microsoft.com/office/spreadsheetml/2009/9/main" objectType="CheckBox" fmlaLink="M20" noThreeD="1"/>
</file>

<file path=xl/ctrlProps/ctrlProp58.xml><?xml version="1.0" encoding="utf-8"?>
<formControlPr xmlns="http://schemas.microsoft.com/office/spreadsheetml/2009/9/main" objectType="CheckBox" checked="Checked" fmlaLink="M23" lockText="1" noThreeD="1"/>
</file>

<file path=xl/ctrlProps/ctrlProp59.xml><?xml version="1.0" encoding="utf-8"?>
<formControlPr xmlns="http://schemas.microsoft.com/office/spreadsheetml/2009/9/main" objectType="CheckBox" fmlaLink="M22" noThreeD="1"/>
</file>

<file path=xl/ctrlProps/ctrlProp60.xml><?xml version="1.0" encoding="utf-8"?>
<formControlPr xmlns="http://schemas.microsoft.com/office/spreadsheetml/2009/9/main" objectType="CheckBox" fmlaLink="D24" lockText="1" noThreeD="1"/>
</file>

<file path=xl/ctrlProps/ctrlProp61.xml><?xml version="1.0" encoding="utf-8"?>
<formControlPr xmlns="http://schemas.microsoft.com/office/spreadsheetml/2009/9/main" objectType="CheckBox" fmlaLink="I24" noThreeD="1"/>
</file>

<file path=xl/ctrlProps/ctrlProp62.xml><?xml version="1.0" encoding="utf-8"?>
<formControlPr xmlns="http://schemas.microsoft.com/office/spreadsheetml/2009/9/main" objectType="CheckBox" fmlaLink="M24" noThreeD="1"/>
</file>

<file path=xl/ctrlProps/ctrlProp63.xml><?xml version="1.0" encoding="utf-8"?>
<formControlPr xmlns="http://schemas.microsoft.com/office/spreadsheetml/2009/9/main" objectType="CheckBox" fmlaLink="D25" noThreeD="1"/>
</file>

<file path=xl/ctrlProps/ctrlProp64.xml><?xml version="1.0" encoding="utf-8"?>
<formControlPr xmlns="http://schemas.microsoft.com/office/spreadsheetml/2009/9/main" objectType="CheckBox" checked="Checked" fmlaLink="I25" noThreeD="1"/>
</file>

<file path=xl/ctrlProps/ctrlProp65.xml><?xml version="1.0" encoding="utf-8"?>
<formControlPr xmlns="http://schemas.microsoft.com/office/spreadsheetml/2009/9/main" objectType="CheckBox" fmlaLink="M25" lockText="1" noThreeD="1"/>
</file>

<file path=xl/ctrlProps/ctrlProp66.xml><?xml version="1.0" encoding="utf-8"?>
<formControlPr xmlns="http://schemas.microsoft.com/office/spreadsheetml/2009/9/main" objectType="CheckBox" checked="Checked" fmlaLink="R5" noThreeD="1"/>
</file>

<file path=xl/ctrlProps/ctrlProp67.xml><?xml version="1.0" encoding="utf-8"?>
<formControlPr xmlns="http://schemas.microsoft.com/office/spreadsheetml/2009/9/main" objectType="CheckBox" checked="Checked" fmlaLink="R4" lockText="1" noThreeD="1"/>
</file>

<file path=xl/ctrlProps/ctrlProp68.xml><?xml version="1.0" encoding="utf-8"?>
<formControlPr xmlns="http://schemas.microsoft.com/office/spreadsheetml/2009/9/main" objectType="CheckBox" checked="Checked" fmlaLink="R7" noThreeD="1"/>
</file>

<file path=xl/ctrlProps/ctrlProp69.xml><?xml version="1.0" encoding="utf-8"?>
<formControlPr xmlns="http://schemas.microsoft.com/office/spreadsheetml/2009/9/main" objectType="CheckBox" checked="Checked" fmlaLink="R6" noThreeD="1"/>
</file>

<file path=xl/ctrlProps/ctrlProp70.xml><?xml version="1.0" encoding="utf-8"?>
<formControlPr xmlns="http://schemas.microsoft.com/office/spreadsheetml/2009/9/main" objectType="CheckBox" fmlaLink="R9" noThreeD="1"/>
</file>

<file path=xl/ctrlProps/ctrlProp71.xml><?xml version="1.0" encoding="utf-8"?>
<formControlPr xmlns="http://schemas.microsoft.com/office/spreadsheetml/2009/9/main" objectType="CheckBox" fmlaLink="R8" noThreeD="1"/>
</file>

<file path=xl/ctrlProps/ctrlProp72.xml><?xml version="1.0" encoding="utf-8"?>
<formControlPr xmlns="http://schemas.microsoft.com/office/spreadsheetml/2009/9/main" objectType="CheckBox" checked="Checked" fmlaLink="R11" noThreeD="1"/>
</file>

<file path=xl/ctrlProps/ctrlProp73.xml><?xml version="1.0" encoding="utf-8"?>
<formControlPr xmlns="http://schemas.microsoft.com/office/spreadsheetml/2009/9/main" objectType="CheckBox" fmlaLink="R10" noThreeD="1"/>
</file>

<file path=xl/ctrlProps/ctrlProp74.xml><?xml version="1.0" encoding="utf-8"?>
<formControlPr xmlns="http://schemas.microsoft.com/office/spreadsheetml/2009/9/main" objectType="CheckBox" fmlaLink="R13" noThreeD="1"/>
</file>

<file path=xl/ctrlProps/ctrlProp75.xml><?xml version="1.0" encoding="utf-8"?>
<formControlPr xmlns="http://schemas.microsoft.com/office/spreadsheetml/2009/9/main" objectType="CheckBox" fmlaLink="R12" noThreeD="1"/>
</file>

<file path=xl/ctrlProps/ctrlProp76.xml><?xml version="1.0" encoding="utf-8"?>
<formControlPr xmlns="http://schemas.microsoft.com/office/spreadsheetml/2009/9/main" objectType="CheckBox" checked="Checked" fmlaLink="R14" noThreeD="1"/>
</file>

<file path=xl/ctrlProps/ctrlProp77.xml><?xml version="1.0" encoding="utf-8"?>
<formControlPr xmlns="http://schemas.microsoft.com/office/spreadsheetml/2009/9/main" objectType="CheckBox" checked="Checked" fmlaLink="R15" noThreeD="1"/>
</file>

<file path=xl/ctrlProps/ctrlProp78.xml><?xml version="1.0" encoding="utf-8"?>
<formControlPr xmlns="http://schemas.microsoft.com/office/spreadsheetml/2009/9/main" objectType="Button" lockText="1"/>
</file>

<file path=xl/ctrlProps/ctrlProp79.xml><?xml version="1.0" encoding="utf-8"?>
<formControlPr xmlns="http://schemas.microsoft.com/office/spreadsheetml/2009/9/main" objectType="Button" lockText="1"/>
</file>

<file path=xl/ctrlProps/ctrlProp80.xml><?xml version="1.0" encoding="utf-8"?>
<formControlPr xmlns="http://schemas.microsoft.com/office/spreadsheetml/2009/9/main" objectType="Button" lockText="1"/>
</file>

<file path=xl/ctrlProps/ctrlProp81.xml><?xml version="1.0" encoding="utf-8"?>
<formControlPr xmlns="http://schemas.microsoft.com/office/spreadsheetml/2009/9/main" objectType="Button" lockText="1"/>
</file>

<file path=xl/ctrlProps/ctrlProp82.xml><?xml version="1.0" encoding="utf-8"?>
<formControlPr xmlns="http://schemas.microsoft.com/office/spreadsheetml/2009/9/main" objectType="Button" lockText="1"/>
</file>

<file path=xl/ctrlProps/ctrlProp83.xml><?xml version="1.0" encoding="utf-8"?>
<formControlPr xmlns="http://schemas.microsoft.com/office/spreadsheetml/2009/9/main" objectType="Button" lockText="1"/>
</file>

<file path=xl/ctrlProps/ctrlProp84.xml><?xml version="1.0" encoding="utf-8"?>
<formControlPr xmlns="http://schemas.microsoft.com/office/spreadsheetml/2009/9/main" objectType="Button" lockText="1"/>
</file>

<file path=xl/ctrlProps/ctrlProp85.xml><?xml version="1.0" encoding="utf-8"?>
<formControlPr xmlns="http://schemas.microsoft.com/office/spreadsheetml/2009/9/main" objectType="Button" lockText="1"/>
</file>

<file path=xl/ctrlProps/ctrlProp86.xml><?xml version="1.0" encoding="utf-8"?>
<formControlPr xmlns="http://schemas.microsoft.com/office/spreadsheetml/2009/9/main" objectType="Button" lockText="1"/>
</file>

<file path=xl/ctrlProps/ctrlProp87.xml><?xml version="1.0" encoding="utf-8"?>
<formControlPr xmlns="http://schemas.microsoft.com/office/spreadsheetml/2009/9/main" objectType="Button" lockText="1"/>
</file>

<file path=xl/ctrlProps/ctrlProp88.xml><?xml version="1.0" encoding="utf-8"?>
<formControlPr xmlns="http://schemas.microsoft.com/office/spreadsheetml/2009/9/main" objectType="Button" lockText="1"/>
</file>

<file path=xl/ctrlProps/ctrlProp89.xml><?xml version="1.0" encoding="utf-8"?>
<formControlPr xmlns="http://schemas.microsoft.com/office/spreadsheetml/2009/9/main" objectType="Button" lockText="1"/>
</file>

<file path=xl/ctrlProps/ctrlProp90.xml><?xml version="1.0" encoding="utf-8"?>
<formControlPr xmlns="http://schemas.microsoft.com/office/spreadsheetml/2009/9/main" objectType="Button" lockText="1"/>
</file>

<file path=xl/ctrlProps/ctrlProp91.xml><?xml version="1.0" encoding="utf-8"?>
<formControlPr xmlns="http://schemas.microsoft.com/office/spreadsheetml/2009/9/main" objectType="Button" lockText="1"/>
</file>

<file path=xl/ctrlProps/ctrlProp92.xml><?xml version="1.0" encoding="utf-8"?>
<formControlPr xmlns="http://schemas.microsoft.com/office/spreadsheetml/2009/9/main" objectType="Button" lockText="1"/>
</file>

<file path=xl/ctrlProps/ctrlProp93.xml><?xml version="1.0" encoding="utf-8"?>
<formControlPr xmlns="http://schemas.microsoft.com/office/spreadsheetml/2009/9/main" objectType="Button" lockText="1"/>
</file>

<file path=xl/ctrlProps/ctrlProp94.xml><?xml version="1.0" encoding="utf-8"?>
<formControlPr xmlns="http://schemas.microsoft.com/office/spreadsheetml/2009/9/main" objectType="Button" lockText="1"/>
</file>

<file path=xl/ctrlProps/ctrlProp95.xml><?xml version="1.0" encoding="utf-8"?>
<formControlPr xmlns="http://schemas.microsoft.com/office/spreadsheetml/2009/9/main" objectType="Button" lockText="1"/>
</file>

<file path=xl/ctrlProps/ctrlProp96.xml><?xml version="1.0" encoding="utf-8"?>
<formControlPr xmlns="http://schemas.microsoft.com/office/spreadsheetml/2009/9/main" objectType="Button" lockText="1"/>
</file>

<file path=xl/ctrlProps/ctrlProp97.xml><?xml version="1.0" encoding="utf-8"?>
<formControlPr xmlns="http://schemas.microsoft.com/office/spreadsheetml/2009/9/main" objectType="Button" lockText="1"/>
</file>

<file path=xl/ctrlProps/ctrlProp9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7.jpeg"/><Relationship Id="rId5" Type="http://schemas.openxmlformats.org/officeDocument/2006/relationships/image" Target="../media/image6.jpg"/><Relationship Id="rId4" Type="http://schemas.openxmlformats.org/officeDocument/2006/relationships/hyperlink" Target="mailto:info@befils.com"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2.png"/><Relationship Id="rId2" Type="http://schemas.openxmlformats.org/officeDocument/2006/relationships/image" Target="../media/image8.jpeg"/><Relationship Id="rId1" Type="http://schemas.openxmlformats.org/officeDocument/2006/relationships/hyperlink" Target="#Sommaire!A1"/><Relationship Id="rId6" Type="http://schemas.openxmlformats.org/officeDocument/2006/relationships/hyperlink" Target="#'Table TFT'!A1"/><Relationship Id="rId5" Type="http://schemas.openxmlformats.org/officeDocument/2006/relationships/image" Target="../media/image11.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hyperlink" Target="#Sommaire!A1"/><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3" Type="http://schemas.openxmlformats.org/officeDocument/2006/relationships/image" Target="../media/image14.jpeg"/><Relationship Id="rId2" Type="http://schemas.openxmlformats.org/officeDocument/2006/relationships/hyperlink" Target="#Sommaire!A1"/><Relationship Id="rId1"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10.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11.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12.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hyperlink" Target="#Sommaire!A1"/></Relationships>
</file>

<file path=xl/drawings/_rels/drawing1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14.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1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1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17.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18.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19.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20.xml.rels><?xml version="1.0" encoding="UTF-8" standalone="yes"?>
<Relationships xmlns="http://schemas.openxmlformats.org/package/2006/relationships"><Relationship Id="rId3" Type="http://schemas.openxmlformats.org/officeDocument/2006/relationships/hyperlink" Target="#TBFT!A1"/><Relationship Id="rId2" Type="http://schemas.openxmlformats.org/officeDocument/2006/relationships/image" Target="../media/image16.jpeg"/><Relationship Id="rId1" Type="http://schemas.openxmlformats.org/officeDocument/2006/relationships/hyperlink" Target="#Sommaire!A1"/><Relationship Id="rId6" Type="http://schemas.openxmlformats.org/officeDocument/2006/relationships/image" Target="../media/image19.png"/><Relationship Id="rId5" Type="http://schemas.openxmlformats.org/officeDocument/2006/relationships/hyperlink" Target="#'Contr&#244;le Mouvement'!A1"/><Relationship Id="rId4" Type="http://schemas.openxmlformats.org/officeDocument/2006/relationships/image" Target="../media/image18.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22.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2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24.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2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2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27.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28.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29.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0.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1.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2.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4.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7.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8.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39.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40.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41.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42.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4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44.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4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4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47.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48.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hyperlink" Target="#Sommaire!A1"/></Relationships>
</file>

<file path=xl/drawings/_rels/drawing49.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0.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1.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2.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4.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7.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8.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59.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0.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1.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2.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4.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7.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8.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69.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70.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71.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72.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73.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hyperlink" Target="#Sommaire!A1"/></Relationships>
</file>

<file path=xl/drawings/_rels/drawing74.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hyperlink" Target="#Sommaire!A1"/></Relationships>
</file>

<file path=xl/drawings/_rels/drawing7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76.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77.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hyperlink" Target="#Sommaire!A1"/></Relationships>
</file>

<file path=xl/drawings/_rels/drawing78.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79.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80.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81.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82.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83.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84.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85.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hyperlink" Target="#Sommaire!A1"/></Relationships>
</file>

<file path=xl/drawings/_rels/drawing86.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hyperlink" Target="#Sommaire!A1"/></Relationships>
</file>

<file path=xl/drawings/drawing1.xml><?xml version="1.0" encoding="utf-8"?>
<xdr:wsDr xmlns:xdr="http://schemas.openxmlformats.org/drawingml/2006/spreadsheetDrawing" xmlns:a="http://schemas.openxmlformats.org/drawingml/2006/main">
  <xdr:oneCellAnchor>
    <xdr:from>
      <xdr:col>6</xdr:col>
      <xdr:colOff>243841</xdr:colOff>
      <xdr:row>5</xdr:row>
      <xdr:rowOff>121921</xdr:rowOff>
    </xdr:from>
    <xdr:ext cx="4480560" cy="321016"/>
    <xdr:pic>
      <xdr:nvPicPr>
        <xdr:cNvPr id="3" name="Imag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5406391" y="1036321"/>
          <a:ext cx="4480560" cy="321016"/>
        </a:xfrm>
        <a:prstGeom prst="rect">
          <a:avLst/>
        </a:prstGeom>
      </xdr:spPr>
    </xdr:pic>
    <xdr:clientData/>
  </xdr:oneCellAnchor>
  <xdr:oneCellAnchor>
    <xdr:from>
      <xdr:col>0</xdr:col>
      <xdr:colOff>106680</xdr:colOff>
      <xdr:row>5</xdr:row>
      <xdr:rowOff>91441</xdr:rowOff>
    </xdr:from>
    <xdr:ext cx="4884420" cy="394062"/>
    <xdr:pic>
      <xdr:nvPicPr>
        <xdr:cNvPr id="4" name="Imag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106680" y="822961"/>
          <a:ext cx="4884420" cy="394062"/>
        </a:xfrm>
        <a:prstGeom prst="rect">
          <a:avLst/>
        </a:prstGeom>
      </xdr:spPr>
    </xdr:pic>
    <xdr:clientData/>
  </xdr:oneCellAnchor>
  <xdr:twoCellAnchor>
    <xdr:from>
      <xdr:col>3</xdr:col>
      <xdr:colOff>335280</xdr:colOff>
      <xdr:row>21</xdr:row>
      <xdr:rowOff>146685</xdr:rowOff>
    </xdr:from>
    <xdr:to>
      <xdr:col>8</xdr:col>
      <xdr:colOff>590550</xdr:colOff>
      <xdr:row>25</xdr:row>
      <xdr:rowOff>146685</xdr:rowOff>
    </xdr:to>
    <xdr:sp macro="[0]!GenererXML" textlink="">
      <xdr:nvSpPr>
        <xdr:cNvPr id="2" name="Rectangle 1">
          <a:extLst>
            <a:ext uri="{FF2B5EF4-FFF2-40B4-BE49-F238E27FC236}">
              <a16:creationId xmlns:a16="http://schemas.microsoft.com/office/drawing/2014/main" id="{00000000-0008-0000-0100-000002000000}"/>
            </a:ext>
          </a:extLst>
        </xdr:cNvPr>
        <xdr:cNvSpPr/>
      </xdr:nvSpPr>
      <xdr:spPr>
        <a:xfrm>
          <a:off x="2712720" y="4535805"/>
          <a:ext cx="4331970" cy="731520"/>
        </a:xfrm>
        <a:prstGeom prst="rect">
          <a:avLst/>
        </a:prstGeom>
        <a:ln>
          <a:noFill/>
        </a:ln>
        <a:effectLst>
          <a:outerShdw blurRad="50800" dist="38100" dir="2700000" algn="tl"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fr-FR" sz="2400"/>
            <a:t>Générer le fichier XML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315595</xdr:colOff>
      <xdr:row>23</xdr:row>
      <xdr:rowOff>8679</xdr:rowOff>
    </xdr:from>
    <xdr:to>
      <xdr:col>8</xdr:col>
      <xdr:colOff>768773</xdr:colOff>
      <xdr:row>25</xdr:row>
      <xdr:rowOff>31750</xdr:rowOff>
    </xdr:to>
    <xdr:sp macro="[0]!GenererMappingFixe" textlink="">
      <xdr:nvSpPr>
        <xdr:cNvPr id="3" name="Rectangle 2">
          <a:extLst>
            <a:ext uri="{FF2B5EF4-FFF2-40B4-BE49-F238E27FC236}">
              <a16:creationId xmlns:a16="http://schemas.microsoft.com/office/drawing/2014/main" id="{00000000-0008-0000-0300-000003000000}"/>
            </a:ext>
          </a:extLst>
        </xdr:cNvPr>
        <xdr:cNvSpPr/>
      </xdr:nvSpPr>
      <xdr:spPr>
        <a:xfrm>
          <a:off x="11491595" y="6528012"/>
          <a:ext cx="2411095" cy="382905"/>
        </a:xfrm>
        <a:prstGeom prst="rect">
          <a:avLst/>
        </a:prstGeom>
        <a:solidFill>
          <a:srgbClr val="F75B5B"/>
        </a:solidFill>
        <a:ln>
          <a:noFill/>
        </a:ln>
        <a:effectLst>
          <a:outerShdw blurRad="50800" dist="38100" dir="2700000" algn="tl"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fr-FR" sz="1600"/>
            <a:t>Génére le mapping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1583055</xdr:colOff>
      <xdr:row>19</xdr:row>
      <xdr:rowOff>5715</xdr:rowOff>
    </xdr:from>
    <xdr:to>
      <xdr:col>4</xdr:col>
      <xdr:colOff>1782445</xdr:colOff>
      <xdr:row>21</xdr:row>
      <xdr:rowOff>30480</xdr:rowOff>
    </xdr:to>
    <xdr:sp macro="[0]!GenererMappingVariable" textlink="">
      <xdr:nvSpPr>
        <xdr:cNvPr id="4" name="Rectangle 3">
          <a:extLst>
            <a:ext uri="{FF2B5EF4-FFF2-40B4-BE49-F238E27FC236}">
              <a16:creationId xmlns:a16="http://schemas.microsoft.com/office/drawing/2014/main" id="{00000000-0008-0000-0400-000004000000}"/>
            </a:ext>
          </a:extLst>
        </xdr:cNvPr>
        <xdr:cNvSpPr/>
      </xdr:nvSpPr>
      <xdr:spPr>
        <a:xfrm>
          <a:off x="10565130" y="5901690"/>
          <a:ext cx="2409190" cy="386715"/>
        </a:xfrm>
        <a:prstGeom prst="rect">
          <a:avLst/>
        </a:prstGeom>
        <a:solidFill>
          <a:srgbClr val="F75B5B"/>
        </a:solidFill>
        <a:ln>
          <a:noFill/>
        </a:ln>
        <a:effectLst>
          <a:outerShdw blurRad="50800" dist="38100" dir="2700000" algn="tl"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fr-FR" sz="1600"/>
            <a:t>Générer le mapping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186690</xdr:colOff>
      <xdr:row>9</xdr:row>
      <xdr:rowOff>9525</xdr:rowOff>
    </xdr:from>
    <xdr:to>
      <xdr:col>5</xdr:col>
      <xdr:colOff>3114675</xdr:colOff>
      <xdr:row>10</xdr:row>
      <xdr:rowOff>186690</xdr:rowOff>
    </xdr:to>
    <xdr:sp macro="[0]!genererListeChamps" textlink="">
      <xdr:nvSpPr>
        <xdr:cNvPr id="3" name="Rectangle 2">
          <a:extLst>
            <a:ext uri="{FF2B5EF4-FFF2-40B4-BE49-F238E27FC236}">
              <a16:creationId xmlns:a16="http://schemas.microsoft.com/office/drawing/2014/main" id="{00000000-0008-0000-0500-000003000000}"/>
            </a:ext>
          </a:extLst>
        </xdr:cNvPr>
        <xdr:cNvSpPr/>
      </xdr:nvSpPr>
      <xdr:spPr>
        <a:xfrm>
          <a:off x="7292340" y="2924175"/>
          <a:ext cx="2927985" cy="377190"/>
        </a:xfrm>
        <a:prstGeom prst="rect">
          <a:avLst/>
        </a:prstGeom>
        <a:solidFill>
          <a:srgbClr val="F75B5B"/>
        </a:solidFill>
        <a:ln>
          <a:noFill/>
        </a:ln>
        <a:effectLst>
          <a:outerShdw blurRad="50800" dist="38100" dir="2700000" algn="tl"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fr-FR" sz="1600"/>
            <a:t>Récupérer les champs remplis</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53340</xdr:colOff>
          <xdr:row>4</xdr:row>
          <xdr:rowOff>15240</xdr:rowOff>
        </xdr:from>
        <xdr:to>
          <xdr:col>3</xdr:col>
          <xdr:colOff>304800</xdr:colOff>
          <xdr:row>5</xdr:row>
          <xdr:rowOff>0</xdr:rowOff>
        </xdr:to>
        <xdr:sp macro="" textlink="">
          <xdr:nvSpPr>
            <xdr:cNvPr id="431105" name="Check Box 1" hidden="1">
              <a:extLst>
                <a:ext uri="{63B3BB69-23CF-44E3-9099-C40C66FF867C}">
                  <a14:compatExt spid="_x0000_s431105"/>
                </a:ext>
                <a:ext uri="{FF2B5EF4-FFF2-40B4-BE49-F238E27FC236}">
                  <a16:creationId xmlns:a16="http://schemas.microsoft.com/office/drawing/2014/main" id="{00000000-0008-0000-0600-000001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6</xdr:row>
          <xdr:rowOff>15240</xdr:rowOff>
        </xdr:from>
        <xdr:to>
          <xdr:col>3</xdr:col>
          <xdr:colOff>304800</xdr:colOff>
          <xdr:row>7</xdr:row>
          <xdr:rowOff>0</xdr:rowOff>
        </xdr:to>
        <xdr:sp macro="" textlink="">
          <xdr:nvSpPr>
            <xdr:cNvPr id="431106" name="Check Box 2" hidden="1">
              <a:extLst>
                <a:ext uri="{63B3BB69-23CF-44E3-9099-C40C66FF867C}">
                  <a14:compatExt spid="_x0000_s431106"/>
                </a:ext>
                <a:ext uri="{FF2B5EF4-FFF2-40B4-BE49-F238E27FC236}">
                  <a16:creationId xmlns:a16="http://schemas.microsoft.com/office/drawing/2014/main" id="{00000000-0008-0000-0600-000002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5</xdr:row>
          <xdr:rowOff>15240</xdr:rowOff>
        </xdr:from>
        <xdr:to>
          <xdr:col>3</xdr:col>
          <xdr:colOff>304800</xdr:colOff>
          <xdr:row>6</xdr:row>
          <xdr:rowOff>0</xdr:rowOff>
        </xdr:to>
        <xdr:sp macro="" textlink="">
          <xdr:nvSpPr>
            <xdr:cNvPr id="431107" name="Check Box 3" hidden="1">
              <a:extLst>
                <a:ext uri="{63B3BB69-23CF-44E3-9099-C40C66FF867C}">
                  <a14:compatExt spid="_x0000_s431107"/>
                </a:ext>
                <a:ext uri="{FF2B5EF4-FFF2-40B4-BE49-F238E27FC236}">
                  <a16:creationId xmlns:a16="http://schemas.microsoft.com/office/drawing/2014/main" id="{00000000-0008-0000-0600-000003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8</xdr:row>
          <xdr:rowOff>15240</xdr:rowOff>
        </xdr:from>
        <xdr:to>
          <xdr:col>3</xdr:col>
          <xdr:colOff>304800</xdr:colOff>
          <xdr:row>9</xdr:row>
          <xdr:rowOff>0</xdr:rowOff>
        </xdr:to>
        <xdr:sp macro="" textlink="">
          <xdr:nvSpPr>
            <xdr:cNvPr id="431108" name="Check Box 4" hidden="1">
              <a:extLst>
                <a:ext uri="{63B3BB69-23CF-44E3-9099-C40C66FF867C}">
                  <a14:compatExt spid="_x0000_s431108"/>
                </a:ext>
                <a:ext uri="{FF2B5EF4-FFF2-40B4-BE49-F238E27FC236}">
                  <a16:creationId xmlns:a16="http://schemas.microsoft.com/office/drawing/2014/main" id="{00000000-0008-0000-0600-000004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7</xdr:row>
          <xdr:rowOff>15240</xdr:rowOff>
        </xdr:from>
        <xdr:to>
          <xdr:col>3</xdr:col>
          <xdr:colOff>304800</xdr:colOff>
          <xdr:row>8</xdr:row>
          <xdr:rowOff>0</xdr:rowOff>
        </xdr:to>
        <xdr:sp macro="" textlink="">
          <xdr:nvSpPr>
            <xdr:cNvPr id="431109" name="Check Box 5" hidden="1">
              <a:extLst>
                <a:ext uri="{63B3BB69-23CF-44E3-9099-C40C66FF867C}">
                  <a14:compatExt spid="_x0000_s431109"/>
                </a:ext>
                <a:ext uri="{FF2B5EF4-FFF2-40B4-BE49-F238E27FC236}">
                  <a16:creationId xmlns:a16="http://schemas.microsoft.com/office/drawing/2014/main" id="{00000000-0008-0000-0600-000005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10</xdr:row>
          <xdr:rowOff>15240</xdr:rowOff>
        </xdr:from>
        <xdr:to>
          <xdr:col>3</xdr:col>
          <xdr:colOff>304800</xdr:colOff>
          <xdr:row>11</xdr:row>
          <xdr:rowOff>0</xdr:rowOff>
        </xdr:to>
        <xdr:sp macro="" textlink="">
          <xdr:nvSpPr>
            <xdr:cNvPr id="431110" name="Check Box 6" hidden="1">
              <a:extLst>
                <a:ext uri="{63B3BB69-23CF-44E3-9099-C40C66FF867C}">
                  <a14:compatExt spid="_x0000_s431110"/>
                </a:ext>
                <a:ext uri="{FF2B5EF4-FFF2-40B4-BE49-F238E27FC236}">
                  <a16:creationId xmlns:a16="http://schemas.microsoft.com/office/drawing/2014/main" id="{00000000-0008-0000-0600-000006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9</xdr:row>
          <xdr:rowOff>15240</xdr:rowOff>
        </xdr:from>
        <xdr:to>
          <xdr:col>3</xdr:col>
          <xdr:colOff>304800</xdr:colOff>
          <xdr:row>10</xdr:row>
          <xdr:rowOff>0</xdr:rowOff>
        </xdr:to>
        <xdr:sp macro="" textlink="">
          <xdr:nvSpPr>
            <xdr:cNvPr id="431111" name="Check Box 7" hidden="1">
              <a:extLst>
                <a:ext uri="{63B3BB69-23CF-44E3-9099-C40C66FF867C}">
                  <a14:compatExt spid="_x0000_s431111"/>
                </a:ext>
                <a:ext uri="{FF2B5EF4-FFF2-40B4-BE49-F238E27FC236}">
                  <a16:creationId xmlns:a16="http://schemas.microsoft.com/office/drawing/2014/main" id="{00000000-0008-0000-0600-000007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12</xdr:row>
          <xdr:rowOff>15240</xdr:rowOff>
        </xdr:from>
        <xdr:to>
          <xdr:col>3</xdr:col>
          <xdr:colOff>304800</xdr:colOff>
          <xdr:row>13</xdr:row>
          <xdr:rowOff>0</xdr:rowOff>
        </xdr:to>
        <xdr:sp macro="" textlink="">
          <xdr:nvSpPr>
            <xdr:cNvPr id="431112" name="Check Box 8" hidden="1">
              <a:extLst>
                <a:ext uri="{63B3BB69-23CF-44E3-9099-C40C66FF867C}">
                  <a14:compatExt spid="_x0000_s431112"/>
                </a:ext>
                <a:ext uri="{FF2B5EF4-FFF2-40B4-BE49-F238E27FC236}">
                  <a16:creationId xmlns:a16="http://schemas.microsoft.com/office/drawing/2014/main" id="{00000000-0008-0000-0600-000008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11</xdr:row>
          <xdr:rowOff>15240</xdr:rowOff>
        </xdr:from>
        <xdr:to>
          <xdr:col>3</xdr:col>
          <xdr:colOff>304800</xdr:colOff>
          <xdr:row>12</xdr:row>
          <xdr:rowOff>0</xdr:rowOff>
        </xdr:to>
        <xdr:sp macro="" textlink="">
          <xdr:nvSpPr>
            <xdr:cNvPr id="431113" name="Check Box 9" hidden="1">
              <a:extLst>
                <a:ext uri="{63B3BB69-23CF-44E3-9099-C40C66FF867C}">
                  <a14:compatExt spid="_x0000_s431113"/>
                </a:ext>
                <a:ext uri="{FF2B5EF4-FFF2-40B4-BE49-F238E27FC236}">
                  <a16:creationId xmlns:a16="http://schemas.microsoft.com/office/drawing/2014/main" id="{00000000-0008-0000-0600-000009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14</xdr:row>
          <xdr:rowOff>15240</xdr:rowOff>
        </xdr:from>
        <xdr:to>
          <xdr:col>3</xdr:col>
          <xdr:colOff>304800</xdr:colOff>
          <xdr:row>15</xdr:row>
          <xdr:rowOff>0</xdr:rowOff>
        </xdr:to>
        <xdr:sp macro="" textlink="">
          <xdr:nvSpPr>
            <xdr:cNvPr id="431114" name="Check Box 10" hidden="1">
              <a:extLst>
                <a:ext uri="{63B3BB69-23CF-44E3-9099-C40C66FF867C}">
                  <a14:compatExt spid="_x0000_s431114"/>
                </a:ext>
                <a:ext uri="{FF2B5EF4-FFF2-40B4-BE49-F238E27FC236}">
                  <a16:creationId xmlns:a16="http://schemas.microsoft.com/office/drawing/2014/main" id="{00000000-0008-0000-0600-00000A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13</xdr:row>
          <xdr:rowOff>15240</xdr:rowOff>
        </xdr:from>
        <xdr:to>
          <xdr:col>3</xdr:col>
          <xdr:colOff>304800</xdr:colOff>
          <xdr:row>14</xdr:row>
          <xdr:rowOff>0</xdr:rowOff>
        </xdr:to>
        <xdr:sp macro="" textlink="">
          <xdr:nvSpPr>
            <xdr:cNvPr id="431115" name="Check Box 11" hidden="1">
              <a:extLst>
                <a:ext uri="{63B3BB69-23CF-44E3-9099-C40C66FF867C}">
                  <a14:compatExt spid="_x0000_s431115"/>
                </a:ext>
                <a:ext uri="{FF2B5EF4-FFF2-40B4-BE49-F238E27FC236}">
                  <a16:creationId xmlns:a16="http://schemas.microsoft.com/office/drawing/2014/main" id="{00000000-0008-0000-0600-00000B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16</xdr:row>
          <xdr:rowOff>15240</xdr:rowOff>
        </xdr:from>
        <xdr:to>
          <xdr:col>3</xdr:col>
          <xdr:colOff>304800</xdr:colOff>
          <xdr:row>17</xdr:row>
          <xdr:rowOff>0</xdr:rowOff>
        </xdr:to>
        <xdr:sp macro="" textlink="">
          <xdr:nvSpPr>
            <xdr:cNvPr id="431116" name="Check Box 12" hidden="1">
              <a:extLst>
                <a:ext uri="{63B3BB69-23CF-44E3-9099-C40C66FF867C}">
                  <a14:compatExt spid="_x0000_s431116"/>
                </a:ext>
                <a:ext uri="{FF2B5EF4-FFF2-40B4-BE49-F238E27FC236}">
                  <a16:creationId xmlns:a16="http://schemas.microsoft.com/office/drawing/2014/main" id="{00000000-0008-0000-0600-00000C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15</xdr:row>
          <xdr:rowOff>15240</xdr:rowOff>
        </xdr:from>
        <xdr:to>
          <xdr:col>3</xdr:col>
          <xdr:colOff>304800</xdr:colOff>
          <xdr:row>16</xdr:row>
          <xdr:rowOff>0</xdr:rowOff>
        </xdr:to>
        <xdr:sp macro="" textlink="">
          <xdr:nvSpPr>
            <xdr:cNvPr id="431117" name="Check Box 13" hidden="1">
              <a:extLst>
                <a:ext uri="{63B3BB69-23CF-44E3-9099-C40C66FF867C}">
                  <a14:compatExt spid="_x0000_s431117"/>
                </a:ext>
                <a:ext uri="{FF2B5EF4-FFF2-40B4-BE49-F238E27FC236}">
                  <a16:creationId xmlns:a16="http://schemas.microsoft.com/office/drawing/2014/main" id="{00000000-0008-0000-0600-00000D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18</xdr:row>
          <xdr:rowOff>15240</xdr:rowOff>
        </xdr:from>
        <xdr:to>
          <xdr:col>3</xdr:col>
          <xdr:colOff>304800</xdr:colOff>
          <xdr:row>19</xdr:row>
          <xdr:rowOff>0</xdr:rowOff>
        </xdr:to>
        <xdr:sp macro="" textlink="">
          <xdr:nvSpPr>
            <xdr:cNvPr id="431118" name="Check Box 14" hidden="1">
              <a:extLst>
                <a:ext uri="{63B3BB69-23CF-44E3-9099-C40C66FF867C}">
                  <a14:compatExt spid="_x0000_s431118"/>
                </a:ext>
                <a:ext uri="{FF2B5EF4-FFF2-40B4-BE49-F238E27FC236}">
                  <a16:creationId xmlns:a16="http://schemas.microsoft.com/office/drawing/2014/main" id="{00000000-0008-0000-0600-00000E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17</xdr:row>
          <xdr:rowOff>15240</xdr:rowOff>
        </xdr:from>
        <xdr:to>
          <xdr:col>3</xdr:col>
          <xdr:colOff>304800</xdr:colOff>
          <xdr:row>18</xdr:row>
          <xdr:rowOff>0</xdr:rowOff>
        </xdr:to>
        <xdr:sp macro="" textlink="">
          <xdr:nvSpPr>
            <xdr:cNvPr id="431119" name="Check Box 15" hidden="1">
              <a:extLst>
                <a:ext uri="{63B3BB69-23CF-44E3-9099-C40C66FF867C}">
                  <a14:compatExt spid="_x0000_s431119"/>
                </a:ext>
                <a:ext uri="{FF2B5EF4-FFF2-40B4-BE49-F238E27FC236}">
                  <a16:creationId xmlns:a16="http://schemas.microsoft.com/office/drawing/2014/main" id="{00000000-0008-0000-0600-00000F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20</xdr:row>
          <xdr:rowOff>15240</xdr:rowOff>
        </xdr:from>
        <xdr:to>
          <xdr:col>3</xdr:col>
          <xdr:colOff>304800</xdr:colOff>
          <xdr:row>21</xdr:row>
          <xdr:rowOff>0</xdr:rowOff>
        </xdr:to>
        <xdr:sp macro="" textlink="">
          <xdr:nvSpPr>
            <xdr:cNvPr id="431120" name="Check Box 16" hidden="1">
              <a:extLst>
                <a:ext uri="{63B3BB69-23CF-44E3-9099-C40C66FF867C}">
                  <a14:compatExt spid="_x0000_s431120"/>
                </a:ext>
                <a:ext uri="{FF2B5EF4-FFF2-40B4-BE49-F238E27FC236}">
                  <a16:creationId xmlns:a16="http://schemas.microsoft.com/office/drawing/2014/main" id="{00000000-0008-0000-0600-000010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19</xdr:row>
          <xdr:rowOff>15240</xdr:rowOff>
        </xdr:from>
        <xdr:to>
          <xdr:col>3</xdr:col>
          <xdr:colOff>304800</xdr:colOff>
          <xdr:row>20</xdr:row>
          <xdr:rowOff>0</xdr:rowOff>
        </xdr:to>
        <xdr:sp macro="" textlink="">
          <xdr:nvSpPr>
            <xdr:cNvPr id="431121" name="Check Box 17" hidden="1">
              <a:extLst>
                <a:ext uri="{63B3BB69-23CF-44E3-9099-C40C66FF867C}">
                  <a14:compatExt spid="_x0000_s431121"/>
                </a:ext>
                <a:ext uri="{FF2B5EF4-FFF2-40B4-BE49-F238E27FC236}">
                  <a16:creationId xmlns:a16="http://schemas.microsoft.com/office/drawing/2014/main" id="{00000000-0008-0000-0600-000011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22</xdr:row>
          <xdr:rowOff>15240</xdr:rowOff>
        </xdr:from>
        <xdr:to>
          <xdr:col>3</xdr:col>
          <xdr:colOff>304800</xdr:colOff>
          <xdr:row>23</xdr:row>
          <xdr:rowOff>0</xdr:rowOff>
        </xdr:to>
        <xdr:sp macro="" textlink="">
          <xdr:nvSpPr>
            <xdr:cNvPr id="431122" name="Check Box 18" hidden="1">
              <a:extLst>
                <a:ext uri="{63B3BB69-23CF-44E3-9099-C40C66FF867C}">
                  <a14:compatExt spid="_x0000_s431122"/>
                </a:ext>
                <a:ext uri="{FF2B5EF4-FFF2-40B4-BE49-F238E27FC236}">
                  <a16:creationId xmlns:a16="http://schemas.microsoft.com/office/drawing/2014/main" id="{00000000-0008-0000-0600-000012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21</xdr:row>
          <xdr:rowOff>15240</xdr:rowOff>
        </xdr:from>
        <xdr:to>
          <xdr:col>3</xdr:col>
          <xdr:colOff>304800</xdr:colOff>
          <xdr:row>22</xdr:row>
          <xdr:rowOff>0</xdr:rowOff>
        </xdr:to>
        <xdr:sp macro="" textlink="">
          <xdr:nvSpPr>
            <xdr:cNvPr id="431123" name="Check Box 19" hidden="1">
              <a:extLst>
                <a:ext uri="{63B3BB69-23CF-44E3-9099-C40C66FF867C}">
                  <a14:compatExt spid="_x0000_s431123"/>
                </a:ext>
                <a:ext uri="{FF2B5EF4-FFF2-40B4-BE49-F238E27FC236}">
                  <a16:creationId xmlns:a16="http://schemas.microsoft.com/office/drawing/2014/main" id="{00000000-0008-0000-0600-000013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4</xdr:row>
          <xdr:rowOff>15240</xdr:rowOff>
        </xdr:from>
        <xdr:to>
          <xdr:col>8</xdr:col>
          <xdr:colOff>304800</xdr:colOff>
          <xdr:row>5</xdr:row>
          <xdr:rowOff>0</xdr:rowOff>
        </xdr:to>
        <xdr:sp macro="" textlink="">
          <xdr:nvSpPr>
            <xdr:cNvPr id="431124" name="Check Box 20" hidden="1">
              <a:extLst>
                <a:ext uri="{63B3BB69-23CF-44E3-9099-C40C66FF867C}">
                  <a14:compatExt spid="_x0000_s431124"/>
                </a:ext>
                <a:ext uri="{FF2B5EF4-FFF2-40B4-BE49-F238E27FC236}">
                  <a16:creationId xmlns:a16="http://schemas.microsoft.com/office/drawing/2014/main" id="{00000000-0008-0000-0600-000014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3</xdr:row>
          <xdr:rowOff>15240</xdr:rowOff>
        </xdr:from>
        <xdr:to>
          <xdr:col>8</xdr:col>
          <xdr:colOff>304800</xdr:colOff>
          <xdr:row>4</xdr:row>
          <xdr:rowOff>0</xdr:rowOff>
        </xdr:to>
        <xdr:sp macro="" textlink="">
          <xdr:nvSpPr>
            <xdr:cNvPr id="431125" name="Check Box 21" hidden="1">
              <a:extLst>
                <a:ext uri="{63B3BB69-23CF-44E3-9099-C40C66FF867C}">
                  <a14:compatExt spid="_x0000_s431125"/>
                </a:ext>
                <a:ext uri="{FF2B5EF4-FFF2-40B4-BE49-F238E27FC236}">
                  <a16:creationId xmlns:a16="http://schemas.microsoft.com/office/drawing/2014/main" id="{00000000-0008-0000-0600-000015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6</xdr:row>
          <xdr:rowOff>15240</xdr:rowOff>
        </xdr:from>
        <xdr:to>
          <xdr:col>8</xdr:col>
          <xdr:colOff>304800</xdr:colOff>
          <xdr:row>7</xdr:row>
          <xdr:rowOff>0</xdr:rowOff>
        </xdr:to>
        <xdr:sp macro="" textlink="">
          <xdr:nvSpPr>
            <xdr:cNvPr id="431126" name="Check Box 22" hidden="1">
              <a:extLst>
                <a:ext uri="{63B3BB69-23CF-44E3-9099-C40C66FF867C}">
                  <a14:compatExt spid="_x0000_s431126"/>
                </a:ext>
                <a:ext uri="{FF2B5EF4-FFF2-40B4-BE49-F238E27FC236}">
                  <a16:creationId xmlns:a16="http://schemas.microsoft.com/office/drawing/2014/main" id="{00000000-0008-0000-0600-000016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5</xdr:row>
          <xdr:rowOff>15240</xdr:rowOff>
        </xdr:from>
        <xdr:to>
          <xdr:col>8</xdr:col>
          <xdr:colOff>304800</xdr:colOff>
          <xdr:row>6</xdr:row>
          <xdr:rowOff>0</xdr:rowOff>
        </xdr:to>
        <xdr:sp macro="" textlink="">
          <xdr:nvSpPr>
            <xdr:cNvPr id="431127" name="Check Box 23" hidden="1">
              <a:extLst>
                <a:ext uri="{63B3BB69-23CF-44E3-9099-C40C66FF867C}">
                  <a14:compatExt spid="_x0000_s431127"/>
                </a:ext>
                <a:ext uri="{FF2B5EF4-FFF2-40B4-BE49-F238E27FC236}">
                  <a16:creationId xmlns:a16="http://schemas.microsoft.com/office/drawing/2014/main" id="{00000000-0008-0000-0600-000017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8</xdr:row>
          <xdr:rowOff>15240</xdr:rowOff>
        </xdr:from>
        <xdr:to>
          <xdr:col>8</xdr:col>
          <xdr:colOff>304800</xdr:colOff>
          <xdr:row>9</xdr:row>
          <xdr:rowOff>0</xdr:rowOff>
        </xdr:to>
        <xdr:sp macro="" textlink="">
          <xdr:nvSpPr>
            <xdr:cNvPr id="431128" name="Check Box 24" hidden="1">
              <a:extLst>
                <a:ext uri="{63B3BB69-23CF-44E3-9099-C40C66FF867C}">
                  <a14:compatExt spid="_x0000_s431128"/>
                </a:ext>
                <a:ext uri="{FF2B5EF4-FFF2-40B4-BE49-F238E27FC236}">
                  <a16:creationId xmlns:a16="http://schemas.microsoft.com/office/drawing/2014/main" id="{00000000-0008-0000-0600-000018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7</xdr:row>
          <xdr:rowOff>15240</xdr:rowOff>
        </xdr:from>
        <xdr:to>
          <xdr:col>8</xdr:col>
          <xdr:colOff>304800</xdr:colOff>
          <xdr:row>8</xdr:row>
          <xdr:rowOff>0</xdr:rowOff>
        </xdr:to>
        <xdr:sp macro="" textlink="">
          <xdr:nvSpPr>
            <xdr:cNvPr id="431129" name="Check Box 25" hidden="1">
              <a:extLst>
                <a:ext uri="{63B3BB69-23CF-44E3-9099-C40C66FF867C}">
                  <a14:compatExt spid="_x0000_s431129"/>
                </a:ext>
                <a:ext uri="{FF2B5EF4-FFF2-40B4-BE49-F238E27FC236}">
                  <a16:creationId xmlns:a16="http://schemas.microsoft.com/office/drawing/2014/main" id="{00000000-0008-0000-0600-000019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10</xdr:row>
          <xdr:rowOff>15240</xdr:rowOff>
        </xdr:from>
        <xdr:to>
          <xdr:col>8</xdr:col>
          <xdr:colOff>304800</xdr:colOff>
          <xdr:row>11</xdr:row>
          <xdr:rowOff>0</xdr:rowOff>
        </xdr:to>
        <xdr:sp macro="" textlink="">
          <xdr:nvSpPr>
            <xdr:cNvPr id="431130" name="Check Box 26" hidden="1">
              <a:extLst>
                <a:ext uri="{63B3BB69-23CF-44E3-9099-C40C66FF867C}">
                  <a14:compatExt spid="_x0000_s431130"/>
                </a:ext>
                <a:ext uri="{FF2B5EF4-FFF2-40B4-BE49-F238E27FC236}">
                  <a16:creationId xmlns:a16="http://schemas.microsoft.com/office/drawing/2014/main" id="{00000000-0008-0000-0600-00001A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9</xdr:row>
          <xdr:rowOff>15240</xdr:rowOff>
        </xdr:from>
        <xdr:to>
          <xdr:col>8</xdr:col>
          <xdr:colOff>304800</xdr:colOff>
          <xdr:row>10</xdr:row>
          <xdr:rowOff>0</xdr:rowOff>
        </xdr:to>
        <xdr:sp macro="" textlink="">
          <xdr:nvSpPr>
            <xdr:cNvPr id="431131" name="Check Box 27" hidden="1">
              <a:extLst>
                <a:ext uri="{63B3BB69-23CF-44E3-9099-C40C66FF867C}">
                  <a14:compatExt spid="_x0000_s431131"/>
                </a:ext>
                <a:ext uri="{FF2B5EF4-FFF2-40B4-BE49-F238E27FC236}">
                  <a16:creationId xmlns:a16="http://schemas.microsoft.com/office/drawing/2014/main" id="{00000000-0008-0000-0600-00001B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12</xdr:row>
          <xdr:rowOff>15240</xdr:rowOff>
        </xdr:from>
        <xdr:to>
          <xdr:col>8</xdr:col>
          <xdr:colOff>304800</xdr:colOff>
          <xdr:row>13</xdr:row>
          <xdr:rowOff>0</xdr:rowOff>
        </xdr:to>
        <xdr:sp macro="" textlink="">
          <xdr:nvSpPr>
            <xdr:cNvPr id="431132" name="Check Box 28" hidden="1">
              <a:extLst>
                <a:ext uri="{63B3BB69-23CF-44E3-9099-C40C66FF867C}">
                  <a14:compatExt spid="_x0000_s431132"/>
                </a:ext>
                <a:ext uri="{FF2B5EF4-FFF2-40B4-BE49-F238E27FC236}">
                  <a16:creationId xmlns:a16="http://schemas.microsoft.com/office/drawing/2014/main" id="{00000000-0008-0000-0600-00001C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11</xdr:row>
          <xdr:rowOff>15240</xdr:rowOff>
        </xdr:from>
        <xdr:to>
          <xdr:col>8</xdr:col>
          <xdr:colOff>304800</xdr:colOff>
          <xdr:row>12</xdr:row>
          <xdr:rowOff>0</xdr:rowOff>
        </xdr:to>
        <xdr:sp macro="" textlink="">
          <xdr:nvSpPr>
            <xdr:cNvPr id="431133" name="Check Box 29" hidden="1">
              <a:extLst>
                <a:ext uri="{63B3BB69-23CF-44E3-9099-C40C66FF867C}">
                  <a14:compatExt spid="_x0000_s431133"/>
                </a:ext>
                <a:ext uri="{FF2B5EF4-FFF2-40B4-BE49-F238E27FC236}">
                  <a16:creationId xmlns:a16="http://schemas.microsoft.com/office/drawing/2014/main" id="{00000000-0008-0000-0600-00001D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14</xdr:row>
          <xdr:rowOff>15240</xdr:rowOff>
        </xdr:from>
        <xdr:to>
          <xdr:col>8</xdr:col>
          <xdr:colOff>304800</xdr:colOff>
          <xdr:row>15</xdr:row>
          <xdr:rowOff>0</xdr:rowOff>
        </xdr:to>
        <xdr:sp macro="" textlink="">
          <xdr:nvSpPr>
            <xdr:cNvPr id="431134" name="Check Box 30" hidden="1">
              <a:extLst>
                <a:ext uri="{63B3BB69-23CF-44E3-9099-C40C66FF867C}">
                  <a14:compatExt spid="_x0000_s431134"/>
                </a:ext>
                <a:ext uri="{FF2B5EF4-FFF2-40B4-BE49-F238E27FC236}">
                  <a16:creationId xmlns:a16="http://schemas.microsoft.com/office/drawing/2014/main" id="{00000000-0008-0000-0600-00001E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13</xdr:row>
          <xdr:rowOff>15240</xdr:rowOff>
        </xdr:from>
        <xdr:to>
          <xdr:col>8</xdr:col>
          <xdr:colOff>304800</xdr:colOff>
          <xdr:row>14</xdr:row>
          <xdr:rowOff>0</xdr:rowOff>
        </xdr:to>
        <xdr:sp macro="" textlink="">
          <xdr:nvSpPr>
            <xdr:cNvPr id="431135" name="Check Box 31" hidden="1">
              <a:extLst>
                <a:ext uri="{63B3BB69-23CF-44E3-9099-C40C66FF867C}">
                  <a14:compatExt spid="_x0000_s431135"/>
                </a:ext>
                <a:ext uri="{FF2B5EF4-FFF2-40B4-BE49-F238E27FC236}">
                  <a16:creationId xmlns:a16="http://schemas.microsoft.com/office/drawing/2014/main" id="{00000000-0008-0000-0600-00001F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16</xdr:row>
          <xdr:rowOff>15240</xdr:rowOff>
        </xdr:from>
        <xdr:to>
          <xdr:col>8</xdr:col>
          <xdr:colOff>304800</xdr:colOff>
          <xdr:row>17</xdr:row>
          <xdr:rowOff>0</xdr:rowOff>
        </xdr:to>
        <xdr:sp macro="" textlink="">
          <xdr:nvSpPr>
            <xdr:cNvPr id="431136" name="Check Box 32" hidden="1">
              <a:extLst>
                <a:ext uri="{63B3BB69-23CF-44E3-9099-C40C66FF867C}">
                  <a14:compatExt spid="_x0000_s431136"/>
                </a:ext>
                <a:ext uri="{FF2B5EF4-FFF2-40B4-BE49-F238E27FC236}">
                  <a16:creationId xmlns:a16="http://schemas.microsoft.com/office/drawing/2014/main" id="{00000000-0008-0000-0600-000020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15</xdr:row>
          <xdr:rowOff>15240</xdr:rowOff>
        </xdr:from>
        <xdr:to>
          <xdr:col>8</xdr:col>
          <xdr:colOff>304800</xdr:colOff>
          <xdr:row>16</xdr:row>
          <xdr:rowOff>0</xdr:rowOff>
        </xdr:to>
        <xdr:sp macro="" textlink="">
          <xdr:nvSpPr>
            <xdr:cNvPr id="431137" name="Check Box 33" hidden="1">
              <a:extLst>
                <a:ext uri="{63B3BB69-23CF-44E3-9099-C40C66FF867C}">
                  <a14:compatExt spid="_x0000_s431137"/>
                </a:ext>
                <a:ext uri="{FF2B5EF4-FFF2-40B4-BE49-F238E27FC236}">
                  <a16:creationId xmlns:a16="http://schemas.microsoft.com/office/drawing/2014/main" id="{00000000-0008-0000-0600-000021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18</xdr:row>
          <xdr:rowOff>15240</xdr:rowOff>
        </xdr:from>
        <xdr:to>
          <xdr:col>8</xdr:col>
          <xdr:colOff>304800</xdr:colOff>
          <xdr:row>19</xdr:row>
          <xdr:rowOff>0</xdr:rowOff>
        </xdr:to>
        <xdr:sp macro="" textlink="">
          <xdr:nvSpPr>
            <xdr:cNvPr id="431138" name="Check Box 34" hidden="1">
              <a:extLst>
                <a:ext uri="{63B3BB69-23CF-44E3-9099-C40C66FF867C}">
                  <a14:compatExt spid="_x0000_s431138"/>
                </a:ext>
                <a:ext uri="{FF2B5EF4-FFF2-40B4-BE49-F238E27FC236}">
                  <a16:creationId xmlns:a16="http://schemas.microsoft.com/office/drawing/2014/main" id="{00000000-0008-0000-0600-000022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17</xdr:row>
          <xdr:rowOff>15240</xdr:rowOff>
        </xdr:from>
        <xdr:to>
          <xdr:col>8</xdr:col>
          <xdr:colOff>304800</xdr:colOff>
          <xdr:row>18</xdr:row>
          <xdr:rowOff>0</xdr:rowOff>
        </xdr:to>
        <xdr:sp macro="" textlink="">
          <xdr:nvSpPr>
            <xdr:cNvPr id="431139" name="Check Box 35" hidden="1">
              <a:extLst>
                <a:ext uri="{63B3BB69-23CF-44E3-9099-C40C66FF867C}">
                  <a14:compatExt spid="_x0000_s431139"/>
                </a:ext>
                <a:ext uri="{FF2B5EF4-FFF2-40B4-BE49-F238E27FC236}">
                  <a16:creationId xmlns:a16="http://schemas.microsoft.com/office/drawing/2014/main" id="{00000000-0008-0000-0600-000023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20</xdr:row>
          <xdr:rowOff>15240</xdr:rowOff>
        </xdr:from>
        <xdr:to>
          <xdr:col>8</xdr:col>
          <xdr:colOff>304800</xdr:colOff>
          <xdr:row>21</xdr:row>
          <xdr:rowOff>0</xdr:rowOff>
        </xdr:to>
        <xdr:sp macro="" textlink="">
          <xdr:nvSpPr>
            <xdr:cNvPr id="431140" name="Check Box 36" hidden="1">
              <a:extLst>
                <a:ext uri="{63B3BB69-23CF-44E3-9099-C40C66FF867C}">
                  <a14:compatExt spid="_x0000_s431140"/>
                </a:ext>
                <a:ext uri="{FF2B5EF4-FFF2-40B4-BE49-F238E27FC236}">
                  <a16:creationId xmlns:a16="http://schemas.microsoft.com/office/drawing/2014/main" id="{00000000-0008-0000-0600-000024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19</xdr:row>
          <xdr:rowOff>15240</xdr:rowOff>
        </xdr:from>
        <xdr:to>
          <xdr:col>8</xdr:col>
          <xdr:colOff>304800</xdr:colOff>
          <xdr:row>20</xdr:row>
          <xdr:rowOff>0</xdr:rowOff>
        </xdr:to>
        <xdr:sp macro="" textlink="">
          <xdr:nvSpPr>
            <xdr:cNvPr id="431141" name="Check Box 37" hidden="1">
              <a:extLst>
                <a:ext uri="{63B3BB69-23CF-44E3-9099-C40C66FF867C}">
                  <a14:compatExt spid="_x0000_s431141"/>
                </a:ext>
                <a:ext uri="{FF2B5EF4-FFF2-40B4-BE49-F238E27FC236}">
                  <a16:creationId xmlns:a16="http://schemas.microsoft.com/office/drawing/2014/main" id="{00000000-0008-0000-0600-000025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22</xdr:row>
          <xdr:rowOff>15240</xdr:rowOff>
        </xdr:from>
        <xdr:to>
          <xdr:col>8</xdr:col>
          <xdr:colOff>304800</xdr:colOff>
          <xdr:row>23</xdr:row>
          <xdr:rowOff>0</xdr:rowOff>
        </xdr:to>
        <xdr:sp macro="" textlink="">
          <xdr:nvSpPr>
            <xdr:cNvPr id="431142" name="Check Box 38" hidden="1">
              <a:extLst>
                <a:ext uri="{63B3BB69-23CF-44E3-9099-C40C66FF867C}">
                  <a14:compatExt spid="_x0000_s431142"/>
                </a:ext>
                <a:ext uri="{FF2B5EF4-FFF2-40B4-BE49-F238E27FC236}">
                  <a16:creationId xmlns:a16="http://schemas.microsoft.com/office/drawing/2014/main" id="{00000000-0008-0000-0600-000026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21</xdr:row>
          <xdr:rowOff>15240</xdr:rowOff>
        </xdr:from>
        <xdr:to>
          <xdr:col>8</xdr:col>
          <xdr:colOff>304800</xdr:colOff>
          <xdr:row>22</xdr:row>
          <xdr:rowOff>0</xdr:rowOff>
        </xdr:to>
        <xdr:sp macro="" textlink="">
          <xdr:nvSpPr>
            <xdr:cNvPr id="431143" name="Check Box 39" hidden="1">
              <a:extLst>
                <a:ext uri="{63B3BB69-23CF-44E3-9099-C40C66FF867C}">
                  <a14:compatExt spid="_x0000_s431143"/>
                </a:ext>
                <a:ext uri="{FF2B5EF4-FFF2-40B4-BE49-F238E27FC236}">
                  <a16:creationId xmlns:a16="http://schemas.microsoft.com/office/drawing/2014/main" id="{00000000-0008-0000-0600-000027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4</xdr:row>
          <xdr:rowOff>15240</xdr:rowOff>
        </xdr:from>
        <xdr:to>
          <xdr:col>12</xdr:col>
          <xdr:colOff>304800</xdr:colOff>
          <xdr:row>5</xdr:row>
          <xdr:rowOff>0</xdr:rowOff>
        </xdr:to>
        <xdr:sp macro="" textlink="">
          <xdr:nvSpPr>
            <xdr:cNvPr id="431144" name="Check Box 40" hidden="1">
              <a:extLst>
                <a:ext uri="{63B3BB69-23CF-44E3-9099-C40C66FF867C}">
                  <a14:compatExt spid="_x0000_s431144"/>
                </a:ext>
                <a:ext uri="{FF2B5EF4-FFF2-40B4-BE49-F238E27FC236}">
                  <a16:creationId xmlns:a16="http://schemas.microsoft.com/office/drawing/2014/main" id="{00000000-0008-0000-0600-000028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3</xdr:row>
          <xdr:rowOff>15240</xdr:rowOff>
        </xdr:from>
        <xdr:to>
          <xdr:col>12</xdr:col>
          <xdr:colOff>304800</xdr:colOff>
          <xdr:row>4</xdr:row>
          <xdr:rowOff>0</xdr:rowOff>
        </xdr:to>
        <xdr:sp macro="" textlink="">
          <xdr:nvSpPr>
            <xdr:cNvPr id="431145" name="Check Box 41" hidden="1">
              <a:extLst>
                <a:ext uri="{63B3BB69-23CF-44E3-9099-C40C66FF867C}">
                  <a14:compatExt spid="_x0000_s431145"/>
                </a:ext>
                <a:ext uri="{FF2B5EF4-FFF2-40B4-BE49-F238E27FC236}">
                  <a16:creationId xmlns:a16="http://schemas.microsoft.com/office/drawing/2014/main" id="{00000000-0008-0000-0600-000029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6</xdr:row>
          <xdr:rowOff>15240</xdr:rowOff>
        </xdr:from>
        <xdr:to>
          <xdr:col>12</xdr:col>
          <xdr:colOff>304800</xdr:colOff>
          <xdr:row>7</xdr:row>
          <xdr:rowOff>0</xdr:rowOff>
        </xdr:to>
        <xdr:sp macro="" textlink="">
          <xdr:nvSpPr>
            <xdr:cNvPr id="431146" name="Check Box 42" hidden="1">
              <a:extLst>
                <a:ext uri="{63B3BB69-23CF-44E3-9099-C40C66FF867C}">
                  <a14:compatExt spid="_x0000_s431146"/>
                </a:ext>
                <a:ext uri="{FF2B5EF4-FFF2-40B4-BE49-F238E27FC236}">
                  <a16:creationId xmlns:a16="http://schemas.microsoft.com/office/drawing/2014/main" id="{00000000-0008-0000-0600-00002A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5</xdr:row>
          <xdr:rowOff>15240</xdr:rowOff>
        </xdr:from>
        <xdr:to>
          <xdr:col>12</xdr:col>
          <xdr:colOff>304800</xdr:colOff>
          <xdr:row>6</xdr:row>
          <xdr:rowOff>0</xdr:rowOff>
        </xdr:to>
        <xdr:sp macro="" textlink="">
          <xdr:nvSpPr>
            <xdr:cNvPr id="431147" name="Check Box 43" hidden="1">
              <a:extLst>
                <a:ext uri="{63B3BB69-23CF-44E3-9099-C40C66FF867C}">
                  <a14:compatExt spid="_x0000_s431147"/>
                </a:ext>
                <a:ext uri="{FF2B5EF4-FFF2-40B4-BE49-F238E27FC236}">
                  <a16:creationId xmlns:a16="http://schemas.microsoft.com/office/drawing/2014/main" id="{00000000-0008-0000-0600-00002B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8</xdr:row>
          <xdr:rowOff>15240</xdr:rowOff>
        </xdr:from>
        <xdr:to>
          <xdr:col>12</xdr:col>
          <xdr:colOff>304800</xdr:colOff>
          <xdr:row>9</xdr:row>
          <xdr:rowOff>0</xdr:rowOff>
        </xdr:to>
        <xdr:sp macro="" textlink="">
          <xdr:nvSpPr>
            <xdr:cNvPr id="431148" name="Check Box 44" hidden="1">
              <a:extLst>
                <a:ext uri="{63B3BB69-23CF-44E3-9099-C40C66FF867C}">
                  <a14:compatExt spid="_x0000_s431148"/>
                </a:ext>
                <a:ext uri="{FF2B5EF4-FFF2-40B4-BE49-F238E27FC236}">
                  <a16:creationId xmlns:a16="http://schemas.microsoft.com/office/drawing/2014/main" id="{00000000-0008-0000-0600-00002C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7</xdr:row>
          <xdr:rowOff>15240</xdr:rowOff>
        </xdr:from>
        <xdr:to>
          <xdr:col>12</xdr:col>
          <xdr:colOff>304800</xdr:colOff>
          <xdr:row>8</xdr:row>
          <xdr:rowOff>0</xdr:rowOff>
        </xdr:to>
        <xdr:sp macro="" textlink="">
          <xdr:nvSpPr>
            <xdr:cNvPr id="431149" name="Check Box 45" hidden="1">
              <a:extLst>
                <a:ext uri="{63B3BB69-23CF-44E3-9099-C40C66FF867C}">
                  <a14:compatExt spid="_x0000_s431149"/>
                </a:ext>
                <a:ext uri="{FF2B5EF4-FFF2-40B4-BE49-F238E27FC236}">
                  <a16:creationId xmlns:a16="http://schemas.microsoft.com/office/drawing/2014/main" id="{00000000-0008-0000-0600-00002D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10</xdr:row>
          <xdr:rowOff>15240</xdr:rowOff>
        </xdr:from>
        <xdr:to>
          <xdr:col>12</xdr:col>
          <xdr:colOff>304800</xdr:colOff>
          <xdr:row>11</xdr:row>
          <xdr:rowOff>0</xdr:rowOff>
        </xdr:to>
        <xdr:sp macro="" textlink="">
          <xdr:nvSpPr>
            <xdr:cNvPr id="431150" name="Check Box 46" hidden="1">
              <a:extLst>
                <a:ext uri="{63B3BB69-23CF-44E3-9099-C40C66FF867C}">
                  <a14:compatExt spid="_x0000_s431150"/>
                </a:ext>
                <a:ext uri="{FF2B5EF4-FFF2-40B4-BE49-F238E27FC236}">
                  <a16:creationId xmlns:a16="http://schemas.microsoft.com/office/drawing/2014/main" id="{00000000-0008-0000-0600-00002E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9</xdr:row>
          <xdr:rowOff>15240</xdr:rowOff>
        </xdr:from>
        <xdr:to>
          <xdr:col>12</xdr:col>
          <xdr:colOff>304800</xdr:colOff>
          <xdr:row>10</xdr:row>
          <xdr:rowOff>0</xdr:rowOff>
        </xdr:to>
        <xdr:sp macro="" textlink="">
          <xdr:nvSpPr>
            <xdr:cNvPr id="431151" name="Check Box 47" hidden="1">
              <a:extLst>
                <a:ext uri="{63B3BB69-23CF-44E3-9099-C40C66FF867C}">
                  <a14:compatExt spid="_x0000_s431151"/>
                </a:ext>
                <a:ext uri="{FF2B5EF4-FFF2-40B4-BE49-F238E27FC236}">
                  <a16:creationId xmlns:a16="http://schemas.microsoft.com/office/drawing/2014/main" id="{00000000-0008-0000-0600-00002F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12</xdr:row>
          <xdr:rowOff>15240</xdr:rowOff>
        </xdr:from>
        <xdr:to>
          <xdr:col>12</xdr:col>
          <xdr:colOff>304800</xdr:colOff>
          <xdr:row>13</xdr:row>
          <xdr:rowOff>0</xdr:rowOff>
        </xdr:to>
        <xdr:sp macro="" textlink="">
          <xdr:nvSpPr>
            <xdr:cNvPr id="431152" name="Check Box 48" hidden="1">
              <a:extLst>
                <a:ext uri="{63B3BB69-23CF-44E3-9099-C40C66FF867C}">
                  <a14:compatExt spid="_x0000_s431152"/>
                </a:ext>
                <a:ext uri="{FF2B5EF4-FFF2-40B4-BE49-F238E27FC236}">
                  <a16:creationId xmlns:a16="http://schemas.microsoft.com/office/drawing/2014/main" id="{00000000-0008-0000-0600-000030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11</xdr:row>
          <xdr:rowOff>15240</xdr:rowOff>
        </xdr:from>
        <xdr:to>
          <xdr:col>12</xdr:col>
          <xdr:colOff>304800</xdr:colOff>
          <xdr:row>12</xdr:row>
          <xdr:rowOff>0</xdr:rowOff>
        </xdr:to>
        <xdr:sp macro="" textlink="">
          <xdr:nvSpPr>
            <xdr:cNvPr id="431153" name="Check Box 49" hidden="1">
              <a:extLst>
                <a:ext uri="{63B3BB69-23CF-44E3-9099-C40C66FF867C}">
                  <a14:compatExt spid="_x0000_s431153"/>
                </a:ext>
                <a:ext uri="{FF2B5EF4-FFF2-40B4-BE49-F238E27FC236}">
                  <a16:creationId xmlns:a16="http://schemas.microsoft.com/office/drawing/2014/main" id="{00000000-0008-0000-0600-000031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14</xdr:row>
          <xdr:rowOff>15240</xdr:rowOff>
        </xdr:from>
        <xdr:to>
          <xdr:col>12</xdr:col>
          <xdr:colOff>304800</xdr:colOff>
          <xdr:row>15</xdr:row>
          <xdr:rowOff>0</xdr:rowOff>
        </xdr:to>
        <xdr:sp macro="" textlink="">
          <xdr:nvSpPr>
            <xdr:cNvPr id="431154" name="Check Box 50" hidden="1">
              <a:extLst>
                <a:ext uri="{63B3BB69-23CF-44E3-9099-C40C66FF867C}">
                  <a14:compatExt spid="_x0000_s431154"/>
                </a:ext>
                <a:ext uri="{FF2B5EF4-FFF2-40B4-BE49-F238E27FC236}">
                  <a16:creationId xmlns:a16="http://schemas.microsoft.com/office/drawing/2014/main" id="{00000000-0008-0000-0600-000032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13</xdr:row>
          <xdr:rowOff>15240</xdr:rowOff>
        </xdr:from>
        <xdr:to>
          <xdr:col>12</xdr:col>
          <xdr:colOff>304800</xdr:colOff>
          <xdr:row>14</xdr:row>
          <xdr:rowOff>0</xdr:rowOff>
        </xdr:to>
        <xdr:sp macro="" textlink="">
          <xdr:nvSpPr>
            <xdr:cNvPr id="431155" name="Check Box 51" hidden="1">
              <a:extLst>
                <a:ext uri="{63B3BB69-23CF-44E3-9099-C40C66FF867C}">
                  <a14:compatExt spid="_x0000_s431155"/>
                </a:ext>
                <a:ext uri="{FF2B5EF4-FFF2-40B4-BE49-F238E27FC236}">
                  <a16:creationId xmlns:a16="http://schemas.microsoft.com/office/drawing/2014/main" id="{00000000-0008-0000-0600-000033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16</xdr:row>
          <xdr:rowOff>15240</xdr:rowOff>
        </xdr:from>
        <xdr:to>
          <xdr:col>12</xdr:col>
          <xdr:colOff>304800</xdr:colOff>
          <xdr:row>17</xdr:row>
          <xdr:rowOff>0</xdr:rowOff>
        </xdr:to>
        <xdr:sp macro="" textlink="">
          <xdr:nvSpPr>
            <xdr:cNvPr id="431156" name="Check Box 52" hidden="1">
              <a:extLst>
                <a:ext uri="{63B3BB69-23CF-44E3-9099-C40C66FF867C}">
                  <a14:compatExt spid="_x0000_s431156"/>
                </a:ext>
                <a:ext uri="{FF2B5EF4-FFF2-40B4-BE49-F238E27FC236}">
                  <a16:creationId xmlns:a16="http://schemas.microsoft.com/office/drawing/2014/main" id="{00000000-0008-0000-0600-000034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15</xdr:row>
          <xdr:rowOff>15240</xdr:rowOff>
        </xdr:from>
        <xdr:to>
          <xdr:col>12</xdr:col>
          <xdr:colOff>304800</xdr:colOff>
          <xdr:row>16</xdr:row>
          <xdr:rowOff>0</xdr:rowOff>
        </xdr:to>
        <xdr:sp macro="" textlink="">
          <xdr:nvSpPr>
            <xdr:cNvPr id="431157" name="Check Box 53" hidden="1">
              <a:extLst>
                <a:ext uri="{63B3BB69-23CF-44E3-9099-C40C66FF867C}">
                  <a14:compatExt spid="_x0000_s431157"/>
                </a:ext>
                <a:ext uri="{FF2B5EF4-FFF2-40B4-BE49-F238E27FC236}">
                  <a16:creationId xmlns:a16="http://schemas.microsoft.com/office/drawing/2014/main" id="{00000000-0008-0000-0600-000035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18</xdr:row>
          <xdr:rowOff>15240</xdr:rowOff>
        </xdr:from>
        <xdr:to>
          <xdr:col>12</xdr:col>
          <xdr:colOff>304800</xdr:colOff>
          <xdr:row>19</xdr:row>
          <xdr:rowOff>0</xdr:rowOff>
        </xdr:to>
        <xdr:sp macro="" textlink="">
          <xdr:nvSpPr>
            <xdr:cNvPr id="431158" name="Check Box 54" hidden="1">
              <a:extLst>
                <a:ext uri="{63B3BB69-23CF-44E3-9099-C40C66FF867C}">
                  <a14:compatExt spid="_x0000_s431158"/>
                </a:ext>
                <a:ext uri="{FF2B5EF4-FFF2-40B4-BE49-F238E27FC236}">
                  <a16:creationId xmlns:a16="http://schemas.microsoft.com/office/drawing/2014/main" id="{00000000-0008-0000-0600-000036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17</xdr:row>
          <xdr:rowOff>15240</xdr:rowOff>
        </xdr:from>
        <xdr:to>
          <xdr:col>12</xdr:col>
          <xdr:colOff>304800</xdr:colOff>
          <xdr:row>18</xdr:row>
          <xdr:rowOff>0</xdr:rowOff>
        </xdr:to>
        <xdr:sp macro="" textlink="">
          <xdr:nvSpPr>
            <xdr:cNvPr id="431159" name="Check Box 55" hidden="1">
              <a:extLst>
                <a:ext uri="{63B3BB69-23CF-44E3-9099-C40C66FF867C}">
                  <a14:compatExt spid="_x0000_s431159"/>
                </a:ext>
                <a:ext uri="{FF2B5EF4-FFF2-40B4-BE49-F238E27FC236}">
                  <a16:creationId xmlns:a16="http://schemas.microsoft.com/office/drawing/2014/main" id="{00000000-0008-0000-0600-000037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20</xdr:row>
          <xdr:rowOff>15240</xdr:rowOff>
        </xdr:from>
        <xdr:to>
          <xdr:col>12</xdr:col>
          <xdr:colOff>304800</xdr:colOff>
          <xdr:row>21</xdr:row>
          <xdr:rowOff>0</xdr:rowOff>
        </xdr:to>
        <xdr:sp macro="" textlink="">
          <xdr:nvSpPr>
            <xdr:cNvPr id="431160" name="Check Box 56" hidden="1">
              <a:extLst>
                <a:ext uri="{63B3BB69-23CF-44E3-9099-C40C66FF867C}">
                  <a14:compatExt spid="_x0000_s431160"/>
                </a:ext>
                <a:ext uri="{FF2B5EF4-FFF2-40B4-BE49-F238E27FC236}">
                  <a16:creationId xmlns:a16="http://schemas.microsoft.com/office/drawing/2014/main" id="{00000000-0008-0000-0600-000038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19</xdr:row>
          <xdr:rowOff>15240</xdr:rowOff>
        </xdr:from>
        <xdr:to>
          <xdr:col>12</xdr:col>
          <xdr:colOff>304800</xdr:colOff>
          <xdr:row>20</xdr:row>
          <xdr:rowOff>0</xdr:rowOff>
        </xdr:to>
        <xdr:sp macro="" textlink="">
          <xdr:nvSpPr>
            <xdr:cNvPr id="431161" name="Check Box 57" hidden="1">
              <a:extLst>
                <a:ext uri="{63B3BB69-23CF-44E3-9099-C40C66FF867C}">
                  <a14:compatExt spid="_x0000_s431161"/>
                </a:ext>
                <a:ext uri="{FF2B5EF4-FFF2-40B4-BE49-F238E27FC236}">
                  <a16:creationId xmlns:a16="http://schemas.microsoft.com/office/drawing/2014/main" id="{00000000-0008-0000-0600-000039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22</xdr:row>
          <xdr:rowOff>15240</xdr:rowOff>
        </xdr:from>
        <xdr:to>
          <xdr:col>12</xdr:col>
          <xdr:colOff>304800</xdr:colOff>
          <xdr:row>23</xdr:row>
          <xdr:rowOff>0</xdr:rowOff>
        </xdr:to>
        <xdr:sp macro="" textlink="">
          <xdr:nvSpPr>
            <xdr:cNvPr id="431162" name="Check Box 58" hidden="1">
              <a:extLst>
                <a:ext uri="{63B3BB69-23CF-44E3-9099-C40C66FF867C}">
                  <a14:compatExt spid="_x0000_s431162"/>
                </a:ext>
                <a:ext uri="{FF2B5EF4-FFF2-40B4-BE49-F238E27FC236}">
                  <a16:creationId xmlns:a16="http://schemas.microsoft.com/office/drawing/2014/main" id="{00000000-0008-0000-0600-00003A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21</xdr:row>
          <xdr:rowOff>15240</xdr:rowOff>
        </xdr:from>
        <xdr:to>
          <xdr:col>12</xdr:col>
          <xdr:colOff>304800</xdr:colOff>
          <xdr:row>22</xdr:row>
          <xdr:rowOff>0</xdr:rowOff>
        </xdr:to>
        <xdr:sp macro="" textlink="">
          <xdr:nvSpPr>
            <xdr:cNvPr id="431163" name="Check Box 59" hidden="1">
              <a:extLst>
                <a:ext uri="{63B3BB69-23CF-44E3-9099-C40C66FF867C}">
                  <a14:compatExt spid="_x0000_s431163"/>
                </a:ext>
                <a:ext uri="{FF2B5EF4-FFF2-40B4-BE49-F238E27FC236}">
                  <a16:creationId xmlns:a16="http://schemas.microsoft.com/office/drawing/2014/main" id="{00000000-0008-0000-0600-00003B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23</xdr:row>
          <xdr:rowOff>15240</xdr:rowOff>
        </xdr:from>
        <xdr:to>
          <xdr:col>3</xdr:col>
          <xdr:colOff>304800</xdr:colOff>
          <xdr:row>24</xdr:row>
          <xdr:rowOff>15240</xdr:rowOff>
        </xdr:to>
        <xdr:sp macro="" textlink="">
          <xdr:nvSpPr>
            <xdr:cNvPr id="431164" name="Check Box 60" hidden="1">
              <a:extLst>
                <a:ext uri="{63B3BB69-23CF-44E3-9099-C40C66FF867C}">
                  <a14:compatExt spid="_x0000_s431164"/>
                </a:ext>
                <a:ext uri="{FF2B5EF4-FFF2-40B4-BE49-F238E27FC236}">
                  <a16:creationId xmlns:a16="http://schemas.microsoft.com/office/drawing/2014/main" id="{00000000-0008-0000-0600-00003C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23</xdr:row>
          <xdr:rowOff>15240</xdr:rowOff>
        </xdr:from>
        <xdr:to>
          <xdr:col>8</xdr:col>
          <xdr:colOff>304800</xdr:colOff>
          <xdr:row>24</xdr:row>
          <xdr:rowOff>15240</xdr:rowOff>
        </xdr:to>
        <xdr:sp macro="" textlink="">
          <xdr:nvSpPr>
            <xdr:cNvPr id="431165" name="Check Box 61" hidden="1">
              <a:extLst>
                <a:ext uri="{63B3BB69-23CF-44E3-9099-C40C66FF867C}">
                  <a14:compatExt spid="_x0000_s431165"/>
                </a:ext>
                <a:ext uri="{FF2B5EF4-FFF2-40B4-BE49-F238E27FC236}">
                  <a16:creationId xmlns:a16="http://schemas.microsoft.com/office/drawing/2014/main" id="{00000000-0008-0000-0600-00003D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23</xdr:row>
          <xdr:rowOff>15240</xdr:rowOff>
        </xdr:from>
        <xdr:to>
          <xdr:col>12</xdr:col>
          <xdr:colOff>304800</xdr:colOff>
          <xdr:row>24</xdr:row>
          <xdr:rowOff>15240</xdr:rowOff>
        </xdr:to>
        <xdr:sp macro="" textlink="">
          <xdr:nvSpPr>
            <xdr:cNvPr id="431166" name="Check Box 62" hidden="1">
              <a:extLst>
                <a:ext uri="{63B3BB69-23CF-44E3-9099-C40C66FF867C}">
                  <a14:compatExt spid="_x0000_s431166"/>
                </a:ext>
                <a:ext uri="{FF2B5EF4-FFF2-40B4-BE49-F238E27FC236}">
                  <a16:creationId xmlns:a16="http://schemas.microsoft.com/office/drawing/2014/main" id="{00000000-0008-0000-0600-00003E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24</xdr:row>
          <xdr:rowOff>15240</xdr:rowOff>
        </xdr:from>
        <xdr:to>
          <xdr:col>3</xdr:col>
          <xdr:colOff>304800</xdr:colOff>
          <xdr:row>24</xdr:row>
          <xdr:rowOff>205740</xdr:rowOff>
        </xdr:to>
        <xdr:sp macro="" textlink="">
          <xdr:nvSpPr>
            <xdr:cNvPr id="431167" name="Check Box 63" hidden="1">
              <a:extLst>
                <a:ext uri="{63B3BB69-23CF-44E3-9099-C40C66FF867C}">
                  <a14:compatExt spid="_x0000_s431167"/>
                </a:ext>
                <a:ext uri="{FF2B5EF4-FFF2-40B4-BE49-F238E27FC236}">
                  <a16:creationId xmlns:a16="http://schemas.microsoft.com/office/drawing/2014/main" id="{00000000-0008-0000-0600-00003F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53340</xdr:colOff>
          <xdr:row>24</xdr:row>
          <xdr:rowOff>15240</xdr:rowOff>
        </xdr:from>
        <xdr:to>
          <xdr:col>8</xdr:col>
          <xdr:colOff>304800</xdr:colOff>
          <xdr:row>24</xdr:row>
          <xdr:rowOff>205740</xdr:rowOff>
        </xdr:to>
        <xdr:sp macro="" textlink="">
          <xdr:nvSpPr>
            <xdr:cNvPr id="431168" name="Check Box 64" hidden="1">
              <a:extLst>
                <a:ext uri="{63B3BB69-23CF-44E3-9099-C40C66FF867C}">
                  <a14:compatExt spid="_x0000_s431168"/>
                </a:ext>
                <a:ext uri="{FF2B5EF4-FFF2-40B4-BE49-F238E27FC236}">
                  <a16:creationId xmlns:a16="http://schemas.microsoft.com/office/drawing/2014/main" id="{00000000-0008-0000-0600-000040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53340</xdr:colOff>
          <xdr:row>24</xdr:row>
          <xdr:rowOff>15240</xdr:rowOff>
        </xdr:from>
        <xdr:to>
          <xdr:col>12</xdr:col>
          <xdr:colOff>304800</xdr:colOff>
          <xdr:row>24</xdr:row>
          <xdr:rowOff>205740</xdr:rowOff>
        </xdr:to>
        <xdr:sp macro="" textlink="">
          <xdr:nvSpPr>
            <xdr:cNvPr id="431169" name="Check Box 65" hidden="1">
              <a:extLst>
                <a:ext uri="{63B3BB69-23CF-44E3-9099-C40C66FF867C}">
                  <a14:compatExt spid="_x0000_s431169"/>
                </a:ext>
                <a:ext uri="{FF2B5EF4-FFF2-40B4-BE49-F238E27FC236}">
                  <a16:creationId xmlns:a16="http://schemas.microsoft.com/office/drawing/2014/main" id="{00000000-0008-0000-0600-000041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4</xdr:row>
          <xdr:rowOff>15240</xdr:rowOff>
        </xdr:from>
        <xdr:to>
          <xdr:col>17</xdr:col>
          <xdr:colOff>304800</xdr:colOff>
          <xdr:row>5</xdr:row>
          <xdr:rowOff>0</xdr:rowOff>
        </xdr:to>
        <xdr:sp macro="" textlink="">
          <xdr:nvSpPr>
            <xdr:cNvPr id="431170" name="Check Box 66" hidden="1">
              <a:extLst>
                <a:ext uri="{63B3BB69-23CF-44E3-9099-C40C66FF867C}">
                  <a14:compatExt spid="_x0000_s431170"/>
                </a:ext>
                <a:ext uri="{FF2B5EF4-FFF2-40B4-BE49-F238E27FC236}">
                  <a16:creationId xmlns:a16="http://schemas.microsoft.com/office/drawing/2014/main" id="{00000000-0008-0000-0600-000042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3</xdr:row>
          <xdr:rowOff>15240</xdr:rowOff>
        </xdr:from>
        <xdr:to>
          <xdr:col>17</xdr:col>
          <xdr:colOff>304800</xdr:colOff>
          <xdr:row>4</xdr:row>
          <xdr:rowOff>0</xdr:rowOff>
        </xdr:to>
        <xdr:sp macro="" textlink="">
          <xdr:nvSpPr>
            <xdr:cNvPr id="431171" name="Check Box 67" hidden="1">
              <a:extLst>
                <a:ext uri="{63B3BB69-23CF-44E3-9099-C40C66FF867C}">
                  <a14:compatExt spid="_x0000_s431171"/>
                </a:ext>
                <a:ext uri="{FF2B5EF4-FFF2-40B4-BE49-F238E27FC236}">
                  <a16:creationId xmlns:a16="http://schemas.microsoft.com/office/drawing/2014/main" id="{00000000-0008-0000-0600-000043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6</xdr:row>
          <xdr:rowOff>15240</xdr:rowOff>
        </xdr:from>
        <xdr:to>
          <xdr:col>17</xdr:col>
          <xdr:colOff>304800</xdr:colOff>
          <xdr:row>7</xdr:row>
          <xdr:rowOff>0</xdr:rowOff>
        </xdr:to>
        <xdr:sp macro="" textlink="">
          <xdr:nvSpPr>
            <xdr:cNvPr id="431172" name="Check Box 68" hidden="1">
              <a:extLst>
                <a:ext uri="{63B3BB69-23CF-44E3-9099-C40C66FF867C}">
                  <a14:compatExt spid="_x0000_s431172"/>
                </a:ext>
                <a:ext uri="{FF2B5EF4-FFF2-40B4-BE49-F238E27FC236}">
                  <a16:creationId xmlns:a16="http://schemas.microsoft.com/office/drawing/2014/main" id="{00000000-0008-0000-0600-000044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5</xdr:row>
          <xdr:rowOff>15240</xdr:rowOff>
        </xdr:from>
        <xdr:to>
          <xdr:col>17</xdr:col>
          <xdr:colOff>304800</xdr:colOff>
          <xdr:row>6</xdr:row>
          <xdr:rowOff>0</xdr:rowOff>
        </xdr:to>
        <xdr:sp macro="" textlink="">
          <xdr:nvSpPr>
            <xdr:cNvPr id="431173" name="Check Box 69" hidden="1">
              <a:extLst>
                <a:ext uri="{63B3BB69-23CF-44E3-9099-C40C66FF867C}">
                  <a14:compatExt spid="_x0000_s431173"/>
                </a:ext>
                <a:ext uri="{FF2B5EF4-FFF2-40B4-BE49-F238E27FC236}">
                  <a16:creationId xmlns:a16="http://schemas.microsoft.com/office/drawing/2014/main" id="{00000000-0008-0000-0600-000045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8</xdr:row>
          <xdr:rowOff>15240</xdr:rowOff>
        </xdr:from>
        <xdr:to>
          <xdr:col>17</xdr:col>
          <xdr:colOff>304800</xdr:colOff>
          <xdr:row>9</xdr:row>
          <xdr:rowOff>0</xdr:rowOff>
        </xdr:to>
        <xdr:sp macro="" textlink="">
          <xdr:nvSpPr>
            <xdr:cNvPr id="431174" name="Check Box 70" hidden="1">
              <a:extLst>
                <a:ext uri="{63B3BB69-23CF-44E3-9099-C40C66FF867C}">
                  <a14:compatExt spid="_x0000_s431174"/>
                </a:ext>
                <a:ext uri="{FF2B5EF4-FFF2-40B4-BE49-F238E27FC236}">
                  <a16:creationId xmlns:a16="http://schemas.microsoft.com/office/drawing/2014/main" id="{00000000-0008-0000-0600-000046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7</xdr:row>
          <xdr:rowOff>15240</xdr:rowOff>
        </xdr:from>
        <xdr:to>
          <xdr:col>17</xdr:col>
          <xdr:colOff>304800</xdr:colOff>
          <xdr:row>8</xdr:row>
          <xdr:rowOff>0</xdr:rowOff>
        </xdr:to>
        <xdr:sp macro="" textlink="">
          <xdr:nvSpPr>
            <xdr:cNvPr id="431175" name="Check Box 71" hidden="1">
              <a:extLst>
                <a:ext uri="{63B3BB69-23CF-44E3-9099-C40C66FF867C}">
                  <a14:compatExt spid="_x0000_s431175"/>
                </a:ext>
                <a:ext uri="{FF2B5EF4-FFF2-40B4-BE49-F238E27FC236}">
                  <a16:creationId xmlns:a16="http://schemas.microsoft.com/office/drawing/2014/main" id="{00000000-0008-0000-0600-000047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10</xdr:row>
          <xdr:rowOff>15240</xdr:rowOff>
        </xdr:from>
        <xdr:to>
          <xdr:col>17</xdr:col>
          <xdr:colOff>304800</xdr:colOff>
          <xdr:row>11</xdr:row>
          <xdr:rowOff>0</xdr:rowOff>
        </xdr:to>
        <xdr:sp macro="" textlink="">
          <xdr:nvSpPr>
            <xdr:cNvPr id="431176" name="Check Box 72" hidden="1">
              <a:extLst>
                <a:ext uri="{63B3BB69-23CF-44E3-9099-C40C66FF867C}">
                  <a14:compatExt spid="_x0000_s431176"/>
                </a:ext>
                <a:ext uri="{FF2B5EF4-FFF2-40B4-BE49-F238E27FC236}">
                  <a16:creationId xmlns:a16="http://schemas.microsoft.com/office/drawing/2014/main" id="{00000000-0008-0000-0600-000048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9</xdr:row>
          <xdr:rowOff>15240</xdr:rowOff>
        </xdr:from>
        <xdr:to>
          <xdr:col>17</xdr:col>
          <xdr:colOff>304800</xdr:colOff>
          <xdr:row>10</xdr:row>
          <xdr:rowOff>0</xdr:rowOff>
        </xdr:to>
        <xdr:sp macro="" textlink="">
          <xdr:nvSpPr>
            <xdr:cNvPr id="431177" name="Check Box 73" hidden="1">
              <a:extLst>
                <a:ext uri="{63B3BB69-23CF-44E3-9099-C40C66FF867C}">
                  <a14:compatExt spid="_x0000_s431177"/>
                </a:ext>
                <a:ext uri="{FF2B5EF4-FFF2-40B4-BE49-F238E27FC236}">
                  <a16:creationId xmlns:a16="http://schemas.microsoft.com/office/drawing/2014/main" id="{00000000-0008-0000-0600-000049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12</xdr:row>
          <xdr:rowOff>15240</xdr:rowOff>
        </xdr:from>
        <xdr:to>
          <xdr:col>17</xdr:col>
          <xdr:colOff>304800</xdr:colOff>
          <xdr:row>13</xdr:row>
          <xdr:rowOff>0</xdr:rowOff>
        </xdr:to>
        <xdr:sp macro="" textlink="">
          <xdr:nvSpPr>
            <xdr:cNvPr id="431178" name="Check Box 74" hidden="1">
              <a:extLst>
                <a:ext uri="{63B3BB69-23CF-44E3-9099-C40C66FF867C}">
                  <a14:compatExt spid="_x0000_s431178"/>
                </a:ext>
                <a:ext uri="{FF2B5EF4-FFF2-40B4-BE49-F238E27FC236}">
                  <a16:creationId xmlns:a16="http://schemas.microsoft.com/office/drawing/2014/main" id="{00000000-0008-0000-0600-00004A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11</xdr:row>
          <xdr:rowOff>15240</xdr:rowOff>
        </xdr:from>
        <xdr:to>
          <xdr:col>17</xdr:col>
          <xdr:colOff>304800</xdr:colOff>
          <xdr:row>12</xdr:row>
          <xdr:rowOff>0</xdr:rowOff>
        </xdr:to>
        <xdr:sp macro="" textlink="">
          <xdr:nvSpPr>
            <xdr:cNvPr id="431179" name="Check Box 75" hidden="1">
              <a:extLst>
                <a:ext uri="{63B3BB69-23CF-44E3-9099-C40C66FF867C}">
                  <a14:compatExt spid="_x0000_s431179"/>
                </a:ext>
                <a:ext uri="{FF2B5EF4-FFF2-40B4-BE49-F238E27FC236}">
                  <a16:creationId xmlns:a16="http://schemas.microsoft.com/office/drawing/2014/main" id="{00000000-0008-0000-0600-00004B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13</xdr:row>
          <xdr:rowOff>15240</xdr:rowOff>
        </xdr:from>
        <xdr:to>
          <xdr:col>17</xdr:col>
          <xdr:colOff>304800</xdr:colOff>
          <xdr:row>14</xdr:row>
          <xdr:rowOff>0</xdr:rowOff>
        </xdr:to>
        <xdr:sp macro="" textlink="">
          <xdr:nvSpPr>
            <xdr:cNvPr id="431180" name="Check Box 76" hidden="1">
              <a:extLst>
                <a:ext uri="{63B3BB69-23CF-44E3-9099-C40C66FF867C}">
                  <a14:compatExt spid="_x0000_s431180"/>
                </a:ext>
                <a:ext uri="{FF2B5EF4-FFF2-40B4-BE49-F238E27FC236}">
                  <a16:creationId xmlns:a16="http://schemas.microsoft.com/office/drawing/2014/main" id="{00000000-0008-0000-0600-00004C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53340</xdr:colOff>
          <xdr:row>14</xdr:row>
          <xdr:rowOff>15240</xdr:rowOff>
        </xdr:from>
        <xdr:to>
          <xdr:col>17</xdr:col>
          <xdr:colOff>304800</xdr:colOff>
          <xdr:row>15</xdr:row>
          <xdr:rowOff>0</xdr:rowOff>
        </xdr:to>
        <xdr:sp macro="" textlink="">
          <xdr:nvSpPr>
            <xdr:cNvPr id="431181" name="Check Box 77" hidden="1">
              <a:extLst>
                <a:ext uri="{63B3BB69-23CF-44E3-9099-C40C66FF867C}">
                  <a14:compatExt spid="_x0000_s431181"/>
                </a:ext>
                <a:ext uri="{FF2B5EF4-FFF2-40B4-BE49-F238E27FC236}">
                  <a16:creationId xmlns:a16="http://schemas.microsoft.com/office/drawing/2014/main" id="{00000000-0008-0000-0600-00004D940600}"/>
                </a:ext>
              </a:extLst>
            </xdr:cNvPr>
            <xdr:cNvSpPr/>
          </xdr:nvSpPr>
          <xdr:spPr bwMode="auto">
            <a:xfrm>
              <a:off x="0" y="0"/>
              <a:ext cx="0" cy="0"/>
            </a:xfrm>
            <a:prstGeom prst="rect">
              <a:avLst/>
            </a:prstGeom>
            <a:noFill/>
            <a:ln>
              <a:noFill/>
            </a:ln>
            <a:extLst>
              <a:ext uri="{909E8E84-426E-40DD-AFC4-6F175D3DCCD1}">
                <a14:hiddenFill>
                  <a:solidFill>
                    <a:srgbClr val="FF9900"/>
                  </a:solidFill>
                </a14:hiddenFill>
              </a:ext>
              <a:ext uri="{91240B29-F687-4F45-9708-019B960494DF}">
                <a14:hiddenLine w="12700">
                  <a:solidFill>
                    <a:srgbClr val="993300"/>
                  </a:solidFill>
                  <a:miter lim="800000"/>
                  <a:headEnd/>
                  <a:tailEnd/>
                </a14:hiddenLine>
              </a:ext>
            </a:extLst>
          </xdr:spPr>
        </xdr:sp>
        <xdr:clientData fLocksWithSheet="0"/>
      </xdr:twoCellAnchor>
    </mc:Choice>
    <mc:Fallback/>
  </mc:AlternateContent>
  <xdr:twoCellAnchor>
    <xdr:from>
      <xdr:col>19</xdr:col>
      <xdr:colOff>201085</xdr:colOff>
      <xdr:row>1</xdr:row>
      <xdr:rowOff>20108</xdr:rowOff>
    </xdr:from>
    <xdr:to>
      <xdr:col>20</xdr:col>
      <xdr:colOff>646643</xdr:colOff>
      <xdr:row>3</xdr:row>
      <xdr:rowOff>166793</xdr:rowOff>
    </xdr:to>
    <xdr:grpSp>
      <xdr:nvGrpSpPr>
        <xdr:cNvPr id="85" name="Groupe 84">
          <a:extLst>
            <a:ext uri="{FF2B5EF4-FFF2-40B4-BE49-F238E27FC236}">
              <a16:creationId xmlns:a16="http://schemas.microsoft.com/office/drawing/2014/main" id="{00000000-0008-0000-0700-000055000000}"/>
            </a:ext>
          </a:extLst>
        </xdr:cNvPr>
        <xdr:cNvGrpSpPr/>
      </xdr:nvGrpSpPr>
      <xdr:grpSpPr>
        <a:xfrm>
          <a:off x="13240250" y="123202"/>
          <a:ext cx="772769" cy="639744"/>
          <a:chOff x="12467168" y="623358"/>
          <a:chExt cx="752475" cy="650875"/>
        </a:xfrm>
      </xdr:grpSpPr>
      <xdr:pic macro="[0]!Activation">
        <xdr:nvPicPr>
          <xdr:cNvPr id="86" name="Image 85">
            <a:extLst>
              <a:ext uri="{FF2B5EF4-FFF2-40B4-BE49-F238E27FC236}">
                <a16:creationId xmlns:a16="http://schemas.microsoft.com/office/drawing/2014/main" id="{00000000-0008-0000-07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8748" y="623358"/>
            <a:ext cx="509956" cy="53419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sp macro="[0]!Activation" textlink="">
        <xdr:nvSpPr>
          <xdr:cNvPr id="87" name="Text Box 153">
            <a:extLst>
              <a:ext uri="{FF2B5EF4-FFF2-40B4-BE49-F238E27FC236}">
                <a16:creationId xmlns:a16="http://schemas.microsoft.com/office/drawing/2014/main" id="{00000000-0008-0000-0700-000057000000}"/>
              </a:ext>
            </a:extLst>
          </xdr:cNvPr>
          <xdr:cNvSpPr txBox="1">
            <a:spLocks noChangeArrowheads="1"/>
          </xdr:cNvSpPr>
        </xdr:nvSpPr>
        <xdr:spPr bwMode="auto">
          <a:xfrm>
            <a:off x="12467168" y="1090872"/>
            <a:ext cx="752475" cy="183361"/>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36576" tIns="36576" rIns="36576" bIns="36576" anchor="t" upright="1"/>
          <a:lstStyle/>
          <a:p>
            <a:pPr algn="l" rtl="0">
              <a:defRPr sz="1000"/>
            </a:pPr>
            <a:r>
              <a:rPr lang="fr-FR" sz="1000" b="1" i="0" u="none" strike="noStrike" baseline="0">
                <a:solidFill>
                  <a:srgbClr val="000000"/>
                </a:solidFill>
                <a:latin typeface="Times New Roman"/>
                <a:cs typeface="Times New Roman"/>
              </a:rPr>
              <a:t>Activation</a:t>
            </a:r>
          </a:p>
          <a:p>
            <a:pPr algn="l" rtl="0">
              <a:defRPr sz="1000"/>
            </a:pPr>
            <a:endParaRPr lang="fr-FR" sz="1000" b="1" i="0" u="none" strike="noStrike" baseline="0">
              <a:solidFill>
                <a:srgbClr val="000000"/>
              </a:solidFill>
              <a:latin typeface="Times New Roman"/>
              <a:cs typeface="Times New Roman"/>
            </a:endParaRPr>
          </a:p>
        </xdr:txBody>
      </xdr:sp>
    </xdr:grpSp>
    <xdr:clientData/>
  </xdr:twoCellAnchor>
  <xdr:twoCellAnchor>
    <xdr:from>
      <xdr:col>21</xdr:col>
      <xdr:colOff>58209</xdr:colOff>
      <xdr:row>1</xdr:row>
      <xdr:rowOff>86783</xdr:rowOff>
    </xdr:from>
    <xdr:to>
      <xdr:col>21</xdr:col>
      <xdr:colOff>813859</xdr:colOff>
      <xdr:row>3</xdr:row>
      <xdr:rowOff>166793</xdr:rowOff>
    </xdr:to>
    <xdr:grpSp>
      <xdr:nvGrpSpPr>
        <xdr:cNvPr id="88" name="Groupe 87">
          <a:extLst>
            <a:ext uri="{FF2B5EF4-FFF2-40B4-BE49-F238E27FC236}">
              <a16:creationId xmlns:a16="http://schemas.microsoft.com/office/drawing/2014/main" id="{00000000-0008-0000-0700-000058000000}"/>
            </a:ext>
          </a:extLst>
        </xdr:cNvPr>
        <xdr:cNvGrpSpPr/>
      </xdr:nvGrpSpPr>
      <xdr:grpSpPr>
        <a:xfrm>
          <a:off x="14258303" y="189877"/>
          <a:ext cx="755650" cy="573069"/>
          <a:chOff x="13403792" y="690033"/>
          <a:chExt cx="755650" cy="584200"/>
        </a:xfrm>
      </xdr:grpSpPr>
      <xdr:pic macro="[0]!ExportationLiasse.ExportationLiasse">
        <xdr:nvPicPr>
          <xdr:cNvPr id="89" name="Image 88">
            <a:extLst>
              <a:ext uri="{FF2B5EF4-FFF2-40B4-BE49-F238E27FC236}">
                <a16:creationId xmlns:a16="http://schemas.microsoft.com/office/drawing/2014/main" id="{00000000-0008-0000-0700-00005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61424" y="690033"/>
            <a:ext cx="432000" cy="430942"/>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sp macro="[0]!ExportationLiasse.ExportationLiasse" textlink="">
        <xdr:nvSpPr>
          <xdr:cNvPr id="90" name="Text Box 156">
            <a:extLst>
              <a:ext uri="{FF2B5EF4-FFF2-40B4-BE49-F238E27FC236}">
                <a16:creationId xmlns:a16="http://schemas.microsoft.com/office/drawing/2014/main" id="{00000000-0008-0000-0700-00005A000000}"/>
              </a:ext>
            </a:extLst>
          </xdr:cNvPr>
          <xdr:cNvSpPr txBox="1">
            <a:spLocks noChangeArrowheads="1"/>
          </xdr:cNvSpPr>
        </xdr:nvSpPr>
        <xdr:spPr bwMode="auto">
          <a:xfrm>
            <a:off x="13403792" y="1090534"/>
            <a:ext cx="755650" cy="183699"/>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36576" tIns="36576" rIns="36576" bIns="36576" anchor="t" upright="1"/>
          <a:lstStyle/>
          <a:p>
            <a:pPr algn="l" rtl="0">
              <a:defRPr sz="1000"/>
            </a:pPr>
            <a:r>
              <a:rPr lang="fr-FR" sz="1000" b="1" i="0" u="none" strike="noStrike" baseline="0">
                <a:solidFill>
                  <a:srgbClr val="000000"/>
                </a:solidFill>
                <a:latin typeface="Times New Roman"/>
                <a:cs typeface="Times New Roman"/>
              </a:rPr>
              <a:t>Exporter</a:t>
            </a:r>
          </a:p>
          <a:p>
            <a:pPr algn="l" rtl="0">
              <a:defRPr sz="1000"/>
            </a:pPr>
            <a:endParaRPr lang="fr-FR" sz="1000" b="1" i="0" u="none" strike="noStrike" baseline="0">
              <a:solidFill>
                <a:srgbClr val="000000"/>
              </a:solidFill>
              <a:latin typeface="Times New Roman"/>
              <a:cs typeface="Times New Roman"/>
            </a:endParaRPr>
          </a:p>
        </xdr:txBody>
      </xdr:sp>
    </xdr:grpSp>
    <xdr:clientData/>
  </xdr:twoCellAnchor>
  <xdr:twoCellAnchor>
    <xdr:from>
      <xdr:col>21</xdr:col>
      <xdr:colOff>878418</xdr:colOff>
      <xdr:row>1</xdr:row>
      <xdr:rowOff>10583</xdr:rowOff>
    </xdr:from>
    <xdr:to>
      <xdr:col>22</xdr:col>
      <xdr:colOff>245958</xdr:colOff>
      <xdr:row>3</xdr:row>
      <xdr:rowOff>166793</xdr:rowOff>
    </xdr:to>
    <xdr:grpSp>
      <xdr:nvGrpSpPr>
        <xdr:cNvPr id="91" name="Groupe 90">
          <a:extLst>
            <a:ext uri="{FF2B5EF4-FFF2-40B4-BE49-F238E27FC236}">
              <a16:creationId xmlns:a16="http://schemas.microsoft.com/office/drawing/2014/main" id="{00000000-0008-0000-0700-00005B000000}"/>
            </a:ext>
          </a:extLst>
        </xdr:cNvPr>
        <xdr:cNvGrpSpPr/>
      </xdr:nvGrpSpPr>
      <xdr:grpSpPr>
        <a:xfrm>
          <a:off x="15078512" y="113677"/>
          <a:ext cx="846717" cy="649269"/>
          <a:chOff x="14224001" y="613833"/>
          <a:chExt cx="755650" cy="660400"/>
        </a:xfrm>
      </xdr:grpSpPr>
      <xdr:pic macro="[0]!Enregistrer_pdf_original">
        <xdr:nvPicPr>
          <xdr:cNvPr id="92" name="Image 91">
            <a:extLst>
              <a:ext uri="{FF2B5EF4-FFF2-40B4-BE49-F238E27FC236}">
                <a16:creationId xmlns:a16="http://schemas.microsoft.com/office/drawing/2014/main" id="{00000000-0008-0000-0700-00005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260124" y="613833"/>
            <a:ext cx="540000" cy="536662"/>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sp macro="[0]!Enregistrer_pdf_original" textlink="">
        <xdr:nvSpPr>
          <xdr:cNvPr id="93" name="Text Box 159">
            <a:extLst>
              <a:ext uri="{FF2B5EF4-FFF2-40B4-BE49-F238E27FC236}">
                <a16:creationId xmlns:a16="http://schemas.microsoft.com/office/drawing/2014/main" id="{00000000-0008-0000-0700-00005D000000}"/>
              </a:ext>
            </a:extLst>
          </xdr:cNvPr>
          <xdr:cNvSpPr txBox="1">
            <a:spLocks noChangeArrowheads="1"/>
          </xdr:cNvSpPr>
        </xdr:nvSpPr>
        <xdr:spPr bwMode="auto">
          <a:xfrm>
            <a:off x="14224001" y="1091221"/>
            <a:ext cx="755650" cy="183012"/>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36576" tIns="36576" rIns="36576" bIns="36576" anchor="t" upright="1"/>
          <a:lstStyle/>
          <a:p>
            <a:pPr algn="l" rtl="0">
              <a:defRPr sz="1000"/>
            </a:pPr>
            <a:r>
              <a:rPr lang="fr-FR" sz="1000" b="1" i="0" u="none" strike="noStrike" baseline="0">
                <a:solidFill>
                  <a:srgbClr val="000000"/>
                </a:solidFill>
                <a:latin typeface="Times New Roman"/>
                <a:cs typeface="Times New Roman"/>
              </a:rPr>
              <a:t>Imprimer</a:t>
            </a:r>
          </a:p>
          <a:p>
            <a:pPr algn="l" rtl="0">
              <a:defRPr sz="1000"/>
            </a:pPr>
            <a:endParaRPr lang="fr-FR" sz="1000" b="1" i="0" u="none" strike="noStrike" baseline="0">
              <a:solidFill>
                <a:srgbClr val="000000"/>
              </a:solidFill>
              <a:latin typeface="Times New Roman"/>
              <a:cs typeface="Times New Roman"/>
            </a:endParaRPr>
          </a:p>
        </xdr:txBody>
      </xdr:sp>
    </xdr:grpSp>
    <xdr:clientData/>
  </xdr:twoCellAnchor>
  <xdr:twoCellAnchor editAs="oneCell">
    <xdr:from>
      <xdr:col>20</xdr:col>
      <xdr:colOff>465668</xdr:colOff>
      <xdr:row>15</xdr:row>
      <xdr:rowOff>74083</xdr:rowOff>
    </xdr:from>
    <xdr:to>
      <xdr:col>21</xdr:col>
      <xdr:colOff>860514</xdr:colOff>
      <xdr:row>19</xdr:row>
      <xdr:rowOff>144036</xdr:rowOff>
    </xdr:to>
    <xdr:pic>
      <xdr:nvPicPr>
        <xdr:cNvPr id="94" name="Image 93">
          <a:hlinkClick xmlns:r="http://schemas.openxmlformats.org/officeDocument/2006/relationships" r:id="rId4"/>
          <a:extLst>
            <a:ext uri="{FF2B5EF4-FFF2-40B4-BE49-F238E27FC236}">
              <a16:creationId xmlns:a16="http://schemas.microsoft.com/office/drawing/2014/main" id="{00000000-0008-0000-0700-00005E000000}"/>
            </a:ext>
          </a:extLst>
        </xdr:cNvPr>
        <xdr:cNvPicPr>
          <a:picLocks noChangeAspect="1"/>
        </xdr:cNvPicPr>
      </xdr:nvPicPr>
      <xdr:blipFill>
        <a:blip xmlns:r="http://schemas.openxmlformats.org/officeDocument/2006/relationships" r:embed="rId5"/>
        <a:stretch>
          <a:fillRect/>
        </a:stretch>
      </xdr:blipFill>
      <xdr:spPr>
        <a:xfrm>
          <a:off x="13899728" y="3049693"/>
          <a:ext cx="1233046" cy="862433"/>
        </a:xfrm>
        <a:prstGeom prst="rect">
          <a:avLst/>
        </a:prstGeom>
      </xdr:spPr>
    </xdr:pic>
    <xdr:clientData/>
  </xdr:twoCellAnchor>
  <xdr:twoCellAnchor>
    <xdr:from>
      <xdr:col>7</xdr:col>
      <xdr:colOff>1688253</xdr:colOff>
      <xdr:row>48</xdr:row>
      <xdr:rowOff>2964</xdr:rowOff>
    </xdr:from>
    <xdr:to>
      <xdr:col>7</xdr:col>
      <xdr:colOff>1920240</xdr:colOff>
      <xdr:row>48</xdr:row>
      <xdr:rowOff>171450</xdr:rowOff>
    </xdr:to>
    <xdr:grpSp>
      <xdr:nvGrpSpPr>
        <xdr:cNvPr id="95" name="Groupe 94">
          <a:extLst>
            <a:ext uri="{FF2B5EF4-FFF2-40B4-BE49-F238E27FC236}">
              <a16:creationId xmlns:a16="http://schemas.microsoft.com/office/drawing/2014/main" id="{00000000-0008-0000-0700-00005F000000}"/>
            </a:ext>
          </a:extLst>
        </xdr:cNvPr>
        <xdr:cNvGrpSpPr/>
      </xdr:nvGrpSpPr>
      <xdr:grpSpPr>
        <a:xfrm>
          <a:off x="6085441" y="7345058"/>
          <a:ext cx="231987" cy="168486"/>
          <a:chOff x="13567833" y="3418417"/>
          <a:chExt cx="216000" cy="162000"/>
        </a:xfrm>
      </xdr:grpSpPr>
      <xdr:sp macro="[0]!Code_activite" textlink="">
        <xdr:nvSpPr>
          <xdr:cNvPr id="96" name="Rectangle 95">
            <a:extLst>
              <a:ext uri="{FF2B5EF4-FFF2-40B4-BE49-F238E27FC236}">
                <a16:creationId xmlns:a16="http://schemas.microsoft.com/office/drawing/2014/main" id="{00000000-0008-0000-0700-000060000000}"/>
              </a:ext>
            </a:extLst>
          </xdr:cNvPr>
          <xdr:cNvSpPr/>
        </xdr:nvSpPr>
        <xdr:spPr>
          <a:xfrm>
            <a:off x="13567833" y="3418417"/>
            <a:ext cx="216000" cy="162000"/>
          </a:xfrm>
          <a:prstGeom prst="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Code_activite" textlink="">
        <xdr:nvSpPr>
          <xdr:cNvPr id="97" name="Organigramme : Fusion 96">
            <a:extLst>
              <a:ext uri="{FF2B5EF4-FFF2-40B4-BE49-F238E27FC236}">
                <a16:creationId xmlns:a16="http://schemas.microsoft.com/office/drawing/2014/main" id="{00000000-0008-0000-0700-000061000000}"/>
              </a:ext>
            </a:extLst>
          </xdr:cNvPr>
          <xdr:cNvSpPr/>
        </xdr:nvSpPr>
        <xdr:spPr>
          <a:xfrm>
            <a:off x="13652502" y="3492500"/>
            <a:ext cx="54000" cy="36000"/>
          </a:xfrm>
          <a:prstGeom prst="flowChartMerge">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20</xdr:col>
      <xdr:colOff>129541</xdr:colOff>
      <xdr:row>4</xdr:row>
      <xdr:rowOff>129541</xdr:rowOff>
    </xdr:from>
    <xdr:to>
      <xdr:col>21</xdr:col>
      <xdr:colOff>1363980</xdr:colOff>
      <xdr:row>7</xdr:row>
      <xdr:rowOff>68441</xdr:rowOff>
    </xdr:to>
    <xdr:grpSp>
      <xdr:nvGrpSpPr>
        <xdr:cNvPr id="4" name="Groupe 3">
          <a:extLst>
            <a:ext uri="{FF2B5EF4-FFF2-40B4-BE49-F238E27FC236}">
              <a16:creationId xmlns:a16="http://schemas.microsoft.com/office/drawing/2014/main" id="{00000000-0008-0000-0700-000004000000}"/>
            </a:ext>
          </a:extLst>
        </xdr:cNvPr>
        <xdr:cNvGrpSpPr/>
      </xdr:nvGrpSpPr>
      <xdr:grpSpPr>
        <a:xfrm>
          <a:off x="13495917" y="922917"/>
          <a:ext cx="2068157" cy="530571"/>
          <a:chOff x="15830551" y="3600451"/>
          <a:chExt cx="2072639" cy="533260"/>
        </a:xfrm>
      </xdr:grpSpPr>
      <xdr:sp macro="[0]!GenererXML" textlink="">
        <xdr:nvSpPr>
          <xdr:cNvPr id="3" name="ZoneTexte 2">
            <a:extLst>
              <a:ext uri="{FF2B5EF4-FFF2-40B4-BE49-F238E27FC236}">
                <a16:creationId xmlns:a16="http://schemas.microsoft.com/office/drawing/2014/main" id="{00000000-0008-0000-0700-000003000000}"/>
              </a:ext>
            </a:extLst>
          </xdr:cNvPr>
          <xdr:cNvSpPr txBox="1"/>
        </xdr:nvSpPr>
        <xdr:spPr>
          <a:xfrm>
            <a:off x="16264890" y="3604260"/>
            <a:ext cx="1638300" cy="499110"/>
          </a:xfrm>
          <a:prstGeom prst="rect">
            <a:avLst/>
          </a:prstGeom>
          <a:solidFill>
            <a:srgbClr val="ED7D3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400" b="1">
                <a:solidFill>
                  <a:schemeClr val="bg1"/>
                </a:solidFill>
                <a:effectLst/>
                <a:latin typeface="Times New Roman" panose="02020603050405020304" pitchFamily="18" charset="0"/>
                <a:ea typeface="+mn-ea"/>
                <a:cs typeface="Times New Roman" panose="02020603050405020304" pitchFamily="18" charset="0"/>
              </a:rPr>
              <a:t>E-LIASSE</a:t>
            </a:r>
            <a:endParaRPr lang="fr-CI" sz="1400">
              <a:solidFill>
                <a:schemeClr val="bg1"/>
              </a:solidFill>
              <a:effectLst/>
              <a:latin typeface="Times New Roman" panose="02020603050405020304" pitchFamily="18" charset="0"/>
              <a:ea typeface="+mn-ea"/>
              <a:cs typeface="Times New Roman" panose="02020603050405020304" pitchFamily="18" charset="0"/>
            </a:endParaRPr>
          </a:p>
          <a:p>
            <a:pPr algn="ctr"/>
            <a:r>
              <a:rPr lang="fr-FR" sz="1100" b="1">
                <a:solidFill>
                  <a:schemeClr val="bg1"/>
                </a:solidFill>
                <a:effectLst/>
                <a:latin typeface="Times New Roman" panose="02020603050405020304" pitchFamily="18" charset="0"/>
                <a:ea typeface="+mn-ea"/>
                <a:cs typeface="Times New Roman" panose="02020603050405020304" pitchFamily="18" charset="0"/>
              </a:rPr>
              <a:t>Générer le fichier XML</a:t>
            </a:r>
            <a:endParaRPr lang="fr-CI" sz="1100">
              <a:solidFill>
                <a:schemeClr val="bg1"/>
              </a:solidFill>
              <a:effectLst/>
              <a:latin typeface="Times New Roman" panose="02020603050405020304" pitchFamily="18" charset="0"/>
              <a:ea typeface="+mn-ea"/>
              <a:cs typeface="Times New Roman" panose="02020603050405020304" pitchFamily="18" charset="0"/>
            </a:endParaRPr>
          </a:p>
        </xdr:txBody>
      </xdr:sp>
      <xdr:pic macro="[0]!GenererXML">
        <xdr:nvPicPr>
          <xdr:cNvPr id="99" name="Image 98">
            <a:extLst>
              <a:ext uri="{FF2B5EF4-FFF2-40B4-BE49-F238E27FC236}">
                <a16:creationId xmlns:a16="http://schemas.microsoft.com/office/drawing/2014/main" id="{00000000-0008-0000-0700-000063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745" r="13703" b="8967"/>
          <a:stretch/>
        </xdr:blipFill>
        <xdr:spPr bwMode="auto">
          <a:xfrm>
            <a:off x="15830551" y="3600451"/>
            <a:ext cx="521929" cy="53326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114301</xdr:colOff>
      <xdr:row>0</xdr:row>
      <xdr:rowOff>0</xdr:rowOff>
    </xdr:from>
    <xdr:to>
      <xdr:col>0</xdr:col>
      <xdr:colOff>542382</xdr:colOff>
      <xdr:row>1</xdr:row>
      <xdr:rowOff>14424</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1" y="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editAs="oneCell">
    <xdr:from>
      <xdr:col>0</xdr:col>
      <xdr:colOff>188258</xdr:colOff>
      <xdr:row>3</xdr:row>
      <xdr:rowOff>14117</xdr:rowOff>
    </xdr:from>
    <xdr:to>
      <xdr:col>0</xdr:col>
      <xdr:colOff>488060</xdr:colOff>
      <xdr:row>4</xdr:row>
      <xdr:rowOff>4096</xdr:rowOff>
    </xdr:to>
    <xdr:pic macro="[0]!Filtre_OrangeN">
      <xdr:nvPicPr>
        <xdr:cNvPr id="12" name="OrangeN" hidden="1">
          <a:extLst>
            <a:ext uri="{FF2B5EF4-FFF2-40B4-BE49-F238E27FC236}">
              <a16:creationId xmlns:a16="http://schemas.microsoft.com/office/drawing/2014/main" id="{00000000-0008-0000-0800-00000C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6275" r="6936" b="10596"/>
        <a:stretch/>
      </xdr:blipFill>
      <xdr:spPr>
        <a:xfrm>
          <a:off x="188258" y="940240"/>
          <a:ext cx="297625" cy="308679"/>
        </a:xfrm>
        <a:prstGeom prst="rect">
          <a:avLst/>
        </a:prstGeom>
      </xdr:spPr>
    </xdr:pic>
    <xdr:clientData/>
  </xdr:twoCellAnchor>
  <xdr:twoCellAnchor editAs="oneCell">
    <xdr:from>
      <xdr:col>0</xdr:col>
      <xdr:colOff>192743</xdr:colOff>
      <xdr:row>2</xdr:row>
      <xdr:rowOff>4483</xdr:rowOff>
    </xdr:from>
    <xdr:to>
      <xdr:col>0</xdr:col>
      <xdr:colOff>490529</xdr:colOff>
      <xdr:row>2</xdr:row>
      <xdr:rowOff>308899</xdr:rowOff>
    </xdr:to>
    <xdr:pic macro="[0]!Filtre_RougeN">
      <xdr:nvPicPr>
        <xdr:cNvPr id="14" name="RougeN" hidden="1">
          <a:extLst>
            <a:ext uri="{FF2B5EF4-FFF2-40B4-BE49-F238E27FC236}">
              <a16:creationId xmlns:a16="http://schemas.microsoft.com/office/drawing/2014/main" id="{00000000-0008-0000-0800-00000E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752" r="6936" b="10596"/>
        <a:stretch/>
      </xdr:blipFill>
      <xdr:spPr>
        <a:xfrm>
          <a:off x="192743" y="614083"/>
          <a:ext cx="299419" cy="306593"/>
        </a:xfrm>
        <a:prstGeom prst="rect">
          <a:avLst/>
        </a:prstGeom>
      </xdr:spPr>
    </xdr:pic>
    <xdr:clientData/>
  </xdr:twoCellAnchor>
  <xdr:twoCellAnchor editAs="oneCell">
    <xdr:from>
      <xdr:col>13</xdr:col>
      <xdr:colOff>210670</xdr:colOff>
      <xdr:row>3</xdr:row>
      <xdr:rowOff>14116</xdr:rowOff>
    </xdr:from>
    <xdr:to>
      <xdr:col>13</xdr:col>
      <xdr:colOff>507751</xdr:colOff>
      <xdr:row>4</xdr:row>
      <xdr:rowOff>4095</xdr:rowOff>
    </xdr:to>
    <xdr:pic macro="[0]!Filtre_OrangeN1">
      <xdr:nvPicPr>
        <xdr:cNvPr id="15" name="OrangeN1" hidden="1">
          <a:extLst>
            <a:ext uri="{FF2B5EF4-FFF2-40B4-BE49-F238E27FC236}">
              <a16:creationId xmlns:a16="http://schemas.microsoft.com/office/drawing/2014/main" id="{00000000-0008-0000-0800-00000F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6275" r="6936" b="10596"/>
        <a:stretch/>
      </xdr:blipFill>
      <xdr:spPr>
        <a:xfrm>
          <a:off x="13196046" y="941963"/>
          <a:ext cx="297625" cy="310403"/>
        </a:xfrm>
        <a:prstGeom prst="rect">
          <a:avLst/>
        </a:prstGeom>
      </xdr:spPr>
    </xdr:pic>
    <xdr:clientData/>
  </xdr:twoCellAnchor>
  <xdr:twoCellAnchor editAs="oneCell">
    <xdr:from>
      <xdr:col>13</xdr:col>
      <xdr:colOff>215155</xdr:colOff>
      <xdr:row>2</xdr:row>
      <xdr:rowOff>4482</xdr:rowOff>
    </xdr:from>
    <xdr:to>
      <xdr:col>13</xdr:col>
      <xdr:colOff>517295</xdr:colOff>
      <xdr:row>2</xdr:row>
      <xdr:rowOff>308898</xdr:rowOff>
    </xdr:to>
    <xdr:pic macro="[0]!Filtre_RougeN1">
      <xdr:nvPicPr>
        <xdr:cNvPr id="16" name="RougeN1" hidden="1">
          <a:extLst>
            <a:ext uri="{FF2B5EF4-FFF2-40B4-BE49-F238E27FC236}">
              <a16:creationId xmlns:a16="http://schemas.microsoft.com/office/drawing/2014/main" id="{00000000-0008-0000-0800-000010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752" r="6936" b="10596"/>
        <a:stretch/>
      </xdr:blipFill>
      <xdr:spPr>
        <a:xfrm>
          <a:off x="13200531" y="614082"/>
          <a:ext cx="299419" cy="306593"/>
        </a:xfrm>
        <a:prstGeom prst="rect">
          <a:avLst/>
        </a:prstGeom>
      </xdr:spPr>
    </xdr:pic>
    <xdr:clientData/>
  </xdr:twoCellAnchor>
  <xdr:twoCellAnchor editAs="oneCell">
    <xdr:from>
      <xdr:col>7</xdr:col>
      <xdr:colOff>1375410</xdr:colOff>
      <xdr:row>0</xdr:row>
      <xdr:rowOff>11430</xdr:rowOff>
    </xdr:from>
    <xdr:to>
      <xdr:col>13</xdr:col>
      <xdr:colOff>85218</xdr:colOff>
      <xdr:row>1</xdr:row>
      <xdr:rowOff>25346</xdr:rowOff>
    </xdr:to>
    <xdr:pic macro="[0]!Effacer_Filtre">
      <xdr:nvPicPr>
        <xdr:cNvPr id="6" name="FiltreN">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630150" y="11430"/>
          <a:ext cx="428662" cy="428662"/>
        </a:xfrm>
        <a:prstGeom prst="rect">
          <a:avLst/>
        </a:prstGeom>
      </xdr:spPr>
    </xdr:pic>
    <xdr:clientData/>
  </xdr:twoCellAnchor>
  <xdr:twoCellAnchor editAs="oneCell">
    <xdr:from>
      <xdr:col>6</xdr:col>
      <xdr:colOff>1390650</xdr:colOff>
      <xdr:row>0</xdr:row>
      <xdr:rowOff>1</xdr:rowOff>
    </xdr:from>
    <xdr:to>
      <xdr:col>7</xdr:col>
      <xdr:colOff>1201609</xdr:colOff>
      <xdr:row>1</xdr:row>
      <xdr:rowOff>26186</xdr:rowOff>
    </xdr:to>
    <xdr:pic>
      <xdr:nvPicPr>
        <xdr:cNvPr id="17" name="Table_TFT" hidden="1">
          <a:hlinkClick xmlns:r="http://schemas.openxmlformats.org/officeDocument/2006/relationships" r:id="rId6"/>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7"/>
        <a:stretch>
          <a:fillRect/>
        </a:stretch>
      </xdr:blipFill>
      <xdr:spPr>
        <a:xfrm>
          <a:off x="11178540" y="1"/>
          <a:ext cx="1267468" cy="4409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428625</xdr:colOff>
      <xdr:row>1</xdr:row>
      <xdr:rowOff>13335</xdr:rowOff>
    </xdr:to>
    <xdr:pic macro="[0]!Sommaire">
      <xdr:nvPicPr>
        <xdr:cNvPr id="2" name="Image 1" descr="Tour du Léman">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1" y="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editAs="oneCell">
    <xdr:from>
      <xdr:col>0</xdr:col>
      <xdr:colOff>0</xdr:colOff>
      <xdr:row>8</xdr:row>
      <xdr:rowOff>14116</xdr:rowOff>
    </xdr:from>
    <xdr:to>
      <xdr:col>0</xdr:col>
      <xdr:colOff>297625</xdr:colOff>
      <xdr:row>9</xdr:row>
      <xdr:rowOff>95919</xdr:rowOff>
    </xdr:to>
    <xdr:pic macro="[0]!Filtre_OrangeN1">
      <xdr:nvPicPr>
        <xdr:cNvPr id="5" name="OrangeN1" hidden="1">
          <a:extLst>
            <a:ext uri="{FF2B5EF4-FFF2-40B4-BE49-F238E27FC236}">
              <a16:creationId xmlns:a16="http://schemas.microsoft.com/office/drawing/2014/main" id="{00000000-0008-0000-0900-000005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6275" r="6936" b="10596"/>
        <a:stretch/>
      </xdr:blipFill>
      <xdr:spPr>
        <a:xfrm>
          <a:off x="13164670" y="939946"/>
          <a:ext cx="297625" cy="308386"/>
        </a:xfrm>
        <a:prstGeom prst="rect">
          <a:avLst/>
        </a:prstGeom>
      </xdr:spPr>
    </xdr:pic>
    <xdr:clientData/>
  </xdr:twoCellAnchor>
  <xdr:twoCellAnchor editAs="oneCell">
    <xdr:from>
      <xdr:col>0</xdr:col>
      <xdr:colOff>0</xdr:colOff>
      <xdr:row>2</xdr:row>
      <xdr:rowOff>4482</xdr:rowOff>
    </xdr:from>
    <xdr:to>
      <xdr:col>0</xdr:col>
      <xdr:colOff>299419</xdr:colOff>
      <xdr:row>2</xdr:row>
      <xdr:rowOff>311075</xdr:rowOff>
    </xdr:to>
    <xdr:pic macro="[0]!Filtre_RougeN1">
      <xdr:nvPicPr>
        <xdr:cNvPr id="6" name="RougeN1" hidden="1">
          <a:extLst>
            <a:ext uri="{FF2B5EF4-FFF2-40B4-BE49-F238E27FC236}">
              <a16:creationId xmlns:a16="http://schemas.microsoft.com/office/drawing/2014/main" id="{00000000-0008-0000-0900-000006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752" r="6936" b="10596"/>
        <a:stretch/>
      </xdr:blipFill>
      <xdr:spPr>
        <a:xfrm>
          <a:off x="13169155" y="614082"/>
          <a:ext cx="299419" cy="30659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95250</xdr:colOff>
      <xdr:row>2</xdr:row>
      <xdr:rowOff>57150</xdr:rowOff>
    </xdr:from>
    <xdr:to>
      <xdr:col>12</xdr:col>
      <xdr:colOff>0</xdr:colOff>
      <xdr:row>6</xdr:row>
      <xdr:rowOff>19050</xdr:rowOff>
    </xdr:to>
    <xdr:pic>
      <xdr:nvPicPr>
        <xdr:cNvPr id="2" name="Imag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03470" y="156210"/>
          <a:ext cx="1375410" cy="7239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oneCellAnchor>
    <xdr:from>
      <xdr:col>2</xdr:col>
      <xdr:colOff>22412</xdr:colOff>
      <xdr:row>19</xdr:row>
      <xdr:rowOff>116167</xdr:rowOff>
    </xdr:from>
    <xdr:ext cx="5883088" cy="1638065"/>
    <xdr:sp macro="" textlink="">
      <xdr:nvSpPr>
        <xdr:cNvPr id="3" name="Rectangle 2">
          <a:extLst>
            <a:ext uri="{FF2B5EF4-FFF2-40B4-BE49-F238E27FC236}">
              <a16:creationId xmlns:a16="http://schemas.microsoft.com/office/drawing/2014/main" id="{00000000-0008-0000-0A00-000003000000}"/>
            </a:ext>
          </a:extLst>
        </xdr:cNvPr>
        <xdr:cNvSpPr/>
      </xdr:nvSpPr>
      <xdr:spPr>
        <a:xfrm>
          <a:off x="174812" y="3369907"/>
          <a:ext cx="5883088" cy="1638065"/>
        </a:xfrm>
        <a:prstGeom prst="rect">
          <a:avLst/>
        </a:prstGeom>
        <a:pattFill prst="pct10">
          <a:fgClr>
            <a:schemeClr val="bg1">
              <a:lumMod val="75000"/>
            </a:schemeClr>
          </a:fgClr>
          <a:bgClr>
            <a:schemeClr val="bg1"/>
          </a:bgClr>
        </a:pattFill>
        <a:effectLst>
          <a:outerShdw blurRad="50800" dist="101600" dir="4200000" algn="t" rotWithShape="0">
            <a:prstClr val="black">
              <a:alpha val="43000"/>
            </a:prstClr>
          </a:outerShdw>
        </a:effectLst>
      </xdr:spPr>
      <xdr:txBody>
        <a:bodyPr wrap="none" lIns="91440" tIns="45720" rIns="91440" bIns="45720">
          <a:noAutofit/>
        </a:bodyPr>
        <a:lstStyle/>
        <a:p>
          <a:pPr algn="ctr"/>
          <a:endPar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SUPPORT</a:t>
          </a:r>
          <a:r>
            <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 NORMALISE DE COLLECTE DES </a:t>
          </a:r>
        </a:p>
        <a:p>
          <a:pPr algn="ctr"/>
          <a:endPar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ETATS FINANCIERS DU SYSTEME COMPTABLE OHADA</a:t>
          </a:r>
        </a:p>
        <a:p>
          <a:pPr algn="ctr"/>
          <a:endPar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(SYSCOHADA)</a:t>
          </a:r>
        </a:p>
      </xdr:txBody>
    </xdr:sp>
    <xdr:clientData/>
  </xdr:oneCellAnchor>
  <xdr:twoCellAnchor editAs="oneCell">
    <xdr:from>
      <xdr:col>13</xdr:col>
      <xdr:colOff>480060</xdr:colOff>
      <xdr:row>2</xdr:row>
      <xdr:rowOff>15240</xdr:rowOff>
    </xdr:from>
    <xdr:to>
      <xdr:col>14</xdr:col>
      <xdr:colOff>81915</xdr:colOff>
      <xdr:row>4</xdr:row>
      <xdr:rowOff>62865</xdr:rowOff>
    </xdr:to>
    <xdr:pic macro="[0]!Sommaire">
      <xdr:nvPicPr>
        <xdr:cNvPr id="5" name="Image 4" descr="Tour du Léman">
          <a:hlinkClick xmlns:r="http://schemas.openxmlformats.org/officeDocument/2006/relationships" r:id="rId2"/>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162800" y="1181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9.xml><?xml version="1.0" encoding="utf-8"?>
<xdr:wsDr xmlns:xdr="http://schemas.openxmlformats.org/drawingml/2006/spreadsheetDrawing" xmlns:a="http://schemas.openxmlformats.org/drawingml/2006/main">
  <xdr:twoCellAnchor editAs="oneCell">
    <xdr:from>
      <xdr:col>12</xdr:col>
      <xdr:colOff>156210</xdr:colOff>
      <xdr:row>0</xdr:row>
      <xdr:rowOff>133350</xdr:rowOff>
    </xdr:from>
    <xdr:to>
      <xdr:col>12</xdr:col>
      <xdr:colOff>584835</xdr:colOff>
      <xdr:row>2</xdr:row>
      <xdr:rowOff>131445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00950" y="1333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0.xml><?xml version="1.0" encoding="utf-8"?>
<xdr:wsDr xmlns:xdr="http://schemas.openxmlformats.org/drawingml/2006/spreadsheetDrawing" xmlns:a="http://schemas.openxmlformats.org/drawingml/2006/main">
  <xdr:twoCellAnchor editAs="oneCell">
    <xdr:from>
      <xdr:col>3</xdr:col>
      <xdr:colOff>270510</xdr:colOff>
      <xdr:row>0</xdr:row>
      <xdr:rowOff>118110</xdr:rowOff>
    </xdr:from>
    <xdr:to>
      <xdr:col>3</xdr:col>
      <xdr:colOff>699135</xdr:colOff>
      <xdr:row>2</xdr:row>
      <xdr:rowOff>180975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86650" y="1181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0</xdr:colOff>
      <xdr:row>1</xdr:row>
      <xdr:rowOff>0</xdr:rowOff>
    </xdr:from>
    <xdr:to>
      <xdr:col>11</xdr:col>
      <xdr:colOff>428625</xdr:colOff>
      <xdr:row>2</xdr:row>
      <xdr:rowOff>112395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0500" y="19050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361950</xdr:colOff>
      <xdr:row>0</xdr:row>
      <xdr:rowOff>152400</xdr:rowOff>
    </xdr:from>
    <xdr:to>
      <xdr:col>10</xdr:col>
      <xdr:colOff>790575</xdr:colOff>
      <xdr:row>2</xdr:row>
      <xdr:rowOff>81915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01100" y="15240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3.xml><?xml version="1.0" encoding="utf-8"?>
<xdr:wsDr xmlns:xdr="http://schemas.openxmlformats.org/drawingml/2006/spreadsheetDrawing" xmlns:a="http://schemas.openxmlformats.org/drawingml/2006/main">
  <xdr:twoCellAnchor editAs="oneCell">
    <xdr:from>
      <xdr:col>22</xdr:col>
      <xdr:colOff>255270</xdr:colOff>
      <xdr:row>0</xdr:row>
      <xdr:rowOff>179070</xdr:rowOff>
    </xdr:from>
    <xdr:to>
      <xdr:col>22</xdr:col>
      <xdr:colOff>683895</xdr:colOff>
      <xdr:row>2</xdr:row>
      <xdr:rowOff>161925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40040" y="17907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38</xdr:col>
          <xdr:colOff>137160</xdr:colOff>
          <xdr:row>24</xdr:row>
          <xdr:rowOff>99060</xdr:rowOff>
        </xdr:from>
        <xdr:to>
          <xdr:col>39</xdr:col>
          <xdr:colOff>640080</xdr:colOff>
          <xdr:row>26</xdr:row>
          <xdr:rowOff>99060</xdr:rowOff>
        </xdr:to>
        <xdr:sp macro="" textlink="">
          <xdr:nvSpPr>
            <xdr:cNvPr id="332802" name="Button 2" hidden="1">
              <a:extLst>
                <a:ext uri="{63B3BB69-23CF-44E3-9099-C40C66FF867C}">
                  <a14:compatExt spid="_x0000_s332802"/>
                </a:ext>
                <a:ext uri="{FF2B5EF4-FFF2-40B4-BE49-F238E27FC236}">
                  <a16:creationId xmlns:a16="http://schemas.microsoft.com/office/drawing/2014/main" id="{00000000-0008-0000-0F00-0000021405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38</xdr:col>
      <xdr:colOff>247650</xdr:colOff>
      <xdr:row>0</xdr:row>
      <xdr:rowOff>179070</xdr:rowOff>
    </xdr:from>
    <xdr:to>
      <xdr:col>38</xdr:col>
      <xdr:colOff>676275</xdr:colOff>
      <xdr:row>2</xdr:row>
      <xdr:rowOff>161925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79030" y="17907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152400</xdr:colOff>
          <xdr:row>9</xdr:row>
          <xdr:rowOff>99060</xdr:rowOff>
        </xdr:from>
        <xdr:to>
          <xdr:col>11</xdr:col>
          <xdr:colOff>670560</xdr:colOff>
          <xdr:row>9</xdr:row>
          <xdr:rowOff>388620</xdr:rowOff>
        </xdr:to>
        <xdr:sp macro="" textlink="">
          <xdr:nvSpPr>
            <xdr:cNvPr id="299009" name="AjoutLigneNOTE3E3" hidden="1">
              <a:extLst>
                <a:ext uri="{63B3BB69-23CF-44E3-9099-C40C66FF867C}">
                  <a14:compatExt spid="_x0000_s299009"/>
                </a:ext>
                <a:ext uri="{FF2B5EF4-FFF2-40B4-BE49-F238E27FC236}">
                  <a16:creationId xmlns:a16="http://schemas.microsoft.com/office/drawing/2014/main" id="{00000000-0008-0000-1000-00000190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152400</xdr:colOff>
          <xdr:row>15</xdr:row>
          <xdr:rowOff>22860</xdr:rowOff>
        </xdr:from>
        <xdr:to>
          <xdr:col>11</xdr:col>
          <xdr:colOff>670560</xdr:colOff>
          <xdr:row>15</xdr:row>
          <xdr:rowOff>304800</xdr:rowOff>
        </xdr:to>
        <xdr:sp macro="" textlink="">
          <xdr:nvSpPr>
            <xdr:cNvPr id="299010" name="AjoutLigneNOTE3E3" hidden="1">
              <a:extLst>
                <a:ext uri="{63B3BB69-23CF-44E3-9099-C40C66FF867C}">
                  <a14:compatExt spid="_x0000_s299010"/>
                </a:ext>
                <a:ext uri="{FF2B5EF4-FFF2-40B4-BE49-F238E27FC236}">
                  <a16:creationId xmlns:a16="http://schemas.microsoft.com/office/drawing/2014/main" id="{00000000-0008-0000-1000-00000290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10</xdr:col>
      <xdr:colOff>167640</xdr:colOff>
      <xdr:row>0</xdr:row>
      <xdr:rowOff>182880</xdr:rowOff>
    </xdr:from>
    <xdr:to>
      <xdr:col>10</xdr:col>
      <xdr:colOff>596265</xdr:colOff>
      <xdr:row>2</xdr:row>
      <xdr:rowOff>165735</xdr:rowOff>
    </xdr:to>
    <xdr:pic macro="[0]!Sommaire">
      <xdr:nvPicPr>
        <xdr:cNvPr id="5" name="Image 4" descr="Tour du Léman">
          <a:hlinkClick xmlns:r="http://schemas.openxmlformats.org/officeDocument/2006/relationships" r:id="rId1"/>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97240" y="18288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6.xml><?xml version="1.0" encoding="utf-8"?>
<xdr:wsDr xmlns:xdr="http://schemas.openxmlformats.org/drawingml/2006/spreadsheetDrawing" xmlns:a="http://schemas.openxmlformats.org/drawingml/2006/main">
  <xdr:twoCellAnchor editAs="oneCell">
    <xdr:from>
      <xdr:col>14</xdr:col>
      <xdr:colOff>102870</xdr:colOff>
      <xdr:row>0</xdr:row>
      <xdr:rowOff>125730</xdr:rowOff>
    </xdr:from>
    <xdr:to>
      <xdr:col>14</xdr:col>
      <xdr:colOff>531495</xdr:colOff>
      <xdr:row>2</xdr:row>
      <xdr:rowOff>20955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58110" y="1257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213360</xdr:colOff>
      <xdr:row>0</xdr:row>
      <xdr:rowOff>160020</xdr:rowOff>
    </xdr:from>
    <xdr:to>
      <xdr:col>10</xdr:col>
      <xdr:colOff>641985</xdr:colOff>
      <xdr:row>2</xdr:row>
      <xdr:rowOff>62865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16002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8.xml><?xml version="1.0" encoding="utf-8"?>
<xdr:wsDr xmlns:xdr="http://schemas.openxmlformats.org/drawingml/2006/spreadsheetDrawing" xmlns:a="http://schemas.openxmlformats.org/drawingml/2006/main">
  <xdr:twoCellAnchor editAs="oneCell">
    <xdr:from>
      <xdr:col>9</xdr:col>
      <xdr:colOff>186690</xdr:colOff>
      <xdr:row>0</xdr:row>
      <xdr:rowOff>140970</xdr:rowOff>
    </xdr:from>
    <xdr:to>
      <xdr:col>9</xdr:col>
      <xdr:colOff>615315</xdr:colOff>
      <xdr:row>2</xdr:row>
      <xdr:rowOff>43815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1660" y="14097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9.xml><?xml version="1.0" encoding="utf-8"?>
<xdr:wsDr xmlns:xdr="http://schemas.openxmlformats.org/drawingml/2006/spreadsheetDrawing" xmlns:a="http://schemas.openxmlformats.org/drawingml/2006/main">
  <xdr:twoCellAnchor editAs="oneCell">
    <xdr:from>
      <xdr:col>9</xdr:col>
      <xdr:colOff>179070</xdr:colOff>
      <xdr:row>0</xdr:row>
      <xdr:rowOff>171450</xdr:rowOff>
    </xdr:from>
    <xdr:to>
      <xdr:col>9</xdr:col>
      <xdr:colOff>607695</xdr:colOff>
      <xdr:row>2</xdr:row>
      <xdr:rowOff>74295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96300" y="1714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20.xml><?xml version="1.0" encoding="utf-8"?>
<xdr:wsDr xmlns:xdr="http://schemas.openxmlformats.org/drawingml/2006/spreadsheetDrawing" xmlns:a="http://schemas.openxmlformats.org/drawingml/2006/main">
  <xdr:twoCellAnchor editAs="oneCell">
    <xdr:from>
      <xdr:col>10</xdr:col>
      <xdr:colOff>144780</xdr:colOff>
      <xdr:row>0</xdr:row>
      <xdr:rowOff>167640</xdr:rowOff>
    </xdr:from>
    <xdr:to>
      <xdr:col>10</xdr:col>
      <xdr:colOff>573405</xdr:colOff>
      <xdr:row>2</xdr:row>
      <xdr:rowOff>70485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21090" y="16764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editAs="oneCell">
    <xdr:from>
      <xdr:col>10</xdr:col>
      <xdr:colOff>792481</xdr:colOff>
      <xdr:row>0</xdr:row>
      <xdr:rowOff>156211</xdr:rowOff>
    </xdr:from>
    <xdr:to>
      <xdr:col>12</xdr:col>
      <xdr:colOff>564006</xdr:colOff>
      <xdr:row>2</xdr:row>
      <xdr:rowOff>131490</xdr:rowOff>
    </xdr:to>
    <xdr:pic>
      <xdr:nvPicPr>
        <xdr:cNvPr id="5" name="Analyse_TFT">
          <a:hlinkClick xmlns:r="http://schemas.openxmlformats.org/officeDocument/2006/relationships" r:id="rId3"/>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4"/>
        <a:stretch>
          <a:fillRect/>
        </a:stretch>
      </xdr:blipFill>
      <xdr:spPr>
        <a:xfrm>
          <a:off x="9368791" y="156211"/>
          <a:ext cx="1440305" cy="501059"/>
        </a:xfrm>
        <a:prstGeom prst="rect">
          <a:avLst/>
        </a:prstGeom>
      </xdr:spPr>
    </xdr:pic>
    <xdr:clientData/>
  </xdr:twoCellAnchor>
  <xdr:twoCellAnchor editAs="oneCell">
    <xdr:from>
      <xdr:col>10</xdr:col>
      <xdr:colOff>800100</xdr:colOff>
      <xdr:row>3</xdr:row>
      <xdr:rowOff>34291</xdr:rowOff>
    </xdr:from>
    <xdr:to>
      <xdr:col>12</xdr:col>
      <xdr:colOff>571625</xdr:colOff>
      <xdr:row>5</xdr:row>
      <xdr:rowOff>139110</xdr:rowOff>
    </xdr:to>
    <xdr:pic>
      <xdr:nvPicPr>
        <xdr:cNvPr id="9" name="Ctrl_Ecrt">
          <a:hlinkClick xmlns:r="http://schemas.openxmlformats.org/officeDocument/2006/relationships" r:id="rId5"/>
          <a:extLst>
            <a:ext uri="{FF2B5EF4-FFF2-40B4-BE49-F238E27FC236}">
              <a16:creationId xmlns:a16="http://schemas.microsoft.com/office/drawing/2014/main" id="{00000000-0008-0000-1600-000009000000}"/>
            </a:ext>
          </a:extLst>
        </xdr:cNvPr>
        <xdr:cNvPicPr>
          <a:picLocks noChangeAspect="1"/>
        </xdr:cNvPicPr>
      </xdr:nvPicPr>
      <xdr:blipFill>
        <a:blip xmlns:r="http://schemas.openxmlformats.org/officeDocument/2006/relationships" r:embed="rId6"/>
        <a:stretch>
          <a:fillRect/>
        </a:stretch>
      </xdr:blipFill>
      <xdr:spPr>
        <a:xfrm>
          <a:off x="9376410" y="758191"/>
          <a:ext cx="1440305" cy="50105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35856</xdr:colOff>
      <xdr:row>0</xdr:row>
      <xdr:rowOff>8964</xdr:rowOff>
    </xdr:from>
    <xdr:to>
      <xdr:col>1</xdr:col>
      <xdr:colOff>61069</xdr:colOff>
      <xdr:row>1</xdr:row>
      <xdr:rowOff>56589</xdr:rowOff>
    </xdr:to>
    <xdr:pic macro="[0]!Sommaire">
      <xdr:nvPicPr>
        <xdr:cNvPr id="2" name="Image 1" descr="Tour du Léman">
          <a:hlinkClick xmlns:r="http://schemas.openxmlformats.org/officeDocument/2006/relationships" r:id="rId1"/>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856" y="8964"/>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22.xml><?xml version="1.0" encoding="utf-8"?>
<xdr:wsDr xmlns:xdr="http://schemas.openxmlformats.org/drawingml/2006/spreadsheetDrawing" xmlns:a="http://schemas.openxmlformats.org/drawingml/2006/main">
  <xdr:twoCellAnchor editAs="oneCell">
    <xdr:from>
      <xdr:col>0</xdr:col>
      <xdr:colOff>887730</xdr:colOff>
      <xdr:row>0</xdr:row>
      <xdr:rowOff>7620</xdr:rowOff>
    </xdr:from>
    <xdr:to>
      <xdr:col>0</xdr:col>
      <xdr:colOff>1316355</xdr:colOff>
      <xdr:row>0</xdr:row>
      <xdr:rowOff>436245</xdr:rowOff>
    </xdr:to>
    <xdr:pic macro="[0]!Sommaire">
      <xdr:nvPicPr>
        <xdr:cNvPr id="2" name="Image 1" descr="Tour du Léman">
          <a:hlinkClick xmlns:r="http://schemas.openxmlformats.org/officeDocument/2006/relationships" r:id="rId1"/>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7730" y="762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23.xml><?xml version="1.0" encoding="utf-8"?>
<xdr:wsDr xmlns:xdr="http://schemas.openxmlformats.org/drawingml/2006/spreadsheetDrawing" xmlns:a="http://schemas.openxmlformats.org/drawingml/2006/main">
  <xdr:twoCellAnchor editAs="oneCell">
    <xdr:from>
      <xdr:col>10</xdr:col>
      <xdr:colOff>137160</xdr:colOff>
      <xdr:row>1</xdr:row>
      <xdr:rowOff>0</xdr:rowOff>
    </xdr:from>
    <xdr:to>
      <xdr:col>10</xdr:col>
      <xdr:colOff>565785</xdr:colOff>
      <xdr:row>2</xdr:row>
      <xdr:rowOff>142875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1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6740" y="18288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24.xml><?xml version="1.0" encoding="utf-8"?>
<xdr:wsDr xmlns:xdr="http://schemas.openxmlformats.org/drawingml/2006/spreadsheetDrawing" xmlns:a="http://schemas.openxmlformats.org/drawingml/2006/main">
  <xdr:twoCellAnchor editAs="oneCell">
    <xdr:from>
      <xdr:col>9</xdr:col>
      <xdr:colOff>156210</xdr:colOff>
      <xdr:row>0</xdr:row>
      <xdr:rowOff>152400</xdr:rowOff>
    </xdr:from>
    <xdr:to>
      <xdr:col>9</xdr:col>
      <xdr:colOff>584835</xdr:colOff>
      <xdr:row>2</xdr:row>
      <xdr:rowOff>108585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1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75370" y="15240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25.xml><?xml version="1.0" encoding="utf-8"?>
<xdr:wsDr xmlns:xdr="http://schemas.openxmlformats.org/drawingml/2006/spreadsheetDrawing" xmlns:a="http://schemas.openxmlformats.org/drawingml/2006/main">
  <xdr:twoCellAnchor editAs="oneCell">
    <xdr:from>
      <xdr:col>9</xdr:col>
      <xdr:colOff>167640</xdr:colOff>
      <xdr:row>0</xdr:row>
      <xdr:rowOff>171450</xdr:rowOff>
    </xdr:from>
    <xdr:to>
      <xdr:col>9</xdr:col>
      <xdr:colOff>596265</xdr:colOff>
      <xdr:row>2</xdr:row>
      <xdr:rowOff>100965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1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08570" y="1714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26.xml><?xml version="1.0" encoding="utf-8"?>
<xdr:wsDr xmlns:xdr="http://schemas.openxmlformats.org/drawingml/2006/spreadsheetDrawing" xmlns:a="http://schemas.openxmlformats.org/drawingml/2006/main">
  <xdr:twoCellAnchor>
    <xdr:from>
      <xdr:col>0</xdr:col>
      <xdr:colOff>9525</xdr:colOff>
      <xdr:row>7</xdr:row>
      <xdr:rowOff>9525</xdr:rowOff>
    </xdr:from>
    <xdr:to>
      <xdr:col>3</xdr:col>
      <xdr:colOff>9525</xdr:colOff>
      <xdr:row>10</xdr:row>
      <xdr:rowOff>0</xdr:rowOff>
    </xdr:to>
    <xdr:cxnSp macro="">
      <xdr:nvCxnSpPr>
        <xdr:cNvPr id="2" name="Connecteur droit 1">
          <a:extLst>
            <a:ext uri="{FF2B5EF4-FFF2-40B4-BE49-F238E27FC236}">
              <a16:creationId xmlns:a16="http://schemas.microsoft.com/office/drawing/2014/main" id="{00000000-0008-0000-1C00-000002000000}"/>
            </a:ext>
          </a:extLst>
        </xdr:cNvPr>
        <xdr:cNvCxnSpPr/>
      </xdr:nvCxnSpPr>
      <xdr:spPr>
        <a:xfrm>
          <a:off x="9525" y="1708785"/>
          <a:ext cx="3802380" cy="88963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133350</xdr:colOff>
      <xdr:row>0</xdr:row>
      <xdr:rowOff>171450</xdr:rowOff>
    </xdr:from>
    <xdr:to>
      <xdr:col>10</xdr:col>
      <xdr:colOff>561975</xdr:colOff>
      <xdr:row>2</xdr:row>
      <xdr:rowOff>100965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1C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595860" y="1714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27.xml><?xml version="1.0" encoding="utf-8"?>
<xdr:wsDr xmlns:xdr="http://schemas.openxmlformats.org/drawingml/2006/spreadsheetDrawing" xmlns:a="http://schemas.openxmlformats.org/drawingml/2006/main">
  <xdr:twoCellAnchor>
    <xdr:from>
      <xdr:col>0</xdr:col>
      <xdr:colOff>19050</xdr:colOff>
      <xdr:row>7</xdr:row>
      <xdr:rowOff>9525</xdr:rowOff>
    </xdr:from>
    <xdr:to>
      <xdr:col>4</xdr:col>
      <xdr:colOff>9525</xdr:colOff>
      <xdr:row>10</xdr:row>
      <xdr:rowOff>0</xdr:rowOff>
    </xdr:to>
    <xdr:cxnSp macro="">
      <xdr:nvCxnSpPr>
        <xdr:cNvPr id="2" name="Connecteur droit 1">
          <a:extLst>
            <a:ext uri="{FF2B5EF4-FFF2-40B4-BE49-F238E27FC236}">
              <a16:creationId xmlns:a16="http://schemas.microsoft.com/office/drawing/2014/main" id="{00000000-0008-0000-1D00-000002000000}"/>
            </a:ext>
          </a:extLst>
        </xdr:cNvPr>
        <xdr:cNvCxnSpPr/>
      </xdr:nvCxnSpPr>
      <xdr:spPr>
        <a:xfrm>
          <a:off x="19050" y="1708785"/>
          <a:ext cx="3404235" cy="101155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144780</xdr:colOff>
      <xdr:row>0</xdr:row>
      <xdr:rowOff>140970</xdr:rowOff>
    </xdr:from>
    <xdr:to>
      <xdr:col>12</xdr:col>
      <xdr:colOff>573405</xdr:colOff>
      <xdr:row>2</xdr:row>
      <xdr:rowOff>70485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1D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20550" y="14097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9525</xdr:colOff>
      <xdr:row>10</xdr:row>
      <xdr:rowOff>9525</xdr:rowOff>
    </xdr:to>
    <xdr:cxnSp macro="">
      <xdr:nvCxnSpPr>
        <xdr:cNvPr id="2" name="Connecteur droit 1">
          <a:extLst>
            <a:ext uri="{FF2B5EF4-FFF2-40B4-BE49-F238E27FC236}">
              <a16:creationId xmlns:a16="http://schemas.microsoft.com/office/drawing/2014/main" id="{00000000-0008-0000-1E00-000002000000}"/>
            </a:ext>
          </a:extLst>
        </xdr:cNvPr>
        <xdr:cNvCxnSpPr/>
      </xdr:nvCxnSpPr>
      <xdr:spPr>
        <a:xfrm>
          <a:off x="0" y="1668780"/>
          <a:ext cx="3331845" cy="107632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163830</xdr:colOff>
      <xdr:row>0</xdr:row>
      <xdr:rowOff>144780</xdr:rowOff>
    </xdr:from>
    <xdr:to>
      <xdr:col>15</xdr:col>
      <xdr:colOff>592455</xdr:colOff>
      <xdr:row>2</xdr:row>
      <xdr:rowOff>74295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1E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83340" y="14478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7</xdr:row>
      <xdr:rowOff>9525</xdr:rowOff>
    </xdr:from>
    <xdr:to>
      <xdr:col>3</xdr:col>
      <xdr:colOff>0</xdr:colOff>
      <xdr:row>10</xdr:row>
      <xdr:rowOff>0</xdr:rowOff>
    </xdr:to>
    <xdr:cxnSp macro="">
      <xdr:nvCxnSpPr>
        <xdr:cNvPr id="2" name="Connecteur droit 1">
          <a:extLst>
            <a:ext uri="{FF2B5EF4-FFF2-40B4-BE49-F238E27FC236}">
              <a16:creationId xmlns:a16="http://schemas.microsoft.com/office/drawing/2014/main" id="{00000000-0008-0000-1F00-000002000000}"/>
            </a:ext>
          </a:extLst>
        </xdr:cNvPr>
        <xdr:cNvCxnSpPr/>
      </xdr:nvCxnSpPr>
      <xdr:spPr>
        <a:xfrm>
          <a:off x="0" y="1678305"/>
          <a:ext cx="3322320" cy="9429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171450</xdr:colOff>
      <xdr:row>0</xdr:row>
      <xdr:rowOff>152400</xdr:rowOff>
    </xdr:from>
    <xdr:to>
      <xdr:col>11</xdr:col>
      <xdr:colOff>600075</xdr:colOff>
      <xdr:row>2</xdr:row>
      <xdr:rowOff>81915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1F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84280" y="15240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0</xdr:colOff>
      <xdr:row>8</xdr:row>
      <xdr:rowOff>190500</xdr:rowOff>
    </xdr:to>
    <xdr:cxnSp macro="">
      <xdr:nvCxnSpPr>
        <xdr:cNvPr id="2" name="Connecteur droit 1">
          <a:extLst>
            <a:ext uri="{FF2B5EF4-FFF2-40B4-BE49-F238E27FC236}">
              <a16:creationId xmlns:a16="http://schemas.microsoft.com/office/drawing/2014/main" id="{00000000-0008-0000-2000-000002000000}"/>
            </a:ext>
          </a:extLst>
        </xdr:cNvPr>
        <xdr:cNvCxnSpPr/>
      </xdr:nvCxnSpPr>
      <xdr:spPr>
        <a:xfrm>
          <a:off x="0" y="1699260"/>
          <a:ext cx="3855720" cy="66294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144780</xdr:colOff>
      <xdr:row>0</xdr:row>
      <xdr:rowOff>148590</xdr:rowOff>
    </xdr:from>
    <xdr:to>
      <xdr:col>8</xdr:col>
      <xdr:colOff>573405</xdr:colOff>
      <xdr:row>2</xdr:row>
      <xdr:rowOff>78105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81310" y="14859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190500</xdr:colOff>
          <xdr:row>9</xdr:row>
          <xdr:rowOff>137160</xdr:rowOff>
        </xdr:from>
        <xdr:to>
          <xdr:col>10</xdr:col>
          <xdr:colOff>693420</xdr:colOff>
          <xdr:row>9</xdr:row>
          <xdr:rowOff>426720</xdr:rowOff>
        </xdr:to>
        <xdr:sp macro="" textlink="">
          <xdr:nvSpPr>
            <xdr:cNvPr id="27652" name="AjoutLigneNOTE3E3" hidden="1">
              <a:extLst>
                <a:ext uri="{63B3BB69-23CF-44E3-9099-C40C66FF867C}">
                  <a14:compatExt spid="_x0000_s27652"/>
                </a:ext>
                <a:ext uri="{FF2B5EF4-FFF2-40B4-BE49-F238E27FC236}">
                  <a16:creationId xmlns:a16="http://schemas.microsoft.com/office/drawing/2014/main" id="{00000000-0008-0000-2000-0000046C00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9</xdr:col>
      <xdr:colOff>156210</xdr:colOff>
      <xdr:row>0</xdr:row>
      <xdr:rowOff>148590</xdr:rowOff>
    </xdr:from>
    <xdr:to>
      <xdr:col>9</xdr:col>
      <xdr:colOff>584835</xdr:colOff>
      <xdr:row>2</xdr:row>
      <xdr:rowOff>78105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21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59190" y="14859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365760</xdr:colOff>
          <xdr:row>23</xdr:row>
          <xdr:rowOff>60960</xdr:rowOff>
        </xdr:from>
        <xdr:to>
          <xdr:col>13</xdr:col>
          <xdr:colOff>83820</xdr:colOff>
          <xdr:row>23</xdr:row>
          <xdr:rowOff>350520</xdr:rowOff>
        </xdr:to>
        <xdr:sp macro="" textlink="">
          <xdr:nvSpPr>
            <xdr:cNvPr id="159745" name="AjoutLigneNOTE4B" hidden="1">
              <a:extLst>
                <a:ext uri="{63B3BB69-23CF-44E3-9099-C40C66FF867C}">
                  <a14:compatExt spid="_x0000_s159745"/>
                </a:ext>
                <a:ext uri="{FF2B5EF4-FFF2-40B4-BE49-F238E27FC236}">
                  <a16:creationId xmlns:a16="http://schemas.microsoft.com/office/drawing/2014/main" id="{00000000-0008-0000-2100-0000017002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11</xdr:col>
      <xdr:colOff>182880</xdr:colOff>
      <xdr:row>0</xdr:row>
      <xdr:rowOff>163830</xdr:rowOff>
    </xdr:from>
    <xdr:to>
      <xdr:col>11</xdr:col>
      <xdr:colOff>611505</xdr:colOff>
      <xdr:row>2</xdr:row>
      <xdr:rowOff>93345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2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19760" y="1638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3.xml><?xml version="1.0" encoding="utf-8"?>
<xdr:wsDr xmlns:xdr="http://schemas.openxmlformats.org/drawingml/2006/spreadsheetDrawing" xmlns:a="http://schemas.openxmlformats.org/drawingml/2006/main">
  <xdr:twoCellAnchor editAs="oneCell">
    <xdr:from>
      <xdr:col>9</xdr:col>
      <xdr:colOff>171450</xdr:colOff>
      <xdr:row>0</xdr:row>
      <xdr:rowOff>171450</xdr:rowOff>
    </xdr:from>
    <xdr:to>
      <xdr:col>9</xdr:col>
      <xdr:colOff>600075</xdr:colOff>
      <xdr:row>2</xdr:row>
      <xdr:rowOff>100965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53300" y="1714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4.xml><?xml version="1.0" encoding="utf-8"?>
<xdr:wsDr xmlns:xdr="http://schemas.openxmlformats.org/drawingml/2006/spreadsheetDrawing" xmlns:a="http://schemas.openxmlformats.org/drawingml/2006/main">
  <xdr:twoCellAnchor editAs="oneCell">
    <xdr:from>
      <xdr:col>10</xdr:col>
      <xdr:colOff>179070</xdr:colOff>
      <xdr:row>0</xdr:row>
      <xdr:rowOff>179070</xdr:rowOff>
    </xdr:from>
    <xdr:to>
      <xdr:col>10</xdr:col>
      <xdr:colOff>607695</xdr:colOff>
      <xdr:row>2</xdr:row>
      <xdr:rowOff>108585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28760" y="17907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5.xml><?xml version="1.0" encoding="utf-8"?>
<xdr:wsDr xmlns:xdr="http://schemas.openxmlformats.org/drawingml/2006/spreadsheetDrawing" xmlns:a="http://schemas.openxmlformats.org/drawingml/2006/main">
  <xdr:twoCellAnchor editAs="oneCell">
    <xdr:from>
      <xdr:col>10</xdr:col>
      <xdr:colOff>175260</xdr:colOff>
      <xdr:row>0</xdr:row>
      <xdr:rowOff>163830</xdr:rowOff>
    </xdr:from>
    <xdr:to>
      <xdr:col>10</xdr:col>
      <xdr:colOff>603885</xdr:colOff>
      <xdr:row>2</xdr:row>
      <xdr:rowOff>93345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40340" y="1638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6.xml><?xml version="1.0" encoding="utf-8"?>
<xdr:wsDr xmlns:xdr="http://schemas.openxmlformats.org/drawingml/2006/spreadsheetDrawing" xmlns:a="http://schemas.openxmlformats.org/drawingml/2006/main">
  <xdr:twoCellAnchor editAs="oneCell">
    <xdr:from>
      <xdr:col>10</xdr:col>
      <xdr:colOff>163830</xdr:colOff>
      <xdr:row>0</xdr:row>
      <xdr:rowOff>156210</xdr:rowOff>
    </xdr:from>
    <xdr:to>
      <xdr:col>10</xdr:col>
      <xdr:colOff>592455</xdr:colOff>
      <xdr:row>2</xdr:row>
      <xdr:rowOff>85725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248900" y="1562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7.xml><?xml version="1.0" encoding="utf-8"?>
<xdr:wsDr xmlns:xdr="http://schemas.openxmlformats.org/drawingml/2006/spreadsheetDrawing" xmlns:a="http://schemas.openxmlformats.org/drawingml/2006/main">
  <xdr:twoCellAnchor editAs="oneCell">
    <xdr:from>
      <xdr:col>10</xdr:col>
      <xdr:colOff>182880</xdr:colOff>
      <xdr:row>0</xdr:row>
      <xdr:rowOff>156210</xdr:rowOff>
    </xdr:from>
    <xdr:to>
      <xdr:col>10</xdr:col>
      <xdr:colOff>611505</xdr:colOff>
      <xdr:row>2</xdr:row>
      <xdr:rowOff>85725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97490" y="1562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8.xml><?xml version="1.0" encoding="utf-8"?>
<xdr:wsDr xmlns:xdr="http://schemas.openxmlformats.org/drawingml/2006/spreadsheetDrawing" xmlns:a="http://schemas.openxmlformats.org/drawingml/2006/main">
  <xdr:twoCellAnchor editAs="oneCell">
    <xdr:from>
      <xdr:col>9</xdr:col>
      <xdr:colOff>156210</xdr:colOff>
      <xdr:row>0</xdr:row>
      <xdr:rowOff>167640</xdr:rowOff>
    </xdr:from>
    <xdr:to>
      <xdr:col>9</xdr:col>
      <xdr:colOff>584835</xdr:colOff>
      <xdr:row>2</xdr:row>
      <xdr:rowOff>97155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05700" y="16764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39.xml><?xml version="1.0" encoding="utf-8"?>
<xdr:wsDr xmlns:xdr="http://schemas.openxmlformats.org/drawingml/2006/spreadsheetDrawing" xmlns:a="http://schemas.openxmlformats.org/drawingml/2006/main">
  <xdr:twoCellAnchor editAs="oneCell">
    <xdr:from>
      <xdr:col>9</xdr:col>
      <xdr:colOff>182880</xdr:colOff>
      <xdr:row>0</xdr:row>
      <xdr:rowOff>171450</xdr:rowOff>
    </xdr:from>
    <xdr:to>
      <xdr:col>9</xdr:col>
      <xdr:colOff>611505</xdr:colOff>
      <xdr:row>2</xdr:row>
      <xdr:rowOff>100965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00950" y="1714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0.xml><?xml version="1.0" encoding="utf-8"?>
<xdr:wsDr xmlns:xdr="http://schemas.openxmlformats.org/drawingml/2006/spreadsheetDrawing" xmlns:a="http://schemas.openxmlformats.org/drawingml/2006/main">
  <xdr:twoCellAnchor editAs="oneCell">
    <xdr:from>
      <xdr:col>9</xdr:col>
      <xdr:colOff>156210</xdr:colOff>
      <xdr:row>0</xdr:row>
      <xdr:rowOff>171450</xdr:rowOff>
    </xdr:from>
    <xdr:to>
      <xdr:col>9</xdr:col>
      <xdr:colOff>584835</xdr:colOff>
      <xdr:row>2</xdr:row>
      <xdr:rowOff>100965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61910" y="1714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1.xml><?xml version="1.0" encoding="utf-8"?>
<xdr:wsDr xmlns:xdr="http://schemas.openxmlformats.org/drawingml/2006/spreadsheetDrawing" xmlns:a="http://schemas.openxmlformats.org/drawingml/2006/main">
  <xdr:twoCellAnchor editAs="oneCell">
    <xdr:from>
      <xdr:col>9</xdr:col>
      <xdr:colOff>175260</xdr:colOff>
      <xdr:row>0</xdr:row>
      <xdr:rowOff>175260</xdr:rowOff>
    </xdr:from>
    <xdr:to>
      <xdr:col>9</xdr:col>
      <xdr:colOff>603885</xdr:colOff>
      <xdr:row>2</xdr:row>
      <xdr:rowOff>104775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7630" y="17526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2.xml><?xml version="1.0" encoding="utf-8"?>
<xdr:wsDr xmlns:xdr="http://schemas.openxmlformats.org/drawingml/2006/spreadsheetDrawing" xmlns:a="http://schemas.openxmlformats.org/drawingml/2006/main">
  <xdr:twoCellAnchor editAs="oneCell">
    <xdr:from>
      <xdr:col>9</xdr:col>
      <xdr:colOff>213360</xdr:colOff>
      <xdr:row>0</xdr:row>
      <xdr:rowOff>144780</xdr:rowOff>
    </xdr:from>
    <xdr:to>
      <xdr:col>9</xdr:col>
      <xdr:colOff>641985</xdr:colOff>
      <xdr:row>2</xdr:row>
      <xdr:rowOff>74295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97190" y="14478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106680</xdr:colOff>
          <xdr:row>9</xdr:row>
          <xdr:rowOff>45720</xdr:rowOff>
        </xdr:from>
        <xdr:to>
          <xdr:col>10</xdr:col>
          <xdr:colOff>601980</xdr:colOff>
          <xdr:row>9</xdr:row>
          <xdr:rowOff>335280</xdr:rowOff>
        </xdr:to>
        <xdr:sp macro="" textlink="">
          <xdr:nvSpPr>
            <xdr:cNvPr id="171009" name="AjoutLigneNOTE12A1" hidden="1">
              <a:extLst>
                <a:ext uri="{63B3BB69-23CF-44E3-9099-C40C66FF867C}">
                  <a14:compatExt spid="_x0000_s171009"/>
                </a:ext>
                <a:ext uri="{FF2B5EF4-FFF2-40B4-BE49-F238E27FC236}">
                  <a16:creationId xmlns:a16="http://schemas.microsoft.com/office/drawing/2014/main" id="{00000000-0008-0000-2C00-0000019C02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137160</xdr:colOff>
          <xdr:row>11</xdr:row>
          <xdr:rowOff>30480</xdr:rowOff>
        </xdr:from>
        <xdr:to>
          <xdr:col>10</xdr:col>
          <xdr:colOff>632460</xdr:colOff>
          <xdr:row>11</xdr:row>
          <xdr:rowOff>312420</xdr:rowOff>
        </xdr:to>
        <xdr:sp macro="" textlink="">
          <xdr:nvSpPr>
            <xdr:cNvPr id="171010" name="AjoutNOTE12A2" hidden="1">
              <a:extLst>
                <a:ext uri="{63B3BB69-23CF-44E3-9099-C40C66FF867C}">
                  <a14:compatExt spid="_x0000_s171010"/>
                </a:ext>
                <a:ext uri="{FF2B5EF4-FFF2-40B4-BE49-F238E27FC236}">
                  <a16:creationId xmlns:a16="http://schemas.microsoft.com/office/drawing/2014/main" id="{00000000-0008-0000-2C00-0000029C02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137160</xdr:colOff>
          <xdr:row>16</xdr:row>
          <xdr:rowOff>30480</xdr:rowOff>
        </xdr:from>
        <xdr:to>
          <xdr:col>10</xdr:col>
          <xdr:colOff>632460</xdr:colOff>
          <xdr:row>16</xdr:row>
          <xdr:rowOff>312420</xdr:rowOff>
        </xdr:to>
        <xdr:sp macro="" textlink="">
          <xdr:nvSpPr>
            <xdr:cNvPr id="171011" name="AjoutNOTE12B1" hidden="1">
              <a:extLst>
                <a:ext uri="{63B3BB69-23CF-44E3-9099-C40C66FF867C}">
                  <a14:compatExt spid="_x0000_s171011"/>
                </a:ext>
                <a:ext uri="{FF2B5EF4-FFF2-40B4-BE49-F238E27FC236}">
                  <a16:creationId xmlns:a16="http://schemas.microsoft.com/office/drawing/2014/main" id="{00000000-0008-0000-2C00-0000039C02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121920</xdr:colOff>
          <xdr:row>18</xdr:row>
          <xdr:rowOff>22860</xdr:rowOff>
        </xdr:from>
        <xdr:to>
          <xdr:col>10</xdr:col>
          <xdr:colOff>617220</xdr:colOff>
          <xdr:row>18</xdr:row>
          <xdr:rowOff>304800</xdr:rowOff>
        </xdr:to>
        <xdr:sp macro="" textlink="">
          <xdr:nvSpPr>
            <xdr:cNvPr id="171012" name="AjoutNOTE12B2" hidden="1">
              <a:extLst>
                <a:ext uri="{63B3BB69-23CF-44E3-9099-C40C66FF867C}">
                  <a14:compatExt spid="_x0000_s171012"/>
                </a:ext>
                <a:ext uri="{FF2B5EF4-FFF2-40B4-BE49-F238E27FC236}">
                  <a16:creationId xmlns:a16="http://schemas.microsoft.com/office/drawing/2014/main" id="{00000000-0008-0000-2C00-0000049C02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9</xdr:col>
      <xdr:colOff>171450</xdr:colOff>
      <xdr:row>0</xdr:row>
      <xdr:rowOff>167640</xdr:rowOff>
    </xdr:from>
    <xdr:to>
      <xdr:col>9</xdr:col>
      <xdr:colOff>600075</xdr:colOff>
      <xdr:row>2</xdr:row>
      <xdr:rowOff>97155</xdr:rowOff>
    </xdr:to>
    <xdr:pic macro="[0]!Sommaire">
      <xdr:nvPicPr>
        <xdr:cNvPr id="7" name="Image 6" descr="Tour du Léman">
          <a:hlinkClick xmlns:r="http://schemas.openxmlformats.org/officeDocument/2006/relationships" r:id="rId1"/>
          <a:extLst>
            <a:ext uri="{FF2B5EF4-FFF2-40B4-BE49-F238E27FC236}">
              <a16:creationId xmlns:a16="http://schemas.microsoft.com/office/drawing/2014/main" id="{00000000-0008-0000-2D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87690" y="16764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114300</xdr:colOff>
          <xdr:row>8</xdr:row>
          <xdr:rowOff>335280</xdr:rowOff>
        </xdr:from>
        <xdr:to>
          <xdr:col>14</xdr:col>
          <xdr:colOff>373380</xdr:colOff>
          <xdr:row>8</xdr:row>
          <xdr:rowOff>609600</xdr:rowOff>
        </xdr:to>
        <xdr:sp macro="" textlink="">
          <xdr:nvSpPr>
            <xdr:cNvPr id="40962" name="AjoutNOTE13B" hidden="1">
              <a:extLst>
                <a:ext uri="{63B3BB69-23CF-44E3-9099-C40C66FF867C}">
                  <a14:compatExt spid="_x0000_s40962"/>
                </a:ext>
                <a:ext uri="{FF2B5EF4-FFF2-40B4-BE49-F238E27FC236}">
                  <a16:creationId xmlns:a16="http://schemas.microsoft.com/office/drawing/2014/main" id="{00000000-0008-0000-2D00-000002A000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13</xdr:col>
      <xdr:colOff>0</xdr:colOff>
      <xdr:row>1</xdr:row>
      <xdr:rowOff>0</xdr:rowOff>
    </xdr:from>
    <xdr:to>
      <xdr:col>13</xdr:col>
      <xdr:colOff>428625</xdr:colOff>
      <xdr:row>2</xdr:row>
      <xdr:rowOff>123825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2E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232130" y="18288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5.xml><?xml version="1.0" encoding="utf-8"?>
<xdr:wsDr xmlns:xdr="http://schemas.openxmlformats.org/drawingml/2006/spreadsheetDrawing" xmlns:a="http://schemas.openxmlformats.org/drawingml/2006/main">
  <xdr:twoCellAnchor editAs="oneCell">
    <xdr:from>
      <xdr:col>8</xdr:col>
      <xdr:colOff>152400</xdr:colOff>
      <xdr:row>0</xdr:row>
      <xdr:rowOff>160020</xdr:rowOff>
    </xdr:from>
    <xdr:to>
      <xdr:col>8</xdr:col>
      <xdr:colOff>581025</xdr:colOff>
      <xdr:row>2</xdr:row>
      <xdr:rowOff>89535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2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16190" y="16002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6.xml><?xml version="1.0" encoding="utf-8"?>
<xdr:wsDr xmlns:xdr="http://schemas.openxmlformats.org/drawingml/2006/spreadsheetDrawing" xmlns:a="http://schemas.openxmlformats.org/drawingml/2006/main">
  <xdr:twoCellAnchor editAs="oneCell">
    <xdr:from>
      <xdr:col>10</xdr:col>
      <xdr:colOff>137160</xdr:colOff>
      <xdr:row>0</xdr:row>
      <xdr:rowOff>156210</xdr:rowOff>
    </xdr:from>
    <xdr:to>
      <xdr:col>10</xdr:col>
      <xdr:colOff>565785</xdr:colOff>
      <xdr:row>2</xdr:row>
      <xdr:rowOff>85725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656570" y="1562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7.xml><?xml version="1.0" encoding="utf-8"?>
<xdr:wsDr xmlns:xdr="http://schemas.openxmlformats.org/drawingml/2006/spreadsheetDrawing" xmlns:a="http://schemas.openxmlformats.org/drawingml/2006/main">
  <xdr:twoCellAnchor editAs="oneCell">
    <xdr:from>
      <xdr:col>11</xdr:col>
      <xdr:colOff>144780</xdr:colOff>
      <xdr:row>0</xdr:row>
      <xdr:rowOff>160020</xdr:rowOff>
    </xdr:from>
    <xdr:to>
      <xdr:col>11</xdr:col>
      <xdr:colOff>573405</xdr:colOff>
      <xdr:row>2</xdr:row>
      <xdr:rowOff>89535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95610" y="16002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8.xml><?xml version="1.0" encoding="utf-8"?>
<xdr:wsDr xmlns:xdr="http://schemas.openxmlformats.org/drawingml/2006/spreadsheetDrawing" xmlns:a="http://schemas.openxmlformats.org/drawingml/2006/main">
  <xdr:twoCellAnchor editAs="oneCell">
    <xdr:from>
      <xdr:col>11</xdr:col>
      <xdr:colOff>137160</xdr:colOff>
      <xdr:row>0</xdr:row>
      <xdr:rowOff>156210</xdr:rowOff>
    </xdr:from>
    <xdr:to>
      <xdr:col>11</xdr:col>
      <xdr:colOff>565785</xdr:colOff>
      <xdr:row>2</xdr:row>
      <xdr:rowOff>120015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252960" y="1562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9.xml><?xml version="1.0" encoding="utf-8"?>
<xdr:wsDr xmlns:xdr="http://schemas.openxmlformats.org/drawingml/2006/spreadsheetDrawing" xmlns:a="http://schemas.openxmlformats.org/drawingml/2006/main">
  <xdr:twoCellAnchor editAs="oneCell">
    <xdr:from>
      <xdr:col>9</xdr:col>
      <xdr:colOff>144780</xdr:colOff>
      <xdr:row>0</xdr:row>
      <xdr:rowOff>171450</xdr:rowOff>
    </xdr:from>
    <xdr:to>
      <xdr:col>9</xdr:col>
      <xdr:colOff>573405</xdr:colOff>
      <xdr:row>2</xdr:row>
      <xdr:rowOff>100965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45830" y="1714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0.xml><?xml version="1.0" encoding="utf-8"?>
<xdr:wsDr xmlns:xdr="http://schemas.openxmlformats.org/drawingml/2006/spreadsheetDrawing" xmlns:a="http://schemas.openxmlformats.org/drawingml/2006/main">
  <xdr:twoCellAnchor editAs="oneCell">
    <xdr:from>
      <xdr:col>9</xdr:col>
      <xdr:colOff>179070</xdr:colOff>
      <xdr:row>0</xdr:row>
      <xdr:rowOff>156210</xdr:rowOff>
    </xdr:from>
    <xdr:to>
      <xdr:col>9</xdr:col>
      <xdr:colOff>607695</xdr:colOff>
      <xdr:row>2</xdr:row>
      <xdr:rowOff>85725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8740" y="1562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190500</xdr:colOff>
          <xdr:row>8</xdr:row>
          <xdr:rowOff>60960</xdr:rowOff>
        </xdr:from>
        <xdr:to>
          <xdr:col>9</xdr:col>
          <xdr:colOff>678180</xdr:colOff>
          <xdr:row>9</xdr:row>
          <xdr:rowOff>68580</xdr:rowOff>
        </xdr:to>
        <xdr:sp macro="" textlink="">
          <xdr:nvSpPr>
            <xdr:cNvPr id="212993" name="AjoutNOTE16C2" hidden="1">
              <a:extLst>
                <a:ext uri="{63B3BB69-23CF-44E3-9099-C40C66FF867C}">
                  <a14:compatExt spid="_x0000_s212993"/>
                </a:ext>
                <a:ext uri="{FF2B5EF4-FFF2-40B4-BE49-F238E27FC236}">
                  <a16:creationId xmlns:a16="http://schemas.microsoft.com/office/drawing/2014/main" id="{00000000-0008-0000-3400-0000014003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198120</xdr:colOff>
          <xdr:row>11</xdr:row>
          <xdr:rowOff>106680</xdr:rowOff>
        </xdr:from>
        <xdr:to>
          <xdr:col>9</xdr:col>
          <xdr:colOff>685800</xdr:colOff>
          <xdr:row>12</xdr:row>
          <xdr:rowOff>121920</xdr:rowOff>
        </xdr:to>
        <xdr:sp macro="" textlink="">
          <xdr:nvSpPr>
            <xdr:cNvPr id="212994" name="AjoutNOTE16C3" hidden="1">
              <a:extLst>
                <a:ext uri="{63B3BB69-23CF-44E3-9099-C40C66FF867C}">
                  <a14:compatExt spid="_x0000_s212994"/>
                </a:ext>
                <a:ext uri="{FF2B5EF4-FFF2-40B4-BE49-F238E27FC236}">
                  <a16:creationId xmlns:a16="http://schemas.microsoft.com/office/drawing/2014/main" id="{00000000-0008-0000-3400-0000024003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8</xdr:col>
      <xdr:colOff>175260</xdr:colOff>
      <xdr:row>0</xdr:row>
      <xdr:rowOff>175260</xdr:rowOff>
    </xdr:from>
    <xdr:to>
      <xdr:col>8</xdr:col>
      <xdr:colOff>603885</xdr:colOff>
      <xdr:row>2</xdr:row>
      <xdr:rowOff>104775</xdr:rowOff>
    </xdr:to>
    <xdr:pic macro="[0]!Sommaire">
      <xdr:nvPicPr>
        <xdr:cNvPr id="5" name="Image 4" descr="Tour du Léman">
          <a:hlinkClick xmlns:r="http://schemas.openxmlformats.org/officeDocument/2006/relationships" r:id="rId1"/>
          <a:extLst>
            <a:ext uri="{FF2B5EF4-FFF2-40B4-BE49-F238E27FC236}">
              <a16:creationId xmlns:a16="http://schemas.microsoft.com/office/drawing/2014/main" id="{00000000-0008-0000-35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48600" y="17526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2.xml><?xml version="1.0" encoding="utf-8"?>
<xdr:wsDr xmlns:xdr="http://schemas.openxmlformats.org/drawingml/2006/spreadsheetDrawing" xmlns:a="http://schemas.openxmlformats.org/drawingml/2006/main">
  <xdr:twoCellAnchor editAs="oneCell">
    <xdr:from>
      <xdr:col>11</xdr:col>
      <xdr:colOff>171450</xdr:colOff>
      <xdr:row>0</xdr:row>
      <xdr:rowOff>167640</xdr:rowOff>
    </xdr:from>
    <xdr:to>
      <xdr:col>11</xdr:col>
      <xdr:colOff>600075</xdr:colOff>
      <xdr:row>2</xdr:row>
      <xdr:rowOff>97155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51820" y="16764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3.xml><?xml version="1.0" encoding="utf-8"?>
<xdr:wsDr xmlns:xdr="http://schemas.openxmlformats.org/drawingml/2006/spreadsheetDrawing" xmlns:a="http://schemas.openxmlformats.org/drawingml/2006/main">
  <xdr:twoCellAnchor editAs="oneCell">
    <xdr:from>
      <xdr:col>11</xdr:col>
      <xdr:colOff>152400</xdr:colOff>
      <xdr:row>0</xdr:row>
      <xdr:rowOff>156210</xdr:rowOff>
    </xdr:from>
    <xdr:to>
      <xdr:col>11</xdr:col>
      <xdr:colOff>581025</xdr:colOff>
      <xdr:row>2</xdr:row>
      <xdr:rowOff>85725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00460" y="1562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4.xml><?xml version="1.0" encoding="utf-8"?>
<xdr:wsDr xmlns:xdr="http://schemas.openxmlformats.org/drawingml/2006/spreadsheetDrawing" xmlns:a="http://schemas.openxmlformats.org/drawingml/2006/main">
  <xdr:twoCellAnchor editAs="oneCell">
    <xdr:from>
      <xdr:col>11</xdr:col>
      <xdr:colOff>163830</xdr:colOff>
      <xdr:row>0</xdr:row>
      <xdr:rowOff>163830</xdr:rowOff>
    </xdr:from>
    <xdr:to>
      <xdr:col>11</xdr:col>
      <xdr:colOff>592455</xdr:colOff>
      <xdr:row>2</xdr:row>
      <xdr:rowOff>93345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174730" y="1638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5.xml><?xml version="1.0" encoding="utf-8"?>
<xdr:wsDr xmlns:xdr="http://schemas.openxmlformats.org/drawingml/2006/spreadsheetDrawing" xmlns:a="http://schemas.openxmlformats.org/drawingml/2006/main">
  <xdr:twoCellAnchor editAs="oneCell">
    <xdr:from>
      <xdr:col>8</xdr:col>
      <xdr:colOff>171450</xdr:colOff>
      <xdr:row>0</xdr:row>
      <xdr:rowOff>179070</xdr:rowOff>
    </xdr:from>
    <xdr:to>
      <xdr:col>8</xdr:col>
      <xdr:colOff>600075</xdr:colOff>
      <xdr:row>2</xdr:row>
      <xdr:rowOff>108585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47610" y="17907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297180</xdr:colOff>
          <xdr:row>25</xdr:row>
          <xdr:rowOff>190500</xdr:rowOff>
        </xdr:from>
        <xdr:to>
          <xdr:col>9</xdr:col>
          <xdr:colOff>784860</xdr:colOff>
          <xdr:row>26</xdr:row>
          <xdr:rowOff>266700</xdr:rowOff>
        </xdr:to>
        <xdr:sp macro="" textlink="">
          <xdr:nvSpPr>
            <xdr:cNvPr id="258049" name="AjoutNOTE21B" hidden="1">
              <a:extLst>
                <a:ext uri="{63B3BB69-23CF-44E3-9099-C40C66FF867C}">
                  <a14:compatExt spid="_x0000_s258049"/>
                </a:ext>
                <a:ext uri="{FF2B5EF4-FFF2-40B4-BE49-F238E27FC236}">
                  <a16:creationId xmlns:a16="http://schemas.microsoft.com/office/drawing/2014/main" id="{00000000-0008-0000-3900-000001F003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8</xdr:col>
      <xdr:colOff>179070</xdr:colOff>
      <xdr:row>1</xdr:row>
      <xdr:rowOff>0</xdr:rowOff>
    </xdr:from>
    <xdr:to>
      <xdr:col>8</xdr:col>
      <xdr:colOff>607695</xdr:colOff>
      <xdr:row>2</xdr:row>
      <xdr:rowOff>112395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3A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20990" y="18288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7.xml><?xml version="1.0" encoding="utf-8"?>
<xdr:wsDr xmlns:xdr="http://schemas.openxmlformats.org/drawingml/2006/spreadsheetDrawing" xmlns:a="http://schemas.openxmlformats.org/drawingml/2006/main">
  <xdr:twoCellAnchor editAs="oneCell">
    <xdr:from>
      <xdr:col>8</xdr:col>
      <xdr:colOff>163830</xdr:colOff>
      <xdr:row>0</xdr:row>
      <xdr:rowOff>175260</xdr:rowOff>
    </xdr:from>
    <xdr:to>
      <xdr:col>8</xdr:col>
      <xdr:colOff>592455</xdr:colOff>
      <xdr:row>2</xdr:row>
      <xdr:rowOff>104775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70470" y="17526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8.xml><?xml version="1.0" encoding="utf-8"?>
<xdr:wsDr xmlns:xdr="http://schemas.openxmlformats.org/drawingml/2006/spreadsheetDrawing" xmlns:a="http://schemas.openxmlformats.org/drawingml/2006/main">
  <xdr:twoCellAnchor editAs="oneCell">
    <xdr:from>
      <xdr:col>8</xdr:col>
      <xdr:colOff>140970</xdr:colOff>
      <xdr:row>0</xdr:row>
      <xdr:rowOff>179070</xdr:rowOff>
    </xdr:from>
    <xdr:to>
      <xdr:col>8</xdr:col>
      <xdr:colOff>569595</xdr:colOff>
      <xdr:row>2</xdr:row>
      <xdr:rowOff>108585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24750" y="17907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9.xml><?xml version="1.0" encoding="utf-8"?>
<xdr:wsDr xmlns:xdr="http://schemas.openxmlformats.org/drawingml/2006/spreadsheetDrawing" xmlns:a="http://schemas.openxmlformats.org/drawingml/2006/main">
  <xdr:twoCellAnchor editAs="oneCell">
    <xdr:from>
      <xdr:col>8</xdr:col>
      <xdr:colOff>160020</xdr:colOff>
      <xdr:row>0</xdr:row>
      <xdr:rowOff>163830</xdr:rowOff>
    </xdr:from>
    <xdr:to>
      <xdr:col>8</xdr:col>
      <xdr:colOff>588645</xdr:colOff>
      <xdr:row>2</xdr:row>
      <xdr:rowOff>93345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53300" y="1638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0.xml><?xml version="1.0" encoding="utf-8"?>
<xdr:wsDr xmlns:xdr="http://schemas.openxmlformats.org/drawingml/2006/spreadsheetDrawing" xmlns:a="http://schemas.openxmlformats.org/drawingml/2006/main">
  <xdr:twoCellAnchor editAs="oneCell">
    <xdr:from>
      <xdr:col>8</xdr:col>
      <xdr:colOff>171450</xdr:colOff>
      <xdr:row>0</xdr:row>
      <xdr:rowOff>152400</xdr:rowOff>
    </xdr:from>
    <xdr:to>
      <xdr:col>8</xdr:col>
      <xdr:colOff>600075</xdr:colOff>
      <xdr:row>2</xdr:row>
      <xdr:rowOff>81915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56170" y="15240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1.xml><?xml version="1.0" encoding="utf-8"?>
<xdr:wsDr xmlns:xdr="http://schemas.openxmlformats.org/drawingml/2006/spreadsheetDrawing" xmlns:a="http://schemas.openxmlformats.org/drawingml/2006/main">
  <xdr:twoCellAnchor editAs="oneCell">
    <xdr:from>
      <xdr:col>8</xdr:col>
      <xdr:colOff>190500</xdr:colOff>
      <xdr:row>0</xdr:row>
      <xdr:rowOff>163830</xdr:rowOff>
    </xdr:from>
    <xdr:to>
      <xdr:col>8</xdr:col>
      <xdr:colOff>619125</xdr:colOff>
      <xdr:row>2</xdr:row>
      <xdr:rowOff>93345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3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25690" y="1638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2.xml><?xml version="1.0" encoding="utf-8"?>
<xdr:wsDr xmlns:xdr="http://schemas.openxmlformats.org/drawingml/2006/spreadsheetDrawing" xmlns:a="http://schemas.openxmlformats.org/drawingml/2006/main">
  <xdr:twoCellAnchor editAs="oneCell">
    <xdr:from>
      <xdr:col>8</xdr:col>
      <xdr:colOff>194310</xdr:colOff>
      <xdr:row>0</xdr:row>
      <xdr:rowOff>156210</xdr:rowOff>
    </xdr:from>
    <xdr:to>
      <xdr:col>8</xdr:col>
      <xdr:colOff>622935</xdr:colOff>
      <xdr:row>2</xdr:row>
      <xdr:rowOff>85725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4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74280" y="1562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3.xml><?xml version="1.0" encoding="utf-8"?>
<xdr:wsDr xmlns:xdr="http://schemas.openxmlformats.org/drawingml/2006/spreadsheetDrawing" xmlns:a="http://schemas.openxmlformats.org/drawingml/2006/main">
  <xdr:twoCellAnchor>
    <xdr:from>
      <xdr:col>1</xdr:col>
      <xdr:colOff>0</xdr:colOff>
      <xdr:row>6</xdr:row>
      <xdr:rowOff>428625</xdr:rowOff>
    </xdr:from>
    <xdr:to>
      <xdr:col>4</xdr:col>
      <xdr:colOff>0</xdr:colOff>
      <xdr:row>11</xdr:row>
      <xdr:rowOff>0</xdr:rowOff>
    </xdr:to>
    <xdr:cxnSp macro="">
      <xdr:nvCxnSpPr>
        <xdr:cNvPr id="2" name="Connecteur droit 1">
          <a:extLst>
            <a:ext uri="{FF2B5EF4-FFF2-40B4-BE49-F238E27FC236}">
              <a16:creationId xmlns:a16="http://schemas.microsoft.com/office/drawing/2014/main" id="{00000000-0008-0000-4100-000002000000}"/>
            </a:ext>
          </a:extLst>
        </xdr:cNvPr>
        <xdr:cNvCxnSpPr/>
      </xdr:nvCxnSpPr>
      <xdr:spPr>
        <a:xfrm>
          <a:off x="274320" y="1685925"/>
          <a:ext cx="2095500" cy="85915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144780</xdr:colOff>
      <xdr:row>0</xdr:row>
      <xdr:rowOff>160020</xdr:rowOff>
    </xdr:from>
    <xdr:to>
      <xdr:col>19</xdr:col>
      <xdr:colOff>573405</xdr:colOff>
      <xdr:row>2</xdr:row>
      <xdr:rowOff>89535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41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51080" y="16002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4.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9525</xdr:colOff>
      <xdr:row>10</xdr:row>
      <xdr:rowOff>0</xdr:rowOff>
    </xdr:to>
    <xdr:cxnSp macro="">
      <xdr:nvCxnSpPr>
        <xdr:cNvPr id="2" name="Connecteur droit 1">
          <a:extLst>
            <a:ext uri="{FF2B5EF4-FFF2-40B4-BE49-F238E27FC236}">
              <a16:creationId xmlns:a16="http://schemas.microsoft.com/office/drawing/2014/main" id="{00000000-0008-0000-4200-000002000000}"/>
            </a:ext>
          </a:extLst>
        </xdr:cNvPr>
        <xdr:cNvCxnSpPr/>
      </xdr:nvCxnSpPr>
      <xdr:spPr>
        <a:xfrm>
          <a:off x="0" y="1699260"/>
          <a:ext cx="2714625" cy="62484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182880</xdr:colOff>
      <xdr:row>0</xdr:row>
      <xdr:rowOff>152400</xdr:rowOff>
    </xdr:from>
    <xdr:to>
      <xdr:col>12</xdr:col>
      <xdr:colOff>611505</xdr:colOff>
      <xdr:row>2</xdr:row>
      <xdr:rowOff>81915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4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19610" y="15240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5.xml><?xml version="1.0" encoding="utf-8"?>
<xdr:wsDr xmlns:xdr="http://schemas.openxmlformats.org/drawingml/2006/spreadsheetDrawing" xmlns:a="http://schemas.openxmlformats.org/drawingml/2006/main">
  <xdr:twoCellAnchor editAs="oneCell">
    <xdr:from>
      <xdr:col>8</xdr:col>
      <xdr:colOff>129540</xdr:colOff>
      <xdr:row>0</xdr:row>
      <xdr:rowOff>163830</xdr:rowOff>
    </xdr:from>
    <xdr:to>
      <xdr:col>8</xdr:col>
      <xdr:colOff>558165</xdr:colOff>
      <xdr:row>2</xdr:row>
      <xdr:rowOff>93345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4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6230" y="1638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259080</xdr:colOff>
          <xdr:row>7</xdr:row>
          <xdr:rowOff>388620</xdr:rowOff>
        </xdr:from>
        <xdr:to>
          <xdr:col>9</xdr:col>
          <xdr:colOff>754380</xdr:colOff>
          <xdr:row>9</xdr:row>
          <xdr:rowOff>30480</xdr:rowOff>
        </xdr:to>
        <xdr:sp macro="" textlink="">
          <xdr:nvSpPr>
            <xdr:cNvPr id="266241" name="AjoutNOTE30B" hidden="1">
              <a:extLst>
                <a:ext uri="{63B3BB69-23CF-44E3-9099-C40C66FF867C}">
                  <a14:compatExt spid="_x0000_s266241"/>
                </a:ext>
                <a:ext uri="{FF2B5EF4-FFF2-40B4-BE49-F238E27FC236}">
                  <a16:creationId xmlns:a16="http://schemas.microsoft.com/office/drawing/2014/main" id="{00000000-0008-0000-4300-00000110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266700</xdr:colOff>
          <xdr:row>17</xdr:row>
          <xdr:rowOff>137160</xdr:rowOff>
        </xdr:from>
        <xdr:to>
          <xdr:col>9</xdr:col>
          <xdr:colOff>762000</xdr:colOff>
          <xdr:row>18</xdr:row>
          <xdr:rowOff>190500</xdr:rowOff>
        </xdr:to>
        <xdr:sp macro="" textlink="">
          <xdr:nvSpPr>
            <xdr:cNvPr id="266242" name="AjoutNOTE30C" hidden="1">
              <a:extLst>
                <a:ext uri="{63B3BB69-23CF-44E3-9099-C40C66FF867C}">
                  <a14:compatExt spid="_x0000_s266242"/>
                </a:ext>
                <a:ext uri="{FF2B5EF4-FFF2-40B4-BE49-F238E27FC236}">
                  <a16:creationId xmlns:a16="http://schemas.microsoft.com/office/drawing/2014/main" id="{00000000-0008-0000-4300-00000210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8</xdr:col>
      <xdr:colOff>175260</xdr:colOff>
      <xdr:row>0</xdr:row>
      <xdr:rowOff>179070</xdr:rowOff>
    </xdr:from>
    <xdr:to>
      <xdr:col>8</xdr:col>
      <xdr:colOff>603885</xdr:colOff>
      <xdr:row>2</xdr:row>
      <xdr:rowOff>108585</xdr:rowOff>
    </xdr:to>
    <xdr:pic macro="[0]!Sommaire">
      <xdr:nvPicPr>
        <xdr:cNvPr id="5" name="Image 4" descr="Tour du Léman">
          <a:hlinkClick xmlns:r="http://schemas.openxmlformats.org/officeDocument/2006/relationships" r:id="rId1"/>
          <a:extLst>
            <a:ext uri="{FF2B5EF4-FFF2-40B4-BE49-F238E27FC236}">
              <a16:creationId xmlns:a16="http://schemas.microsoft.com/office/drawing/2014/main" id="{00000000-0008-0000-44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33360" y="17907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7.xml><?xml version="1.0" encoding="utf-8"?>
<xdr:wsDr xmlns:xdr="http://schemas.openxmlformats.org/drawingml/2006/spreadsheetDrawing" xmlns:a="http://schemas.openxmlformats.org/drawingml/2006/main">
  <xdr:twoCellAnchor>
    <xdr:from>
      <xdr:col>0</xdr:col>
      <xdr:colOff>0</xdr:colOff>
      <xdr:row>7</xdr:row>
      <xdr:rowOff>9525</xdr:rowOff>
    </xdr:from>
    <xdr:to>
      <xdr:col>6</xdr:col>
      <xdr:colOff>9525</xdr:colOff>
      <xdr:row>8</xdr:row>
      <xdr:rowOff>180975</xdr:rowOff>
    </xdr:to>
    <xdr:cxnSp macro="">
      <xdr:nvCxnSpPr>
        <xdr:cNvPr id="2" name="Connecteur droit 1">
          <a:extLst>
            <a:ext uri="{FF2B5EF4-FFF2-40B4-BE49-F238E27FC236}">
              <a16:creationId xmlns:a16="http://schemas.microsoft.com/office/drawing/2014/main" id="{00000000-0008-0000-4500-000002000000}"/>
            </a:ext>
          </a:extLst>
        </xdr:cNvPr>
        <xdr:cNvCxnSpPr/>
      </xdr:nvCxnSpPr>
      <xdr:spPr>
        <a:xfrm>
          <a:off x="0" y="1586865"/>
          <a:ext cx="5358765" cy="33147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11</xdr:col>
      <xdr:colOff>156210</xdr:colOff>
      <xdr:row>0</xdr:row>
      <xdr:rowOff>163830</xdr:rowOff>
    </xdr:from>
    <xdr:to>
      <xdr:col>11</xdr:col>
      <xdr:colOff>584835</xdr:colOff>
      <xdr:row>2</xdr:row>
      <xdr:rowOff>123825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45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71910" y="1638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213360</xdr:colOff>
          <xdr:row>8</xdr:row>
          <xdr:rowOff>160020</xdr:rowOff>
        </xdr:from>
        <xdr:to>
          <xdr:col>17</xdr:col>
          <xdr:colOff>693420</xdr:colOff>
          <xdr:row>9</xdr:row>
          <xdr:rowOff>137160</xdr:rowOff>
        </xdr:to>
        <xdr:sp macro="" textlink="">
          <xdr:nvSpPr>
            <xdr:cNvPr id="267265" name="AjoutNOTE32" hidden="1">
              <a:extLst>
                <a:ext uri="{63B3BB69-23CF-44E3-9099-C40C66FF867C}">
                  <a14:compatExt spid="_x0000_s267265"/>
                </a:ext>
                <a:ext uri="{FF2B5EF4-FFF2-40B4-BE49-F238E27FC236}">
                  <a16:creationId xmlns:a16="http://schemas.microsoft.com/office/drawing/2014/main" id="{00000000-0008-0000-4500-00000114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16</xdr:col>
      <xdr:colOff>175260</xdr:colOff>
      <xdr:row>0</xdr:row>
      <xdr:rowOff>152400</xdr:rowOff>
    </xdr:from>
    <xdr:to>
      <xdr:col>16</xdr:col>
      <xdr:colOff>603885</xdr:colOff>
      <xdr:row>2</xdr:row>
      <xdr:rowOff>81915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46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841730" y="15240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198120</xdr:colOff>
          <xdr:row>8</xdr:row>
          <xdr:rowOff>68580</xdr:rowOff>
        </xdr:from>
        <xdr:to>
          <xdr:col>13</xdr:col>
          <xdr:colOff>678180</xdr:colOff>
          <xdr:row>9</xdr:row>
          <xdr:rowOff>160020</xdr:rowOff>
        </xdr:to>
        <xdr:sp macro="" textlink="">
          <xdr:nvSpPr>
            <xdr:cNvPr id="268290" name="AjoutNOTE33" hidden="1">
              <a:extLst>
                <a:ext uri="{63B3BB69-23CF-44E3-9099-C40C66FF867C}">
                  <a14:compatExt spid="_x0000_s268290"/>
                </a:ext>
                <a:ext uri="{FF2B5EF4-FFF2-40B4-BE49-F238E27FC236}">
                  <a16:creationId xmlns:a16="http://schemas.microsoft.com/office/drawing/2014/main" id="{00000000-0008-0000-4600-00000218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12</xdr:col>
      <xdr:colOff>179070</xdr:colOff>
      <xdr:row>0</xdr:row>
      <xdr:rowOff>163830</xdr:rowOff>
    </xdr:from>
    <xdr:to>
      <xdr:col>12</xdr:col>
      <xdr:colOff>607695</xdr:colOff>
      <xdr:row>2</xdr:row>
      <xdr:rowOff>93345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47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32870" y="1638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0.xml><?xml version="1.0" encoding="utf-8"?>
<xdr:wsDr xmlns:xdr="http://schemas.openxmlformats.org/drawingml/2006/spreadsheetDrawing" xmlns:a="http://schemas.openxmlformats.org/drawingml/2006/main">
  <xdr:twoCellAnchor editAs="oneCell">
    <xdr:from>
      <xdr:col>8</xdr:col>
      <xdr:colOff>209550</xdr:colOff>
      <xdr:row>0</xdr:row>
      <xdr:rowOff>140970</xdr:rowOff>
    </xdr:from>
    <xdr:to>
      <xdr:col>8</xdr:col>
      <xdr:colOff>638175</xdr:colOff>
      <xdr:row>2</xdr:row>
      <xdr:rowOff>93345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4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2420" y="14097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1.xml><?xml version="1.0" encoding="utf-8"?>
<xdr:wsDr xmlns:xdr="http://schemas.openxmlformats.org/drawingml/2006/spreadsheetDrawing" xmlns:a="http://schemas.openxmlformats.org/drawingml/2006/main">
  <xdr:twoCellAnchor editAs="oneCell">
    <xdr:from>
      <xdr:col>9</xdr:col>
      <xdr:colOff>205740</xdr:colOff>
      <xdr:row>0</xdr:row>
      <xdr:rowOff>175260</xdr:rowOff>
    </xdr:from>
    <xdr:to>
      <xdr:col>9</xdr:col>
      <xdr:colOff>634365</xdr:colOff>
      <xdr:row>2</xdr:row>
      <xdr:rowOff>104775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4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13370" y="17526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2.xml><?xml version="1.0" encoding="utf-8"?>
<xdr:wsDr xmlns:xdr="http://schemas.openxmlformats.org/drawingml/2006/spreadsheetDrawing" xmlns:a="http://schemas.openxmlformats.org/drawingml/2006/main">
  <xdr:twoCellAnchor editAs="oneCell">
    <xdr:from>
      <xdr:col>8</xdr:col>
      <xdr:colOff>175260</xdr:colOff>
      <xdr:row>0</xdr:row>
      <xdr:rowOff>167640</xdr:rowOff>
    </xdr:from>
    <xdr:to>
      <xdr:col>8</xdr:col>
      <xdr:colOff>603885</xdr:colOff>
      <xdr:row>2</xdr:row>
      <xdr:rowOff>97155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4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3900" y="16764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3.xml><?xml version="1.0" encoding="utf-8"?>
<xdr:wsDr xmlns:xdr="http://schemas.openxmlformats.org/drawingml/2006/spreadsheetDrawing" xmlns:a="http://schemas.openxmlformats.org/drawingml/2006/main">
  <xdr:twoCellAnchor editAs="oneCell">
    <xdr:from>
      <xdr:col>9</xdr:col>
      <xdr:colOff>171450</xdr:colOff>
      <xdr:row>0</xdr:row>
      <xdr:rowOff>152400</xdr:rowOff>
    </xdr:from>
    <xdr:to>
      <xdr:col>9</xdr:col>
      <xdr:colOff>600075</xdr:colOff>
      <xdr:row>2</xdr:row>
      <xdr:rowOff>127635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4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12430" y="15240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4.xml><?xml version="1.0" encoding="utf-8"?>
<xdr:wsDr xmlns:xdr="http://schemas.openxmlformats.org/drawingml/2006/spreadsheetDrawing" xmlns:a="http://schemas.openxmlformats.org/drawingml/2006/main">
  <xdr:twoCellAnchor editAs="oneCell">
    <xdr:from>
      <xdr:col>9</xdr:col>
      <xdr:colOff>156210</xdr:colOff>
      <xdr:row>0</xdr:row>
      <xdr:rowOff>156210</xdr:rowOff>
    </xdr:from>
    <xdr:to>
      <xdr:col>9</xdr:col>
      <xdr:colOff>584835</xdr:colOff>
      <xdr:row>2</xdr:row>
      <xdr:rowOff>112395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4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35240" y="15621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5.xml><?xml version="1.0" encoding="utf-8"?>
<xdr:wsDr xmlns:xdr="http://schemas.openxmlformats.org/drawingml/2006/spreadsheetDrawing" xmlns:a="http://schemas.openxmlformats.org/drawingml/2006/main">
  <xdr:twoCellAnchor editAs="oneCell">
    <xdr:from>
      <xdr:col>10</xdr:col>
      <xdr:colOff>186690</xdr:colOff>
      <xdr:row>0</xdr:row>
      <xdr:rowOff>167640</xdr:rowOff>
    </xdr:from>
    <xdr:to>
      <xdr:col>10</xdr:col>
      <xdr:colOff>615315</xdr:colOff>
      <xdr:row>2</xdr:row>
      <xdr:rowOff>127635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4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33360" y="16764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6.xml><?xml version="1.0" encoding="utf-8"?>
<xdr:wsDr xmlns:xdr="http://schemas.openxmlformats.org/drawingml/2006/spreadsheetDrawing" xmlns:a="http://schemas.openxmlformats.org/drawingml/2006/main">
  <xdr:twoCellAnchor editAs="oneCell">
    <xdr:from>
      <xdr:col>10</xdr:col>
      <xdr:colOff>179070</xdr:colOff>
      <xdr:row>0</xdr:row>
      <xdr:rowOff>144780</xdr:rowOff>
    </xdr:from>
    <xdr:to>
      <xdr:col>10</xdr:col>
      <xdr:colOff>607695</xdr:colOff>
      <xdr:row>3</xdr:row>
      <xdr:rowOff>24765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4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67850" y="14478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7.xml><?xml version="1.0" encoding="utf-8"?>
<xdr:wsDr xmlns:xdr="http://schemas.openxmlformats.org/drawingml/2006/spreadsheetDrawing" xmlns:a="http://schemas.openxmlformats.org/drawingml/2006/main">
  <xdr:twoCellAnchor editAs="oneCell">
    <xdr:from>
      <xdr:col>8</xdr:col>
      <xdr:colOff>148590</xdr:colOff>
      <xdr:row>1</xdr:row>
      <xdr:rowOff>213360</xdr:rowOff>
    </xdr:from>
    <xdr:to>
      <xdr:col>8</xdr:col>
      <xdr:colOff>577215</xdr:colOff>
      <xdr:row>3</xdr:row>
      <xdr:rowOff>180975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81950" y="44958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8.xml><?xml version="1.0" encoding="utf-8"?>
<xdr:wsDr xmlns:xdr="http://schemas.openxmlformats.org/drawingml/2006/spreadsheetDrawing" xmlns:a="http://schemas.openxmlformats.org/drawingml/2006/main">
  <xdr:twoCellAnchor editAs="oneCell">
    <xdr:from>
      <xdr:col>8</xdr:col>
      <xdr:colOff>228600</xdr:colOff>
      <xdr:row>1</xdr:row>
      <xdr:rowOff>163830</xdr:rowOff>
    </xdr:from>
    <xdr:to>
      <xdr:col>8</xdr:col>
      <xdr:colOff>657225</xdr:colOff>
      <xdr:row>4</xdr:row>
      <xdr:rowOff>20955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35340" y="4000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9.xml><?xml version="1.0" encoding="utf-8"?>
<xdr:wsDr xmlns:xdr="http://schemas.openxmlformats.org/drawingml/2006/spreadsheetDrawing" xmlns:a="http://schemas.openxmlformats.org/drawingml/2006/main">
  <xdr:twoCellAnchor editAs="oneCell">
    <xdr:from>
      <xdr:col>14</xdr:col>
      <xdr:colOff>182880</xdr:colOff>
      <xdr:row>0</xdr:row>
      <xdr:rowOff>167640</xdr:rowOff>
    </xdr:from>
    <xdr:to>
      <xdr:col>14</xdr:col>
      <xdr:colOff>611505</xdr:colOff>
      <xdr:row>2</xdr:row>
      <xdr:rowOff>184785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63500" y="16764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8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228600</xdr:colOff>
          <xdr:row>7</xdr:row>
          <xdr:rowOff>617220</xdr:rowOff>
        </xdr:from>
        <xdr:to>
          <xdr:col>11</xdr:col>
          <xdr:colOff>670560</xdr:colOff>
          <xdr:row>7</xdr:row>
          <xdr:rowOff>914400</xdr:rowOff>
        </xdr:to>
        <xdr:sp macro="" textlink="">
          <xdr:nvSpPr>
            <xdr:cNvPr id="280577" name="AjoutSUPPL2" hidden="1">
              <a:extLst>
                <a:ext uri="{63B3BB69-23CF-44E3-9099-C40C66FF867C}">
                  <a14:compatExt spid="_x0000_s280577"/>
                </a:ext>
                <a:ext uri="{FF2B5EF4-FFF2-40B4-BE49-F238E27FC236}">
                  <a16:creationId xmlns:a16="http://schemas.microsoft.com/office/drawing/2014/main" id="{00000000-0008-0000-5200-00000148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10</xdr:col>
      <xdr:colOff>152400</xdr:colOff>
      <xdr:row>0</xdr:row>
      <xdr:rowOff>148590</xdr:rowOff>
    </xdr:from>
    <xdr:to>
      <xdr:col>10</xdr:col>
      <xdr:colOff>581025</xdr:colOff>
      <xdr:row>2</xdr:row>
      <xdr:rowOff>165735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53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74680" y="14859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81.xml><?xml version="1.0" encoding="utf-8"?>
<xdr:wsDr xmlns:xdr="http://schemas.openxmlformats.org/drawingml/2006/spreadsheetDrawing" xmlns:a="http://schemas.openxmlformats.org/drawingml/2006/main">
  <xdr:twoCellAnchor editAs="oneCell">
    <xdr:from>
      <xdr:col>11</xdr:col>
      <xdr:colOff>118110</xdr:colOff>
      <xdr:row>0</xdr:row>
      <xdr:rowOff>167640</xdr:rowOff>
    </xdr:from>
    <xdr:to>
      <xdr:col>11</xdr:col>
      <xdr:colOff>546735</xdr:colOff>
      <xdr:row>2</xdr:row>
      <xdr:rowOff>184785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5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70870" y="16764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8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259080</xdr:colOff>
          <xdr:row>8</xdr:row>
          <xdr:rowOff>22860</xdr:rowOff>
        </xdr:from>
        <xdr:to>
          <xdr:col>15</xdr:col>
          <xdr:colOff>708660</xdr:colOff>
          <xdr:row>9</xdr:row>
          <xdr:rowOff>0</xdr:rowOff>
        </xdr:to>
        <xdr:sp macro="" textlink="">
          <xdr:nvSpPr>
            <xdr:cNvPr id="282625" name="AjoutSUPPL4" hidden="1">
              <a:extLst>
                <a:ext uri="{63B3BB69-23CF-44E3-9099-C40C66FF867C}">
                  <a14:compatExt spid="_x0000_s282625"/>
                </a:ext>
                <a:ext uri="{FF2B5EF4-FFF2-40B4-BE49-F238E27FC236}">
                  <a16:creationId xmlns:a16="http://schemas.microsoft.com/office/drawing/2014/main" id="{00000000-0008-0000-5400-00000150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14</xdr:col>
      <xdr:colOff>114300</xdr:colOff>
      <xdr:row>0</xdr:row>
      <xdr:rowOff>171450</xdr:rowOff>
    </xdr:from>
    <xdr:to>
      <xdr:col>14</xdr:col>
      <xdr:colOff>542925</xdr:colOff>
      <xdr:row>2</xdr:row>
      <xdr:rowOff>188595</xdr:rowOff>
    </xdr:to>
    <xdr:pic macro="[0]!Sommaire">
      <xdr:nvPicPr>
        <xdr:cNvPr id="4" name="Image 3" descr="Tour du Léman">
          <a:hlinkClick xmlns:r="http://schemas.openxmlformats.org/officeDocument/2006/relationships" r:id="rId1"/>
          <a:extLst>
            <a:ext uri="{FF2B5EF4-FFF2-40B4-BE49-F238E27FC236}">
              <a16:creationId xmlns:a16="http://schemas.microsoft.com/office/drawing/2014/main" id="{00000000-0008-0000-55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53060" y="17145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83.xml><?xml version="1.0" encoding="utf-8"?>
<xdr:wsDr xmlns:xdr="http://schemas.openxmlformats.org/drawingml/2006/spreadsheetDrawing" xmlns:a="http://schemas.openxmlformats.org/drawingml/2006/main">
  <xdr:twoCellAnchor editAs="oneCell">
    <xdr:from>
      <xdr:col>17</xdr:col>
      <xdr:colOff>152400</xdr:colOff>
      <xdr:row>0</xdr:row>
      <xdr:rowOff>160020</xdr:rowOff>
    </xdr:from>
    <xdr:to>
      <xdr:col>17</xdr:col>
      <xdr:colOff>581025</xdr:colOff>
      <xdr:row>2</xdr:row>
      <xdr:rowOff>177165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5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35690" y="16002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84.xml><?xml version="1.0" encoding="utf-8"?>
<xdr:wsDr xmlns:xdr="http://schemas.openxmlformats.org/drawingml/2006/spreadsheetDrawing" xmlns:a="http://schemas.openxmlformats.org/drawingml/2006/main">
  <xdr:twoCellAnchor editAs="oneCell">
    <xdr:from>
      <xdr:col>8</xdr:col>
      <xdr:colOff>160020</xdr:colOff>
      <xdr:row>0</xdr:row>
      <xdr:rowOff>152400</xdr:rowOff>
    </xdr:from>
    <xdr:to>
      <xdr:col>8</xdr:col>
      <xdr:colOff>588645</xdr:colOff>
      <xdr:row>2</xdr:row>
      <xdr:rowOff>169545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5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94320" y="15240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8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251460</xdr:colOff>
          <xdr:row>7</xdr:row>
          <xdr:rowOff>30480</xdr:rowOff>
        </xdr:from>
        <xdr:to>
          <xdr:col>10</xdr:col>
          <xdr:colOff>708660</xdr:colOff>
          <xdr:row>7</xdr:row>
          <xdr:rowOff>327660</xdr:rowOff>
        </xdr:to>
        <xdr:sp macro="" textlink="">
          <xdr:nvSpPr>
            <xdr:cNvPr id="285697" name="AjoutSUPPL7A" hidden="1">
              <a:extLst>
                <a:ext uri="{63B3BB69-23CF-44E3-9099-C40C66FF867C}">
                  <a14:compatExt spid="_x0000_s285697"/>
                </a:ext>
                <a:ext uri="{FF2B5EF4-FFF2-40B4-BE49-F238E27FC236}">
                  <a16:creationId xmlns:a16="http://schemas.microsoft.com/office/drawing/2014/main" id="{00000000-0008-0000-5700-0000015C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228600</xdr:colOff>
          <xdr:row>9</xdr:row>
          <xdr:rowOff>45720</xdr:rowOff>
        </xdr:from>
        <xdr:to>
          <xdr:col>10</xdr:col>
          <xdr:colOff>685800</xdr:colOff>
          <xdr:row>9</xdr:row>
          <xdr:rowOff>342900</xdr:rowOff>
        </xdr:to>
        <xdr:sp macro="" textlink="">
          <xdr:nvSpPr>
            <xdr:cNvPr id="285698" name="AjoutSUPPL7B" hidden="1">
              <a:extLst>
                <a:ext uri="{63B3BB69-23CF-44E3-9099-C40C66FF867C}">
                  <a14:compatExt spid="_x0000_s285698"/>
                </a:ext>
                <a:ext uri="{FF2B5EF4-FFF2-40B4-BE49-F238E27FC236}">
                  <a16:creationId xmlns:a16="http://schemas.microsoft.com/office/drawing/2014/main" id="{00000000-0008-0000-5700-0000025C04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fr-CI" sz="1100" b="0" i="0" u="none" strike="noStrike" baseline="0">
                  <a:solidFill>
                    <a:srgbClr val="000000"/>
                  </a:solidFill>
                  <a:latin typeface="Calibri"/>
                  <a:ea typeface="Calibri"/>
                  <a:cs typeface="Calibri"/>
                </a:rPr>
                <a:t>Ajouter des lignes</a:t>
              </a:r>
            </a:p>
          </xdr:txBody>
        </xdr:sp>
        <xdr:clientData fPrintsWithSheet="0"/>
      </xdr:twoCellAnchor>
    </mc:Choice>
    <mc:Fallback/>
  </mc:AlternateContent>
  <xdr:twoCellAnchor editAs="oneCell">
    <xdr:from>
      <xdr:col>9</xdr:col>
      <xdr:colOff>144780</xdr:colOff>
      <xdr:row>1</xdr:row>
      <xdr:rowOff>0</xdr:rowOff>
    </xdr:from>
    <xdr:to>
      <xdr:col>9</xdr:col>
      <xdr:colOff>573405</xdr:colOff>
      <xdr:row>3</xdr:row>
      <xdr:rowOff>9525</xdr:rowOff>
    </xdr:to>
    <xdr:pic macro="[0]!Sommaire">
      <xdr:nvPicPr>
        <xdr:cNvPr id="5" name="Image 4" descr="Tour du Léman">
          <a:hlinkClick xmlns:r="http://schemas.openxmlformats.org/officeDocument/2006/relationships" r:id="rId1"/>
          <a:extLst>
            <a:ext uri="{FF2B5EF4-FFF2-40B4-BE49-F238E27FC236}">
              <a16:creationId xmlns:a16="http://schemas.microsoft.com/office/drawing/2014/main" id="{00000000-0008-0000-58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58200" y="18288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86.xml><?xml version="1.0" encoding="utf-8"?>
<xdr:wsDr xmlns:xdr="http://schemas.openxmlformats.org/drawingml/2006/spreadsheetDrawing" xmlns:a="http://schemas.openxmlformats.org/drawingml/2006/main">
  <xdr:twoCellAnchor editAs="oneCell">
    <xdr:from>
      <xdr:col>8</xdr:col>
      <xdr:colOff>388620</xdr:colOff>
      <xdr:row>0</xdr:row>
      <xdr:rowOff>201930</xdr:rowOff>
    </xdr:from>
    <xdr:to>
      <xdr:col>8</xdr:col>
      <xdr:colOff>817245</xdr:colOff>
      <xdr:row>2</xdr:row>
      <xdr:rowOff>108585</xdr:rowOff>
    </xdr:to>
    <xdr:pic macro="[0]!Sommaire">
      <xdr:nvPicPr>
        <xdr:cNvPr id="3" name="Image 2" descr="Tour du Léman">
          <a:hlinkClick xmlns:r="http://schemas.openxmlformats.org/officeDocument/2006/relationships" r:id="rId1"/>
          <a:extLst>
            <a:ext uri="{FF2B5EF4-FFF2-40B4-BE49-F238E27FC236}">
              <a16:creationId xmlns:a16="http://schemas.microsoft.com/office/drawing/2014/main" id="{00000000-0008-0000-5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57160" y="201930"/>
          <a:ext cx="428625" cy="42862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8A3D60-EEAF-403A-808E-661E504F1261}" name="ListeTableaux" displayName="ListeTableaux" ref="A27:I136" totalsRowShown="0" headerRowDxfId="419" tableBorderDxfId="418">
  <autoFilter ref="A27:I136" xr:uid="{A522F030-8AFC-43AC-923A-1A41BA0C15F9}"/>
  <tableColumns count="9">
    <tableColumn id="2" xr3:uid="{15950AC3-2A49-4B8B-A751-D248A598555D}" name="Code tableau" dataDxfId="417"/>
    <tableColumn id="4" xr3:uid="{40D421DC-F758-46B7-8E3C-54ED644F235D}" name="Titre" dataDxfId="416"/>
    <tableColumn id="3" xr3:uid="{A89A5E5D-0F5D-4D40-8ECA-75BDA7F4D85C}" name="Type" dataDxfId="415"/>
    <tableColumn id="1" xr3:uid="{BFC304D9-BE8E-4B34-B99D-8ADC18011E9A}" name="Onglet" dataDxfId="414"/>
    <tableColumn id="7" xr3:uid="{D7478EEA-7A0B-4FA1-B716-DB44F69B7B3F}" name="Première cellule" dataDxfId="413"/>
    <tableColumn id="6" xr3:uid="{5F091299-34A1-4AE3-9933-6B46B42E2E3F}" name="Dernière cellule" dataDxfId="412"/>
    <tableColumn id="9" xr3:uid="{DE293C2D-39B2-4E8B-B74D-5D1796A6BD1E}" name="Onglet DGI" dataDxfId="411"/>
    <tableColumn id="5" xr3:uid="{C79BF403-2A74-4857-A6AF-219FE279C3B4}" name="Première cellule DGI " dataDxfId="410"/>
    <tableColumn id="8" xr3:uid="{26C5960B-7CDD-42F5-A1A3-C965D07D1D49}" name="Dernière cellule DGI" dataDxfId="40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AE80818-DB2A-47C2-8E5E-07E9F470931E}" name="ListeChampsTableauxFixes" displayName="ListeChampsTableauxFixes" ref="A28:I4317" totalsRowShown="0" headerRowDxfId="408" tableBorderDxfId="407">
  <autoFilter ref="A28:I4317" xr:uid="{355E4DB7-B66C-42C3-8299-62CF6FB4FA79}"/>
  <sortState xmlns:xlrd2="http://schemas.microsoft.com/office/spreadsheetml/2017/richdata2" ref="A29:I240">
    <sortCondition ref="D28:D240"/>
  </sortState>
  <tableColumns count="9">
    <tableColumn id="2" xr3:uid="{0C5572BD-5A56-4C58-9164-D5DF4A0BB31E}" name="Code tableau" dataDxfId="406"/>
    <tableColumn id="3" xr3:uid="{1D431B96-667D-4BFB-9895-9E298465574C}" name="Code ligne" dataDxfId="405"/>
    <tableColumn id="4" xr3:uid="{0EA3C085-2164-4083-9425-1E90EA206930}" name="Libellé ligne" dataDxfId="404"/>
    <tableColumn id="5" xr3:uid="{0CAF5E47-245E-4469-9DEF-27EA15F46084}" name="Libellé colonne" dataDxfId="403"/>
    <tableColumn id="8" xr3:uid="{431762A8-8A92-4236-9DA1-DC7785004F15}" name="Code champ" dataDxfId="402"/>
    <tableColumn id="7" xr3:uid="{DA375D1B-5661-4484-908E-26D9BCEB9B9D}" name="Position ligne" dataDxfId="401"/>
    <tableColumn id="6" xr3:uid="{F33EED46-62D5-40B6-A419-31132ED6098E}" name="Position colonne" dataDxfId="400"/>
    <tableColumn id="9" xr3:uid="{17E7EB31-9D24-4B63-AF8C-060B9E1729EC}" name="Cellule" dataDxfId="399"/>
    <tableColumn id="10" xr3:uid="{57EC750B-B655-4CFA-86E4-FDE85E8B416A}" name="Valeur" dataDxfId="39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DE712E7-9830-4A88-8D54-4F7F38C8CCA5}" name="ListeColonnesTableauxVariables" displayName="ListeColonnesTableauxVariables" ref="A24:E159" totalsRowShown="0" headerRowDxfId="397" headerRowBorderDxfId="396" tableBorderDxfId="395">
  <autoFilter ref="A24:E159" xr:uid="{FFFC5B94-1E71-422D-898A-CB8942C82752}"/>
  <tableColumns count="5">
    <tableColumn id="2" xr3:uid="{8A385091-CDE8-43BD-B639-46C422B99B1B}" name="Code tableau" dataDxfId="394"/>
    <tableColumn id="4" xr3:uid="{5B45E6CD-7109-4141-B0F9-2CBBE0876612}" name="Libellé colonne" dataDxfId="393"/>
    <tableColumn id="5" xr3:uid="{5F8B3D16-6164-432C-A602-9BCC50565ACB}" name="Code colonne" dataDxfId="392"/>
    <tableColumn id="7" xr3:uid="{D38CCE91-9B7C-433A-BBB2-ABF5223B8FA5}" name="Position colonne" dataDxfId="391"/>
    <tableColumn id="3" xr3:uid="{050B29BA-9BA4-4733-9395-FFE9C5A66D1F}" name="Cellule" dataDxfId="39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876CEE4-2AF6-4925-8F65-2E6FEAD264CD}" name="ExportChampsTableauxVariables" displayName="ExportChampsTableauxVariables" ref="A14:C19" tableType="xml" totalsRowShown="0" headerRowDxfId="389" dataDxfId="387" headerRowBorderDxfId="388">
  <autoFilter ref="A14:C19" xr:uid="{B8A5AC12-11E1-4C62-9699-EE849672F8FF}"/>
  <tableColumns count="3">
    <tableColumn id="1" xr3:uid="{D7FD5624-B1BC-449E-B7EF-1ABE78AC0301}" uniqueName="colonne" name="Code colonne" dataDxfId="386">
      <xmlColumnPr mapId="2" xpath="/EDI/champsTableauxVariables/champTableauVariable/colonne" xmlDataType="string"/>
    </tableColumn>
    <tableColumn id="2" xr3:uid="{06B2C93D-03CE-4803-BB15-98E86F9FE297}" uniqueName="ligne" name="Ligne" dataDxfId="385">
      <xmlColumnPr mapId="2" xpath="/EDI/champsTableauxVariables/champTableauVariable/ligne" xmlDataType="string"/>
    </tableColumn>
    <tableColumn id="3" xr3:uid="{5B7AC496-C29E-440C-8CCE-93C9D17A1E57}" uniqueName="valeur" name="Valeur" dataDxfId="384" dataCellStyle="Milliers">
      <xmlColumnPr mapId="2" xpath="/EDI/champsTableauxVariables/champTableauVariable/valeur" xmlDataType="string"/>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76E2A7-1E5D-4BA9-A744-A04B9EFAFE6A}" name="Informations" displayName="Informations" ref="A10:C11" tableType="xml" totalsRowShown="0" headerRowDxfId="383" dataDxfId="381" headerRowBorderDxfId="382" tableBorderDxfId="380" totalsRowBorderDxfId="379">
  <tableColumns count="3">
    <tableColumn id="1" xr3:uid="{1479D1CD-16B1-4479-8E2F-BE50C11E0F59}" uniqueName="type" name="Type de liasse" dataDxfId="378">
      <calculatedColumnFormula>'Export XML'!G10</calculatedColumnFormula>
      <xmlColumnPr mapId="2" xpath="/EDI/informations/type" xmlDataType="string"/>
    </tableColumn>
    <tableColumn id="2" xr3:uid="{B6339C1C-0B51-4C4E-8567-E5A4290FF035}" uniqueName="ncc" name="NCC" dataDxfId="377">
      <calculatedColumnFormula>'Export XML'!G11</calculatedColumnFormula>
      <xmlColumnPr mapId="2" xpath="/EDI/informations/ncc" xmlDataType="string"/>
    </tableColumn>
    <tableColumn id="3" xr3:uid="{E8B72BC0-D214-4B60-8F4C-C47272B8B0C7}" uniqueName="exercice" name="Exercice" dataDxfId="376">
      <calculatedColumnFormula>'Export XML'!G12</calculatedColumnFormula>
      <xmlColumnPr mapId="2" xpath="/EDI/informations/exercice" xmlDataType="string"/>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4DC4CA-BC01-456D-9427-6BAA4A023DDF}" name="ExportChampsTableauxFixes" displayName="ExportChampsTableauxFixes" ref="E14:F35" tableType="xml" totalsRowShown="0" headerRowDxfId="375" dataDxfId="374">
  <autoFilter ref="E14:F35" xr:uid="{107562E1-1F10-4261-A4EA-6D87C666DFD1}"/>
  <tableColumns count="2">
    <tableColumn id="1" xr3:uid="{B4DEC94A-F494-4E3C-B763-065E40AAD052}" uniqueName="code" name="Code champ" dataDxfId="373">
      <xmlColumnPr mapId="2" xpath="/EDI/champsTableauxFixes/champTableauFixe/code" xmlDataType="string"/>
    </tableColumn>
    <tableColumn id="2" xr3:uid="{BB9217C4-77E6-4836-A569-C9020D2ABA21}" uniqueName="valeur" name="Valeur" dataDxfId="372">
      <xmlColumnPr mapId="2" xpath="/EDI/champsTableauxFixes/champTableauFixe/valeur" xmlDataType="string"/>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41B28EB-E122-4899-A6B3-B81D5DD16BD4}" name="BalanceN" displayName="BalanceN" ref="A8:L170" headerRowDxfId="354" dataDxfId="353" totalsRowDxfId="352" headerRowCellStyle="Normal 6" dataCellStyle="Milliers" totalsRowCellStyle="Milliers">
  <autoFilter ref="A8:L170" xr:uid="{FEA3F076-18B7-4B8A-8F16-60AF700C56FC}"/>
  <sortState xmlns:xlrd2="http://schemas.microsoft.com/office/spreadsheetml/2017/richdata2" ref="A7:I9">
    <sortCondition ref="A3:A8"/>
  </sortState>
  <tableColumns count="12">
    <tableColumn id="1" xr3:uid="{A01D4111-721F-49C2-8621-2CEC4DC7EE63}" name="Compte" totalsRowLabel="Total" dataDxfId="351" totalsRowDxfId="350" dataCellStyle="Normal 6"/>
    <tableColumn id="2" xr3:uid="{E9A86549-3F7E-4F1F-9F0A-C2C611A352DB}" name="Désignation" dataDxfId="349" totalsRowDxfId="348" dataCellStyle="Normal 6"/>
    <tableColumn id="3" xr3:uid="{FA76A323-0CB1-45F2-9DF4-0FEF20E7FE97}" name="BE_Debit" totalsRowFunction="sum" dataDxfId="347" totalsRowDxfId="346" dataCellStyle="Normal 6"/>
    <tableColumn id="4" xr3:uid="{B3F0149C-67E4-4E49-8FBF-1DA07A2EBD76}" name="BE_Credit" totalsRowFunction="sum" dataDxfId="345" totalsRowDxfId="344" dataCellStyle="Normal 6"/>
    <tableColumn id="5" xr3:uid="{6174C097-3FA9-4FC9-AE4B-F1E487FBE150}" name="Mvt_Debit" totalsRowFunction="sum" dataDxfId="343" totalsRowDxfId="342" dataCellStyle="Normal 6"/>
    <tableColumn id="6" xr3:uid="{FCAD0F29-AD13-4C3D-A31C-ABDA0B09E907}" name="Mvt_Credit" totalsRowFunction="sum" dataDxfId="341" totalsRowDxfId="340" dataCellStyle="Normal 6"/>
    <tableColumn id="9" xr3:uid="{957CF3F3-4527-45ED-8357-858F2D885947}" name="BS_Debit" totalsRowFunction="sum" dataDxfId="339" totalsRowDxfId="338" dataCellStyle="Normal 6"/>
    <tableColumn id="10" xr3:uid="{55129D93-67C4-47DB-B4DA-B281DA3F6C1F}" name="BS_Credit" totalsRowFunction="sum" dataDxfId="337" totalsRowDxfId="336" dataCellStyle="Normal 6"/>
    <tableColumn id="7" xr3:uid="{8358661F-56FE-4B58-ADEE-6DE366CF3B73}" name="Table" dataDxfId="335" totalsRowDxfId="334" dataCellStyle="Milliers">
      <calculatedColumnFormula>VALUE(LEFT(BalanceN[[#This Row],[Compte]]&amp;"00000000",5))</calculatedColumnFormula>
    </tableColumn>
    <tableColumn id="8" xr3:uid="{C71310D9-0B0B-4376-A820-9A18B85E86C4}" name="Vérif" dataDxfId="333" totalsRowDxfId="332" dataCellStyle="Milliers">
      <calculatedColumnFormula array="1">IF(BalanceN[[#This Row],[Compte]]="",0,_xlfn.IFNA(INDEX(Plan_Comptable[[Table de Compte]:[Sens]],MATCH(VALUE(LEFT(BalanceN[[#This Row],[Table]],4)),VALUE(Plan_Comptable[Table de Compte]),0),2),"A"))</calculatedColumnFormula>
    </tableColumn>
    <tableColumn id="11" xr3:uid="{3E7A38C4-8C4E-4B1A-958F-A6ACD6BC3968}" name="SI" dataDxfId="331" totalsRowDxfId="330" dataCellStyle="Milliers">
      <calculatedColumnFormula>IF(AND(BalanceN[[#This Row],[Vérif]]="D",BalanceN[[#This Row],[BS_Credit]]&gt;0),"A",IF(AND(BalanceN[[#This Row],[Vérif]]="C",BalanceN[[#This Row],[BS_Debit]]&gt;0),"A",""))</calculatedColumnFormula>
    </tableColumn>
    <tableColumn id="12" xr3:uid="{C92C2970-383E-4064-BCB6-6DFC611F7A03}" name="SF" dataDxfId="329" totalsRowDxfId="328" dataCellStyle="Milliers">
      <calculatedColumnFormula>IF(AND(BalanceN[[#This Row],[Vérif]]="D",BalanceN[[#This Row],[BE_Credit]]&gt;0),"A",IF(AND(BalanceN[[#This Row],[Vérif]]="C",BalanceN[[#This Row],[BE_Debit]]&gt;0),"A",""))</calculatedColumnFormula>
    </tableColumn>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45B4D2B-C43C-40AF-9951-366FBCB6139F}" name="BalanceN1" displayName="BalanceN1" ref="N8:Y155" headerRowDxfId="327" dataDxfId="326" totalsRowDxfId="325" headerRowCellStyle="Milliers" dataCellStyle="Milliers" totalsRowCellStyle="Milliers">
  <autoFilter ref="N8:Y155" xr:uid="{2E4DBA23-EC70-435D-9E99-1CE995D8E4BD}"/>
  <sortState xmlns:xlrd2="http://schemas.microsoft.com/office/spreadsheetml/2017/richdata2" ref="N7:V9">
    <sortCondition ref="N3:N8"/>
  </sortState>
  <tableColumns count="12">
    <tableColumn id="1" xr3:uid="{E6944F6E-DC7A-4444-91EA-E0695CC0AB18}" name="Compte" totalsRowLabel="Total" dataDxfId="324" totalsRowDxfId="323"/>
    <tableColumn id="2" xr3:uid="{D892FD20-36CF-4C7E-9C06-2F2B90FB58F2}" name="Désignation" dataDxfId="322" totalsRowDxfId="321"/>
    <tableColumn id="3" xr3:uid="{FC3BAF7A-4CF4-4C07-A59F-05A9B6BEFEB6}" name="BE_Debit" totalsRowFunction="sum" dataDxfId="320" totalsRowDxfId="319" dataCellStyle="Milliers 3"/>
    <tableColumn id="4" xr3:uid="{56516BF9-BC26-48D7-B03E-3CF2D1CB4A1C}" name="BE_Credit" totalsRowFunction="sum" dataDxfId="318" totalsRowDxfId="317" dataCellStyle="Milliers 3"/>
    <tableColumn id="5" xr3:uid="{604D620F-2BF9-443D-81A0-62B5BC1D53F5}" name="Mvt_Debit" totalsRowFunction="sum" dataDxfId="316" totalsRowDxfId="315" dataCellStyle="Milliers 3"/>
    <tableColumn id="6" xr3:uid="{EF265FAA-DE41-42AB-B8E6-5B783BAF2457}" name="Mvt_Credit" totalsRowFunction="sum" dataDxfId="314" totalsRowDxfId="313" dataCellStyle="Milliers 3"/>
    <tableColumn id="7" xr3:uid="{6A421126-98D0-4D2E-8F2E-D8B7332A9B02}" name="BS_Debit" totalsRowFunction="sum" dataDxfId="312" totalsRowDxfId="311" dataCellStyle="Milliers 3"/>
    <tableColumn id="8" xr3:uid="{C9FCEAB2-1FBC-4103-9A16-0AD69BB598FF}" name="BS_Credit" totalsRowFunction="sum" dataDxfId="310" totalsRowDxfId="309" dataCellStyle="Milliers 3"/>
    <tableColumn id="9" xr3:uid="{4C56B9A8-A590-4928-9FCD-7ABE5F1946FD}" name="Table" dataDxfId="308" totalsRowDxfId="307" dataCellStyle="Milliers">
      <calculatedColumnFormula>VALUE(LEFT(BalanceN1[[#This Row],[Compte]]&amp;"00000000",5))</calculatedColumnFormula>
    </tableColumn>
    <tableColumn id="10" xr3:uid="{66BFD37F-1DE6-426F-AF34-32E486D571C3}" name="Vérif" dataDxfId="306" totalsRowDxfId="305" dataCellStyle="Milliers">
      <calculatedColumnFormula array="1">IF(BalanceN1[[#This Row],[Compte]]="",0,_xlfn.IFNA(INDEX(Plan_Comptable[[Table de Compte]:[Sens]],MATCH(VALUE(LEFT(BalanceN1[[#This Row],[Table]],4)),VALUE(Plan_Comptable[Table de Compte]),0),2),"A"))</calculatedColumnFormula>
    </tableColumn>
    <tableColumn id="11" xr3:uid="{07FF41EF-FF65-4E61-A499-EAF9EE451F86}" name="SI" dataDxfId="304" totalsRowDxfId="303" dataCellStyle="Milliers">
      <calculatedColumnFormula>IF(AND(BalanceN1[[#This Row],[Vérif]]="D",BalanceN1[[#This Row],[BS_Credit]]&gt;0),"A",IF(AND(BalanceN1[[#This Row],[Vérif]]="C",BalanceN1[[#This Row],[BS_Debit]]&gt;0),"A",""))</calculatedColumnFormula>
    </tableColumn>
    <tableColumn id="12" xr3:uid="{5AAA6ED2-4508-4538-9120-74EA705BB703}" name="SF" dataDxfId="302" totalsRowDxfId="301" dataCellStyle="Milliers">
      <calculatedColumnFormula>IF(AND(BalanceN1[[#This Row],[Vérif]]="D",BalanceN1[[#This Row],[BE_Credit]]&gt;0),"A",IF(AND(BalanceN1[[#This Row],[Vérif]]="C",BalanceN1[[#This Row],[BE_Debit]]&gt;0),"A",""))</calculatedColumnFormula>
    </tableColumn>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DF957E6-B65E-4014-98D8-D4D48E9D6CB7}" name="TFTN" displayName="TFTN" ref="A13:H34" headerRowDxfId="256" dataDxfId="255" totalsRowDxfId="254" headerRowCellStyle="Normal 3" dataCellStyle="Normal 3" totalsRowCellStyle="Normal 3">
  <sortState xmlns:xlrd2="http://schemas.microsoft.com/office/spreadsheetml/2017/richdata2" ref="A14:H34">
    <sortCondition ref="A10"/>
  </sortState>
  <tableColumns count="8">
    <tableColumn id="1" xr3:uid="{AC9619DC-D15C-4DC6-8D7A-9FA86C8248BB}" name="Compte" totalsRowLabel="Total" dataDxfId="253" totalsRowDxfId="252" dataCellStyle="Milliers"/>
    <tableColumn id="2" xr3:uid="{06AF9CD0-7B5C-413F-AA50-9E0A31DD02B2}" name="Désignation" dataDxfId="251" totalsRowDxfId="250" dataCellStyle="Normal 3"/>
    <tableColumn id="3" xr3:uid="{AB149D85-36E9-4B54-81C5-A63406446113}" name="BE_Debit" totalsRowFunction="sum" dataDxfId="249" totalsRowDxfId="248" dataCellStyle="Normal 3"/>
    <tableColumn id="4" xr3:uid="{3D520BB0-BE9F-416E-A2C7-7E72A715A182}" name="BE_Credit" totalsRowFunction="sum" dataDxfId="247" totalsRowDxfId="246" dataCellStyle="Normal 3"/>
    <tableColumn id="5" xr3:uid="{EEDF7C14-59BC-4074-94C5-DBD91E9523DC}" name="Mvt_Debit" totalsRowFunction="sum" dataDxfId="245" totalsRowDxfId="244" dataCellStyle="Normal 3"/>
    <tableColumn id="6" xr3:uid="{4B80C06E-CE9E-4E90-9EFF-D56FCD6E417F}" name="Mvt_Credit" totalsRowFunction="sum" dataDxfId="243" totalsRowDxfId="242" dataCellStyle="Normal 3"/>
    <tableColumn id="7" xr3:uid="{8BD80A3B-0F87-440F-BA77-9FF82AD534C5}" name="BS_Debit" totalsRowFunction="sum" dataDxfId="241" totalsRowDxfId="240" dataCellStyle="Normal 3">
      <calculatedColumnFormula>IF((TFTN[[#This Row],[BE_Debit]]-TFTN[[#This Row],[BE_Credit]]+TFTN[[#This Row],[Mvt_Debit]]-TFTN[[#This Row],[Mvt_Credit]])&gt;0,TFTN[[#This Row],[BE_Debit]]-TFTN[[#This Row],[BE_Credit]]+TFTN[[#This Row],[Mvt_Debit]]-TFTN[[#This Row],[Mvt_Credit]],0)</calculatedColumnFormula>
    </tableColumn>
    <tableColumn id="8" xr3:uid="{7E277695-3B21-4408-985C-5F48EFBC01F2}" name="BS_Credit" totalsRowFunction="sum" dataDxfId="239" totalsRowDxfId="238" dataCellStyle="Normal 3">
      <calculatedColumnFormula>IF((TFTN[[#This Row],[BE_Debit]]-TFTN[[#This Row],[BE_Credit]]+TFTN[[#This Row],[Mvt_Debit]]-TFTN[[#This Row],[Mvt_Credit]])&gt;0,0,-(TFTN[[#This Row],[BE_Debit]]-TFTN[[#This Row],[BE_Credit]]+TFTN[[#This Row],[Mvt_Debit]]-TFTN[[#This Row],[Mvt_Credit]]))</calculatedColumnFormula>
    </tableColumn>
  </tableColumns>
  <tableStyleInfo name="TableStyleMedium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36790DF-281E-4308-8346-8A65E0B15BB8}" name="TFTN1" displayName="TFTN1" ref="J13:Q34" headerRowDxfId="237" dataDxfId="236" totalsRowDxfId="235" headerRowCellStyle="Normal 3" dataCellStyle="Normal 3" totalsRowCellStyle="Normal 3">
  <sortState xmlns:xlrd2="http://schemas.microsoft.com/office/spreadsheetml/2017/richdata2" ref="J14:Q34">
    <sortCondition ref="J10"/>
  </sortState>
  <tableColumns count="8">
    <tableColumn id="1" xr3:uid="{5EC6158C-124E-4E8E-8670-D7F897EFF354}" name="Compte" totalsRowLabel="Total" dataDxfId="234" totalsRowDxfId="233" dataCellStyle="Milliers"/>
    <tableColumn id="2" xr3:uid="{124237D1-7DF3-42C9-A19E-C76FB75C82D9}" name="Désignation" dataDxfId="232" totalsRowDxfId="231" dataCellStyle="Normal 3"/>
    <tableColumn id="3" xr3:uid="{441401B0-9C2F-43B0-99C4-E1D45B7A7AB7}" name="BE_Debit" totalsRowFunction="sum" dataDxfId="230" totalsRowDxfId="229" dataCellStyle="Normal 3"/>
    <tableColumn id="4" xr3:uid="{971647C4-6C64-4B3A-8CE1-C161968196F8}" name="BE_Credit" totalsRowFunction="sum" dataDxfId="228" totalsRowDxfId="227" dataCellStyle="Normal 3 2"/>
    <tableColumn id="5" xr3:uid="{D1E77218-C627-46D4-AE0E-9682858F5F1D}" name="Mvt_Debit" totalsRowFunction="sum" dataDxfId="226" totalsRowDxfId="225" dataCellStyle="Normal 3"/>
    <tableColumn id="6" xr3:uid="{07CBC2C7-3A73-47E9-A3A3-E107E0AE013A}" name="Mvt_Credit" totalsRowFunction="sum" dataDxfId="224" totalsRowDxfId="223" dataCellStyle="Normal 3"/>
    <tableColumn id="7" xr3:uid="{46A3726B-9515-4376-9572-2A13E95508F6}" name="BS_Debit" totalsRowFunction="sum" dataDxfId="222" totalsRowDxfId="221" dataCellStyle="Normal 3">
      <calculatedColumnFormula>IF((TFTN1[[#This Row],[BE_Debit]]-TFTN1[[#This Row],[BE_Credit]]+TFTN1[[#This Row],[Mvt_Debit]]-TFTN1[[#This Row],[Mvt_Credit]])&gt;0,TFTN1[[#This Row],[BE_Debit]]-TFTN1[[#This Row],[BE_Credit]]+TFTN1[[#This Row],[Mvt_Debit]]-TFTN1[[#This Row],[Mvt_Credit]],0)</calculatedColumnFormula>
    </tableColumn>
    <tableColumn id="8" xr3:uid="{22A77E71-9FAF-4B58-AEB7-A3B02FB159EA}" name="BS_Credit" totalsRowFunction="sum" dataDxfId="220" totalsRowDxfId="219" dataCellStyle="Normal 3">
      <calculatedColumnFormula>IF((TFTN1[[#This Row],[BE_Debit]]-TFTN1[[#This Row],[BE_Credit]]+TFTN1[[#This Row],[Mvt_Debit]]-TFTN1[[#This Row],[Mvt_Credit]])&gt;0,0,-(TFTN1[[#This Row],[BE_Debit]]-TFTN1[[#This Row],[BE_Credit]]+TFTN1[[#This Row],[Mvt_Debit]]-TFTN1[[#This Row],[Mvt_Credit]]))</calculatedColumnFormula>
    </tableColumn>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96067F-DA3F-42F0-A419-8388D2E61E7C}" name="PaysSiege" displayName="PaysSiege" ref="A1:C32" totalsRowShown="0" headerRowDxfId="113" dataDxfId="112">
  <tableColumns count="3">
    <tableColumn id="1" xr3:uid="{930712B3-3901-478B-826D-87256E129DC2}" name="Siège" dataDxfId="111"/>
    <tableColumn id="2" xr3:uid="{51872629-A0D8-4ACB-B34F-FA179BF2867D}" name="1" dataDxfId="110"/>
    <tableColumn id="3" xr3:uid="{84C4BEEF-94E9-4457-BD5E-55D7D49AC608}" name="2" dataDxfId="10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A51F8E-E08A-4A1E-A1E5-2039513331CB}" name="FormeJuridique" displayName="FormeJuridique" ref="E1:F11" totalsRowShown="0" headerRowDxfId="108" dataDxfId="107">
  <tableColumns count="2">
    <tableColumn id="1" xr3:uid="{53D272C1-DCF6-4D5D-BFE5-C8F7F65C7340}" name="Forme" dataDxfId="106"/>
    <tableColumn id="3" xr3:uid="{8C8D9124-4509-42DC-A1E5-60FE8BEB71A0}" name="12" dataDxfId="10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D01C2B-AAD1-4436-8296-E3EA7CA8C9B1}" name="RegimeFiscal" displayName="RegimeFiscal" ref="E13:F17" totalsRowShown="0" headerRowDxfId="104" dataDxfId="103">
  <tableColumns count="2">
    <tableColumn id="1" xr3:uid="{DCD9E4CC-C42D-4099-BDCC-DA16EDB17B00}" name="Régime" dataDxfId="102"/>
    <tableColumn id="2" xr3:uid="{E48510DC-5080-4573-8487-D32CB826F8D0}" name="1" dataDxfId="10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A60027-8359-461D-AE3B-31B854DEBB4C}" name="Tableau8" displayName="Tableau8" ref="A1:CL9" totalsRowShown="0" headerRowDxfId="100" dataDxfId="99">
  <tableColumns count="90">
    <tableColumn id="1" xr3:uid="{5056EBB8-BDBC-4E43-856F-8CB0A8D9C042}" name="NOM" dataDxfId="98"/>
    <tableColumn id="2" xr3:uid="{79DDB291-AA55-4B04-9979-655A12183FAD}" name="Mot de Passe" dataDxfId="97"/>
    <tableColumn id="3" xr3:uid="{8B397A75-5F3E-4188-BE72-E5D4206E6F05}" name="Entreprise" dataDxfId="96"/>
    <tableColumn id="94" xr3:uid="{EEE41031-2814-4079-BF5A-5551915E93B3}" name="parametrage" dataDxfId="95">
      <calculatedColumnFormula>IF(Tableau8[[#This Row],[NOM]]="Admin","x","")</calculatedColumnFormula>
    </tableColumn>
    <tableColumn id="93" xr3:uid="{B3510D67-6563-48F4-BB0C-26626486C0F8}" name="Code" dataDxfId="94">
      <calculatedColumnFormula>IF(Tableau8[[#This Row],[NOM]]="Admin","x","")</calculatedColumnFormula>
    </tableColumn>
    <tableColumn id="95" xr3:uid="{D4B2CD74-F5A6-4082-B264-8AADBF86BAC1}" name="CODE ACTIVITE" dataDxfId="93">
      <calculatedColumnFormula>IF(Tableau8[[#This Row],[NOM]]="Admin","x","")</calculatedColumnFormula>
    </tableColumn>
    <tableColumn id="99" xr3:uid="{FF94D956-C3DC-4E9E-8FC4-9041D4904A0E}" name="Plan comptable" dataDxfId="92">
      <calculatedColumnFormula>IF(Tableau8[[#This Row],[NOM]]="Admin","x","")</calculatedColumnFormula>
    </tableColumn>
    <tableColumn id="106" xr3:uid="{B2A7D73A-8AE5-421C-AE82-DA967B9353F8}" name="Sommaire" dataDxfId="91">
      <calculatedColumnFormula>IF(Tableau8[[#This Row],[NOM]]="","","x")</calculatedColumnFormula>
    </tableColumn>
    <tableColumn id="100" xr3:uid="{1EFDE16B-C160-4BD6-A68A-6A2D8D173CE4}" name="TABLE DE CONVERSION" dataDxfId="90">
      <calculatedColumnFormula>IF(Tableau8[[#This Row],[NOM]]="","","x")</calculatedColumnFormula>
    </tableColumn>
    <tableColumn id="98" xr3:uid="{8A4B7F86-57A7-4064-BF46-E0634638C5F5}" name="COUVERTURE" dataDxfId="89">
      <calculatedColumnFormula>IF(Tableau8[[#This Row],[NOM]]="","","x")</calculatedColumnFormula>
    </tableColumn>
    <tableColumn id="96" xr3:uid="{CDF3AF12-C857-48F6-9FE1-D6AFA70FEA58}" name="GARDE" dataDxfId="88">
      <calculatedColumnFormula>IF(Tableau8[[#This Row],[NOM]]="","","x")</calculatedColumnFormula>
    </tableColumn>
    <tableColumn id="97" xr3:uid="{5E404C24-4038-4C8A-8447-272ABAEF5F80}" name="RECEVABILITE" dataDxfId="87">
      <calculatedColumnFormula>IF(Tableau8[[#This Row],[NOM]]="","","x")</calculatedColumnFormula>
    </tableColumn>
    <tableColumn id="6" xr3:uid="{95E401F5-D12D-42BE-80CB-9BBB030DF297}" name="NOTE36 (TABLE DES CODES)" dataDxfId="86">
      <calculatedColumnFormula>IF(Tableau8[[#This Row],[NOM]]="","","x")</calculatedColumnFormula>
    </tableColumn>
    <tableColumn id="7" xr3:uid="{ACFE798F-7EBC-4A6F-9BCC-3DF667DAE1A7}" name="NOTE36 Suite (Nomenclature)" dataDxfId="85">
      <calculatedColumnFormula>IF(Tableau8[[#This Row],[NOM]]="","","x")</calculatedColumnFormula>
    </tableColumn>
    <tableColumn id="8" xr3:uid="{556AED21-B47B-4563-B23D-9A522A4F2798}" name="FICHE R1" dataDxfId="84">
      <calculatedColumnFormula>IF(Tableau8[[#This Row],[NOM]]="","","x")</calculatedColumnFormula>
    </tableColumn>
    <tableColumn id="9" xr3:uid="{3FF27640-70F8-4208-A9B6-60B0FA2A1262}" name="FICHE R2" dataDxfId="83">
      <calculatedColumnFormula>IF(Tableau8[[#This Row],[NOM]]="","","x")</calculatedColumnFormula>
    </tableColumn>
    <tableColumn id="10" xr3:uid="{B70EB80C-3892-4976-8547-01A15BE4CDC8}" name="FICHE R3" dataDxfId="82">
      <calculatedColumnFormula>IF(Tableau8[[#This Row],[NOM]]="","","x")</calculatedColumnFormula>
    </tableColumn>
    <tableColumn id="11" xr3:uid="{F3C99DA5-1504-4B49-820D-10D55C9CAC25}" name="BILAN" dataDxfId="81">
      <calculatedColumnFormula>IF(Tableau8[[#This Row],[NOM]]="","","x")</calculatedColumnFormula>
    </tableColumn>
    <tableColumn id="12" xr3:uid="{A7EEFB31-7C77-4C26-96A8-3CF0FA2403CE}" name="ACTIF" dataDxfId="80">
      <calculatedColumnFormula>IF(Tableau8[[#This Row],[NOM]]="","","x")</calculatedColumnFormula>
    </tableColumn>
    <tableColumn id="13" xr3:uid="{6C83B8D7-A900-4A2F-8EFC-2614F018DBDB}" name="PASSIF" dataDxfId="79">
      <calculatedColumnFormula>IF(Tableau8[[#This Row],[NOM]]="","","x")</calculatedColumnFormula>
    </tableColumn>
    <tableColumn id="14" xr3:uid="{4473334D-DFCB-41EA-8572-DFC5AAA5839E}" name="RESULTAT" dataDxfId="78">
      <calculatedColumnFormula>IF(Tableau8[[#This Row],[NOM]]="","","x")</calculatedColumnFormula>
    </tableColumn>
    <tableColumn id="15" xr3:uid="{722E52E4-62A6-4510-BD1F-085A29852D4C}" name="TFT" dataDxfId="77">
      <calculatedColumnFormula>IF(Tableau8[[#This Row],[NOM]]="","","x")</calculatedColumnFormula>
    </tableColumn>
    <tableColumn id="16" xr3:uid="{5CE14151-7F24-437B-B0B1-DC41E22E8741}" name="FICHE R4" dataDxfId="76">
      <calculatedColumnFormula>IF(Tableau8[[#This Row],[NOM]]="","","x")</calculatedColumnFormula>
    </tableColumn>
    <tableColumn id="17" xr3:uid="{E1DFB2AB-39FE-4281-8337-9B6CCABE733D}" name="NOTE 1" dataDxfId="75">
      <calculatedColumnFormula>IF(Tableau8[[#This Row],[NOM]]="","","x")</calculatedColumnFormula>
    </tableColumn>
    <tableColumn id="18" xr3:uid="{48F8EE6A-C738-4ED0-BFCA-78D06627272A}" name="NOTE 2" dataDxfId="74">
      <calculatedColumnFormula>IF(Tableau8[[#This Row],[NOM]]="","","x")</calculatedColumnFormula>
    </tableColumn>
    <tableColumn id="19" xr3:uid="{03DC5F44-42D0-4D46-B2EF-72D1E2F07BFD}" name="NOTE 3A" dataDxfId="73">
      <calculatedColumnFormula>IF(Tableau8[[#This Row],[NOM]]="","","x")</calculatedColumnFormula>
    </tableColumn>
    <tableColumn id="20" xr3:uid="{621DAE23-CCC4-4CE6-842A-36747793C1D1}" name="NOTE 3B" dataDxfId="72">
      <calculatedColumnFormula>IF(Tableau8[[#This Row],[NOM]]="","","x")</calculatedColumnFormula>
    </tableColumn>
    <tableColumn id="21" xr3:uid="{8E0DDAE2-30BC-4043-9D10-99614CE38A64}" name="NOTE 3C" dataDxfId="71">
      <calculatedColumnFormula>IF(Tableau8[[#This Row],[NOM]]="","","x")</calculatedColumnFormula>
    </tableColumn>
    <tableColumn id="22" xr3:uid="{D4E43F18-DBA2-4AA4-AC3D-0CA439B3E075}" name="NOTE 3C BIS" dataDxfId="70">
      <calculatedColumnFormula>IF(Tableau8[[#This Row],[NOM]]="","","x")</calculatedColumnFormula>
    </tableColumn>
    <tableColumn id="23" xr3:uid="{18B8FF18-542E-4926-97C7-F76998CC2833}" name="NOTE 3D" dataDxfId="69">
      <calculatedColumnFormula>IF(Tableau8[[#This Row],[NOM]]="","","x")</calculatedColumnFormula>
    </tableColumn>
    <tableColumn id="24" xr3:uid="{DADADD83-FB34-463E-9B6B-A6152028FC45}" name="NOTE 3E" dataDxfId="68">
      <calculatedColumnFormula>IF(Tableau8[[#This Row],[NOM]]="","","x")</calculatedColumnFormula>
    </tableColumn>
    <tableColumn id="25" xr3:uid="{233767BB-71E4-4BEC-B3B3-324A6A650214}" name="NOTE 4" dataDxfId="67">
      <calculatedColumnFormula>IF(Tableau8[[#This Row],[NOM]]="","","x")</calculatedColumnFormula>
    </tableColumn>
    <tableColumn id="26" xr3:uid="{C4EAFF76-311C-44E8-823F-085E9A11AD93}" name="NOTE 5" dataDxfId="66">
      <calculatedColumnFormula>IF(Tableau8[[#This Row],[NOM]]="","","x")</calculatedColumnFormula>
    </tableColumn>
    <tableColumn id="27" xr3:uid="{B064DA7E-A47C-417A-88C9-67545D7A99EC}" name="NOTE 6" dataDxfId="65">
      <calculatedColumnFormula>IF(Tableau8[[#This Row],[NOM]]="","","x")</calculatedColumnFormula>
    </tableColumn>
    <tableColumn id="28" xr3:uid="{D7DC9C3F-F053-4C1B-A684-84DC4ED74D9D}" name="NOTE 7" dataDxfId="64">
      <calculatedColumnFormula>IF(Tableau8[[#This Row],[NOM]]="","","x")</calculatedColumnFormula>
    </tableColumn>
    <tableColumn id="29" xr3:uid="{564940C7-C85E-451D-B47E-C1AFA72F1090}" name="NOTE 8" dataDxfId="63">
      <calculatedColumnFormula>IF(Tableau8[[#This Row],[NOM]]="","","x")</calculatedColumnFormula>
    </tableColumn>
    <tableColumn id="30" xr3:uid="{156EF983-BD67-448D-804B-E6C19167412E}" name="NOTE 8A" dataDxfId="62">
      <calculatedColumnFormula>IF(Tableau8[[#This Row],[NOM]]="","","x")</calculatedColumnFormula>
    </tableColumn>
    <tableColumn id="31" xr3:uid="{449C2A81-122A-44C6-9963-D2C6D570BBB5}" name="NOTE 8B" dataDxfId="61">
      <calculatedColumnFormula>IF(Tableau8[[#This Row],[NOM]]="","","x")</calculatedColumnFormula>
    </tableColumn>
    <tableColumn id="32" xr3:uid="{46857C0B-F44E-40C8-8207-E43BB115D02C}" name="NOTE 8C" dataDxfId="60">
      <calculatedColumnFormula>IF(Tableau8[[#This Row],[NOM]]="","","x")</calculatedColumnFormula>
    </tableColumn>
    <tableColumn id="33" xr3:uid="{2778FB85-5ECA-4022-B1FE-8E70653FB8EA}" name="NOTE 9" dataDxfId="59">
      <calculatedColumnFormula>IF(Tableau8[[#This Row],[NOM]]="","","x")</calculatedColumnFormula>
    </tableColumn>
    <tableColumn id="34" xr3:uid="{EB3AC82B-2DAD-40D0-AC34-8E2A0060D597}" name="NOTE 10" dataDxfId="58">
      <calculatedColumnFormula>IF(Tableau8[[#This Row],[NOM]]="","","x")</calculatedColumnFormula>
    </tableColumn>
    <tableColumn id="35" xr3:uid="{19871404-18BE-48E3-B3AA-46961A91953D}" name="NOTE 11" dataDxfId="57">
      <calculatedColumnFormula>IF(Tableau8[[#This Row],[NOM]]="","","x")</calculatedColumnFormula>
    </tableColumn>
    <tableColumn id="36" xr3:uid="{688D888E-29AC-430F-95CB-08298E5E17FA}" name="NOTE 12" dataDxfId="56">
      <calculatedColumnFormula>IF(Tableau8[[#This Row],[NOM]]="","","x")</calculatedColumnFormula>
    </tableColumn>
    <tableColumn id="37" xr3:uid="{4CA8935C-A918-47A9-A19B-F5CE06EAE0C9}" name="NOTE 13" dataDxfId="55">
      <calculatedColumnFormula>IF(Tableau8[[#This Row],[NOM]]="","","x")</calculatedColumnFormula>
    </tableColumn>
    <tableColumn id="38" xr3:uid="{1E4E2CEE-1E21-4C88-8985-9E06A720F420}" name="NOTE 14" dataDxfId="54">
      <calculatedColumnFormula>IF(Tableau8[[#This Row],[NOM]]="","","x")</calculatedColumnFormula>
    </tableColumn>
    <tableColumn id="39" xr3:uid="{BB3C89BD-8E24-42A6-8EF0-742202788702}" name="NOTE 15A" dataDxfId="53">
      <calculatedColumnFormula>IF(Tableau8[[#This Row],[NOM]]="","","x")</calculatedColumnFormula>
    </tableColumn>
    <tableColumn id="40" xr3:uid="{ABDD6314-54A7-4C45-B35F-D5D17D708DFC}" name="NOTE 15B" dataDxfId="52">
      <calculatedColumnFormula>IF(Tableau8[[#This Row],[NOM]]="","","x")</calculatedColumnFormula>
    </tableColumn>
    <tableColumn id="41" xr3:uid="{ECBAFAE4-4572-4CD9-8747-B7ACE87467F3}" name="NOTE 16A" dataDxfId="51">
      <calculatedColumnFormula>IF(Tableau8[[#This Row],[NOM]]="","","x")</calculatedColumnFormula>
    </tableColumn>
    <tableColumn id="42" xr3:uid="{70AC0247-AE41-44E5-AA70-FA52AD370916}" name="NOTE 16B" dataDxfId="50">
      <calculatedColumnFormula>IF(Tableau8[[#This Row],[NOM]]="","","x")</calculatedColumnFormula>
    </tableColumn>
    <tableColumn id="43" xr3:uid="{90F65A10-9C05-4700-9266-F45D105AD8C5}" name="NOTE 16B BIS" dataDxfId="49">
      <calculatedColumnFormula>IF(Tableau8[[#This Row],[NOM]]="","","x")</calculatedColumnFormula>
    </tableColumn>
    <tableColumn id="44" xr3:uid="{CE3121E9-09A2-499E-A4F6-AB9CF2104ABD}" name="NOTE 16C" dataDxfId="48">
      <calculatedColumnFormula>IF(Tableau8[[#This Row],[NOM]]="","","x")</calculatedColumnFormula>
    </tableColumn>
    <tableColumn id="45" xr3:uid="{645F8930-E3A5-46ED-9243-BABBE07DB20F}" name="NOTE 17" dataDxfId="47">
      <calculatedColumnFormula>IF(Tableau8[[#This Row],[NOM]]="","","x")</calculatedColumnFormula>
    </tableColumn>
    <tableColumn id="46" xr3:uid="{0E46C294-D051-4B12-8B79-1FA5C67995FD}" name="NOTE 18" dataDxfId="46">
      <calculatedColumnFormula>IF(Tableau8[[#This Row],[NOM]]="","","x")</calculatedColumnFormula>
    </tableColumn>
    <tableColumn id="47" xr3:uid="{D4E9F379-9698-45D3-B75B-AAE21430ECD9}" name="NOTE 19" dataDxfId="45">
      <calculatedColumnFormula>IF(Tableau8[[#This Row],[NOM]]="","","x")</calculatedColumnFormula>
    </tableColumn>
    <tableColumn id="48" xr3:uid="{2BCA6D07-CDC7-4441-BB3F-81D373059CF0}" name="NOTE 20" dataDxfId="44">
      <calculatedColumnFormula>IF(Tableau8[[#This Row],[NOM]]="","","x")</calculatedColumnFormula>
    </tableColumn>
    <tableColumn id="49" xr3:uid="{185719FE-ADB2-43A6-8315-E5F2DD10CD6D}" name="NOTE 21" dataDxfId="43">
      <calculatedColumnFormula>IF(Tableau8[[#This Row],[NOM]]="","","x")</calculatedColumnFormula>
    </tableColumn>
    <tableColumn id="50" xr3:uid="{5604E9EF-822D-49B3-AA1F-BDDB95E74525}" name="NOTE 22" dataDxfId="42">
      <calculatedColumnFormula>IF(Tableau8[[#This Row],[NOM]]="","","x")</calculatedColumnFormula>
    </tableColumn>
    <tableColumn id="51" xr3:uid="{1C16688B-0EF8-4110-B402-2C60AA2BED69}" name="NOTE 23" dataDxfId="41">
      <calculatedColumnFormula>IF(Tableau8[[#This Row],[NOM]]="","","x")</calculatedColumnFormula>
    </tableColumn>
    <tableColumn id="52" xr3:uid="{D1A323D5-9134-42FE-9CC3-0EB7AFBB518D}" name="NOTE 24" dataDxfId="40">
      <calculatedColumnFormula>IF(Tableau8[[#This Row],[NOM]]="","","x")</calculatedColumnFormula>
    </tableColumn>
    <tableColumn id="53" xr3:uid="{93D9B82A-58FB-4751-B743-C10D203E0EA4}" name="NOTE 25" dataDxfId="39">
      <calculatedColumnFormula>IF(Tableau8[[#This Row],[NOM]]="","","x")</calculatedColumnFormula>
    </tableColumn>
    <tableColumn id="54" xr3:uid="{6D265111-A6F3-412E-84BE-47361B5B4971}" name="NOTE 26" dataDxfId="38">
      <calculatedColumnFormula>IF(Tableau8[[#This Row],[NOM]]="","","x")</calculatedColumnFormula>
    </tableColumn>
    <tableColumn id="55" xr3:uid="{6177B5E2-8BCF-4ED9-AF10-D201E218C8F0}" name="NOTE 27A" dataDxfId="37">
      <calculatedColumnFormula>IF(Tableau8[[#This Row],[NOM]]="","","x")</calculatedColumnFormula>
    </tableColumn>
    <tableColumn id="56" xr3:uid="{6CB30958-5DF2-4E03-913A-C47A6B66E68F}" name="NOTE 27B" dataDxfId="36">
      <calculatedColumnFormula>IF(Tableau8[[#This Row],[NOM]]="","","x")</calculatedColumnFormula>
    </tableColumn>
    <tableColumn id="57" xr3:uid="{31692F8E-F86D-4148-983E-1E22FC50DD08}" name="NOTE 28" dataDxfId="35">
      <calculatedColumnFormula>IF(Tableau8[[#This Row],[NOM]]="","","x")</calculatedColumnFormula>
    </tableColumn>
    <tableColumn id="58" xr3:uid="{E21C3F4B-A896-47A5-B6F9-F427BD2BC1AA}" name="NOTE 29" dataDxfId="34">
      <calculatedColumnFormula>IF(Tableau8[[#This Row],[NOM]]="","","x")</calculatedColumnFormula>
    </tableColumn>
    <tableColumn id="59" xr3:uid="{0A417C6F-887F-4BCB-9B9C-9B7FC7572A8A}" name="NOTE 30" dataDxfId="33">
      <calculatedColumnFormula>IF(Tableau8[[#This Row],[NOM]]="","","x")</calculatedColumnFormula>
    </tableColumn>
    <tableColumn id="60" xr3:uid="{2DB94DA9-864F-4493-B247-207A1BFAE956}" name="NOTE 31" dataDxfId="32">
      <calculatedColumnFormula>IF(Tableau8[[#This Row],[NOM]]="","","x")</calculatedColumnFormula>
    </tableColumn>
    <tableColumn id="61" xr3:uid="{09511B8E-0716-4B79-9FF3-16A16E81C4AB}" name="NOTE 32" dataDxfId="31">
      <calculatedColumnFormula>IF(Tableau8[[#This Row],[NOM]]="","","x")</calculatedColumnFormula>
    </tableColumn>
    <tableColumn id="62" xr3:uid="{A746D430-5B24-4C73-9D29-308618AFD6E0}" name="NOTE 33" dataDxfId="30">
      <calculatedColumnFormula>IF(Tableau8[[#This Row],[NOM]]="","","x")</calculatedColumnFormula>
    </tableColumn>
    <tableColumn id="63" xr3:uid="{B8A09253-AADD-44C4-A669-3660161351E2}" name="NOTE 34" dataDxfId="29">
      <calculatedColumnFormula>IF(Tableau8[[#This Row],[NOM]]="","","x")</calculatedColumnFormula>
    </tableColumn>
    <tableColumn id="64" xr3:uid="{1DCA2E34-0A43-4EBF-BAF9-B4E3058D342B}" name="NOTE 35" dataDxfId="28">
      <calculatedColumnFormula>IF(Tableau8[[#This Row],[NOM]]="","","x")</calculatedColumnFormula>
    </tableColumn>
    <tableColumn id="65" xr3:uid="{0EE06697-8416-4BF4-B2B1-68A34ACCF964}" name="NOTE 37" dataDxfId="27">
      <calculatedColumnFormula>IF(Tableau8[[#This Row],[NOM]]="","","x")</calculatedColumnFormula>
    </tableColumn>
    <tableColumn id="66" xr3:uid="{8F632C92-D457-4432-BE86-295C7A8435AD}" name="NOTE 38" dataDxfId="26">
      <calculatedColumnFormula>IF(Tableau8[[#This Row],[NOM]]="","","x")</calculatedColumnFormula>
    </tableColumn>
    <tableColumn id="67" xr3:uid="{1DE1A237-520D-47D0-9599-767DED0514EC}" name="NOTE 39" dataDxfId="25">
      <calculatedColumnFormula>IF(Tableau8[[#This Row],[NOM]]="","","x")</calculatedColumnFormula>
    </tableColumn>
    <tableColumn id="68" xr3:uid="{2BD2365A-53BA-47B7-9DC9-AB3B27809B3A}" name="GARDE (DGI-INS)" dataDxfId="24">
      <calculatedColumnFormula>IF(Tableau8[[#This Row],[NOM]]="","","x")</calculatedColumnFormula>
    </tableColumn>
    <tableColumn id="69" xr3:uid="{1AC69A07-95AD-4F70-AA36-0470752CEEA1}" name="NOTES DGI - INS" dataDxfId="23">
      <calculatedColumnFormula>IF(Tableau8[[#This Row],[NOM]]="","","x")</calculatedColumnFormula>
    </tableColumn>
    <tableColumn id="70" xr3:uid="{6E455F29-B1A9-47A6-917B-B4CE55034A87}" name="COMP-CHARGES" dataDxfId="22">
      <calculatedColumnFormula>IF(Tableau8[[#This Row],[NOM]]="","","x")</calculatedColumnFormula>
    </tableColumn>
    <tableColumn id="71" xr3:uid="{AA090419-5C7A-40CC-A037-D25E75F31969}" name="COMP-TVA" dataDxfId="21">
      <calculatedColumnFormula>IF(Tableau8[[#This Row],[NOM]]="","","x")</calculatedColumnFormula>
    </tableColumn>
    <tableColumn id="72" xr3:uid="{52CB16EE-51D7-4019-B670-1CB78EC2C414}" name="COMP-TVA (2)" dataDxfId="20">
      <calculatedColumnFormula>IF(Tableau8[[#This Row],[NOM]]="","","x")</calculatedColumnFormula>
    </tableColumn>
    <tableColumn id="73" xr3:uid="{0D20CC8D-78B6-4EA6-98F6-BBBEB18DF8BA}" name="SUPPL1" dataDxfId="19">
      <calculatedColumnFormula>IF(Tableau8[[#This Row],[NOM]]="","","x")</calculatedColumnFormula>
    </tableColumn>
    <tableColumn id="74" xr3:uid="{FD0168A0-0544-4504-B2C6-DD73C47B5B79}" name="SUPPL2" dataDxfId="18">
      <calculatedColumnFormula>IF(Tableau8[[#This Row],[NOM]]="","","x")</calculatedColumnFormula>
    </tableColumn>
    <tableColumn id="75" xr3:uid="{7EE92AFA-4132-4901-9476-9771AC91132D}" name="SUPPL3" dataDxfId="17">
      <calculatedColumnFormula>IF(Tableau8[[#This Row],[NOM]]="","","x")</calculatedColumnFormula>
    </tableColumn>
    <tableColumn id="76" xr3:uid="{BF62EEC6-608A-476B-BFDC-85409F977323}" name="SUPPL4" dataDxfId="16">
      <calculatedColumnFormula>IF(Tableau8[[#This Row],[NOM]]="","","x")</calculatedColumnFormula>
    </tableColumn>
    <tableColumn id="77" xr3:uid="{DA3B3D59-8B16-45DC-A536-4B5D92CAB9F3}" name="SUPPL5" dataDxfId="15">
      <calculatedColumnFormula>IF(Tableau8[[#This Row],[NOM]]="","","x")</calculatedColumnFormula>
    </tableColumn>
    <tableColumn id="78" xr3:uid="{6640FE1B-2828-48AE-B3EE-944FC3B6AF43}" name="SUPPL6" dataDxfId="14">
      <calculatedColumnFormula>IF(Tableau8[[#This Row],[NOM]]="","","x")</calculatedColumnFormula>
    </tableColumn>
    <tableColumn id="79" xr3:uid="{2C2EF4B8-C83A-46D0-A431-1CB0CFB0A601}" name="SUPPL7" dataDxfId="13">
      <calculatedColumnFormula>IF(Tableau8[[#This Row],[NOM]]="","","x")</calculatedColumnFormula>
    </tableColumn>
    <tableColumn id="80" xr3:uid="{D9D1D4F8-D747-456C-8AA3-E957E61DCAD1}" name="Table TFT" dataDxfId="12">
      <calculatedColumnFormula>IF(Tableau8[[#This Row],[NOM]]="","","x")</calculatedColumnFormula>
    </tableColumn>
    <tableColumn id="81" xr3:uid="{4ACD3B83-B213-4C8F-82D0-37CEFDD2B5BF}" name="TBFT" dataDxfId="11">
      <calculatedColumnFormula>IF(Tableau8[[#This Row],[NOM]]="","","x")</calculatedColumnFormula>
    </tableColumn>
    <tableColumn id="92" xr3:uid="{11B6967B-4D27-4DD0-9DAF-A2311D38A516}" name="COMMENTAIRE" dataDxfId="10">
      <calculatedColumnFormula>IF(Tableau8[[#This Row],[NOM]]="","","x")</calculatedColumnFormula>
    </tableColumn>
    <tableColumn id="4" xr3:uid="{76E863EF-CE93-488C-8DEE-DEF18466E0E1}" name="Contrôle Mouvement" dataDxfId="9">
      <calculatedColumnFormula>IF(Tableau8[[#This Row],[NOM]]="","","x")</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B21E39F-7F50-4912-9E82-97582504DFF9}" name="Plan_Comptable" displayName="Plan_Comptable" ref="D1:J1371" totalsRowShown="0" headerRowDxfId="8" dataDxfId="7">
  <autoFilter ref="D1:J1371" xr:uid="{00000000-0009-0000-0100-000011000000}"/>
  <tableColumns count="7">
    <tableColumn id="1" xr3:uid="{0CDACA91-0138-48A9-AE9D-15AC8E26B92E}" name="CLASSE" dataDxfId="6"/>
    <tableColumn id="2" xr3:uid="{2294D098-E801-45A3-A2D4-CC943887AE8B}" name="Section" dataDxfId="5"/>
    <tableColumn id="3" xr3:uid="{5ED07B82-E523-44C1-B961-4BB28534A9D1}" name="Compte" dataDxfId="4"/>
    <tableColumn id="4" xr3:uid="{3CE46B30-38F3-439D-95BB-F8E94903B39A}" name="Sous-compte" dataDxfId="3"/>
    <tableColumn id="5" xr3:uid="{083E729F-D89C-4495-902E-4F0F9AD7DB87}" name="Désignation" dataDxfId="2"/>
    <tableColumn id="6" xr3:uid="{DC66B49F-DCAC-4B6B-A7E1-6B35CE3FEEC6}" name="Table de Compte" dataDxfId="1">
      <calculatedColumnFormula>IF(Plan_Comptable[[#This Row],[Sous-compte]]="","",LEFT(Plan_Comptable[[#This Row],[Sous-compte]]&amp;"00",4))</calculatedColumnFormula>
    </tableColumn>
    <tableColumn id="7" xr3:uid="{D1EDE142-9B16-449E-99B4-EA9418542258}" name="Sen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6.bin"/><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6" Type="http://schemas.openxmlformats.org/officeDocument/2006/relationships/ctrlProp" Target="../ctrlProps/ctrlProp22.xml"/><Relationship Id="rId21" Type="http://schemas.openxmlformats.org/officeDocument/2006/relationships/ctrlProp" Target="../ctrlProps/ctrlProp17.xml"/><Relationship Id="rId42" Type="http://schemas.openxmlformats.org/officeDocument/2006/relationships/ctrlProp" Target="../ctrlProps/ctrlProp38.xml"/><Relationship Id="rId47" Type="http://schemas.openxmlformats.org/officeDocument/2006/relationships/ctrlProp" Target="../ctrlProps/ctrlProp43.xml"/><Relationship Id="rId63" Type="http://schemas.openxmlformats.org/officeDocument/2006/relationships/ctrlProp" Target="../ctrlProps/ctrlProp59.xml"/><Relationship Id="rId68" Type="http://schemas.openxmlformats.org/officeDocument/2006/relationships/ctrlProp" Target="../ctrlProps/ctrlProp64.xml"/><Relationship Id="rId16" Type="http://schemas.openxmlformats.org/officeDocument/2006/relationships/ctrlProp" Target="../ctrlProps/ctrlProp12.xml"/><Relationship Id="rId11" Type="http://schemas.openxmlformats.org/officeDocument/2006/relationships/ctrlProp" Target="../ctrlProps/ctrlProp7.xml"/><Relationship Id="rId32" Type="http://schemas.openxmlformats.org/officeDocument/2006/relationships/ctrlProp" Target="../ctrlProps/ctrlProp28.xml"/><Relationship Id="rId37" Type="http://schemas.openxmlformats.org/officeDocument/2006/relationships/ctrlProp" Target="../ctrlProps/ctrlProp33.xml"/><Relationship Id="rId53" Type="http://schemas.openxmlformats.org/officeDocument/2006/relationships/ctrlProp" Target="../ctrlProps/ctrlProp49.xml"/><Relationship Id="rId58" Type="http://schemas.openxmlformats.org/officeDocument/2006/relationships/ctrlProp" Target="../ctrlProps/ctrlProp54.xml"/><Relationship Id="rId74" Type="http://schemas.openxmlformats.org/officeDocument/2006/relationships/ctrlProp" Target="../ctrlProps/ctrlProp70.xml"/><Relationship Id="rId79" Type="http://schemas.openxmlformats.org/officeDocument/2006/relationships/ctrlProp" Target="../ctrlProps/ctrlProp75.xml"/><Relationship Id="rId5" Type="http://schemas.openxmlformats.org/officeDocument/2006/relationships/ctrlProp" Target="../ctrlProps/ctrlProp1.xml"/><Relationship Id="rId61" Type="http://schemas.openxmlformats.org/officeDocument/2006/relationships/ctrlProp" Target="../ctrlProps/ctrlProp57.xml"/><Relationship Id="rId82" Type="http://schemas.openxmlformats.org/officeDocument/2006/relationships/comments" Target="../comments1.xml"/><Relationship Id="rId19" Type="http://schemas.openxmlformats.org/officeDocument/2006/relationships/ctrlProp" Target="../ctrlProps/ctrlProp1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56" Type="http://schemas.openxmlformats.org/officeDocument/2006/relationships/ctrlProp" Target="../ctrlProps/ctrlProp52.xml"/><Relationship Id="rId64" Type="http://schemas.openxmlformats.org/officeDocument/2006/relationships/ctrlProp" Target="../ctrlProps/ctrlProp60.xml"/><Relationship Id="rId69" Type="http://schemas.openxmlformats.org/officeDocument/2006/relationships/ctrlProp" Target="../ctrlProps/ctrlProp65.xml"/><Relationship Id="rId77" Type="http://schemas.openxmlformats.org/officeDocument/2006/relationships/ctrlProp" Target="../ctrlProps/ctrlProp73.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80" Type="http://schemas.openxmlformats.org/officeDocument/2006/relationships/ctrlProp" Target="../ctrlProps/ctrlProp76.xml"/><Relationship Id="rId3" Type="http://schemas.openxmlformats.org/officeDocument/2006/relationships/drawing" Target="../drawings/drawing5.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59" Type="http://schemas.openxmlformats.org/officeDocument/2006/relationships/ctrlProp" Target="../ctrlProps/ctrlProp55.xml"/><Relationship Id="rId67" Type="http://schemas.openxmlformats.org/officeDocument/2006/relationships/ctrlProp" Target="../ctrlProps/ctrlProp63.xml"/><Relationship Id="rId20" Type="http://schemas.openxmlformats.org/officeDocument/2006/relationships/ctrlProp" Target="../ctrlProps/ctrlProp16.xml"/><Relationship Id="rId41" Type="http://schemas.openxmlformats.org/officeDocument/2006/relationships/ctrlProp" Target="../ctrlProps/ctrlProp37.xml"/><Relationship Id="rId54" Type="http://schemas.openxmlformats.org/officeDocument/2006/relationships/ctrlProp" Target="../ctrlProps/ctrlProp50.xml"/><Relationship Id="rId62" Type="http://schemas.openxmlformats.org/officeDocument/2006/relationships/ctrlProp" Target="../ctrlProps/ctrlProp58.xml"/><Relationship Id="rId70" Type="http://schemas.openxmlformats.org/officeDocument/2006/relationships/ctrlProp" Target="../ctrlProps/ctrlProp66.xml"/><Relationship Id="rId75" Type="http://schemas.openxmlformats.org/officeDocument/2006/relationships/ctrlProp" Target="../ctrlProps/ctrlProp71.xml"/><Relationship Id="rId1" Type="http://schemas.openxmlformats.org/officeDocument/2006/relationships/hyperlink" Target="mailto:info@befils.com" TargetMode="External"/><Relationship Id="rId6" Type="http://schemas.openxmlformats.org/officeDocument/2006/relationships/ctrlProp" Target="../ctrlProps/ctrlProp2.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57" Type="http://schemas.openxmlformats.org/officeDocument/2006/relationships/ctrlProp" Target="../ctrlProps/ctrlProp53.xml"/><Relationship Id="rId10" Type="http://schemas.openxmlformats.org/officeDocument/2006/relationships/ctrlProp" Target="../ctrlProps/ctrlProp6.xml"/><Relationship Id="rId31" Type="http://schemas.openxmlformats.org/officeDocument/2006/relationships/ctrlProp" Target="../ctrlProps/ctrlProp27.xml"/><Relationship Id="rId44" Type="http://schemas.openxmlformats.org/officeDocument/2006/relationships/ctrlProp" Target="../ctrlProps/ctrlProp40.xml"/><Relationship Id="rId52" Type="http://schemas.openxmlformats.org/officeDocument/2006/relationships/ctrlProp" Target="../ctrlProps/ctrlProp48.xml"/><Relationship Id="rId60" Type="http://schemas.openxmlformats.org/officeDocument/2006/relationships/ctrlProp" Target="../ctrlProps/ctrlProp56.xml"/><Relationship Id="rId65" Type="http://schemas.openxmlformats.org/officeDocument/2006/relationships/ctrlProp" Target="../ctrlProps/ctrlProp61.xml"/><Relationship Id="rId73" Type="http://schemas.openxmlformats.org/officeDocument/2006/relationships/ctrlProp" Target="../ctrlProps/ctrlProp69.xml"/><Relationship Id="rId78" Type="http://schemas.openxmlformats.org/officeDocument/2006/relationships/ctrlProp" Target="../ctrlProps/ctrlProp74.xml"/><Relationship Id="rId81" Type="http://schemas.openxmlformats.org/officeDocument/2006/relationships/ctrlProp" Target="../ctrlProps/ctrlProp77.xml"/><Relationship Id="rId4" Type="http://schemas.openxmlformats.org/officeDocument/2006/relationships/vmlDrawing" Target="../drawings/vmlDrawing1.vml"/><Relationship Id="rId9" Type="http://schemas.openxmlformats.org/officeDocument/2006/relationships/ctrlProp" Target="../ctrlProps/ctrlProp5.xml"/><Relationship Id="rId13" Type="http://schemas.openxmlformats.org/officeDocument/2006/relationships/ctrlProp" Target="../ctrlProps/ctrlProp9.xml"/><Relationship Id="rId18" Type="http://schemas.openxmlformats.org/officeDocument/2006/relationships/ctrlProp" Target="../ctrlProps/ctrlProp14.xml"/><Relationship Id="rId39" Type="http://schemas.openxmlformats.org/officeDocument/2006/relationships/ctrlProp" Target="../ctrlProps/ctrlProp35.xml"/><Relationship Id="rId34" Type="http://schemas.openxmlformats.org/officeDocument/2006/relationships/ctrlProp" Target="../ctrlProps/ctrlProp30.xml"/><Relationship Id="rId50" Type="http://schemas.openxmlformats.org/officeDocument/2006/relationships/ctrlProp" Target="../ctrlProps/ctrlProp46.xml"/><Relationship Id="rId55" Type="http://schemas.openxmlformats.org/officeDocument/2006/relationships/ctrlProp" Target="../ctrlProps/ctrlProp51.xml"/><Relationship Id="rId76" Type="http://schemas.openxmlformats.org/officeDocument/2006/relationships/ctrlProp" Target="../ctrlProps/ctrlProp72.xml"/><Relationship Id="rId7" Type="http://schemas.openxmlformats.org/officeDocument/2006/relationships/ctrlProp" Target="../ctrlProps/ctrlProp3.xml"/><Relationship Id="rId71" Type="http://schemas.openxmlformats.org/officeDocument/2006/relationships/ctrlProp" Target="../ctrlProps/ctrlProp67.xml"/><Relationship Id="rId2" Type="http://schemas.openxmlformats.org/officeDocument/2006/relationships/printerSettings" Target="../printerSettings/printerSettings7.bin"/><Relationship Id="rId29" Type="http://schemas.openxmlformats.org/officeDocument/2006/relationships/ctrlProp" Target="../ctrlProps/ctrlProp25.xml"/><Relationship Id="rId24" Type="http://schemas.openxmlformats.org/officeDocument/2006/relationships/ctrlProp" Target="../ctrlProps/ctrlProp20.xml"/><Relationship Id="rId40" Type="http://schemas.openxmlformats.org/officeDocument/2006/relationships/ctrlProp" Target="../ctrlProps/ctrlProp36.xml"/><Relationship Id="rId45" Type="http://schemas.openxmlformats.org/officeDocument/2006/relationships/ctrlProp" Target="../ctrlProps/ctrlProp41.xml"/><Relationship Id="rId66" Type="http://schemas.openxmlformats.org/officeDocument/2006/relationships/ctrlProp" Target="../ctrlProps/ctrlProp6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trlProp" Target="../ctrlProps/ctrlProp78.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ctrlProp" Target="../ctrlProps/ctrlProp80.xml"/><Relationship Id="rId4" Type="http://schemas.openxmlformats.org/officeDocument/2006/relationships/ctrlProp" Target="../ctrlProps/ctrlProp7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1.xml"/><Relationship Id="rId1" Type="http://schemas.openxmlformats.org/officeDocument/2006/relationships/printerSettings" Target="../printerSettings/printerSettings31.bin"/><Relationship Id="rId4" Type="http://schemas.openxmlformats.org/officeDocument/2006/relationships/ctrlProp" Target="../ctrlProps/ctrlProp81.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2.xml"/><Relationship Id="rId1" Type="http://schemas.openxmlformats.org/officeDocument/2006/relationships/printerSettings" Target="../printerSettings/printerSettings32.bin"/><Relationship Id="rId4" Type="http://schemas.openxmlformats.org/officeDocument/2006/relationships/ctrlProp" Target="../ctrlProps/ctrlProp82.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ctrlProp" Target="../ctrlProps/ctrlProp86.xml"/><Relationship Id="rId2" Type="http://schemas.openxmlformats.org/officeDocument/2006/relationships/drawing" Target="../drawings/drawing43.xml"/><Relationship Id="rId1" Type="http://schemas.openxmlformats.org/officeDocument/2006/relationships/printerSettings" Target="../printerSettings/printerSettings43.bin"/><Relationship Id="rId6" Type="http://schemas.openxmlformats.org/officeDocument/2006/relationships/ctrlProp" Target="../ctrlProps/ctrlProp85.xml"/><Relationship Id="rId5" Type="http://schemas.openxmlformats.org/officeDocument/2006/relationships/ctrlProp" Target="../ctrlProps/ctrlProp84.xml"/><Relationship Id="rId4" Type="http://schemas.openxmlformats.org/officeDocument/2006/relationships/ctrlProp" Target="../ctrlProps/ctrlProp83.xml"/></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4.xml"/><Relationship Id="rId1" Type="http://schemas.openxmlformats.org/officeDocument/2006/relationships/printerSettings" Target="../printerSettings/printerSettings44.bin"/><Relationship Id="rId4" Type="http://schemas.openxmlformats.org/officeDocument/2006/relationships/ctrlProp" Target="../ctrlProps/ctrlProp87.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1.xml"/><Relationship Id="rId1" Type="http://schemas.openxmlformats.org/officeDocument/2006/relationships/printerSettings" Target="../printerSettings/printerSettings51.bin"/><Relationship Id="rId5" Type="http://schemas.openxmlformats.org/officeDocument/2006/relationships/ctrlProp" Target="../ctrlProps/ctrlProp89.xml"/><Relationship Id="rId4" Type="http://schemas.openxmlformats.org/officeDocument/2006/relationships/ctrlProp" Target="../ctrlProps/ctrlProp88.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6.xml"/><Relationship Id="rId1" Type="http://schemas.openxmlformats.org/officeDocument/2006/relationships/printerSettings" Target="../printerSettings/printerSettings56.bin"/><Relationship Id="rId4" Type="http://schemas.openxmlformats.org/officeDocument/2006/relationships/ctrlProp" Target="../ctrlProps/ctrlProp90.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59.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2.bin"/></Relationships>
</file>

<file path=xl/worksheets/_rels/sheet68.xml.rels><?xml version="1.0" encoding="UTF-8" standalone="yes"?>
<Relationships xmlns="http://schemas.openxmlformats.org/package/2006/relationships"><Relationship Id="rId3" Type="http://schemas.openxmlformats.org/officeDocument/2006/relationships/ctrlProp" Target="../ctrlProps/ctrlProp91.xml"/><Relationship Id="rId2" Type="http://schemas.openxmlformats.org/officeDocument/2006/relationships/vmlDrawing" Target="../drawings/vmlDrawing10.vml"/><Relationship Id="rId1" Type="http://schemas.openxmlformats.org/officeDocument/2006/relationships/drawing" Target="../drawings/drawing66.xml"/><Relationship Id="rId4" Type="http://schemas.openxmlformats.org/officeDocument/2006/relationships/ctrlProp" Target="../ctrlProps/ctrlProp92.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3.bin"/></Relationships>
</file>

<file path=xl/worksheets/_rels/sheet7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68.xml"/><Relationship Id="rId1" Type="http://schemas.openxmlformats.org/officeDocument/2006/relationships/printerSettings" Target="../printerSettings/printerSettings64.bin"/><Relationship Id="rId4" Type="http://schemas.openxmlformats.org/officeDocument/2006/relationships/ctrlProp" Target="../ctrlProps/ctrlProp93.xml"/></Relationships>
</file>

<file path=xl/worksheets/_rels/sheet71.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69.xml"/><Relationship Id="rId1" Type="http://schemas.openxmlformats.org/officeDocument/2006/relationships/printerSettings" Target="../printerSettings/printerSettings65.bin"/><Relationship Id="rId4" Type="http://schemas.openxmlformats.org/officeDocument/2006/relationships/ctrlProp" Target="../ctrlProps/ctrlProp94.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66.bin"/></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67.bin"/></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68.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69.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0.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1.bin"/></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80.xml"/><Relationship Id="rId1" Type="http://schemas.openxmlformats.org/officeDocument/2006/relationships/printerSettings" Target="../printerSettings/printerSettings72.bin"/><Relationship Id="rId4" Type="http://schemas.openxmlformats.org/officeDocument/2006/relationships/ctrlProp" Target="../ctrlProps/ctrlProp95.xml"/></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73.bin"/></Relationships>
</file>

<file path=xl/worksheets/_rels/sheet8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82.xml"/><Relationship Id="rId1" Type="http://schemas.openxmlformats.org/officeDocument/2006/relationships/printerSettings" Target="../printerSettings/printerSettings74.bin"/><Relationship Id="rId4" Type="http://schemas.openxmlformats.org/officeDocument/2006/relationships/ctrlProp" Target="../ctrlProps/ctrlProp96.xml"/></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75.bin"/></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85.xml"/><Relationship Id="rId1" Type="http://schemas.openxmlformats.org/officeDocument/2006/relationships/printerSettings" Target="../printerSettings/printerSettings76.bin"/><Relationship Id="rId5" Type="http://schemas.openxmlformats.org/officeDocument/2006/relationships/ctrlProp" Target="../ctrlProps/ctrlProp98.xml"/><Relationship Id="rId4" Type="http://schemas.openxmlformats.org/officeDocument/2006/relationships/ctrlProp" Target="../ctrlProps/ctrlProp97.xml"/></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77.bin"/></Relationships>
</file>

<file path=xl/worksheets/_rels/sheet9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8.bin"/><Relationship Id="rId4" Type="http://schemas.openxmlformats.org/officeDocument/2006/relationships/table" Target="../tables/table13.xml"/></Relationships>
</file>

<file path=xl/worksheets/_rels/sheet9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printerSettings" Target="../printerSettings/printerSettings79.bin"/><Relationship Id="rId1" Type="http://schemas.openxmlformats.org/officeDocument/2006/relationships/hyperlink" Target="mailto:*B@rn1986*" TargetMode="External"/></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93.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8262-CC11-45C9-9B10-B87D5F15A040}">
  <sheetPr codeName="Feuil1">
    <tabColor theme="4" tint="-0.499984740745262"/>
  </sheetPr>
  <dimension ref="A1:L457"/>
  <sheetViews>
    <sheetView topLeftCell="B1" zoomScaleNormal="100" workbookViewId="0">
      <selection activeCell="J17" sqref="J17"/>
    </sheetView>
  </sheetViews>
  <sheetFormatPr baseColWidth="10" defaultRowHeight="14.4"/>
  <cols>
    <col min="6" max="6" width="31.68359375" customWidth="1"/>
    <col min="7" max="7" width="26.5234375" customWidth="1"/>
    <col min="8" max="8" width="21.1015625" customWidth="1"/>
    <col min="9" max="9" width="36.89453125" customWidth="1"/>
    <col min="10" max="10" width="33.3125" customWidth="1"/>
    <col min="11" max="11" width="31.5234375" customWidth="1"/>
    <col min="12" max="12" width="27.41796875" customWidth="1"/>
    <col min="13" max="15" width="33.3125" customWidth="1"/>
    <col min="16" max="16" width="30.3125" customWidth="1"/>
  </cols>
  <sheetData>
    <row r="1" spans="1:12" ht="14.4" customHeight="1">
      <c r="A1" s="21" t="s">
        <v>8993</v>
      </c>
      <c r="B1" s="102" t="s">
        <v>9094</v>
      </c>
      <c r="C1" s="1283" t="s">
        <v>9011</v>
      </c>
      <c r="D1" s="1284"/>
      <c r="E1" s="1284"/>
      <c r="F1" s="1284"/>
      <c r="G1" s="102" t="s">
        <v>9614</v>
      </c>
      <c r="H1" s="101" t="s">
        <v>3550</v>
      </c>
      <c r="I1" s="1283" t="s">
        <v>2970</v>
      </c>
      <c r="J1" s="1287"/>
      <c r="K1" s="102" t="s">
        <v>9236</v>
      </c>
      <c r="L1" s="102" t="s">
        <v>3560</v>
      </c>
    </row>
    <row r="2" spans="1:12" ht="14.4" customHeight="1">
      <c r="A2" s="22" t="s">
        <v>8994</v>
      </c>
      <c r="B2" s="22" t="s">
        <v>1066</v>
      </c>
      <c r="C2" s="22" t="s">
        <v>1082</v>
      </c>
      <c r="D2" s="22" t="s">
        <v>1083</v>
      </c>
      <c r="E2" s="22" t="s">
        <v>1084</v>
      </c>
      <c r="F2" s="23" t="s">
        <v>9029</v>
      </c>
      <c r="G2" s="24" t="s">
        <v>9030</v>
      </c>
      <c r="H2" s="25" t="s">
        <v>8991</v>
      </c>
      <c r="I2" s="25" t="s">
        <v>9692</v>
      </c>
      <c r="J2" s="22" t="s">
        <v>8996</v>
      </c>
      <c r="K2" s="22" t="s">
        <v>9235</v>
      </c>
      <c r="L2" s="22" t="s">
        <v>9230</v>
      </c>
    </row>
    <row r="3" spans="1:12">
      <c r="A3" s="1285" t="s">
        <v>1254</v>
      </c>
      <c r="B3" s="26" t="s">
        <v>1068</v>
      </c>
      <c r="C3" s="27" t="s">
        <v>9034</v>
      </c>
      <c r="D3" s="26">
        <v>1</v>
      </c>
      <c r="E3" s="28" t="s">
        <v>9035</v>
      </c>
      <c r="F3" s="29" t="s">
        <v>9031</v>
      </c>
      <c r="G3" s="20" t="s">
        <v>115</v>
      </c>
      <c r="H3" s="30" t="s">
        <v>8992</v>
      </c>
      <c r="I3" s="30" t="s">
        <v>9693</v>
      </c>
      <c r="J3" s="20" t="s">
        <v>8997</v>
      </c>
      <c r="K3" s="19" t="s">
        <v>9228</v>
      </c>
      <c r="L3" s="19" t="s">
        <v>1361</v>
      </c>
    </row>
    <row r="4" spans="1:12">
      <c r="A4" s="1286"/>
      <c r="B4" s="26" t="s">
        <v>1067</v>
      </c>
      <c r="C4" s="27" t="s">
        <v>9035</v>
      </c>
      <c r="D4" s="26">
        <v>2</v>
      </c>
      <c r="E4" s="28" t="s">
        <v>9036</v>
      </c>
      <c r="F4" s="29" t="s">
        <v>9032</v>
      </c>
      <c r="G4" s="20" t="s">
        <v>119</v>
      </c>
      <c r="H4" s="30" t="s">
        <v>2255</v>
      </c>
      <c r="I4" s="30" t="s">
        <v>9872</v>
      </c>
      <c r="J4" s="20" t="s">
        <v>8998</v>
      </c>
      <c r="K4" s="20" t="s">
        <v>9229</v>
      </c>
      <c r="L4" s="20" t="s">
        <v>1362</v>
      </c>
    </row>
    <row r="5" spans="1:12">
      <c r="A5" s="17"/>
      <c r="B5" s="17"/>
      <c r="C5" s="27" t="s">
        <v>9036</v>
      </c>
      <c r="D5" s="26">
        <v>3</v>
      </c>
      <c r="E5" s="28" t="s">
        <v>9037</v>
      </c>
      <c r="F5" s="29" t="s">
        <v>9033</v>
      </c>
      <c r="G5" s="20" t="s">
        <v>123</v>
      </c>
      <c r="H5" s="29" t="s">
        <v>1261</v>
      </c>
      <c r="I5" s="20" t="s">
        <v>9694</v>
      </c>
      <c r="J5" s="17"/>
    </row>
    <row r="6" spans="1:12">
      <c r="A6" s="17"/>
      <c r="B6" s="17"/>
      <c r="C6" s="27" t="s">
        <v>9037</v>
      </c>
      <c r="D6" s="26">
        <v>4</v>
      </c>
      <c r="E6" s="28" t="s">
        <v>9038</v>
      </c>
      <c r="F6" s="17"/>
      <c r="G6" s="20" t="s">
        <v>127</v>
      </c>
      <c r="H6" s="17"/>
      <c r="I6" s="20" t="s">
        <v>9696</v>
      </c>
      <c r="J6" s="17"/>
    </row>
    <row r="7" spans="1:12">
      <c r="A7" s="17"/>
      <c r="B7" s="17"/>
      <c r="C7" s="27" t="s">
        <v>9038</v>
      </c>
      <c r="D7" s="17"/>
      <c r="E7" s="28" t="s">
        <v>9039</v>
      </c>
      <c r="F7" s="17"/>
      <c r="G7" s="20" t="s">
        <v>131</v>
      </c>
      <c r="H7" s="17"/>
      <c r="I7" s="20" t="s">
        <v>9775</v>
      </c>
      <c r="J7" s="17"/>
    </row>
    <row r="8" spans="1:12">
      <c r="A8" s="17"/>
      <c r="B8" s="17"/>
      <c r="C8" s="27" t="s">
        <v>9039</v>
      </c>
      <c r="D8" s="17"/>
      <c r="E8" s="28" t="s">
        <v>9040</v>
      </c>
      <c r="F8" s="17"/>
      <c r="G8" s="20" t="s">
        <v>135</v>
      </c>
      <c r="H8" s="17"/>
      <c r="I8" s="20" t="s">
        <v>9698</v>
      </c>
      <c r="J8" s="17"/>
    </row>
    <row r="9" spans="1:12">
      <c r="A9" s="17"/>
      <c r="B9" s="17"/>
      <c r="C9" s="27" t="s">
        <v>9040</v>
      </c>
      <c r="D9" s="17"/>
      <c r="E9" s="28" t="s">
        <v>9041</v>
      </c>
      <c r="F9" s="17"/>
      <c r="G9" s="20" t="s">
        <v>139</v>
      </c>
      <c r="H9" s="17"/>
      <c r="I9" s="20" t="s">
        <v>9699</v>
      </c>
      <c r="J9" s="17"/>
    </row>
    <row r="10" spans="1:12">
      <c r="A10" s="17"/>
      <c r="B10" s="17"/>
      <c r="C10" s="27" t="s">
        <v>9041</v>
      </c>
      <c r="D10" s="17"/>
      <c r="E10" s="28" t="s">
        <v>9042</v>
      </c>
      <c r="F10" s="17"/>
      <c r="G10" s="20" t="s">
        <v>143</v>
      </c>
      <c r="H10" s="17"/>
      <c r="I10" s="20" t="s">
        <v>9857</v>
      </c>
      <c r="J10" s="17"/>
    </row>
    <row r="11" spans="1:12">
      <c r="A11" s="17"/>
      <c r="B11" s="17"/>
      <c r="C11" s="27" t="s">
        <v>9042</v>
      </c>
      <c r="D11" s="17"/>
      <c r="E11" s="28" t="s">
        <v>9043</v>
      </c>
      <c r="F11" s="17"/>
      <c r="G11" s="20" t="s">
        <v>147</v>
      </c>
      <c r="H11" s="17"/>
      <c r="I11" s="20" t="s">
        <v>9695</v>
      </c>
      <c r="J11" s="17"/>
    </row>
    <row r="12" spans="1:12">
      <c r="A12" s="17"/>
      <c r="B12" s="17"/>
      <c r="C12" s="27" t="s">
        <v>9043</v>
      </c>
      <c r="D12" s="17"/>
      <c r="E12" s="28" t="s">
        <v>9044</v>
      </c>
      <c r="F12" s="17"/>
      <c r="G12" s="20" t="s">
        <v>151</v>
      </c>
      <c r="H12" s="17"/>
      <c r="I12" s="20" t="s">
        <v>9700</v>
      </c>
      <c r="J12" s="17"/>
    </row>
    <row r="13" spans="1:12">
      <c r="A13" s="17"/>
      <c r="B13" s="17"/>
      <c r="C13" s="31">
        <v>10</v>
      </c>
      <c r="D13" s="17"/>
      <c r="E13" s="28" t="s">
        <v>9045</v>
      </c>
      <c r="F13" s="17"/>
      <c r="G13" s="20" t="s">
        <v>155</v>
      </c>
      <c r="H13" s="17"/>
      <c r="I13" s="20" t="s">
        <v>9827</v>
      </c>
      <c r="J13" s="17"/>
    </row>
    <row r="14" spans="1:12">
      <c r="A14" s="17"/>
      <c r="B14" s="17"/>
      <c r="C14" s="31">
        <v>11</v>
      </c>
      <c r="D14" s="17"/>
      <c r="E14" s="28" t="s">
        <v>9046</v>
      </c>
      <c r="F14" s="17"/>
      <c r="G14" s="20" t="s">
        <v>159</v>
      </c>
      <c r="H14" s="17"/>
      <c r="I14" s="20" t="s">
        <v>9863</v>
      </c>
      <c r="J14" s="17"/>
    </row>
    <row r="15" spans="1:12">
      <c r="A15" s="17"/>
      <c r="B15" s="17"/>
      <c r="C15" s="31">
        <v>12</v>
      </c>
      <c r="D15" s="17"/>
      <c r="E15" s="28" t="s">
        <v>9047</v>
      </c>
      <c r="F15" s="17"/>
      <c r="G15" s="20" t="s">
        <v>163</v>
      </c>
      <c r="H15" s="17"/>
      <c r="I15" s="20" t="s">
        <v>9702</v>
      </c>
      <c r="J15" s="17"/>
    </row>
    <row r="16" spans="1:12">
      <c r="A16" s="17"/>
      <c r="B16" s="17"/>
      <c r="C16" s="31">
        <v>13</v>
      </c>
      <c r="D16" s="17"/>
      <c r="E16" s="28" t="s">
        <v>9048</v>
      </c>
      <c r="F16" s="17"/>
      <c r="G16" s="20" t="s">
        <v>167</v>
      </c>
      <c r="H16" s="17"/>
      <c r="I16" s="20" t="s">
        <v>9708</v>
      </c>
      <c r="J16" s="17"/>
    </row>
    <row r="17" spans="1:10">
      <c r="A17" s="17"/>
      <c r="B17" s="17"/>
      <c r="C17" s="31">
        <v>14</v>
      </c>
      <c r="D17" s="17"/>
      <c r="E17" s="28" t="s">
        <v>9049</v>
      </c>
      <c r="F17" s="17"/>
      <c r="G17" s="20" t="s">
        <v>171</v>
      </c>
      <c r="H17" s="17"/>
      <c r="I17" s="20" t="s">
        <v>9828</v>
      </c>
      <c r="J17" s="17"/>
    </row>
    <row r="18" spans="1:10">
      <c r="A18" s="17"/>
      <c r="B18" s="17"/>
      <c r="C18" s="31">
        <v>15</v>
      </c>
      <c r="D18" s="17"/>
      <c r="E18" s="28" t="s">
        <v>9050</v>
      </c>
      <c r="F18" s="17"/>
      <c r="G18" s="20" t="s">
        <v>175</v>
      </c>
      <c r="H18" s="17"/>
      <c r="I18" s="20" t="s">
        <v>9703</v>
      </c>
      <c r="J18" s="17"/>
    </row>
    <row r="19" spans="1:10">
      <c r="A19" s="17"/>
      <c r="B19" s="17"/>
      <c r="C19" s="31">
        <v>16</v>
      </c>
      <c r="D19" s="17"/>
      <c r="E19" s="31">
        <v>20</v>
      </c>
      <c r="F19" s="17"/>
      <c r="G19" s="20" t="s">
        <v>179</v>
      </c>
      <c r="H19" s="17"/>
      <c r="I19" s="20" t="s">
        <v>9704</v>
      </c>
      <c r="J19" s="17"/>
    </row>
    <row r="20" spans="1:10">
      <c r="A20" s="17"/>
      <c r="B20" s="17"/>
      <c r="C20" s="31">
        <v>17</v>
      </c>
      <c r="D20" s="17"/>
      <c r="E20" s="31">
        <v>21</v>
      </c>
      <c r="F20" s="17"/>
      <c r="G20" s="20" t="s">
        <v>183</v>
      </c>
      <c r="H20" s="17"/>
      <c r="I20" s="20" t="s">
        <v>9701</v>
      </c>
      <c r="J20" s="17"/>
    </row>
    <row r="21" spans="1:10">
      <c r="A21" s="17"/>
      <c r="B21" s="17"/>
      <c r="C21" s="31">
        <v>18</v>
      </c>
      <c r="D21" s="17"/>
      <c r="E21" s="31">
        <v>22</v>
      </c>
      <c r="F21" s="17"/>
      <c r="G21" s="20" t="s">
        <v>187</v>
      </c>
      <c r="H21" s="17"/>
      <c r="I21" s="20" t="s">
        <v>9705</v>
      </c>
      <c r="J21" s="17"/>
    </row>
    <row r="22" spans="1:10">
      <c r="A22" s="17"/>
      <c r="B22" s="17"/>
      <c r="C22" s="31">
        <v>19</v>
      </c>
      <c r="D22" s="17"/>
      <c r="E22" s="31">
        <v>23</v>
      </c>
      <c r="F22" s="17"/>
      <c r="G22" s="20" t="s">
        <v>191</v>
      </c>
      <c r="H22" s="17"/>
      <c r="I22" s="20" t="s">
        <v>9706</v>
      </c>
      <c r="J22" s="17"/>
    </row>
    <row r="23" spans="1:10">
      <c r="A23" s="17"/>
      <c r="B23" s="17"/>
      <c r="C23" s="17"/>
      <c r="D23" s="17"/>
      <c r="E23" s="32">
        <v>39</v>
      </c>
      <c r="F23" s="17"/>
      <c r="G23" s="20" t="s">
        <v>195</v>
      </c>
      <c r="H23" s="17"/>
      <c r="I23" s="20" t="s">
        <v>9707</v>
      </c>
      <c r="J23" s="17"/>
    </row>
    <row r="24" spans="1:10">
      <c r="A24" s="17"/>
      <c r="B24" s="17"/>
      <c r="C24" s="17"/>
      <c r="D24" s="17"/>
      <c r="E24" s="32">
        <v>40</v>
      </c>
      <c r="F24" s="17"/>
      <c r="G24" s="20" t="s">
        <v>199</v>
      </c>
      <c r="H24" s="17"/>
      <c r="I24" s="20" t="s">
        <v>9709</v>
      </c>
      <c r="J24" s="17"/>
    </row>
    <row r="25" spans="1:10">
      <c r="A25" s="17"/>
      <c r="B25" s="17"/>
      <c r="C25" s="17"/>
      <c r="D25" s="17"/>
      <c r="E25" s="32">
        <v>41</v>
      </c>
      <c r="F25" s="17"/>
      <c r="G25" s="20" t="s">
        <v>203</v>
      </c>
      <c r="H25" s="17"/>
      <c r="I25" s="20" t="s">
        <v>9726</v>
      </c>
      <c r="J25" s="17"/>
    </row>
    <row r="26" spans="1:10">
      <c r="A26" s="17"/>
      <c r="B26" s="17"/>
      <c r="C26" s="17"/>
      <c r="D26" s="17"/>
      <c r="E26" s="32">
        <v>43</v>
      </c>
      <c r="F26" s="17"/>
      <c r="G26" s="20" t="s">
        <v>207</v>
      </c>
      <c r="H26" s="17"/>
      <c r="I26" s="20" t="s">
        <v>9710</v>
      </c>
      <c r="J26" s="17"/>
    </row>
    <row r="27" spans="1:10">
      <c r="A27" s="17"/>
      <c r="B27" s="17"/>
      <c r="C27" s="17"/>
      <c r="D27" s="17"/>
      <c r="E27" s="32">
        <v>49</v>
      </c>
      <c r="F27" s="17"/>
      <c r="G27" s="20" t="s">
        <v>211</v>
      </c>
      <c r="H27" s="17"/>
      <c r="I27" s="20" t="s">
        <v>9718</v>
      </c>
      <c r="J27" s="17"/>
    </row>
    <row r="28" spans="1:10">
      <c r="A28" s="17"/>
      <c r="B28" s="17"/>
      <c r="C28" s="17"/>
      <c r="D28" s="17"/>
      <c r="E28" s="32">
        <v>50</v>
      </c>
      <c r="F28" s="17"/>
      <c r="G28" s="20" t="s">
        <v>215</v>
      </c>
      <c r="H28" s="17"/>
      <c r="I28" s="20" t="s">
        <v>9750</v>
      </c>
      <c r="J28" s="17"/>
    </row>
    <row r="29" spans="1:10">
      <c r="A29" s="17"/>
      <c r="B29" s="17"/>
      <c r="C29" s="17"/>
      <c r="D29" s="17"/>
      <c r="E29" s="32">
        <v>52</v>
      </c>
      <c r="F29" s="17"/>
      <c r="G29" s="20" t="s">
        <v>219</v>
      </c>
      <c r="H29" s="17"/>
      <c r="I29" s="20" t="s">
        <v>9711</v>
      </c>
      <c r="J29" s="17"/>
    </row>
    <row r="30" spans="1:10">
      <c r="A30" s="17"/>
      <c r="B30" s="17"/>
      <c r="C30" s="17"/>
      <c r="D30" s="17"/>
      <c r="E30" s="32">
        <v>53</v>
      </c>
      <c r="F30" s="17"/>
      <c r="G30" s="20" t="s">
        <v>223</v>
      </c>
      <c r="H30" s="17"/>
      <c r="I30" s="20" t="s">
        <v>9712</v>
      </c>
      <c r="J30" s="17"/>
    </row>
    <row r="31" spans="1:10">
      <c r="A31" s="17"/>
      <c r="B31" s="17"/>
      <c r="C31" s="17"/>
      <c r="D31" s="17"/>
      <c r="E31" s="32">
        <v>59</v>
      </c>
      <c r="F31" s="17"/>
      <c r="G31" s="20" t="s">
        <v>227</v>
      </c>
      <c r="H31" s="17"/>
      <c r="I31" s="20" t="s">
        <v>9713</v>
      </c>
      <c r="J31" s="17"/>
    </row>
    <row r="32" spans="1:10">
      <c r="A32" s="17"/>
      <c r="B32" s="17"/>
      <c r="C32" s="17"/>
      <c r="D32" s="17"/>
      <c r="E32" s="32">
        <v>60</v>
      </c>
      <c r="F32" s="17"/>
      <c r="G32" s="20" t="s">
        <v>231</v>
      </c>
      <c r="H32" s="17"/>
      <c r="I32" s="20" t="s">
        <v>9714</v>
      </c>
      <c r="J32" s="17"/>
    </row>
    <row r="33" spans="1:10">
      <c r="A33" s="17"/>
      <c r="B33" s="17"/>
      <c r="C33" s="17"/>
      <c r="D33" s="17"/>
      <c r="E33" s="32">
        <v>99</v>
      </c>
      <c r="F33" s="17"/>
      <c r="G33" s="20" t="s">
        <v>235</v>
      </c>
      <c r="H33" s="17"/>
      <c r="I33" s="20" t="s">
        <v>9715</v>
      </c>
      <c r="J33" s="17"/>
    </row>
    <row r="34" spans="1:10">
      <c r="A34" s="17"/>
      <c r="B34" s="17"/>
      <c r="C34" s="17"/>
      <c r="D34" s="17"/>
      <c r="E34" s="17"/>
      <c r="F34" s="17"/>
      <c r="G34" s="20" t="s">
        <v>239</v>
      </c>
      <c r="H34" s="17"/>
      <c r="I34" s="20" t="s">
        <v>9717</v>
      </c>
      <c r="J34" s="17"/>
    </row>
    <row r="35" spans="1:10">
      <c r="A35" s="17"/>
      <c r="B35" s="17"/>
      <c r="C35" s="17"/>
      <c r="D35" s="17"/>
      <c r="E35" s="17"/>
      <c r="F35" s="17"/>
      <c r="G35" s="20" t="s">
        <v>243</v>
      </c>
      <c r="H35" s="17"/>
      <c r="I35" s="20" t="s">
        <v>9722</v>
      </c>
      <c r="J35" s="17"/>
    </row>
    <row r="36" spans="1:10">
      <c r="A36" s="17"/>
      <c r="B36" s="17"/>
      <c r="C36" s="17"/>
      <c r="D36" s="17"/>
      <c r="E36" s="17"/>
      <c r="F36" s="17"/>
      <c r="G36" s="20" t="s">
        <v>247</v>
      </c>
      <c r="H36" s="17"/>
      <c r="I36" s="20" t="s">
        <v>9723</v>
      </c>
      <c r="J36" s="17"/>
    </row>
    <row r="37" spans="1:10">
      <c r="A37" s="17"/>
      <c r="B37" s="17"/>
      <c r="C37" s="17"/>
      <c r="D37" s="17"/>
      <c r="E37" s="17"/>
      <c r="F37" s="17"/>
      <c r="G37" s="20" t="s">
        <v>251</v>
      </c>
      <c r="H37" s="17"/>
      <c r="I37" s="20" t="s">
        <v>9904</v>
      </c>
      <c r="J37" s="17"/>
    </row>
    <row r="38" spans="1:10">
      <c r="A38" s="17"/>
      <c r="B38" s="17"/>
      <c r="C38" s="17"/>
      <c r="D38" s="17"/>
      <c r="E38" s="17"/>
      <c r="F38" s="17"/>
      <c r="G38" s="20" t="s">
        <v>255</v>
      </c>
      <c r="H38" s="17"/>
      <c r="I38" s="20" t="s">
        <v>9725</v>
      </c>
      <c r="J38" s="17"/>
    </row>
    <row r="39" spans="1:10">
      <c r="A39" s="17"/>
      <c r="B39" s="17"/>
      <c r="C39" s="17"/>
      <c r="D39" s="17"/>
      <c r="E39" s="17"/>
      <c r="F39" s="17"/>
      <c r="G39" s="20" t="s">
        <v>259</v>
      </c>
      <c r="H39" s="17"/>
      <c r="I39" s="20" t="s">
        <v>9727</v>
      </c>
      <c r="J39" s="17"/>
    </row>
    <row r="40" spans="1:10">
      <c r="A40" s="17"/>
      <c r="B40" s="17"/>
      <c r="C40" s="17"/>
      <c r="D40" s="17"/>
      <c r="E40" s="17"/>
      <c r="F40" s="17"/>
      <c r="G40" s="20" t="s">
        <v>263</v>
      </c>
      <c r="H40" s="17"/>
      <c r="I40" s="20" t="s">
        <v>9728</v>
      </c>
      <c r="J40" s="17"/>
    </row>
    <row r="41" spans="1:10">
      <c r="A41" s="17"/>
      <c r="B41" s="17"/>
      <c r="C41" s="17"/>
      <c r="D41" s="17"/>
      <c r="E41" s="17"/>
      <c r="F41" s="17"/>
      <c r="G41" s="20" t="s">
        <v>267</v>
      </c>
      <c r="H41" s="17"/>
      <c r="I41" s="20" t="s">
        <v>9729</v>
      </c>
      <c r="J41" s="17"/>
    </row>
    <row r="42" spans="1:10">
      <c r="A42" s="17"/>
      <c r="B42" s="17"/>
      <c r="C42" s="17"/>
      <c r="D42" s="17"/>
      <c r="E42" s="17"/>
      <c r="F42" s="17"/>
      <c r="G42" s="20" t="s">
        <v>271</v>
      </c>
      <c r="H42" s="17"/>
      <c r="I42" s="20" t="s">
        <v>9730</v>
      </c>
      <c r="J42" s="17"/>
    </row>
    <row r="43" spans="1:10">
      <c r="A43" s="17"/>
      <c r="B43" s="17"/>
      <c r="C43" s="17"/>
      <c r="D43" s="17"/>
      <c r="E43" s="17"/>
      <c r="F43" s="17"/>
      <c r="G43" s="20" t="s">
        <v>274</v>
      </c>
      <c r="H43" s="17"/>
      <c r="I43" s="20" t="s">
        <v>9735</v>
      </c>
      <c r="J43" s="17"/>
    </row>
    <row r="44" spans="1:10">
      <c r="A44" s="17"/>
      <c r="B44" s="17"/>
      <c r="C44" s="17"/>
      <c r="D44" s="17"/>
      <c r="E44" s="17"/>
      <c r="F44" s="17"/>
      <c r="G44" s="20" t="s">
        <v>278</v>
      </c>
      <c r="H44" s="17"/>
      <c r="I44" s="20" t="s">
        <v>9736</v>
      </c>
      <c r="J44" s="17"/>
    </row>
    <row r="45" spans="1:10">
      <c r="A45" s="17"/>
      <c r="B45" s="17"/>
      <c r="C45" s="17"/>
      <c r="D45" s="17"/>
      <c r="E45" s="17"/>
      <c r="F45" s="17"/>
      <c r="G45" s="20" t="s">
        <v>282</v>
      </c>
      <c r="H45" s="17"/>
      <c r="I45" s="20" t="s">
        <v>9748</v>
      </c>
      <c r="J45" s="17"/>
    </row>
    <row r="46" spans="1:10">
      <c r="A46" s="17"/>
      <c r="B46" s="17"/>
      <c r="C46" s="17"/>
      <c r="D46" s="17"/>
      <c r="E46" s="17"/>
      <c r="F46" s="17"/>
      <c r="G46" s="20" t="s">
        <v>286</v>
      </c>
      <c r="H46" s="17"/>
      <c r="I46" s="20" t="s">
        <v>9739</v>
      </c>
      <c r="J46" s="17"/>
    </row>
    <row r="47" spans="1:10">
      <c r="A47" s="17"/>
      <c r="B47" s="17"/>
      <c r="C47" s="17"/>
      <c r="D47" s="17"/>
      <c r="E47" s="17"/>
      <c r="F47" s="17"/>
      <c r="G47" s="20" t="s">
        <v>290</v>
      </c>
      <c r="H47" s="17"/>
      <c r="I47" s="20" t="s">
        <v>9740</v>
      </c>
      <c r="J47" s="17"/>
    </row>
    <row r="48" spans="1:10">
      <c r="A48" s="17"/>
      <c r="B48" s="17"/>
      <c r="C48" s="17"/>
      <c r="D48" s="17"/>
      <c r="E48" s="17"/>
      <c r="F48" s="17"/>
      <c r="G48" s="20" t="s">
        <v>294</v>
      </c>
      <c r="H48" s="17"/>
      <c r="I48" s="20" t="s">
        <v>9745</v>
      </c>
      <c r="J48" s="17"/>
    </row>
    <row r="49" spans="1:10">
      <c r="A49" s="17"/>
      <c r="B49" s="17"/>
      <c r="C49" s="17"/>
      <c r="D49" s="17"/>
      <c r="E49" s="17"/>
      <c r="F49" s="17"/>
      <c r="G49" s="20" t="s">
        <v>298</v>
      </c>
      <c r="H49" s="17"/>
      <c r="I49" s="20" t="s">
        <v>9795</v>
      </c>
      <c r="J49" s="17"/>
    </row>
    <row r="50" spans="1:10">
      <c r="A50" s="17"/>
      <c r="B50" s="17"/>
      <c r="C50" s="17"/>
      <c r="D50" s="17"/>
      <c r="E50" s="17"/>
      <c r="F50" s="17"/>
      <c r="G50" s="20" t="s">
        <v>302</v>
      </c>
      <c r="H50" s="17"/>
      <c r="I50" s="20" t="s">
        <v>9746</v>
      </c>
      <c r="J50" s="17"/>
    </row>
    <row r="51" spans="1:10">
      <c r="A51" s="17"/>
      <c r="B51" s="17"/>
      <c r="C51" s="17"/>
      <c r="D51" s="17"/>
      <c r="E51" s="17"/>
      <c r="F51" s="17"/>
      <c r="G51" s="20" t="s">
        <v>306</v>
      </c>
      <c r="H51" s="17"/>
      <c r="I51" s="20" t="s">
        <v>9747</v>
      </c>
      <c r="J51" s="17"/>
    </row>
    <row r="52" spans="1:10">
      <c r="A52" s="17"/>
      <c r="B52" s="17"/>
      <c r="C52" s="17"/>
      <c r="D52" s="17"/>
      <c r="E52" s="17"/>
      <c r="F52" s="17"/>
      <c r="G52" s="20" t="s">
        <v>310</v>
      </c>
      <c r="H52" s="17"/>
      <c r="I52" s="20" t="s">
        <v>9933</v>
      </c>
      <c r="J52" s="17"/>
    </row>
    <row r="53" spans="1:10">
      <c r="A53" s="17"/>
      <c r="B53" s="17"/>
      <c r="C53" s="17"/>
      <c r="D53" s="17"/>
      <c r="E53" s="17"/>
      <c r="F53" s="17"/>
      <c r="G53" s="20" t="s">
        <v>314</v>
      </c>
      <c r="H53" s="17"/>
      <c r="I53" s="20" t="s">
        <v>9751</v>
      </c>
      <c r="J53" s="17"/>
    </row>
    <row r="54" spans="1:10">
      <c r="A54" s="17"/>
      <c r="B54" s="17"/>
      <c r="C54" s="17"/>
      <c r="D54" s="17"/>
      <c r="E54" s="17"/>
      <c r="F54" s="17"/>
      <c r="G54" s="20" t="s">
        <v>318</v>
      </c>
      <c r="H54" s="17"/>
      <c r="I54" s="20" t="s">
        <v>9770</v>
      </c>
      <c r="J54" s="17"/>
    </row>
    <row r="55" spans="1:10">
      <c r="A55" s="17"/>
      <c r="B55" s="17"/>
      <c r="C55" s="17"/>
      <c r="D55" s="17"/>
      <c r="E55" s="17"/>
      <c r="F55" s="17"/>
      <c r="G55" s="20" t="s">
        <v>322</v>
      </c>
      <c r="H55" s="17"/>
      <c r="I55" s="20" t="s">
        <v>9752</v>
      </c>
      <c r="J55" s="17"/>
    </row>
    <row r="56" spans="1:10">
      <c r="A56" s="17"/>
      <c r="B56" s="17"/>
      <c r="C56" s="17"/>
      <c r="D56" s="17"/>
      <c r="E56" s="17"/>
      <c r="F56" s="17"/>
      <c r="G56" s="20" t="s">
        <v>326</v>
      </c>
      <c r="H56" s="17"/>
      <c r="I56" s="20" t="s">
        <v>9898</v>
      </c>
      <c r="J56" s="17"/>
    </row>
    <row r="57" spans="1:10">
      <c r="A57" s="17"/>
      <c r="B57" s="17"/>
      <c r="C57" s="17"/>
      <c r="D57" s="17"/>
      <c r="E57" s="17"/>
      <c r="F57" s="17"/>
      <c r="G57" s="20" t="s">
        <v>330</v>
      </c>
      <c r="H57" s="17"/>
      <c r="I57" s="20" t="s">
        <v>9755</v>
      </c>
      <c r="J57" s="17"/>
    </row>
    <row r="58" spans="1:10">
      <c r="A58" s="17"/>
      <c r="B58" s="17"/>
      <c r="C58" s="17"/>
      <c r="D58" s="17"/>
      <c r="E58" s="17"/>
      <c r="F58" s="17"/>
      <c r="G58" s="20" t="s">
        <v>334</v>
      </c>
      <c r="H58" s="17"/>
      <c r="I58" s="20" t="s">
        <v>9889</v>
      </c>
      <c r="J58" s="17"/>
    </row>
    <row r="59" spans="1:10">
      <c r="A59" s="17"/>
      <c r="B59" s="17"/>
      <c r="C59" s="17"/>
      <c r="D59" s="17"/>
      <c r="E59" s="17"/>
      <c r="F59" s="17"/>
      <c r="G59" s="20" t="s">
        <v>338</v>
      </c>
      <c r="H59" s="17"/>
      <c r="I59" s="20" t="s">
        <v>9754</v>
      </c>
      <c r="J59" s="17"/>
    </row>
    <row r="60" spans="1:10">
      <c r="A60" s="17"/>
      <c r="B60" s="17"/>
      <c r="C60" s="17"/>
      <c r="D60" s="17"/>
      <c r="E60" s="17"/>
      <c r="F60" s="17"/>
      <c r="G60" s="20" t="s">
        <v>342</v>
      </c>
      <c r="H60" s="17"/>
      <c r="I60" s="20" t="s">
        <v>9758</v>
      </c>
      <c r="J60" s="17"/>
    </row>
    <row r="61" spans="1:10">
      <c r="A61" s="17"/>
      <c r="B61" s="17"/>
      <c r="C61" s="17"/>
      <c r="D61" s="17"/>
      <c r="E61" s="17"/>
      <c r="F61" s="17"/>
      <c r="G61" s="20" t="s">
        <v>346</v>
      </c>
      <c r="H61" s="17"/>
      <c r="I61" s="20" t="s">
        <v>9874</v>
      </c>
      <c r="J61" s="17"/>
    </row>
    <row r="62" spans="1:10">
      <c r="A62" s="17"/>
      <c r="B62" s="17"/>
      <c r="C62" s="17"/>
      <c r="D62" s="17"/>
      <c r="E62" s="17"/>
      <c r="F62" s="17"/>
      <c r="G62" s="20" t="s">
        <v>350</v>
      </c>
      <c r="H62" s="17"/>
      <c r="I62" s="20" t="s">
        <v>9759</v>
      </c>
      <c r="J62" s="17"/>
    </row>
    <row r="63" spans="1:10">
      <c r="A63" s="17"/>
      <c r="B63" s="17"/>
      <c r="C63" s="17"/>
      <c r="D63" s="17"/>
      <c r="E63" s="17"/>
      <c r="F63" s="17"/>
      <c r="G63" s="20" t="s">
        <v>354</v>
      </c>
      <c r="H63" s="17"/>
      <c r="I63" s="20" t="s">
        <v>9925</v>
      </c>
      <c r="J63" s="17"/>
    </row>
    <row r="64" spans="1:10">
      <c r="A64" s="17"/>
      <c r="B64" s="17"/>
      <c r="C64" s="17"/>
      <c r="D64" s="17"/>
      <c r="E64" s="17"/>
      <c r="F64" s="17"/>
      <c r="G64" s="20" t="s">
        <v>358</v>
      </c>
      <c r="H64" s="17"/>
      <c r="I64" s="20" t="s">
        <v>9902</v>
      </c>
      <c r="J64" s="17"/>
    </row>
    <row r="65" spans="1:10">
      <c r="A65" s="17"/>
      <c r="B65" s="17"/>
      <c r="C65" s="17"/>
      <c r="D65" s="17"/>
      <c r="E65" s="17"/>
      <c r="F65" s="17"/>
      <c r="G65" s="20" t="s">
        <v>362</v>
      </c>
      <c r="H65" s="17"/>
      <c r="I65" s="20" t="s">
        <v>9757</v>
      </c>
      <c r="J65" s="17"/>
    </row>
    <row r="66" spans="1:10">
      <c r="A66" s="17"/>
      <c r="B66" s="17"/>
      <c r="C66" s="17"/>
      <c r="D66" s="17"/>
      <c r="E66" s="17"/>
      <c r="F66" s="17"/>
      <c r="G66" s="20" t="s">
        <v>366</v>
      </c>
      <c r="H66" s="17"/>
      <c r="I66" s="20" t="s">
        <v>9853</v>
      </c>
      <c r="J66" s="17"/>
    </row>
    <row r="67" spans="1:10">
      <c r="A67" s="17"/>
      <c r="B67" s="17"/>
      <c r="C67" s="17"/>
      <c r="D67" s="17"/>
      <c r="E67" s="17"/>
      <c r="F67" s="17"/>
      <c r="G67" s="20" t="s">
        <v>370</v>
      </c>
      <c r="H67" s="17"/>
      <c r="I67" s="20" t="s">
        <v>9763</v>
      </c>
      <c r="J67" s="17"/>
    </row>
    <row r="68" spans="1:10">
      <c r="A68" s="17"/>
      <c r="B68" s="17"/>
      <c r="C68" s="17"/>
      <c r="D68" s="17"/>
      <c r="E68" s="17"/>
      <c r="F68" s="17"/>
      <c r="G68" s="20" t="s">
        <v>374</v>
      </c>
      <c r="H68" s="17"/>
      <c r="I68" s="20" t="s">
        <v>9764</v>
      </c>
      <c r="J68" s="17"/>
    </row>
    <row r="69" spans="1:10">
      <c r="A69" s="17"/>
      <c r="B69" s="17"/>
      <c r="C69" s="17"/>
      <c r="D69" s="17"/>
      <c r="E69" s="17"/>
      <c r="F69" s="17"/>
      <c r="G69" s="20" t="s">
        <v>377</v>
      </c>
      <c r="H69" s="17"/>
      <c r="I69" s="20" t="s">
        <v>9766</v>
      </c>
      <c r="J69" s="17"/>
    </row>
    <row r="70" spans="1:10">
      <c r="A70" s="17"/>
      <c r="B70" s="17"/>
      <c r="C70" s="17"/>
      <c r="D70" s="17"/>
      <c r="E70" s="17"/>
      <c r="F70" s="17"/>
      <c r="G70" s="20" t="s">
        <v>381</v>
      </c>
      <c r="H70" s="17"/>
      <c r="I70" s="20" t="s">
        <v>9771</v>
      </c>
      <c r="J70" s="17"/>
    </row>
    <row r="71" spans="1:10">
      <c r="A71" s="17"/>
      <c r="B71" s="17"/>
      <c r="C71" s="17"/>
      <c r="D71" s="17"/>
      <c r="E71" s="17"/>
      <c r="F71" s="17"/>
      <c r="G71" s="20" t="s">
        <v>385</v>
      </c>
      <c r="H71" s="17"/>
      <c r="I71" s="20" t="s">
        <v>9773</v>
      </c>
      <c r="J71" s="17"/>
    </row>
    <row r="72" spans="1:10">
      <c r="A72" s="17"/>
      <c r="B72" s="17"/>
      <c r="C72" s="17"/>
      <c r="D72" s="17"/>
      <c r="E72" s="17"/>
      <c r="F72" s="17"/>
      <c r="G72" s="20" t="s">
        <v>389</v>
      </c>
      <c r="H72" s="17"/>
      <c r="I72" s="20" t="s">
        <v>9772</v>
      </c>
      <c r="J72" s="17"/>
    </row>
    <row r="73" spans="1:10">
      <c r="A73" s="17"/>
      <c r="B73" s="17"/>
      <c r="C73" s="17"/>
      <c r="D73" s="17"/>
      <c r="E73" s="17"/>
      <c r="F73" s="17"/>
      <c r="G73" s="20" t="s">
        <v>393</v>
      </c>
      <c r="H73" s="17"/>
      <c r="I73" s="20" t="s">
        <v>9762</v>
      </c>
      <c r="J73" s="17"/>
    </row>
    <row r="74" spans="1:10">
      <c r="A74" s="17"/>
      <c r="B74" s="17"/>
      <c r="C74" s="17"/>
      <c r="D74" s="17"/>
      <c r="E74" s="17"/>
      <c r="F74" s="17"/>
      <c r="G74" s="20" t="s">
        <v>397</v>
      </c>
      <c r="H74" s="17"/>
      <c r="I74" s="20" t="s">
        <v>9776</v>
      </c>
      <c r="J74" s="17"/>
    </row>
    <row r="75" spans="1:10">
      <c r="A75" s="17"/>
      <c r="B75" s="17"/>
      <c r="C75" s="17"/>
      <c r="D75" s="17"/>
      <c r="E75" s="17"/>
      <c r="F75" s="17"/>
      <c r="G75" s="20" t="s">
        <v>401</v>
      </c>
      <c r="H75" s="17"/>
      <c r="I75" s="20" t="s">
        <v>9777</v>
      </c>
      <c r="J75" s="17"/>
    </row>
    <row r="76" spans="1:10">
      <c r="A76" s="17"/>
      <c r="B76" s="17"/>
      <c r="C76" s="17"/>
      <c r="D76" s="17"/>
      <c r="E76" s="17"/>
      <c r="F76" s="17"/>
      <c r="G76" s="20" t="s">
        <v>405</v>
      </c>
      <c r="H76" s="17"/>
      <c r="I76" s="20" t="s">
        <v>9913</v>
      </c>
      <c r="J76" s="17"/>
    </row>
    <row r="77" spans="1:10">
      <c r="A77" s="17"/>
      <c r="B77" s="17"/>
      <c r="C77" s="17"/>
      <c r="D77" s="17"/>
      <c r="E77" s="17"/>
      <c r="F77" s="17"/>
      <c r="G77" s="20" t="s">
        <v>409</v>
      </c>
      <c r="H77" s="17"/>
      <c r="I77" s="20" t="s">
        <v>9780</v>
      </c>
      <c r="J77" s="17"/>
    </row>
    <row r="78" spans="1:10">
      <c r="A78" s="17"/>
      <c r="B78" s="17"/>
      <c r="C78" s="17"/>
      <c r="D78" s="17"/>
      <c r="E78" s="17"/>
      <c r="F78" s="17"/>
      <c r="G78" s="20" t="s">
        <v>413</v>
      </c>
      <c r="H78" s="17"/>
      <c r="I78" s="20" t="s">
        <v>9779</v>
      </c>
      <c r="J78" s="17"/>
    </row>
    <row r="79" spans="1:10">
      <c r="A79" s="17"/>
      <c r="B79" s="17"/>
      <c r="C79" s="17"/>
      <c r="D79" s="17"/>
      <c r="E79" s="17"/>
      <c r="F79" s="17"/>
      <c r="G79" s="20" t="s">
        <v>417</v>
      </c>
      <c r="H79" s="17"/>
      <c r="I79" s="20" t="s">
        <v>9781</v>
      </c>
      <c r="J79" s="17"/>
    </row>
    <row r="80" spans="1:10">
      <c r="A80" s="17"/>
      <c r="B80" s="17"/>
      <c r="C80" s="17"/>
      <c r="D80" s="17"/>
      <c r="E80" s="17"/>
      <c r="F80" s="17"/>
      <c r="G80" s="20" t="s">
        <v>421</v>
      </c>
      <c r="H80" s="17"/>
      <c r="I80" s="20" t="s">
        <v>9782</v>
      </c>
      <c r="J80" s="17"/>
    </row>
    <row r="81" spans="1:10">
      <c r="A81" s="17"/>
      <c r="B81" s="17"/>
      <c r="C81" s="17"/>
      <c r="D81" s="17"/>
      <c r="E81" s="17"/>
      <c r="F81" s="17"/>
      <c r="G81" s="20" t="s">
        <v>425</v>
      </c>
      <c r="H81" s="17"/>
      <c r="I81" s="20" t="s">
        <v>9783</v>
      </c>
      <c r="J81" s="17"/>
    </row>
    <row r="82" spans="1:10">
      <c r="A82" s="17"/>
      <c r="B82" s="17"/>
      <c r="C82" s="17"/>
      <c r="D82" s="17"/>
      <c r="E82" s="17"/>
      <c r="F82" s="17"/>
      <c r="G82" s="20" t="s">
        <v>429</v>
      </c>
      <c r="H82" s="17"/>
      <c r="I82" s="20" t="s">
        <v>9912</v>
      </c>
      <c r="J82" s="17"/>
    </row>
    <row r="83" spans="1:10">
      <c r="A83" s="17"/>
      <c r="B83" s="17"/>
      <c r="C83" s="17"/>
      <c r="D83" s="17"/>
      <c r="E83" s="17"/>
      <c r="F83" s="17"/>
      <c r="G83" s="20" t="s">
        <v>433</v>
      </c>
      <c r="H83" s="17"/>
      <c r="I83" s="20" t="s">
        <v>9756</v>
      </c>
      <c r="J83" s="17"/>
    </row>
    <row r="84" spans="1:10">
      <c r="A84" s="17"/>
      <c r="B84" s="17"/>
      <c r="C84" s="17"/>
      <c r="D84" s="17"/>
      <c r="E84" s="17"/>
      <c r="F84" s="17"/>
      <c r="G84" s="20" t="s">
        <v>437</v>
      </c>
      <c r="H84" s="17"/>
      <c r="I84" s="20" t="s">
        <v>9847</v>
      </c>
      <c r="J84" s="17"/>
    </row>
    <row r="85" spans="1:10">
      <c r="A85" s="17"/>
      <c r="B85" s="17"/>
      <c r="C85" s="17"/>
      <c r="D85" s="17"/>
      <c r="E85" s="17"/>
      <c r="F85" s="17"/>
      <c r="G85" s="20" t="s">
        <v>441</v>
      </c>
      <c r="H85" s="17"/>
      <c r="I85" s="20" t="s">
        <v>9784</v>
      </c>
      <c r="J85" s="17"/>
    </row>
    <row r="86" spans="1:10">
      <c r="A86" s="17"/>
      <c r="B86" s="17"/>
      <c r="C86" s="17"/>
      <c r="D86" s="17"/>
      <c r="E86" s="17"/>
      <c r="F86" s="17"/>
      <c r="G86" s="20" t="s">
        <v>445</v>
      </c>
      <c r="H86" s="17"/>
      <c r="I86" s="20" t="s">
        <v>9767</v>
      </c>
      <c r="J86" s="17"/>
    </row>
    <row r="87" spans="1:10">
      <c r="A87" s="17"/>
      <c r="B87" s="17"/>
      <c r="C87" s="17"/>
      <c r="D87" s="17"/>
      <c r="E87" s="17"/>
      <c r="F87" s="17"/>
      <c r="G87" s="20" t="s">
        <v>449</v>
      </c>
      <c r="H87" s="17"/>
      <c r="I87" s="20" t="s">
        <v>9785</v>
      </c>
      <c r="J87" s="17"/>
    </row>
    <row r="88" spans="1:10">
      <c r="A88" s="17"/>
      <c r="B88" s="17"/>
      <c r="C88" s="17"/>
      <c r="D88" s="17"/>
      <c r="E88" s="17"/>
      <c r="F88" s="17"/>
      <c r="G88" s="20" t="s">
        <v>453</v>
      </c>
      <c r="H88" s="17"/>
      <c r="I88" s="20" t="s">
        <v>9788</v>
      </c>
      <c r="J88" s="17"/>
    </row>
    <row r="89" spans="1:10">
      <c r="A89" s="17"/>
      <c r="B89" s="17"/>
      <c r="C89" s="17"/>
      <c r="D89" s="17"/>
      <c r="E89" s="17"/>
      <c r="F89" s="17"/>
      <c r="G89" s="20" t="s">
        <v>457</v>
      </c>
      <c r="H89" s="17"/>
      <c r="I89" s="20" t="s">
        <v>9789</v>
      </c>
      <c r="J89" s="17"/>
    </row>
    <row r="90" spans="1:10">
      <c r="A90" s="17"/>
      <c r="B90" s="17"/>
      <c r="C90" s="17"/>
      <c r="D90" s="17"/>
      <c r="E90" s="17"/>
      <c r="F90" s="17"/>
      <c r="G90" s="20" t="s">
        <v>461</v>
      </c>
      <c r="H90" s="17"/>
      <c r="I90" s="20" t="s">
        <v>9914</v>
      </c>
      <c r="J90" s="17"/>
    </row>
    <row r="91" spans="1:10">
      <c r="A91" s="17"/>
      <c r="B91" s="17"/>
      <c r="C91" s="17"/>
      <c r="D91" s="17"/>
      <c r="E91" s="17"/>
      <c r="F91" s="17"/>
      <c r="G91" s="20" t="s">
        <v>465</v>
      </c>
      <c r="H91" s="17"/>
      <c r="I91" s="20" t="s">
        <v>9716</v>
      </c>
      <c r="J91" s="17"/>
    </row>
    <row r="92" spans="1:10">
      <c r="A92" s="17"/>
      <c r="B92" s="17"/>
      <c r="C92" s="17"/>
      <c r="D92" s="17"/>
      <c r="E92" s="17"/>
      <c r="F92" s="17"/>
      <c r="G92" s="20" t="s">
        <v>469</v>
      </c>
      <c r="H92" s="17"/>
      <c r="I92" s="20" t="s">
        <v>9737</v>
      </c>
      <c r="J92" s="17"/>
    </row>
    <row r="93" spans="1:10">
      <c r="A93" s="17"/>
      <c r="B93" s="17"/>
      <c r="C93" s="17"/>
      <c r="D93" s="17"/>
      <c r="E93" s="17"/>
      <c r="F93" s="17"/>
      <c r="G93" s="20" t="s">
        <v>473</v>
      </c>
      <c r="H93" s="17"/>
      <c r="I93" s="20" t="s">
        <v>9900</v>
      </c>
      <c r="J93" s="17"/>
    </row>
    <row r="94" spans="1:10">
      <c r="A94" s="17"/>
      <c r="B94" s="17"/>
      <c r="C94" s="17"/>
      <c r="D94" s="17"/>
      <c r="E94" s="17"/>
      <c r="F94" s="17"/>
      <c r="G94" s="20" t="s">
        <v>477</v>
      </c>
      <c r="H94" s="17"/>
      <c r="I94" s="20" t="s">
        <v>9834</v>
      </c>
      <c r="J94" s="17"/>
    </row>
    <row r="95" spans="1:10">
      <c r="A95" s="17"/>
      <c r="B95" s="17"/>
      <c r="C95" s="17"/>
      <c r="D95" s="17"/>
      <c r="E95" s="17"/>
      <c r="F95" s="17"/>
      <c r="G95" s="20" t="s">
        <v>481</v>
      </c>
      <c r="H95" s="17"/>
      <c r="I95" s="20" t="s">
        <v>9761</v>
      </c>
      <c r="J95" s="17"/>
    </row>
    <row r="96" spans="1:10">
      <c r="A96" s="17"/>
      <c r="B96" s="17"/>
      <c r="C96" s="17"/>
      <c r="D96" s="17"/>
      <c r="E96" s="17"/>
      <c r="F96" s="17"/>
      <c r="G96" s="20" t="s">
        <v>485</v>
      </c>
      <c r="H96" s="17"/>
      <c r="I96" s="20" t="s">
        <v>9765</v>
      </c>
      <c r="J96" s="17"/>
    </row>
    <row r="97" spans="1:10">
      <c r="A97" s="17"/>
      <c r="B97" s="17"/>
      <c r="C97" s="17"/>
      <c r="D97" s="17"/>
      <c r="E97" s="17"/>
      <c r="F97" s="17"/>
      <c r="G97" s="20" t="s">
        <v>489</v>
      </c>
      <c r="H97" s="17"/>
      <c r="I97" s="20" t="s">
        <v>9731</v>
      </c>
      <c r="J97" s="17"/>
    </row>
    <row r="98" spans="1:10">
      <c r="A98" s="17"/>
      <c r="B98" s="17"/>
      <c r="C98" s="17"/>
      <c r="D98" s="17"/>
      <c r="E98" s="17"/>
      <c r="F98" s="17"/>
      <c r="G98" s="20" t="s">
        <v>493</v>
      </c>
      <c r="H98" s="17"/>
      <c r="I98" s="20" t="s">
        <v>9738</v>
      </c>
      <c r="J98" s="17"/>
    </row>
    <row r="99" spans="1:10">
      <c r="A99" s="17"/>
      <c r="B99" s="17"/>
      <c r="C99" s="17"/>
      <c r="D99" s="17"/>
      <c r="E99" s="17"/>
      <c r="F99" s="17"/>
      <c r="G99" s="20" t="s">
        <v>497</v>
      </c>
      <c r="H99" s="17"/>
      <c r="I99" s="20" t="s">
        <v>9744</v>
      </c>
      <c r="J99" s="17"/>
    </row>
    <row r="100" spans="1:10">
      <c r="A100" s="17"/>
      <c r="B100" s="17"/>
      <c r="C100" s="17"/>
      <c r="D100" s="17"/>
      <c r="E100" s="17"/>
      <c r="F100" s="17"/>
      <c r="G100" s="20" t="s">
        <v>501</v>
      </c>
      <c r="H100" s="17"/>
      <c r="I100" s="20" t="s">
        <v>9760</v>
      </c>
      <c r="J100" s="17"/>
    </row>
    <row r="101" spans="1:10">
      <c r="A101" s="17"/>
      <c r="B101" s="17"/>
      <c r="C101" s="17"/>
      <c r="D101" s="17"/>
      <c r="E101" s="17"/>
      <c r="F101" s="17"/>
      <c r="G101" s="20" t="s">
        <v>505</v>
      </c>
      <c r="H101" s="17"/>
      <c r="I101" s="20" t="s">
        <v>9786</v>
      </c>
      <c r="J101" s="17"/>
    </row>
    <row r="102" spans="1:10">
      <c r="A102" s="17"/>
      <c r="B102" s="17"/>
      <c r="C102" s="17"/>
      <c r="D102" s="17"/>
      <c r="E102" s="17"/>
      <c r="F102" s="17"/>
      <c r="G102" s="20" t="s">
        <v>509</v>
      </c>
      <c r="H102" s="17"/>
      <c r="I102" s="20" t="s">
        <v>9836</v>
      </c>
      <c r="J102" s="17"/>
    </row>
    <row r="103" spans="1:10">
      <c r="A103" s="17"/>
      <c r="B103" s="17"/>
      <c r="C103" s="17"/>
      <c r="D103" s="17"/>
      <c r="E103" s="17"/>
      <c r="F103" s="17"/>
      <c r="G103" s="20" t="s">
        <v>513</v>
      </c>
      <c r="H103" s="17"/>
      <c r="I103" s="20" t="s">
        <v>9924</v>
      </c>
      <c r="J103" s="17"/>
    </row>
    <row r="104" spans="1:10">
      <c r="A104" s="17"/>
      <c r="B104" s="17"/>
      <c r="C104" s="17"/>
      <c r="D104" s="17"/>
      <c r="E104" s="17"/>
      <c r="F104" s="17"/>
      <c r="G104" s="20" t="s">
        <v>517</v>
      </c>
      <c r="H104" s="17"/>
      <c r="I104" s="20" t="s">
        <v>9837</v>
      </c>
      <c r="J104" s="17"/>
    </row>
    <row r="105" spans="1:10">
      <c r="A105" s="17"/>
      <c r="B105" s="17"/>
      <c r="C105" s="17"/>
      <c r="D105" s="17"/>
      <c r="E105" s="17"/>
      <c r="F105" s="17"/>
      <c r="G105" s="20" t="s">
        <v>521</v>
      </c>
      <c r="H105" s="17"/>
      <c r="I105" s="20" t="s">
        <v>9720</v>
      </c>
      <c r="J105" s="17"/>
    </row>
    <row r="106" spans="1:10">
      <c r="A106" s="17"/>
      <c r="B106" s="17"/>
      <c r="C106" s="17"/>
      <c r="D106" s="17"/>
      <c r="E106" s="17"/>
      <c r="F106" s="17"/>
      <c r="G106" s="20" t="s">
        <v>525</v>
      </c>
      <c r="H106" s="17"/>
      <c r="I106" s="20" t="s">
        <v>9893</v>
      </c>
      <c r="J106" s="17"/>
    </row>
    <row r="107" spans="1:10">
      <c r="A107" s="17"/>
      <c r="B107" s="17"/>
      <c r="C107" s="17"/>
      <c r="D107" s="17"/>
      <c r="E107" s="17"/>
      <c r="F107" s="17"/>
      <c r="G107" s="20" t="s">
        <v>529</v>
      </c>
      <c r="H107" s="17"/>
      <c r="I107" s="20" t="s">
        <v>9721</v>
      </c>
      <c r="J107" s="17"/>
    </row>
    <row r="108" spans="1:10">
      <c r="A108" s="17"/>
      <c r="B108" s="17"/>
      <c r="C108" s="17"/>
      <c r="D108" s="17"/>
      <c r="E108" s="17"/>
      <c r="F108" s="17"/>
      <c r="G108" s="20" t="s">
        <v>533</v>
      </c>
      <c r="H108" s="17"/>
      <c r="I108" s="20" t="s">
        <v>9903</v>
      </c>
      <c r="J108" s="17"/>
    </row>
    <row r="109" spans="1:10">
      <c r="A109" s="17"/>
      <c r="B109" s="17"/>
      <c r="C109" s="17"/>
      <c r="D109" s="17"/>
      <c r="E109" s="17"/>
      <c r="F109" s="17"/>
      <c r="G109" s="20" t="s">
        <v>537</v>
      </c>
      <c r="H109" s="17"/>
      <c r="I109" s="20" t="s">
        <v>9791</v>
      </c>
      <c r="J109" s="17"/>
    </row>
    <row r="110" spans="1:10">
      <c r="A110" s="17"/>
      <c r="B110" s="17"/>
      <c r="C110" s="17"/>
      <c r="D110" s="17"/>
      <c r="E110" s="17"/>
      <c r="F110" s="17"/>
      <c r="G110" s="20" t="s">
        <v>541</v>
      </c>
      <c r="H110" s="17"/>
      <c r="I110" s="20" t="s">
        <v>9792</v>
      </c>
      <c r="J110" s="17"/>
    </row>
    <row r="111" spans="1:10">
      <c r="A111" s="17"/>
      <c r="B111" s="17"/>
      <c r="C111" s="17"/>
      <c r="D111" s="17"/>
      <c r="E111" s="17"/>
      <c r="F111" s="17"/>
      <c r="G111" s="20" t="s">
        <v>545</v>
      </c>
      <c r="H111" s="17"/>
      <c r="I111" s="20" t="s">
        <v>9915</v>
      </c>
      <c r="J111" s="17"/>
    </row>
    <row r="112" spans="1:10">
      <c r="A112" s="17"/>
      <c r="B112" s="17"/>
      <c r="C112" s="17"/>
      <c r="D112" s="17"/>
      <c r="E112" s="17"/>
      <c r="F112" s="17"/>
      <c r="G112" s="20" t="s">
        <v>549</v>
      </c>
      <c r="H112" s="17"/>
      <c r="I112" s="20" t="s">
        <v>9932</v>
      </c>
      <c r="J112" s="17"/>
    </row>
    <row r="113" spans="1:10">
      <c r="A113" s="17"/>
      <c r="B113" s="17"/>
      <c r="C113" s="17"/>
      <c r="D113" s="17"/>
      <c r="E113" s="17"/>
      <c r="F113" s="17"/>
      <c r="G113" s="20" t="s">
        <v>553</v>
      </c>
      <c r="H113" s="17"/>
      <c r="I113" s="20" t="s">
        <v>9790</v>
      </c>
      <c r="J113" s="17"/>
    </row>
    <row r="114" spans="1:10">
      <c r="A114" s="17"/>
      <c r="B114" s="17"/>
      <c r="C114" s="17"/>
      <c r="D114" s="17"/>
      <c r="E114" s="17"/>
      <c r="F114" s="17"/>
      <c r="G114" s="20" t="s">
        <v>557</v>
      </c>
      <c r="H114" s="17"/>
      <c r="I114" s="20" t="s">
        <v>9916</v>
      </c>
      <c r="J114" s="17"/>
    </row>
    <row r="115" spans="1:10">
      <c r="A115" s="17"/>
      <c r="B115" s="17"/>
      <c r="C115" s="17"/>
      <c r="D115" s="17"/>
      <c r="E115" s="17"/>
      <c r="F115" s="17"/>
      <c r="G115" s="20" t="s">
        <v>561</v>
      </c>
      <c r="H115" s="17"/>
      <c r="I115" s="20" t="s">
        <v>9794</v>
      </c>
      <c r="J115" s="17"/>
    </row>
    <row r="116" spans="1:10">
      <c r="A116" s="17"/>
      <c r="B116" s="17"/>
      <c r="C116" s="17"/>
      <c r="D116" s="17"/>
      <c r="E116" s="17"/>
      <c r="F116" s="17"/>
      <c r="G116" s="20" t="s">
        <v>565</v>
      </c>
      <c r="H116" s="17"/>
      <c r="I116" s="20" t="s">
        <v>9805</v>
      </c>
      <c r="J116" s="17"/>
    </row>
    <row r="117" spans="1:10">
      <c r="A117" s="17"/>
      <c r="B117" s="17"/>
      <c r="C117" s="17"/>
      <c r="D117" s="17"/>
      <c r="E117" s="17"/>
      <c r="F117" s="17"/>
      <c r="G117" s="20" t="s">
        <v>569</v>
      </c>
      <c r="H117" s="17"/>
      <c r="I117" s="20" t="s">
        <v>9796</v>
      </c>
      <c r="J117" s="17"/>
    </row>
    <row r="118" spans="1:10">
      <c r="A118" s="17"/>
      <c r="B118" s="17"/>
      <c r="C118" s="17"/>
      <c r="D118" s="17"/>
      <c r="E118" s="17"/>
      <c r="F118" s="17"/>
      <c r="G118" s="20" t="s">
        <v>572</v>
      </c>
      <c r="H118" s="17"/>
      <c r="I118" s="20" t="s">
        <v>9917</v>
      </c>
      <c r="J118" s="17"/>
    </row>
    <row r="119" spans="1:10">
      <c r="A119" s="17"/>
      <c r="B119" s="17"/>
      <c r="C119" s="17"/>
      <c r="D119" s="17"/>
      <c r="E119" s="17"/>
      <c r="F119" s="17"/>
      <c r="G119" s="20" t="s">
        <v>576</v>
      </c>
      <c r="H119" s="17"/>
      <c r="I119" s="20" t="s">
        <v>9797</v>
      </c>
      <c r="J119" s="17"/>
    </row>
    <row r="120" spans="1:10">
      <c r="A120" s="17"/>
      <c r="B120" s="17"/>
      <c r="C120" s="17"/>
      <c r="D120" s="17"/>
      <c r="E120" s="17"/>
      <c r="F120" s="17"/>
      <c r="G120" s="20" t="s">
        <v>580</v>
      </c>
      <c r="H120" s="17"/>
      <c r="I120" s="20" t="s">
        <v>9918</v>
      </c>
      <c r="J120" s="17"/>
    </row>
    <row r="121" spans="1:10">
      <c r="A121" s="17"/>
      <c r="B121" s="17"/>
      <c r="C121" s="17"/>
      <c r="D121" s="17"/>
      <c r="E121" s="17"/>
      <c r="F121" s="17"/>
      <c r="G121" s="20" t="s">
        <v>584</v>
      </c>
      <c r="H121" s="17"/>
      <c r="I121" s="20" t="s">
        <v>9798</v>
      </c>
      <c r="J121" s="17"/>
    </row>
    <row r="122" spans="1:10">
      <c r="A122" s="17"/>
      <c r="B122" s="17"/>
      <c r="C122" s="17"/>
      <c r="D122" s="17"/>
      <c r="E122" s="17"/>
      <c r="F122" s="17"/>
      <c r="G122" s="20" t="s">
        <v>587</v>
      </c>
      <c r="H122" s="17"/>
      <c r="I122" s="20" t="s">
        <v>9800</v>
      </c>
      <c r="J122" s="17"/>
    </row>
    <row r="123" spans="1:10">
      <c r="A123" s="17"/>
      <c r="B123" s="17"/>
      <c r="C123" s="17"/>
      <c r="D123" s="17"/>
      <c r="E123" s="17"/>
      <c r="F123" s="17"/>
      <c r="G123" s="20" t="s">
        <v>591</v>
      </c>
      <c r="H123" s="17"/>
      <c r="I123" s="20" t="s">
        <v>9778</v>
      </c>
      <c r="J123" s="17"/>
    </row>
    <row r="124" spans="1:10">
      <c r="A124" s="17"/>
      <c r="B124" s="17"/>
      <c r="C124" s="17"/>
      <c r="D124" s="17"/>
      <c r="E124" s="17"/>
      <c r="F124" s="17"/>
      <c r="G124" s="20" t="s">
        <v>595</v>
      </c>
      <c r="H124" s="17"/>
      <c r="I124" s="20" t="s">
        <v>9919</v>
      </c>
      <c r="J124" s="17"/>
    </row>
    <row r="125" spans="1:10">
      <c r="A125" s="17"/>
      <c r="B125" s="17"/>
      <c r="C125" s="17"/>
      <c r="D125" s="17"/>
      <c r="E125" s="17"/>
      <c r="F125" s="17"/>
      <c r="G125" s="20" t="s">
        <v>599</v>
      </c>
      <c r="H125" s="17"/>
      <c r="I125" s="20" t="s">
        <v>9802</v>
      </c>
      <c r="J125" s="17"/>
    </row>
    <row r="126" spans="1:10">
      <c r="A126" s="17"/>
      <c r="B126" s="17"/>
      <c r="C126" s="17"/>
      <c r="D126" s="17"/>
      <c r="E126" s="17"/>
      <c r="F126" s="17"/>
      <c r="G126" s="20" t="s">
        <v>603</v>
      </c>
      <c r="H126" s="17"/>
      <c r="I126" s="20" t="s">
        <v>9803</v>
      </c>
      <c r="J126" s="17"/>
    </row>
    <row r="127" spans="1:10">
      <c r="A127" s="17"/>
      <c r="B127" s="17"/>
      <c r="C127" s="17"/>
      <c r="D127" s="17"/>
      <c r="E127" s="17"/>
      <c r="F127" s="17"/>
      <c r="G127" s="20" t="s">
        <v>607</v>
      </c>
      <c r="H127" s="17"/>
      <c r="I127" s="20" t="s">
        <v>9897</v>
      </c>
      <c r="J127" s="17"/>
    </row>
    <row r="128" spans="1:10">
      <c r="A128" s="17"/>
      <c r="B128" s="17"/>
      <c r="C128" s="17"/>
      <c r="D128" s="17"/>
      <c r="E128" s="17"/>
      <c r="F128" s="17"/>
      <c r="G128" s="20" t="s">
        <v>611</v>
      </c>
      <c r="H128" s="17"/>
      <c r="I128" s="20" t="s">
        <v>9920</v>
      </c>
      <c r="J128" s="17"/>
    </row>
    <row r="129" spans="1:10">
      <c r="A129" s="17"/>
      <c r="B129" s="17"/>
      <c r="C129" s="17"/>
      <c r="D129" s="17"/>
      <c r="E129" s="17"/>
      <c r="F129" s="17"/>
      <c r="G129" s="20" t="s">
        <v>615</v>
      </c>
      <c r="H129" s="17"/>
      <c r="I129" s="20" t="s">
        <v>9804</v>
      </c>
      <c r="J129" s="17"/>
    </row>
    <row r="130" spans="1:10">
      <c r="A130" s="17"/>
      <c r="B130" s="17"/>
      <c r="C130" s="17"/>
      <c r="D130" s="17"/>
      <c r="E130" s="17"/>
      <c r="F130" s="17"/>
      <c r="G130" s="20" t="s">
        <v>619</v>
      </c>
      <c r="H130" s="17"/>
      <c r="I130" s="20" t="s">
        <v>9921</v>
      </c>
      <c r="J130" s="17"/>
    </row>
    <row r="131" spans="1:10">
      <c r="A131" s="17"/>
      <c r="B131" s="17"/>
      <c r="C131" s="17"/>
      <c r="D131" s="17"/>
      <c r="E131" s="17"/>
      <c r="F131" s="17"/>
      <c r="G131" s="20" t="s">
        <v>623</v>
      </c>
      <c r="H131" s="17"/>
      <c r="I131" s="20" t="s">
        <v>9806</v>
      </c>
      <c r="J131" s="17"/>
    </row>
    <row r="132" spans="1:10">
      <c r="A132" s="17"/>
      <c r="B132" s="17"/>
      <c r="C132" s="17"/>
      <c r="D132" s="17"/>
      <c r="E132" s="17"/>
      <c r="F132" s="17"/>
      <c r="G132" s="20" t="s">
        <v>627</v>
      </c>
      <c r="H132" s="17"/>
      <c r="I132" s="20" t="s">
        <v>9807</v>
      </c>
      <c r="J132" s="17"/>
    </row>
    <row r="133" spans="1:10">
      <c r="A133" s="17"/>
      <c r="B133" s="17"/>
      <c r="C133" s="17"/>
      <c r="D133" s="17"/>
      <c r="E133" s="17"/>
      <c r="F133" s="17"/>
      <c r="G133" s="20" t="s">
        <v>631</v>
      </c>
      <c r="H133" s="17"/>
      <c r="I133" s="20" t="s">
        <v>9808</v>
      </c>
      <c r="J133" s="17"/>
    </row>
    <row r="134" spans="1:10">
      <c r="A134" s="17"/>
      <c r="B134" s="17"/>
      <c r="C134" s="17"/>
      <c r="D134" s="17"/>
      <c r="E134" s="17"/>
      <c r="F134" s="17"/>
      <c r="G134" s="20" t="s">
        <v>635</v>
      </c>
      <c r="H134" s="17"/>
      <c r="I134" s="20" t="s">
        <v>9923</v>
      </c>
      <c r="J134" s="17"/>
    </row>
    <row r="135" spans="1:10">
      <c r="A135" s="17"/>
      <c r="B135" s="17"/>
      <c r="C135" s="17"/>
      <c r="D135" s="17"/>
      <c r="E135" s="17"/>
      <c r="F135" s="17"/>
      <c r="G135" s="20" t="s">
        <v>639</v>
      </c>
      <c r="H135" s="17"/>
      <c r="I135" s="20" t="s">
        <v>9922</v>
      </c>
      <c r="J135" s="17"/>
    </row>
    <row r="136" spans="1:10">
      <c r="A136" s="17"/>
      <c r="B136" s="17"/>
      <c r="C136" s="17"/>
      <c r="D136" s="17"/>
      <c r="E136" s="17"/>
      <c r="F136" s="17"/>
      <c r="G136" s="20" t="s">
        <v>643</v>
      </c>
      <c r="H136" s="17"/>
      <c r="I136" s="20" t="s">
        <v>9809</v>
      </c>
      <c r="J136" s="17"/>
    </row>
    <row r="137" spans="1:10">
      <c r="A137" s="17"/>
      <c r="B137" s="17"/>
      <c r="C137" s="17"/>
      <c r="D137" s="17"/>
      <c r="E137" s="17"/>
      <c r="F137" s="17"/>
      <c r="G137" s="20" t="s">
        <v>647</v>
      </c>
      <c r="H137" s="17"/>
      <c r="I137" s="20" t="s">
        <v>9810</v>
      </c>
      <c r="J137" s="17"/>
    </row>
    <row r="138" spans="1:10">
      <c r="A138" s="17"/>
      <c r="B138" s="17"/>
      <c r="C138" s="17"/>
      <c r="D138" s="17"/>
      <c r="E138" s="17"/>
      <c r="F138" s="17"/>
      <c r="G138" s="20" t="s">
        <v>651</v>
      </c>
      <c r="H138" s="17"/>
      <c r="I138" s="20" t="s">
        <v>9811</v>
      </c>
      <c r="J138" s="17"/>
    </row>
    <row r="139" spans="1:10">
      <c r="A139" s="17"/>
      <c r="B139" s="17"/>
      <c r="C139" s="17"/>
      <c r="D139" s="17"/>
      <c r="E139" s="17"/>
      <c r="F139" s="17"/>
      <c r="G139" s="20" t="s">
        <v>655</v>
      </c>
      <c r="H139" s="17"/>
      <c r="I139" s="20" t="s">
        <v>9812</v>
      </c>
      <c r="J139" s="17"/>
    </row>
    <row r="140" spans="1:10">
      <c r="A140" s="17"/>
      <c r="B140" s="17"/>
      <c r="C140" s="17"/>
      <c r="D140" s="17"/>
      <c r="E140" s="17"/>
      <c r="F140" s="17"/>
      <c r="G140" s="20" t="s">
        <v>659</v>
      </c>
      <c r="H140" s="17"/>
      <c r="I140" s="20" t="s">
        <v>9821</v>
      </c>
      <c r="J140" s="17"/>
    </row>
    <row r="141" spans="1:10">
      <c r="A141" s="17"/>
      <c r="B141" s="17"/>
      <c r="C141" s="17"/>
      <c r="D141" s="17"/>
      <c r="E141" s="17"/>
      <c r="F141" s="17"/>
      <c r="G141" s="20" t="s">
        <v>663</v>
      </c>
      <c r="H141" s="17"/>
      <c r="I141" s="20" t="s">
        <v>9813</v>
      </c>
      <c r="J141" s="17"/>
    </row>
    <row r="142" spans="1:10">
      <c r="A142" s="17"/>
      <c r="B142" s="17"/>
      <c r="C142" s="17"/>
      <c r="D142" s="17"/>
      <c r="E142" s="17"/>
      <c r="F142" s="17"/>
      <c r="G142" s="20" t="s">
        <v>667</v>
      </c>
      <c r="H142" s="17"/>
      <c r="I142" s="20" t="s">
        <v>9815</v>
      </c>
      <c r="J142" s="17"/>
    </row>
    <row r="143" spans="1:10">
      <c r="A143" s="17"/>
      <c r="B143" s="17"/>
      <c r="C143" s="17"/>
      <c r="D143" s="17"/>
      <c r="E143" s="17"/>
      <c r="F143" s="17"/>
      <c r="G143" s="20" t="s">
        <v>671</v>
      </c>
      <c r="H143" s="17"/>
      <c r="I143" s="20" t="s">
        <v>9814</v>
      </c>
      <c r="J143" s="17"/>
    </row>
    <row r="144" spans="1:10">
      <c r="A144" s="17"/>
      <c r="B144" s="17"/>
      <c r="C144" s="17"/>
      <c r="D144" s="17"/>
      <c r="E144" s="17"/>
      <c r="F144" s="17"/>
      <c r="G144" s="20" t="s">
        <v>675</v>
      </c>
      <c r="H144" s="17"/>
      <c r="I144" s="20" t="s">
        <v>9741</v>
      </c>
      <c r="J144" s="17"/>
    </row>
    <row r="145" spans="1:10">
      <c r="A145" s="17"/>
      <c r="B145" s="17"/>
      <c r="C145" s="17"/>
      <c r="D145" s="17"/>
      <c r="E145" s="17"/>
      <c r="F145" s="17"/>
      <c r="G145" s="20" t="s">
        <v>679</v>
      </c>
      <c r="H145" s="17"/>
      <c r="I145" s="20" t="s">
        <v>9816</v>
      </c>
      <c r="J145" s="17"/>
    </row>
    <row r="146" spans="1:10">
      <c r="A146" s="17"/>
      <c r="B146" s="17"/>
      <c r="C146" s="17"/>
      <c r="D146" s="17"/>
      <c r="E146" s="17"/>
      <c r="F146" s="17"/>
      <c r="G146" s="20" t="s">
        <v>683</v>
      </c>
      <c r="H146" s="17"/>
      <c r="I146" s="20" t="s">
        <v>9817</v>
      </c>
      <c r="J146" s="17"/>
    </row>
    <row r="147" spans="1:10">
      <c r="A147" s="17"/>
      <c r="B147" s="17"/>
      <c r="C147" s="17"/>
      <c r="D147" s="17"/>
      <c r="E147" s="17"/>
      <c r="F147" s="17"/>
      <c r="G147" s="20" t="s">
        <v>687</v>
      </c>
      <c r="H147" s="17"/>
      <c r="I147" s="20" t="s">
        <v>9818</v>
      </c>
      <c r="J147" s="17"/>
    </row>
    <row r="148" spans="1:10">
      <c r="A148" s="17"/>
      <c r="B148" s="17"/>
      <c r="C148" s="17"/>
      <c r="D148" s="17"/>
      <c r="E148" s="17"/>
      <c r="F148" s="17"/>
      <c r="G148" s="20" t="s">
        <v>691</v>
      </c>
      <c r="H148" s="17"/>
      <c r="I148" s="20" t="s">
        <v>9934</v>
      </c>
      <c r="J148" s="17"/>
    </row>
    <row r="149" spans="1:10">
      <c r="A149" s="17"/>
      <c r="B149" s="17"/>
      <c r="C149" s="17"/>
      <c r="D149" s="17"/>
      <c r="E149" s="17"/>
      <c r="F149" s="17"/>
      <c r="G149" s="20" t="s">
        <v>694</v>
      </c>
      <c r="H149" s="17"/>
      <c r="I149" s="20" t="s">
        <v>9820</v>
      </c>
      <c r="J149" s="17"/>
    </row>
    <row r="150" spans="1:10">
      <c r="A150" s="17"/>
      <c r="B150" s="17"/>
      <c r="C150" s="17"/>
      <c r="D150" s="17"/>
      <c r="E150" s="17"/>
      <c r="F150" s="17"/>
      <c r="G150" s="20" t="s">
        <v>698</v>
      </c>
      <c r="H150" s="17"/>
      <c r="I150" s="20" t="s">
        <v>9822</v>
      </c>
      <c r="J150" s="17"/>
    </row>
    <row r="151" spans="1:10">
      <c r="A151" s="17"/>
      <c r="B151" s="17"/>
      <c r="C151" s="17"/>
      <c r="D151" s="17"/>
      <c r="E151" s="17"/>
      <c r="F151" s="17"/>
      <c r="G151" s="20" t="s">
        <v>702</v>
      </c>
      <c r="H151" s="17"/>
      <c r="I151" s="20" t="s">
        <v>9724</v>
      </c>
      <c r="J151" s="17"/>
    </row>
    <row r="152" spans="1:10">
      <c r="A152" s="17"/>
      <c r="B152" s="17"/>
      <c r="C152" s="17"/>
      <c r="D152" s="17"/>
      <c r="E152" s="17"/>
      <c r="F152" s="17"/>
      <c r="G152" s="20" t="s">
        <v>706</v>
      </c>
      <c r="H152" s="17"/>
      <c r="I152" s="20" t="s">
        <v>9824</v>
      </c>
      <c r="J152" s="17"/>
    </row>
    <row r="153" spans="1:10">
      <c r="A153" s="17"/>
      <c r="B153" s="17"/>
      <c r="C153" s="17"/>
      <c r="D153" s="17"/>
      <c r="E153" s="17"/>
      <c r="F153" s="17"/>
      <c r="G153" s="20" t="s">
        <v>710</v>
      </c>
      <c r="H153" s="17"/>
      <c r="I153" s="20" t="s">
        <v>9825</v>
      </c>
      <c r="J153" s="17"/>
    </row>
    <row r="154" spans="1:10">
      <c r="A154" s="17"/>
      <c r="B154" s="17"/>
      <c r="C154" s="17"/>
      <c r="D154" s="17"/>
      <c r="E154" s="17"/>
      <c r="F154" s="17"/>
      <c r="G154" s="20" t="s">
        <v>714</v>
      </c>
      <c r="H154" s="17"/>
      <c r="I154" s="20" t="s">
        <v>9826</v>
      </c>
      <c r="J154" s="17"/>
    </row>
    <row r="155" spans="1:10">
      <c r="A155" s="17"/>
      <c r="B155" s="17"/>
      <c r="C155" s="17"/>
      <c r="D155" s="17"/>
      <c r="E155" s="17"/>
      <c r="F155" s="17"/>
      <c r="G155" s="20" t="s">
        <v>718</v>
      </c>
      <c r="H155" s="17"/>
      <c r="I155" s="20" t="s">
        <v>9927</v>
      </c>
      <c r="J155" s="17"/>
    </row>
    <row r="156" spans="1:10">
      <c r="A156" s="17"/>
      <c r="B156" s="17"/>
      <c r="C156" s="17"/>
      <c r="D156" s="17"/>
      <c r="E156" s="17"/>
      <c r="F156" s="17"/>
      <c r="G156" s="20" t="s">
        <v>722</v>
      </c>
      <c r="H156" s="17"/>
      <c r="I156" s="20" t="s">
        <v>9831</v>
      </c>
      <c r="J156" s="17"/>
    </row>
    <row r="157" spans="1:10">
      <c r="A157" s="17"/>
      <c r="B157" s="17"/>
      <c r="C157" s="17"/>
      <c r="D157" s="17"/>
      <c r="E157" s="17"/>
      <c r="F157" s="17"/>
      <c r="G157" s="20" t="s">
        <v>726</v>
      </c>
      <c r="H157" s="17"/>
      <c r="I157" s="20" t="s">
        <v>9832</v>
      </c>
      <c r="J157" s="17"/>
    </row>
    <row r="158" spans="1:10">
      <c r="A158" s="17"/>
      <c r="B158" s="17"/>
      <c r="C158" s="17"/>
      <c r="D158" s="17"/>
      <c r="E158" s="17"/>
      <c r="F158" s="17"/>
      <c r="G158" s="20" t="s">
        <v>730</v>
      </c>
      <c r="H158" s="17"/>
      <c r="I158" s="20" t="s">
        <v>9833</v>
      </c>
      <c r="J158" s="17"/>
    </row>
    <row r="159" spans="1:10">
      <c r="A159" s="17"/>
      <c r="B159" s="17"/>
      <c r="C159" s="17"/>
      <c r="D159" s="17"/>
      <c r="E159" s="17"/>
      <c r="F159" s="17"/>
      <c r="G159" s="20" t="s">
        <v>734</v>
      </c>
      <c r="H159" s="17"/>
      <c r="I159" s="20" t="s">
        <v>9835</v>
      </c>
      <c r="J159" s="17"/>
    </row>
    <row r="160" spans="1:10">
      <c r="A160" s="17"/>
      <c r="B160" s="17"/>
      <c r="C160" s="17"/>
      <c r="D160" s="17"/>
      <c r="E160" s="17"/>
      <c r="F160" s="17"/>
      <c r="G160" s="20" t="s">
        <v>738</v>
      </c>
      <c r="H160" s="17"/>
      <c r="I160" s="20" t="s">
        <v>9829</v>
      </c>
      <c r="J160" s="17"/>
    </row>
    <row r="161" spans="1:10">
      <c r="A161" s="17"/>
      <c r="B161" s="17"/>
      <c r="C161" s="17"/>
      <c r="D161" s="17"/>
      <c r="E161" s="17"/>
      <c r="F161" s="17"/>
      <c r="G161" s="20" t="s">
        <v>742</v>
      </c>
      <c r="H161" s="17"/>
      <c r="I161" s="20" t="s">
        <v>9830</v>
      </c>
      <c r="J161" s="17"/>
    </row>
    <row r="162" spans="1:10">
      <c r="A162" s="17"/>
      <c r="B162" s="17"/>
      <c r="C162" s="17"/>
      <c r="D162" s="17"/>
      <c r="E162" s="17"/>
      <c r="F162" s="17"/>
      <c r="G162" s="20" t="s">
        <v>746</v>
      </c>
      <c r="H162" s="17"/>
      <c r="I162" s="20" t="s">
        <v>9823</v>
      </c>
      <c r="J162" s="17"/>
    </row>
    <row r="163" spans="1:10">
      <c r="A163" s="17"/>
      <c r="B163" s="17"/>
      <c r="C163" s="17"/>
      <c r="D163" s="17"/>
      <c r="E163" s="17"/>
      <c r="F163" s="17"/>
      <c r="G163" s="20" t="s">
        <v>750</v>
      </c>
      <c r="H163" s="17"/>
      <c r="I163" s="20" t="s">
        <v>9895</v>
      </c>
      <c r="J163" s="17"/>
    </row>
    <row r="164" spans="1:10">
      <c r="A164" s="17"/>
      <c r="B164" s="17"/>
      <c r="C164" s="17"/>
      <c r="D164" s="17"/>
      <c r="E164" s="17"/>
      <c r="F164" s="17"/>
      <c r="G164" s="20" t="s">
        <v>754</v>
      </c>
      <c r="H164" s="17"/>
      <c r="I164" s="20" t="s">
        <v>9906</v>
      </c>
      <c r="J164" s="17"/>
    </row>
    <row r="165" spans="1:10">
      <c r="A165" s="17"/>
      <c r="B165" s="17"/>
      <c r="C165" s="17"/>
      <c r="D165" s="17"/>
      <c r="E165" s="17"/>
      <c r="F165" s="17"/>
      <c r="G165" s="20" t="s">
        <v>758</v>
      </c>
      <c r="H165" s="17"/>
      <c r="I165" s="20" t="s">
        <v>9839</v>
      </c>
      <c r="J165" s="17"/>
    </row>
    <row r="166" spans="1:10">
      <c r="A166" s="17"/>
      <c r="B166" s="17"/>
      <c r="C166" s="17"/>
      <c r="D166" s="17"/>
      <c r="E166" s="17"/>
      <c r="F166" s="17"/>
      <c r="G166" s="20" t="s">
        <v>762</v>
      </c>
      <c r="H166" s="17"/>
      <c r="I166" s="20" t="s">
        <v>9838</v>
      </c>
      <c r="J166" s="17"/>
    </row>
    <row r="167" spans="1:10">
      <c r="A167" s="17"/>
      <c r="B167" s="17"/>
      <c r="C167" s="17"/>
      <c r="D167" s="17"/>
      <c r="E167" s="17"/>
      <c r="F167" s="17"/>
      <c r="G167" s="20" t="s">
        <v>766</v>
      </c>
      <c r="H167" s="17"/>
      <c r="I167" s="20" t="s">
        <v>9840</v>
      </c>
      <c r="J167" s="17"/>
    </row>
    <row r="168" spans="1:10">
      <c r="A168" s="17"/>
      <c r="B168" s="17"/>
      <c r="C168" s="17"/>
      <c r="D168" s="17"/>
      <c r="E168" s="17"/>
      <c r="F168" s="17"/>
      <c r="G168" s="20" t="s">
        <v>770</v>
      </c>
      <c r="H168" s="17"/>
      <c r="I168" s="20" t="s">
        <v>9929</v>
      </c>
      <c r="J168" s="17"/>
    </row>
    <row r="169" spans="1:10">
      <c r="A169" s="17"/>
      <c r="B169" s="17"/>
      <c r="C169" s="17"/>
      <c r="D169" s="17"/>
      <c r="E169" s="17"/>
      <c r="F169" s="17"/>
      <c r="G169" s="20" t="s">
        <v>774</v>
      </c>
      <c r="H169" s="17"/>
      <c r="I169" s="20" t="s">
        <v>9841</v>
      </c>
      <c r="J169" s="17"/>
    </row>
    <row r="170" spans="1:10">
      <c r="A170" s="17"/>
      <c r="B170" s="17"/>
      <c r="C170" s="17"/>
      <c r="D170" s="17"/>
      <c r="E170" s="17"/>
      <c r="F170" s="17"/>
      <c r="G170" s="20" t="s">
        <v>778</v>
      </c>
      <c r="H170" s="17"/>
      <c r="I170" s="20" t="s">
        <v>9926</v>
      </c>
      <c r="J170" s="17"/>
    </row>
    <row r="171" spans="1:10">
      <c r="A171" s="17"/>
      <c r="B171" s="17"/>
      <c r="C171" s="17"/>
      <c r="D171" s="17"/>
      <c r="E171" s="17"/>
      <c r="F171" s="17"/>
      <c r="G171" s="20" t="s">
        <v>782</v>
      </c>
      <c r="H171" s="17"/>
      <c r="I171" s="20" t="s">
        <v>9842</v>
      </c>
      <c r="J171" s="17"/>
    </row>
    <row r="172" spans="1:10">
      <c r="A172" s="17"/>
      <c r="B172" s="17"/>
      <c r="C172" s="17"/>
      <c r="D172" s="17"/>
      <c r="E172" s="17"/>
      <c r="F172" s="17"/>
      <c r="G172" s="20" t="s">
        <v>786</v>
      </c>
      <c r="H172" s="17"/>
      <c r="I172" s="20" t="s">
        <v>9843</v>
      </c>
      <c r="J172" s="17"/>
    </row>
    <row r="173" spans="1:10">
      <c r="A173" s="17"/>
      <c r="B173" s="17"/>
      <c r="C173" s="17"/>
      <c r="D173" s="17"/>
      <c r="E173" s="17"/>
      <c r="F173" s="17"/>
      <c r="G173" s="20" t="s">
        <v>790</v>
      </c>
      <c r="H173" s="17"/>
      <c r="I173" s="20" t="s">
        <v>9844</v>
      </c>
      <c r="J173" s="17"/>
    </row>
    <row r="174" spans="1:10">
      <c r="A174" s="17"/>
      <c r="B174" s="17"/>
      <c r="C174" s="17"/>
      <c r="D174" s="17"/>
      <c r="E174" s="17"/>
      <c r="F174" s="17"/>
      <c r="G174" s="20" t="s">
        <v>794</v>
      </c>
      <c r="H174" s="17"/>
      <c r="I174" s="20" t="s">
        <v>9845</v>
      </c>
      <c r="J174" s="17"/>
    </row>
    <row r="175" spans="1:10">
      <c r="A175" s="17"/>
      <c r="B175" s="17"/>
      <c r="C175" s="17"/>
      <c r="D175" s="17"/>
      <c r="E175" s="17"/>
      <c r="F175" s="17"/>
      <c r="G175" s="20" t="s">
        <v>798</v>
      </c>
      <c r="H175" s="17"/>
      <c r="I175" s="20" t="s">
        <v>9768</v>
      </c>
      <c r="J175" s="17"/>
    </row>
    <row r="176" spans="1:10">
      <c r="A176" s="17"/>
      <c r="B176" s="17"/>
      <c r="C176" s="17"/>
      <c r="D176" s="17"/>
      <c r="E176" s="17"/>
      <c r="F176" s="17"/>
      <c r="G176" s="20" t="s">
        <v>802</v>
      </c>
      <c r="H176" s="17"/>
      <c r="I176" s="20" t="s">
        <v>9849</v>
      </c>
      <c r="J176" s="17"/>
    </row>
    <row r="177" spans="1:10">
      <c r="A177" s="17"/>
      <c r="B177" s="17"/>
      <c r="C177" s="17"/>
      <c r="D177" s="17"/>
      <c r="E177" s="17"/>
      <c r="F177" s="17"/>
      <c r="G177" s="20" t="s">
        <v>806</v>
      </c>
      <c r="H177" s="17"/>
      <c r="I177" s="20" t="s">
        <v>9846</v>
      </c>
      <c r="J177" s="17"/>
    </row>
    <row r="178" spans="1:10">
      <c r="A178" s="17"/>
      <c r="B178" s="17"/>
      <c r="C178" s="17"/>
      <c r="D178" s="17"/>
      <c r="E178" s="17"/>
      <c r="F178" s="17"/>
      <c r="G178" s="20" t="s">
        <v>810</v>
      </c>
      <c r="H178" s="17"/>
      <c r="I178" s="20" t="s">
        <v>9850</v>
      </c>
      <c r="J178" s="17"/>
    </row>
    <row r="179" spans="1:10">
      <c r="A179" s="17"/>
      <c r="B179" s="17"/>
      <c r="C179" s="17"/>
      <c r="D179" s="17"/>
      <c r="E179" s="17"/>
      <c r="F179" s="17"/>
      <c r="G179" s="20" t="s">
        <v>814</v>
      </c>
      <c r="H179" s="17"/>
      <c r="I179" s="20" t="s">
        <v>9882</v>
      </c>
      <c r="J179" s="17"/>
    </row>
    <row r="180" spans="1:10">
      <c r="A180" s="17"/>
      <c r="B180" s="17"/>
      <c r="C180" s="17"/>
      <c r="D180" s="17"/>
      <c r="E180" s="17"/>
      <c r="F180" s="17"/>
      <c r="G180" s="20" t="s">
        <v>818</v>
      </c>
      <c r="H180" s="17"/>
      <c r="I180" s="20" t="s">
        <v>9732</v>
      </c>
      <c r="J180" s="17"/>
    </row>
    <row r="181" spans="1:10">
      <c r="A181" s="17"/>
      <c r="B181" s="17"/>
      <c r="C181" s="17"/>
      <c r="D181" s="17"/>
      <c r="E181" s="17"/>
      <c r="F181" s="17"/>
      <c r="G181" s="20" t="s">
        <v>822</v>
      </c>
      <c r="H181" s="17"/>
      <c r="I181" s="20" t="s">
        <v>9799</v>
      </c>
      <c r="J181" s="17"/>
    </row>
    <row r="182" spans="1:10">
      <c r="A182" s="17"/>
      <c r="B182" s="17"/>
      <c r="C182" s="17"/>
      <c r="D182" s="17"/>
      <c r="E182" s="17"/>
      <c r="F182" s="17"/>
      <c r="G182" s="20" t="s">
        <v>826</v>
      </c>
      <c r="H182" s="17"/>
      <c r="I182" s="20" t="s">
        <v>9819</v>
      </c>
      <c r="J182" s="17"/>
    </row>
    <row r="183" spans="1:10">
      <c r="A183" s="17"/>
      <c r="B183" s="17"/>
      <c r="C183" s="17"/>
      <c r="D183" s="17"/>
      <c r="E183" s="17"/>
      <c r="F183" s="17"/>
      <c r="G183" s="20" t="s">
        <v>830</v>
      </c>
      <c r="H183" s="17"/>
      <c r="I183" s="20" t="s">
        <v>9743</v>
      </c>
      <c r="J183" s="17"/>
    </row>
    <row r="184" spans="1:10">
      <c r="A184" s="17"/>
      <c r="B184" s="17"/>
      <c r="C184" s="17"/>
      <c r="D184" s="17"/>
      <c r="E184" s="17"/>
      <c r="F184" s="17"/>
      <c r="G184" s="20" t="s">
        <v>834</v>
      </c>
      <c r="H184" s="17"/>
      <c r="I184" s="20" t="s">
        <v>9801</v>
      </c>
      <c r="J184" s="17"/>
    </row>
    <row r="185" spans="1:10">
      <c r="A185" s="17"/>
      <c r="B185" s="17"/>
      <c r="C185" s="17"/>
      <c r="D185" s="17"/>
      <c r="E185" s="17"/>
      <c r="F185" s="17"/>
      <c r="G185" s="20" t="s">
        <v>838</v>
      </c>
      <c r="H185" s="17"/>
      <c r="I185" s="20" t="s">
        <v>9753</v>
      </c>
      <c r="J185" s="17"/>
    </row>
    <row r="186" spans="1:10">
      <c r="A186" s="17"/>
      <c r="B186" s="17"/>
      <c r="C186" s="17"/>
      <c r="D186" s="17"/>
      <c r="E186" s="17"/>
      <c r="F186" s="17"/>
      <c r="G186" s="20" t="s">
        <v>842</v>
      </c>
      <c r="H186" s="17"/>
      <c r="I186" s="20" t="s">
        <v>9742</v>
      </c>
      <c r="J186" s="17"/>
    </row>
    <row r="187" spans="1:10">
      <c r="A187" s="17"/>
      <c r="B187" s="17"/>
      <c r="C187" s="17"/>
      <c r="D187" s="17"/>
      <c r="E187" s="17"/>
      <c r="F187" s="17"/>
      <c r="G187" s="20" t="s">
        <v>846</v>
      </c>
      <c r="H187" s="17"/>
      <c r="I187" s="20" t="s">
        <v>9793</v>
      </c>
      <c r="J187" s="17"/>
    </row>
    <row r="188" spans="1:10">
      <c r="A188" s="17"/>
      <c r="B188" s="17"/>
      <c r="C188" s="17"/>
      <c r="D188" s="17"/>
      <c r="E188" s="17"/>
      <c r="F188" s="17"/>
      <c r="G188" s="20" t="s">
        <v>850</v>
      </c>
      <c r="H188" s="17"/>
      <c r="I188" s="20" t="s">
        <v>9928</v>
      </c>
      <c r="J188" s="17"/>
    </row>
    <row r="189" spans="1:10">
      <c r="A189" s="17"/>
      <c r="B189" s="17"/>
      <c r="C189" s="17"/>
      <c r="D189" s="17"/>
      <c r="E189" s="17"/>
      <c r="F189" s="17"/>
      <c r="G189" s="20" t="s">
        <v>854</v>
      </c>
      <c r="H189" s="17"/>
      <c r="I189" s="20" t="s">
        <v>9749</v>
      </c>
      <c r="J189" s="17"/>
    </row>
    <row r="190" spans="1:10">
      <c r="A190" s="17"/>
      <c r="B190" s="17"/>
      <c r="C190" s="17"/>
      <c r="D190" s="17"/>
      <c r="E190" s="17"/>
      <c r="F190" s="17"/>
      <c r="G190" s="20" t="s">
        <v>858</v>
      </c>
      <c r="H190" s="17"/>
      <c r="I190" s="20" t="s">
        <v>9901</v>
      </c>
      <c r="J190" s="17"/>
    </row>
    <row r="191" spans="1:10">
      <c r="A191" s="17"/>
      <c r="B191" s="17"/>
      <c r="C191" s="17"/>
      <c r="D191" s="17"/>
      <c r="E191" s="17"/>
      <c r="F191" s="17"/>
      <c r="G191" s="20" t="s">
        <v>862</v>
      </c>
      <c r="H191" s="17"/>
      <c r="I191" s="20" t="s">
        <v>9851</v>
      </c>
      <c r="J191" s="17"/>
    </row>
    <row r="192" spans="1:10">
      <c r="A192" s="17"/>
      <c r="B192" s="17"/>
      <c r="C192" s="17"/>
      <c r="D192" s="17"/>
      <c r="E192" s="17"/>
      <c r="F192" s="17"/>
      <c r="G192" s="20" t="s">
        <v>866</v>
      </c>
      <c r="H192" s="17"/>
      <c r="I192" s="20" t="s">
        <v>9852</v>
      </c>
      <c r="J192" s="17"/>
    </row>
    <row r="193" spans="1:10">
      <c r="A193" s="17"/>
      <c r="B193" s="17"/>
      <c r="C193" s="17"/>
      <c r="D193" s="17"/>
      <c r="E193" s="17"/>
      <c r="F193" s="17"/>
      <c r="G193" s="20" t="s">
        <v>870</v>
      </c>
      <c r="H193" s="17"/>
      <c r="I193" s="20" t="s">
        <v>9899</v>
      </c>
      <c r="J193" s="17"/>
    </row>
    <row r="194" spans="1:10">
      <c r="A194" s="17"/>
      <c r="B194" s="17"/>
      <c r="C194" s="17"/>
      <c r="D194" s="17"/>
      <c r="E194" s="17"/>
      <c r="F194" s="17"/>
      <c r="G194" s="20" t="s">
        <v>874</v>
      </c>
      <c r="H194" s="17"/>
      <c r="I194" s="20" t="s">
        <v>9854</v>
      </c>
      <c r="J194" s="17"/>
    </row>
    <row r="195" spans="1:10">
      <c r="A195" s="17"/>
      <c r="B195" s="17"/>
      <c r="C195" s="17"/>
      <c r="D195" s="17"/>
      <c r="E195" s="17"/>
      <c r="F195" s="17"/>
      <c r="G195" s="20" t="s">
        <v>878</v>
      </c>
      <c r="H195" s="17"/>
      <c r="I195" s="20" t="s">
        <v>9875</v>
      </c>
      <c r="J195" s="17"/>
    </row>
    <row r="196" spans="1:10">
      <c r="A196" s="17"/>
      <c r="B196" s="17"/>
      <c r="C196" s="17"/>
      <c r="D196" s="17"/>
      <c r="E196" s="17"/>
      <c r="F196" s="17"/>
      <c r="G196" s="20" t="s">
        <v>882</v>
      </c>
      <c r="H196" s="17"/>
      <c r="I196" s="20" t="s">
        <v>9855</v>
      </c>
      <c r="J196" s="17"/>
    </row>
    <row r="197" spans="1:10">
      <c r="A197" s="17"/>
      <c r="B197" s="17"/>
      <c r="C197" s="17"/>
      <c r="D197" s="17"/>
      <c r="E197" s="17"/>
      <c r="F197" s="17"/>
      <c r="G197" s="20" t="s">
        <v>886</v>
      </c>
      <c r="H197" s="17"/>
      <c r="I197" s="20" t="s">
        <v>9858</v>
      </c>
      <c r="J197" s="17"/>
    </row>
    <row r="198" spans="1:10">
      <c r="A198" s="17"/>
      <c r="B198" s="17"/>
      <c r="C198" s="17"/>
      <c r="D198" s="17"/>
      <c r="E198" s="17"/>
      <c r="F198" s="17"/>
      <c r="G198" s="20" t="s">
        <v>890</v>
      </c>
      <c r="H198" s="17"/>
      <c r="I198" s="20" t="s">
        <v>9856</v>
      </c>
      <c r="J198" s="17"/>
    </row>
    <row r="199" spans="1:10">
      <c r="A199" s="17"/>
      <c r="B199" s="17"/>
      <c r="C199" s="17"/>
      <c r="D199" s="17"/>
      <c r="E199" s="17"/>
      <c r="F199" s="17"/>
      <c r="G199" s="20" t="s">
        <v>894</v>
      </c>
      <c r="H199" s="17"/>
      <c r="I199" s="20" t="s">
        <v>9861</v>
      </c>
      <c r="J199" s="17"/>
    </row>
    <row r="200" spans="1:10">
      <c r="A200" s="17"/>
      <c r="B200" s="17"/>
      <c r="C200" s="17"/>
      <c r="D200" s="17"/>
      <c r="E200" s="17"/>
      <c r="F200" s="17"/>
      <c r="G200" s="20" t="s">
        <v>898</v>
      </c>
      <c r="H200" s="17"/>
      <c r="I200" s="20" t="s">
        <v>9859</v>
      </c>
      <c r="J200" s="17"/>
    </row>
    <row r="201" spans="1:10">
      <c r="A201" s="17"/>
      <c r="B201" s="17"/>
      <c r="C201" s="17"/>
      <c r="D201" s="17"/>
      <c r="E201" s="17"/>
      <c r="F201" s="17"/>
      <c r="G201" s="20" t="s">
        <v>902</v>
      </c>
      <c r="H201" s="17"/>
      <c r="I201" s="20" t="s">
        <v>9787</v>
      </c>
      <c r="J201" s="17"/>
    </row>
    <row r="202" spans="1:10">
      <c r="A202" s="17"/>
      <c r="B202" s="17"/>
      <c r="C202" s="17"/>
      <c r="D202" s="17"/>
      <c r="E202" s="17"/>
      <c r="F202" s="17"/>
      <c r="G202" s="20" t="s">
        <v>906</v>
      </c>
      <c r="H202" s="17"/>
      <c r="I202" s="20" t="s">
        <v>9860</v>
      </c>
      <c r="J202" s="17"/>
    </row>
    <row r="203" spans="1:10">
      <c r="A203" s="17"/>
      <c r="B203" s="17"/>
      <c r="C203" s="17"/>
      <c r="D203" s="17"/>
      <c r="E203" s="17"/>
      <c r="F203" s="17"/>
      <c r="G203" s="20" t="s">
        <v>910</v>
      </c>
      <c r="H203" s="17"/>
      <c r="I203" s="20" t="s">
        <v>9909</v>
      </c>
      <c r="J203" s="17"/>
    </row>
    <row r="204" spans="1:10">
      <c r="A204" s="17"/>
      <c r="B204" s="17"/>
      <c r="C204" s="17"/>
      <c r="D204" s="17"/>
      <c r="E204" s="17"/>
      <c r="F204" s="17"/>
      <c r="G204" s="20" t="s">
        <v>914</v>
      </c>
      <c r="H204" s="17"/>
      <c r="I204" s="20" t="s">
        <v>9697</v>
      </c>
      <c r="J204" s="17"/>
    </row>
    <row r="205" spans="1:10">
      <c r="A205" s="17"/>
      <c r="B205" s="17"/>
      <c r="C205" s="17"/>
      <c r="D205" s="17"/>
      <c r="E205" s="17"/>
      <c r="F205" s="17"/>
      <c r="G205" s="20" t="s">
        <v>918</v>
      </c>
      <c r="H205" s="17"/>
      <c r="I205" s="20" t="s">
        <v>9862</v>
      </c>
      <c r="J205" s="17"/>
    </row>
    <row r="206" spans="1:10">
      <c r="A206" s="17"/>
      <c r="B206" s="17"/>
      <c r="C206" s="17"/>
      <c r="D206" s="17"/>
      <c r="E206" s="17"/>
      <c r="F206" s="17"/>
      <c r="G206" s="20" t="s">
        <v>922</v>
      </c>
      <c r="H206" s="17"/>
      <c r="I206" s="20" t="s">
        <v>9864</v>
      </c>
      <c r="J206" s="17"/>
    </row>
    <row r="207" spans="1:10">
      <c r="A207" s="17"/>
      <c r="B207" s="17"/>
      <c r="C207" s="17"/>
      <c r="D207" s="17"/>
      <c r="E207" s="17"/>
      <c r="F207" s="17"/>
      <c r="G207" s="20" t="s">
        <v>926</v>
      </c>
      <c r="H207" s="17"/>
      <c r="I207" s="20" t="s">
        <v>9936</v>
      </c>
      <c r="J207" s="17"/>
    </row>
    <row r="208" spans="1:10">
      <c r="A208" s="17"/>
      <c r="B208" s="17"/>
      <c r="C208" s="17"/>
      <c r="D208" s="17"/>
      <c r="E208" s="17"/>
      <c r="F208" s="17"/>
      <c r="G208" s="20" t="s">
        <v>930</v>
      </c>
      <c r="H208" s="17"/>
      <c r="I208" s="20" t="s">
        <v>9935</v>
      </c>
      <c r="J208" s="17"/>
    </row>
    <row r="209" spans="1:10">
      <c r="A209" s="17"/>
      <c r="B209" s="17"/>
      <c r="C209" s="17"/>
      <c r="D209" s="17"/>
      <c r="E209" s="17"/>
      <c r="F209" s="17"/>
      <c r="G209" s="20" t="s">
        <v>934</v>
      </c>
      <c r="H209" s="17"/>
      <c r="I209" s="20" t="s">
        <v>9865</v>
      </c>
      <c r="J209" s="17"/>
    </row>
    <row r="210" spans="1:10">
      <c r="A210" s="17"/>
      <c r="B210" s="17"/>
      <c r="C210" s="17"/>
      <c r="D210" s="17"/>
      <c r="E210" s="17"/>
      <c r="F210" s="17"/>
      <c r="G210" s="20" t="s">
        <v>938</v>
      </c>
      <c r="H210" s="17"/>
      <c r="I210" s="20" t="s">
        <v>9866</v>
      </c>
      <c r="J210" s="17"/>
    </row>
    <row r="211" spans="1:10">
      <c r="A211" s="17"/>
      <c r="B211" s="17"/>
      <c r="C211" s="17"/>
      <c r="D211" s="17"/>
      <c r="E211" s="17"/>
      <c r="F211" s="17"/>
      <c r="G211" s="20" t="s">
        <v>942</v>
      </c>
      <c r="H211" s="17"/>
      <c r="I211" s="20" t="s">
        <v>9867</v>
      </c>
      <c r="J211" s="17"/>
    </row>
    <row r="212" spans="1:10">
      <c r="A212" s="17"/>
      <c r="B212" s="17"/>
      <c r="C212" s="17"/>
      <c r="D212" s="17"/>
      <c r="E212" s="17"/>
      <c r="F212" s="17"/>
      <c r="G212" s="20" t="s">
        <v>946</v>
      </c>
      <c r="H212" s="17"/>
      <c r="I212" s="20" t="s">
        <v>9868</v>
      </c>
      <c r="J212" s="17"/>
    </row>
    <row r="213" spans="1:10">
      <c r="A213" s="17"/>
      <c r="B213" s="17"/>
      <c r="C213" s="17"/>
      <c r="D213" s="17"/>
      <c r="E213" s="17"/>
      <c r="F213" s="17"/>
      <c r="G213" s="20" t="s">
        <v>950</v>
      </c>
      <c r="H213" s="17"/>
      <c r="I213" s="20" t="s">
        <v>9870</v>
      </c>
      <c r="J213" s="17"/>
    </row>
    <row r="214" spans="1:10">
      <c r="A214" s="17"/>
      <c r="B214" s="17"/>
      <c r="C214" s="17"/>
      <c r="D214" s="17"/>
      <c r="E214" s="17"/>
      <c r="F214" s="17"/>
      <c r="G214" s="20" t="s">
        <v>954</v>
      </c>
      <c r="H214" s="17"/>
      <c r="I214" s="20" t="s">
        <v>9871</v>
      </c>
      <c r="J214" s="17"/>
    </row>
    <row r="215" spans="1:10">
      <c r="A215" s="17"/>
      <c r="B215" s="17"/>
      <c r="C215" s="17"/>
      <c r="D215" s="17"/>
      <c r="E215" s="17"/>
      <c r="F215" s="17"/>
      <c r="G215" s="20" t="s">
        <v>958</v>
      </c>
      <c r="H215" s="17"/>
      <c r="I215" s="20" t="s">
        <v>9876</v>
      </c>
      <c r="J215" s="17"/>
    </row>
    <row r="216" spans="1:10">
      <c r="A216" s="17"/>
      <c r="B216" s="17"/>
      <c r="C216" s="17"/>
      <c r="D216" s="17"/>
      <c r="E216" s="17"/>
      <c r="F216" s="17"/>
      <c r="G216" s="20" t="s">
        <v>962</v>
      </c>
      <c r="H216" s="17"/>
      <c r="I216" s="20" t="s">
        <v>9733</v>
      </c>
      <c r="J216" s="17"/>
    </row>
    <row r="217" spans="1:10">
      <c r="A217" s="17"/>
      <c r="B217" s="17"/>
      <c r="C217" s="17"/>
      <c r="D217" s="17"/>
      <c r="E217" s="17"/>
      <c r="F217" s="17"/>
      <c r="G217" s="20" t="s">
        <v>966</v>
      </c>
      <c r="H217" s="17"/>
      <c r="I217" s="20" t="s">
        <v>9880</v>
      </c>
      <c r="J217" s="17"/>
    </row>
    <row r="218" spans="1:10">
      <c r="A218" s="17"/>
      <c r="B218" s="17"/>
      <c r="C218" s="17"/>
      <c r="D218" s="17"/>
      <c r="E218" s="17"/>
      <c r="F218" s="17"/>
      <c r="G218" s="20" t="s">
        <v>970</v>
      </c>
      <c r="H218" s="17"/>
      <c r="I218" s="20" t="s">
        <v>9881</v>
      </c>
      <c r="J218" s="17"/>
    </row>
    <row r="219" spans="1:10">
      <c r="A219" s="17"/>
      <c r="B219" s="17"/>
      <c r="C219" s="17"/>
      <c r="D219" s="17"/>
      <c r="E219" s="17"/>
      <c r="F219" s="17"/>
      <c r="G219" s="20" t="s">
        <v>974</v>
      </c>
      <c r="H219" s="17"/>
      <c r="I219" s="20" t="s">
        <v>9877</v>
      </c>
      <c r="J219" s="17"/>
    </row>
    <row r="220" spans="1:10">
      <c r="A220" s="17"/>
      <c r="B220" s="17"/>
      <c r="C220" s="17"/>
      <c r="D220" s="17"/>
      <c r="E220" s="17"/>
      <c r="F220" s="17"/>
      <c r="G220" s="20" t="s">
        <v>978</v>
      </c>
      <c r="H220" s="17"/>
      <c r="I220" s="20" t="s">
        <v>9878</v>
      </c>
      <c r="J220" s="17"/>
    </row>
    <row r="221" spans="1:10">
      <c r="A221" s="17"/>
      <c r="B221" s="17"/>
      <c r="C221" s="17"/>
      <c r="D221" s="17"/>
      <c r="E221" s="17"/>
      <c r="F221" s="17"/>
      <c r="G221" s="20" t="s">
        <v>982</v>
      </c>
      <c r="H221" s="17"/>
      <c r="I221" s="20" t="s">
        <v>9879</v>
      </c>
      <c r="J221" s="17"/>
    </row>
    <row r="222" spans="1:10">
      <c r="A222" s="17"/>
      <c r="B222" s="17"/>
      <c r="C222" s="17"/>
      <c r="D222" s="17"/>
      <c r="E222" s="17"/>
      <c r="F222" s="17"/>
      <c r="G222" s="20" t="s">
        <v>986</v>
      </c>
      <c r="H222" s="17"/>
      <c r="I222" s="20" t="s">
        <v>9883</v>
      </c>
      <c r="J222" s="17"/>
    </row>
    <row r="223" spans="1:10">
      <c r="A223" s="17"/>
      <c r="B223" s="17"/>
      <c r="C223" s="17"/>
      <c r="D223" s="17"/>
      <c r="E223" s="17"/>
      <c r="F223" s="17"/>
      <c r="G223" s="20" t="s">
        <v>990</v>
      </c>
      <c r="H223" s="17"/>
      <c r="I223" s="20" t="s">
        <v>9930</v>
      </c>
      <c r="J223" s="17"/>
    </row>
    <row r="224" spans="1:10">
      <c r="A224" s="17"/>
      <c r="B224" s="17"/>
      <c r="C224" s="17"/>
      <c r="D224" s="17"/>
      <c r="E224" s="17"/>
      <c r="F224" s="17"/>
      <c r="G224" s="20" t="s">
        <v>994</v>
      </c>
      <c r="H224" s="17"/>
      <c r="I224" s="20" t="s">
        <v>9734</v>
      </c>
      <c r="J224" s="17"/>
    </row>
    <row r="225" spans="1:10">
      <c r="A225" s="17"/>
      <c r="B225" s="17"/>
      <c r="C225" s="17"/>
      <c r="D225" s="17"/>
      <c r="E225" s="17"/>
      <c r="F225" s="17"/>
      <c r="G225" s="20" t="s">
        <v>998</v>
      </c>
      <c r="H225" s="17"/>
      <c r="I225" s="20" t="s">
        <v>9769</v>
      </c>
      <c r="J225" s="17"/>
    </row>
    <row r="226" spans="1:10">
      <c r="A226" s="17"/>
      <c r="B226" s="17"/>
      <c r="C226" s="17"/>
      <c r="D226" s="17"/>
      <c r="E226" s="17"/>
      <c r="F226" s="17"/>
      <c r="G226" s="20" t="s">
        <v>1002</v>
      </c>
      <c r="H226" s="17"/>
      <c r="I226" s="20" t="s">
        <v>9719</v>
      </c>
      <c r="J226" s="17"/>
    </row>
    <row r="227" spans="1:10">
      <c r="A227" s="17"/>
      <c r="B227" s="17"/>
      <c r="C227" s="17"/>
      <c r="D227" s="17"/>
      <c r="E227" s="17"/>
      <c r="F227" s="17"/>
      <c r="G227" s="20" t="s">
        <v>1006</v>
      </c>
      <c r="H227" s="17"/>
      <c r="I227" s="20" t="s">
        <v>9774</v>
      </c>
      <c r="J227" s="17"/>
    </row>
    <row r="228" spans="1:10">
      <c r="A228" s="17"/>
      <c r="B228" s="17"/>
      <c r="C228" s="17"/>
      <c r="D228" s="17"/>
      <c r="E228" s="17"/>
      <c r="F228" s="17"/>
      <c r="G228" s="20" t="s">
        <v>1010</v>
      </c>
      <c r="H228" s="17"/>
      <c r="I228" s="20" t="s">
        <v>9884</v>
      </c>
      <c r="J228" s="17"/>
    </row>
    <row r="229" spans="1:10">
      <c r="A229" s="17"/>
      <c r="B229" s="17"/>
      <c r="C229" s="17"/>
      <c r="D229" s="17"/>
      <c r="E229" s="17"/>
      <c r="F229" s="17"/>
      <c r="G229" s="20" t="s">
        <v>1014</v>
      </c>
      <c r="H229" s="17"/>
      <c r="I229" s="20" t="s">
        <v>9848</v>
      </c>
      <c r="J229" s="17"/>
    </row>
    <row r="230" spans="1:10">
      <c r="A230" s="17"/>
      <c r="B230" s="17"/>
      <c r="C230" s="17"/>
      <c r="D230" s="17"/>
      <c r="E230" s="17"/>
      <c r="F230" s="17"/>
      <c r="G230" s="20" t="s">
        <v>117</v>
      </c>
      <c r="H230" s="17"/>
      <c r="I230" s="20" t="s">
        <v>9885</v>
      </c>
      <c r="J230" s="17"/>
    </row>
    <row r="231" spans="1:10">
      <c r="A231" s="17"/>
      <c r="B231" s="17"/>
      <c r="C231" s="17"/>
      <c r="D231" s="17"/>
      <c r="E231" s="17"/>
      <c r="F231" s="17"/>
      <c r="G231" s="20" t="s">
        <v>121</v>
      </c>
      <c r="H231" s="17"/>
      <c r="I231" s="20" t="s">
        <v>9886</v>
      </c>
      <c r="J231" s="17"/>
    </row>
    <row r="232" spans="1:10">
      <c r="A232" s="17"/>
      <c r="B232" s="17"/>
      <c r="C232" s="17"/>
      <c r="D232" s="17"/>
      <c r="E232" s="17"/>
      <c r="F232" s="17"/>
      <c r="G232" s="20" t="s">
        <v>125</v>
      </c>
      <c r="H232" s="17"/>
      <c r="I232" s="20" t="s">
        <v>9887</v>
      </c>
      <c r="J232" s="17"/>
    </row>
    <row r="233" spans="1:10">
      <c r="A233" s="17"/>
      <c r="B233" s="17"/>
      <c r="C233" s="17"/>
      <c r="D233" s="17"/>
      <c r="E233" s="17"/>
      <c r="F233" s="17"/>
      <c r="G233" s="20" t="s">
        <v>129</v>
      </c>
      <c r="H233" s="17"/>
      <c r="I233" s="20" t="s">
        <v>9888</v>
      </c>
      <c r="J233" s="17"/>
    </row>
    <row r="234" spans="1:10">
      <c r="A234" s="17"/>
      <c r="B234" s="17"/>
      <c r="C234" s="17"/>
      <c r="D234" s="17"/>
      <c r="E234" s="17"/>
      <c r="F234" s="17"/>
      <c r="G234" s="20" t="s">
        <v>133</v>
      </c>
      <c r="H234" s="17"/>
      <c r="I234" s="20" t="s">
        <v>9890</v>
      </c>
      <c r="J234" s="17"/>
    </row>
    <row r="235" spans="1:10">
      <c r="A235" s="17"/>
      <c r="B235" s="17"/>
      <c r="C235" s="17"/>
      <c r="D235" s="17"/>
      <c r="E235" s="17"/>
      <c r="F235" s="17"/>
      <c r="G235" s="20" t="s">
        <v>137</v>
      </c>
      <c r="H235" s="17"/>
      <c r="I235" s="20" t="s">
        <v>9892</v>
      </c>
      <c r="J235" s="17"/>
    </row>
    <row r="236" spans="1:10">
      <c r="A236" s="17"/>
      <c r="B236" s="17"/>
      <c r="C236" s="17"/>
      <c r="D236" s="17"/>
      <c r="E236" s="17"/>
      <c r="F236" s="17"/>
      <c r="G236" s="20" t="s">
        <v>141</v>
      </c>
      <c r="H236" s="17"/>
      <c r="I236" s="20" t="s">
        <v>9891</v>
      </c>
      <c r="J236" s="17"/>
    </row>
    <row r="237" spans="1:10">
      <c r="A237" s="17"/>
      <c r="B237" s="17"/>
      <c r="C237" s="17"/>
      <c r="D237" s="17"/>
      <c r="E237" s="17"/>
      <c r="F237" s="17"/>
      <c r="G237" s="20" t="s">
        <v>145</v>
      </c>
      <c r="H237" s="17"/>
      <c r="I237" s="20" t="s">
        <v>9894</v>
      </c>
      <c r="J237" s="17"/>
    </row>
    <row r="238" spans="1:10">
      <c r="A238" s="17"/>
      <c r="B238" s="17"/>
      <c r="C238" s="17"/>
      <c r="D238" s="17"/>
      <c r="E238" s="17"/>
      <c r="F238" s="17"/>
      <c r="G238" s="20" t="s">
        <v>149</v>
      </c>
      <c r="H238" s="17"/>
      <c r="I238" s="20" t="s">
        <v>9896</v>
      </c>
      <c r="J238" s="17"/>
    </row>
    <row r="239" spans="1:10">
      <c r="A239" s="17"/>
      <c r="B239" s="17"/>
      <c r="C239" s="17"/>
      <c r="D239" s="17"/>
      <c r="E239" s="17"/>
      <c r="F239" s="17"/>
      <c r="G239" s="20" t="s">
        <v>153</v>
      </c>
      <c r="H239" s="17"/>
      <c r="I239" s="20" t="s">
        <v>9905</v>
      </c>
      <c r="J239" s="17"/>
    </row>
    <row r="240" spans="1:10">
      <c r="A240" s="17"/>
      <c r="B240" s="17"/>
      <c r="C240" s="17"/>
      <c r="D240" s="17"/>
      <c r="E240" s="17"/>
      <c r="F240" s="17"/>
      <c r="G240" s="20" t="s">
        <v>157</v>
      </c>
      <c r="H240" s="17"/>
      <c r="I240" s="20" t="s">
        <v>9931</v>
      </c>
      <c r="J240" s="17"/>
    </row>
    <row r="241" spans="1:10">
      <c r="A241" s="17"/>
      <c r="B241" s="17"/>
      <c r="C241" s="17"/>
      <c r="D241" s="17"/>
      <c r="E241" s="17"/>
      <c r="F241" s="17"/>
      <c r="G241" s="20" t="s">
        <v>161</v>
      </c>
      <c r="H241" s="17"/>
      <c r="I241" s="20" t="s">
        <v>9907</v>
      </c>
      <c r="J241" s="17"/>
    </row>
    <row r="242" spans="1:10">
      <c r="A242" s="17"/>
      <c r="B242" s="17"/>
      <c r="C242" s="17"/>
      <c r="D242" s="17"/>
      <c r="E242" s="17"/>
      <c r="F242" s="17"/>
      <c r="G242" s="20" t="s">
        <v>165</v>
      </c>
      <c r="H242" s="17"/>
      <c r="I242" s="20" t="s">
        <v>9869</v>
      </c>
      <c r="J242" s="17"/>
    </row>
    <row r="243" spans="1:10">
      <c r="A243" s="17"/>
      <c r="B243" s="17"/>
      <c r="C243" s="17"/>
      <c r="D243" s="17"/>
      <c r="E243" s="17"/>
      <c r="F243" s="17"/>
      <c r="G243" s="20" t="s">
        <v>169</v>
      </c>
      <c r="H243" s="17"/>
      <c r="I243" s="20" t="s">
        <v>9908</v>
      </c>
      <c r="J243" s="17"/>
    </row>
    <row r="244" spans="1:10">
      <c r="A244" s="17"/>
      <c r="B244" s="17"/>
      <c r="C244" s="17"/>
      <c r="D244" s="17"/>
      <c r="E244" s="17"/>
      <c r="F244" s="17"/>
      <c r="G244" s="20" t="s">
        <v>173</v>
      </c>
      <c r="H244" s="17"/>
      <c r="I244" s="20" t="s">
        <v>9910</v>
      </c>
      <c r="J244" s="17"/>
    </row>
    <row r="245" spans="1:10">
      <c r="A245" s="17"/>
      <c r="B245" s="17"/>
      <c r="C245" s="17"/>
      <c r="D245" s="17"/>
      <c r="E245" s="17"/>
      <c r="F245" s="17"/>
      <c r="G245" s="20" t="s">
        <v>177</v>
      </c>
      <c r="H245" s="17"/>
      <c r="I245" s="20" t="s">
        <v>9911</v>
      </c>
      <c r="J245" s="17"/>
    </row>
    <row r="246" spans="1:10">
      <c r="A246" s="17"/>
      <c r="B246" s="17"/>
      <c r="C246" s="17"/>
      <c r="D246" s="17"/>
      <c r="E246" s="17"/>
      <c r="F246" s="17"/>
      <c r="G246" s="20" t="s">
        <v>181</v>
      </c>
      <c r="H246" s="17"/>
      <c r="I246" s="20" t="s">
        <v>9873</v>
      </c>
      <c r="J246" s="17"/>
    </row>
    <row r="247" spans="1:10">
      <c r="A247" s="17"/>
      <c r="B247" s="17"/>
      <c r="C247" s="17"/>
      <c r="D247" s="17"/>
      <c r="E247" s="17"/>
      <c r="F247" s="17"/>
      <c r="G247" s="20" t="s">
        <v>185</v>
      </c>
      <c r="H247" s="17"/>
      <c r="I247" s="17"/>
      <c r="J247" s="17"/>
    </row>
    <row r="248" spans="1:10">
      <c r="A248" s="17"/>
      <c r="B248" s="17"/>
      <c r="C248" s="17"/>
      <c r="D248" s="17"/>
      <c r="E248" s="17"/>
      <c r="F248" s="17"/>
      <c r="G248" s="20" t="s">
        <v>189</v>
      </c>
      <c r="H248" s="17"/>
      <c r="I248" s="17"/>
      <c r="J248" s="17"/>
    </row>
    <row r="249" spans="1:10">
      <c r="A249" s="17"/>
      <c r="B249" s="17"/>
      <c r="C249" s="17"/>
      <c r="D249" s="17"/>
      <c r="E249" s="17"/>
      <c r="F249" s="17"/>
      <c r="G249" s="20" t="s">
        <v>193</v>
      </c>
      <c r="H249" s="17"/>
      <c r="I249" s="17"/>
      <c r="J249" s="17"/>
    </row>
    <row r="250" spans="1:10">
      <c r="A250" s="17"/>
      <c r="B250" s="17"/>
      <c r="C250" s="17"/>
      <c r="D250" s="17"/>
      <c r="E250" s="17"/>
      <c r="F250" s="17"/>
      <c r="G250" s="20" t="s">
        <v>197</v>
      </c>
      <c r="H250" s="17"/>
      <c r="I250" s="17"/>
      <c r="J250" s="17"/>
    </row>
    <row r="251" spans="1:10">
      <c r="A251" s="17"/>
      <c r="B251" s="17"/>
      <c r="C251" s="17"/>
      <c r="D251" s="17"/>
      <c r="E251" s="17"/>
      <c r="F251" s="17"/>
      <c r="G251" s="20" t="s">
        <v>201</v>
      </c>
      <c r="H251" s="17"/>
      <c r="I251" s="17"/>
      <c r="J251" s="17"/>
    </row>
    <row r="252" spans="1:10">
      <c r="A252" s="17"/>
      <c r="B252" s="17"/>
      <c r="C252" s="17"/>
      <c r="D252" s="17"/>
      <c r="E252" s="17"/>
      <c r="F252" s="17"/>
      <c r="G252" s="20" t="s">
        <v>205</v>
      </c>
      <c r="H252" s="17"/>
      <c r="I252" s="17"/>
      <c r="J252" s="17"/>
    </row>
    <row r="253" spans="1:10">
      <c r="A253" s="17"/>
      <c r="B253" s="17"/>
      <c r="C253" s="17"/>
      <c r="D253" s="17"/>
      <c r="E253" s="17"/>
      <c r="F253" s="17"/>
      <c r="G253" s="20" t="s">
        <v>209</v>
      </c>
      <c r="H253" s="17"/>
      <c r="I253" s="17"/>
      <c r="J253" s="17"/>
    </row>
    <row r="254" spans="1:10">
      <c r="A254" s="17"/>
      <c r="B254" s="17"/>
      <c r="C254" s="17"/>
      <c r="D254" s="17"/>
      <c r="E254" s="17"/>
      <c r="F254" s="17"/>
      <c r="G254" s="20" t="s">
        <v>213</v>
      </c>
      <c r="H254" s="17"/>
      <c r="I254" s="17"/>
      <c r="J254" s="17"/>
    </row>
    <row r="255" spans="1:10">
      <c r="A255" s="17"/>
      <c r="B255" s="17"/>
      <c r="C255" s="17"/>
      <c r="D255" s="17"/>
      <c r="E255" s="17"/>
      <c r="F255" s="17"/>
      <c r="G255" s="20" t="s">
        <v>217</v>
      </c>
      <c r="H255" s="17"/>
      <c r="I255" s="17"/>
      <c r="J255" s="17"/>
    </row>
    <row r="256" spans="1:10">
      <c r="A256" s="17"/>
      <c r="B256" s="17"/>
      <c r="C256" s="17"/>
      <c r="D256" s="17"/>
      <c r="E256" s="17"/>
      <c r="F256" s="17"/>
      <c r="G256" s="20" t="s">
        <v>221</v>
      </c>
      <c r="H256" s="17"/>
      <c r="I256" s="17"/>
      <c r="J256" s="17"/>
    </row>
    <row r="257" spans="1:10">
      <c r="A257" s="17"/>
      <c r="B257" s="17"/>
      <c r="C257" s="17"/>
      <c r="D257" s="17"/>
      <c r="E257" s="17"/>
      <c r="F257" s="17"/>
      <c r="G257" s="20" t="s">
        <v>225</v>
      </c>
      <c r="H257" s="17"/>
      <c r="I257" s="17"/>
      <c r="J257" s="17"/>
    </row>
    <row r="258" spans="1:10">
      <c r="A258" s="17"/>
      <c r="B258" s="17"/>
      <c r="C258" s="17"/>
      <c r="D258" s="17"/>
      <c r="E258" s="17"/>
      <c r="F258" s="17"/>
      <c r="G258" s="20" t="s">
        <v>229</v>
      </c>
      <c r="H258" s="17"/>
      <c r="I258" s="17"/>
      <c r="J258" s="17"/>
    </row>
    <row r="259" spans="1:10">
      <c r="A259" s="17"/>
      <c r="B259" s="17"/>
      <c r="C259" s="17"/>
      <c r="D259" s="17"/>
      <c r="E259" s="17"/>
      <c r="F259" s="17"/>
      <c r="G259" s="20" t="s">
        <v>233</v>
      </c>
      <c r="H259" s="17"/>
      <c r="I259" s="17"/>
      <c r="J259" s="17"/>
    </row>
    <row r="260" spans="1:10">
      <c r="A260" s="17"/>
      <c r="B260" s="17"/>
      <c r="C260" s="17"/>
      <c r="D260" s="17"/>
      <c r="E260" s="17"/>
      <c r="F260" s="17"/>
      <c r="G260" s="20" t="s">
        <v>237</v>
      </c>
      <c r="H260" s="17"/>
      <c r="I260" s="17"/>
      <c r="J260" s="17"/>
    </row>
    <row r="261" spans="1:10">
      <c r="A261" s="17"/>
      <c r="B261" s="17"/>
      <c r="C261" s="17"/>
      <c r="D261" s="17"/>
      <c r="E261" s="17"/>
      <c r="F261" s="17"/>
      <c r="G261" s="20" t="s">
        <v>241</v>
      </c>
      <c r="H261" s="17"/>
      <c r="I261" s="17"/>
      <c r="J261" s="17"/>
    </row>
    <row r="262" spans="1:10">
      <c r="A262" s="17"/>
      <c r="B262" s="17"/>
      <c r="C262" s="17"/>
      <c r="D262" s="17"/>
      <c r="E262" s="17"/>
      <c r="F262" s="17"/>
      <c r="G262" s="20" t="s">
        <v>245</v>
      </c>
      <c r="H262" s="17"/>
      <c r="I262" s="17"/>
      <c r="J262" s="17"/>
    </row>
    <row r="263" spans="1:10">
      <c r="A263" s="17"/>
      <c r="B263" s="17"/>
      <c r="C263" s="17"/>
      <c r="D263" s="17"/>
      <c r="E263" s="17"/>
      <c r="F263" s="17"/>
      <c r="G263" s="20" t="s">
        <v>249</v>
      </c>
      <c r="H263" s="17"/>
      <c r="I263" s="17"/>
      <c r="J263" s="17"/>
    </row>
    <row r="264" spans="1:10">
      <c r="A264" s="17"/>
      <c r="B264" s="17"/>
      <c r="C264" s="17"/>
      <c r="D264" s="17"/>
      <c r="E264" s="17"/>
      <c r="F264" s="17"/>
      <c r="G264" s="20" t="s">
        <v>253</v>
      </c>
      <c r="H264" s="17"/>
      <c r="I264" s="17"/>
      <c r="J264" s="17"/>
    </row>
    <row r="265" spans="1:10">
      <c r="A265" s="17"/>
      <c r="B265" s="17"/>
      <c r="C265" s="17"/>
      <c r="D265" s="17"/>
      <c r="E265" s="17"/>
      <c r="F265" s="17"/>
      <c r="G265" s="20" t="s">
        <v>257</v>
      </c>
      <c r="H265" s="17"/>
      <c r="I265" s="17"/>
      <c r="J265" s="17"/>
    </row>
    <row r="266" spans="1:10">
      <c r="A266" s="17"/>
      <c r="B266" s="17"/>
      <c r="C266" s="17"/>
      <c r="D266" s="17"/>
      <c r="E266" s="17"/>
      <c r="F266" s="17"/>
      <c r="G266" s="20" t="s">
        <v>261</v>
      </c>
      <c r="H266" s="17"/>
      <c r="I266" s="17"/>
      <c r="J266" s="17"/>
    </row>
    <row r="267" spans="1:10">
      <c r="A267" s="17"/>
      <c r="B267" s="17"/>
      <c r="C267" s="17"/>
      <c r="D267" s="17"/>
      <c r="E267" s="17"/>
      <c r="F267" s="17"/>
      <c r="G267" s="20" t="s">
        <v>265</v>
      </c>
      <c r="H267" s="17"/>
      <c r="I267" s="17"/>
      <c r="J267" s="17"/>
    </row>
    <row r="268" spans="1:10">
      <c r="A268" s="17"/>
      <c r="B268" s="17"/>
      <c r="C268" s="17"/>
      <c r="D268" s="17"/>
      <c r="E268" s="17"/>
      <c r="F268" s="17"/>
      <c r="G268" s="20" t="s">
        <v>269</v>
      </c>
      <c r="H268" s="17"/>
      <c r="I268" s="17"/>
      <c r="J268" s="17"/>
    </row>
    <row r="269" spans="1:10">
      <c r="A269" s="17"/>
      <c r="B269" s="17"/>
      <c r="C269" s="17"/>
      <c r="D269" s="17"/>
      <c r="E269" s="17"/>
      <c r="F269" s="17"/>
      <c r="G269" s="20" t="s">
        <v>272</v>
      </c>
      <c r="H269" s="17"/>
      <c r="I269" s="17"/>
      <c r="J269" s="17"/>
    </row>
    <row r="270" spans="1:10">
      <c r="A270" s="17"/>
      <c r="B270" s="17"/>
      <c r="C270" s="17"/>
      <c r="D270" s="17"/>
      <c r="E270" s="17"/>
      <c r="F270" s="17"/>
      <c r="G270" s="20" t="s">
        <v>276</v>
      </c>
      <c r="H270" s="17"/>
      <c r="I270" s="17"/>
      <c r="J270" s="17"/>
    </row>
    <row r="271" spans="1:10">
      <c r="A271" s="17"/>
      <c r="B271" s="17"/>
      <c r="C271" s="17"/>
      <c r="D271" s="17"/>
      <c r="E271" s="17"/>
      <c r="F271" s="17"/>
      <c r="G271" s="20" t="s">
        <v>280</v>
      </c>
      <c r="H271" s="17"/>
      <c r="I271" s="17"/>
      <c r="J271" s="17"/>
    </row>
    <row r="272" spans="1:10">
      <c r="A272" s="17"/>
      <c r="B272" s="17"/>
      <c r="C272" s="17"/>
      <c r="D272" s="17"/>
      <c r="E272" s="17"/>
      <c r="F272" s="17"/>
      <c r="G272" s="20" t="s">
        <v>284</v>
      </c>
      <c r="H272" s="17"/>
      <c r="I272" s="17"/>
      <c r="J272" s="17"/>
    </row>
    <row r="273" spans="1:10">
      <c r="A273" s="17"/>
      <c r="B273" s="17"/>
      <c r="C273" s="17"/>
      <c r="D273" s="17"/>
      <c r="E273" s="17"/>
      <c r="F273" s="17"/>
      <c r="G273" s="20" t="s">
        <v>288</v>
      </c>
      <c r="H273" s="17"/>
      <c r="I273" s="17"/>
      <c r="J273" s="17"/>
    </row>
    <row r="274" spans="1:10">
      <c r="A274" s="17"/>
      <c r="B274" s="17"/>
      <c r="C274" s="17"/>
      <c r="D274" s="17"/>
      <c r="E274" s="17"/>
      <c r="F274" s="17"/>
      <c r="G274" s="20" t="s">
        <v>292</v>
      </c>
      <c r="H274" s="17"/>
      <c r="I274" s="17"/>
      <c r="J274" s="17"/>
    </row>
    <row r="275" spans="1:10">
      <c r="A275" s="17"/>
      <c r="B275" s="17"/>
      <c r="C275" s="17"/>
      <c r="D275" s="17"/>
      <c r="E275" s="17"/>
      <c r="F275" s="17"/>
      <c r="G275" s="20" t="s">
        <v>296</v>
      </c>
      <c r="H275" s="17"/>
      <c r="I275" s="17"/>
      <c r="J275" s="17"/>
    </row>
    <row r="276" spans="1:10">
      <c r="A276" s="17"/>
      <c r="B276" s="17"/>
      <c r="C276" s="17"/>
      <c r="D276" s="17"/>
      <c r="E276" s="17"/>
      <c r="F276" s="17"/>
      <c r="G276" s="20" t="s">
        <v>300</v>
      </c>
      <c r="H276" s="17"/>
      <c r="I276" s="17"/>
      <c r="J276" s="17"/>
    </row>
    <row r="277" spans="1:10">
      <c r="A277" s="17"/>
      <c r="B277" s="17"/>
      <c r="C277" s="17"/>
      <c r="D277" s="17"/>
      <c r="E277" s="17"/>
      <c r="F277" s="17"/>
      <c r="G277" s="20" t="s">
        <v>304</v>
      </c>
      <c r="H277" s="17"/>
      <c r="I277" s="17"/>
      <c r="J277" s="17"/>
    </row>
    <row r="278" spans="1:10">
      <c r="A278" s="17"/>
      <c r="B278" s="17"/>
      <c r="C278" s="17"/>
      <c r="D278" s="17"/>
      <c r="E278" s="17"/>
      <c r="F278" s="17"/>
      <c r="G278" s="20" t="s">
        <v>308</v>
      </c>
      <c r="H278" s="17"/>
      <c r="I278" s="17"/>
      <c r="J278" s="17"/>
    </row>
    <row r="279" spans="1:10">
      <c r="A279" s="17"/>
      <c r="B279" s="17"/>
      <c r="C279" s="17"/>
      <c r="D279" s="17"/>
      <c r="E279" s="17"/>
      <c r="F279" s="17"/>
      <c r="G279" s="20" t="s">
        <v>312</v>
      </c>
      <c r="H279" s="17"/>
      <c r="I279" s="17"/>
      <c r="J279" s="17"/>
    </row>
    <row r="280" spans="1:10">
      <c r="A280" s="17"/>
      <c r="B280" s="17"/>
      <c r="C280" s="17"/>
      <c r="D280" s="17"/>
      <c r="E280" s="17"/>
      <c r="F280" s="17"/>
      <c r="G280" s="20" t="s">
        <v>316</v>
      </c>
      <c r="H280" s="17"/>
      <c r="I280" s="17"/>
      <c r="J280" s="17"/>
    </row>
    <row r="281" spans="1:10">
      <c r="A281" s="17"/>
      <c r="B281" s="17"/>
      <c r="C281" s="17"/>
      <c r="D281" s="17"/>
      <c r="E281" s="17"/>
      <c r="F281" s="17"/>
      <c r="G281" s="20" t="s">
        <v>320</v>
      </c>
      <c r="H281" s="17"/>
      <c r="I281" s="17"/>
      <c r="J281" s="17"/>
    </row>
    <row r="282" spans="1:10">
      <c r="A282" s="17"/>
      <c r="B282" s="17"/>
      <c r="C282" s="17"/>
      <c r="D282" s="17"/>
      <c r="E282" s="17"/>
      <c r="F282" s="17"/>
      <c r="G282" s="20" t="s">
        <v>324</v>
      </c>
      <c r="H282" s="17"/>
      <c r="I282" s="17"/>
      <c r="J282" s="17"/>
    </row>
    <row r="283" spans="1:10">
      <c r="A283" s="17"/>
      <c r="B283" s="17"/>
      <c r="C283" s="17"/>
      <c r="D283" s="17"/>
      <c r="E283" s="17"/>
      <c r="F283" s="17"/>
      <c r="G283" s="20" t="s">
        <v>328</v>
      </c>
      <c r="H283" s="17"/>
      <c r="I283" s="17"/>
      <c r="J283" s="17"/>
    </row>
    <row r="284" spans="1:10">
      <c r="A284" s="17"/>
      <c r="B284" s="17"/>
      <c r="C284" s="17"/>
      <c r="D284" s="17"/>
      <c r="E284" s="17"/>
      <c r="F284" s="17"/>
      <c r="G284" s="20" t="s">
        <v>332</v>
      </c>
      <c r="H284" s="17"/>
      <c r="I284" s="17"/>
      <c r="J284" s="17"/>
    </row>
    <row r="285" spans="1:10">
      <c r="A285" s="17"/>
      <c r="B285" s="17"/>
      <c r="C285" s="17"/>
      <c r="D285" s="17"/>
      <c r="E285" s="17"/>
      <c r="F285" s="17"/>
      <c r="G285" s="20" t="s">
        <v>336</v>
      </c>
      <c r="H285" s="17"/>
      <c r="I285" s="17"/>
      <c r="J285" s="17"/>
    </row>
    <row r="286" spans="1:10">
      <c r="A286" s="17"/>
      <c r="B286" s="17"/>
      <c r="C286" s="17"/>
      <c r="D286" s="17"/>
      <c r="E286" s="17"/>
      <c r="F286" s="17"/>
      <c r="G286" s="20" t="s">
        <v>340</v>
      </c>
      <c r="H286" s="17"/>
      <c r="I286" s="17"/>
      <c r="J286" s="17"/>
    </row>
    <row r="287" spans="1:10">
      <c r="A287" s="17"/>
      <c r="B287" s="17"/>
      <c r="C287" s="17"/>
      <c r="D287" s="17"/>
      <c r="E287" s="17"/>
      <c r="F287" s="17"/>
      <c r="G287" s="20" t="s">
        <v>344</v>
      </c>
      <c r="H287" s="17"/>
      <c r="I287" s="17"/>
      <c r="J287" s="17"/>
    </row>
    <row r="288" spans="1:10">
      <c r="A288" s="17"/>
      <c r="B288" s="17"/>
      <c r="C288" s="17"/>
      <c r="D288" s="17"/>
      <c r="E288" s="17"/>
      <c r="F288" s="17"/>
      <c r="G288" s="20" t="s">
        <v>348</v>
      </c>
      <c r="H288" s="17"/>
      <c r="I288" s="17"/>
      <c r="J288" s="17"/>
    </row>
    <row r="289" spans="1:10">
      <c r="A289" s="17"/>
      <c r="B289" s="17"/>
      <c r="C289" s="17"/>
      <c r="D289" s="17"/>
      <c r="E289" s="17"/>
      <c r="F289" s="17"/>
      <c r="G289" s="20" t="s">
        <v>352</v>
      </c>
      <c r="H289" s="17"/>
      <c r="I289" s="17"/>
      <c r="J289" s="17"/>
    </row>
    <row r="290" spans="1:10">
      <c r="A290" s="17"/>
      <c r="B290" s="17"/>
      <c r="C290" s="17"/>
      <c r="D290" s="17"/>
      <c r="E290" s="17"/>
      <c r="F290" s="17"/>
      <c r="G290" s="20" t="s">
        <v>356</v>
      </c>
      <c r="H290" s="17"/>
      <c r="I290" s="17"/>
      <c r="J290" s="17"/>
    </row>
    <row r="291" spans="1:10">
      <c r="A291" s="17"/>
      <c r="B291" s="17"/>
      <c r="C291" s="17"/>
      <c r="D291" s="17"/>
      <c r="E291" s="17"/>
      <c r="F291" s="17"/>
      <c r="G291" s="20" t="s">
        <v>360</v>
      </c>
      <c r="H291" s="17"/>
      <c r="I291" s="17"/>
      <c r="J291" s="17"/>
    </row>
    <row r="292" spans="1:10">
      <c r="A292" s="17"/>
      <c r="B292" s="17"/>
      <c r="C292" s="17"/>
      <c r="D292" s="17"/>
      <c r="E292" s="17"/>
      <c r="F292" s="17"/>
      <c r="G292" s="20" t="s">
        <v>364</v>
      </c>
      <c r="H292" s="17"/>
      <c r="I292" s="17"/>
      <c r="J292" s="17"/>
    </row>
    <row r="293" spans="1:10">
      <c r="A293" s="17"/>
      <c r="B293" s="17"/>
      <c r="C293" s="17"/>
      <c r="D293" s="17"/>
      <c r="E293" s="17"/>
      <c r="F293" s="17"/>
      <c r="G293" s="20" t="s">
        <v>368</v>
      </c>
      <c r="H293" s="17"/>
      <c r="I293" s="17"/>
      <c r="J293" s="17"/>
    </row>
    <row r="294" spans="1:10">
      <c r="A294" s="17"/>
      <c r="B294" s="17"/>
      <c r="C294" s="17"/>
      <c r="D294" s="17"/>
      <c r="E294" s="17"/>
      <c r="F294" s="17"/>
      <c r="G294" s="20" t="s">
        <v>372</v>
      </c>
      <c r="H294" s="17"/>
      <c r="I294" s="17"/>
      <c r="J294" s="17"/>
    </row>
    <row r="295" spans="1:10">
      <c r="A295" s="17"/>
      <c r="B295" s="17"/>
      <c r="C295" s="17"/>
      <c r="D295" s="17"/>
      <c r="E295" s="17"/>
      <c r="F295" s="17"/>
      <c r="G295" s="20" t="s">
        <v>376</v>
      </c>
      <c r="H295" s="17"/>
      <c r="I295" s="17"/>
      <c r="J295" s="17"/>
    </row>
    <row r="296" spans="1:10">
      <c r="A296" s="17"/>
      <c r="B296" s="17"/>
      <c r="C296" s="17"/>
      <c r="D296" s="17"/>
      <c r="E296" s="17"/>
      <c r="F296" s="17"/>
      <c r="G296" s="20" t="s">
        <v>379</v>
      </c>
      <c r="H296" s="17"/>
      <c r="I296" s="17"/>
      <c r="J296" s="17"/>
    </row>
    <row r="297" spans="1:10">
      <c r="A297" s="17"/>
      <c r="B297" s="17"/>
      <c r="C297" s="17"/>
      <c r="D297" s="17"/>
      <c r="E297" s="17"/>
      <c r="F297" s="17"/>
      <c r="G297" s="20" t="s">
        <v>383</v>
      </c>
      <c r="H297" s="17"/>
      <c r="I297" s="17"/>
      <c r="J297" s="17"/>
    </row>
    <row r="298" spans="1:10">
      <c r="A298" s="17"/>
      <c r="B298" s="17"/>
      <c r="C298" s="17"/>
      <c r="D298" s="17"/>
      <c r="E298" s="17"/>
      <c r="F298" s="17"/>
      <c r="G298" s="20" t="s">
        <v>387</v>
      </c>
      <c r="H298" s="17"/>
      <c r="I298" s="17"/>
      <c r="J298" s="17"/>
    </row>
    <row r="299" spans="1:10">
      <c r="A299" s="17"/>
      <c r="B299" s="17"/>
      <c r="C299" s="17"/>
      <c r="D299" s="17"/>
      <c r="E299" s="17"/>
      <c r="F299" s="17"/>
      <c r="G299" s="20" t="s">
        <v>391</v>
      </c>
      <c r="H299" s="17"/>
      <c r="I299" s="17"/>
      <c r="J299" s="17"/>
    </row>
    <row r="300" spans="1:10">
      <c r="A300" s="17"/>
      <c r="B300" s="17"/>
      <c r="C300" s="17"/>
      <c r="D300" s="17"/>
      <c r="E300" s="17"/>
      <c r="F300" s="17"/>
      <c r="G300" s="20" t="s">
        <v>395</v>
      </c>
      <c r="H300" s="17"/>
      <c r="I300" s="17"/>
      <c r="J300" s="17"/>
    </row>
    <row r="301" spans="1:10">
      <c r="A301" s="17"/>
      <c r="B301" s="17"/>
      <c r="C301" s="17"/>
      <c r="D301" s="17"/>
      <c r="E301" s="17"/>
      <c r="F301" s="17"/>
      <c r="G301" s="20" t="s">
        <v>399</v>
      </c>
      <c r="H301" s="17"/>
      <c r="I301" s="17"/>
      <c r="J301" s="17"/>
    </row>
    <row r="302" spans="1:10">
      <c r="A302" s="17"/>
      <c r="B302" s="17"/>
      <c r="C302" s="17"/>
      <c r="D302" s="17"/>
      <c r="E302" s="17"/>
      <c r="F302" s="17"/>
      <c r="G302" s="20" t="s">
        <v>403</v>
      </c>
      <c r="H302" s="17"/>
      <c r="I302" s="17"/>
      <c r="J302" s="17"/>
    </row>
    <row r="303" spans="1:10">
      <c r="A303" s="17"/>
      <c r="B303" s="17"/>
      <c r="C303" s="17"/>
      <c r="D303" s="17"/>
      <c r="E303" s="17"/>
      <c r="F303" s="17"/>
      <c r="G303" s="20" t="s">
        <v>407</v>
      </c>
      <c r="H303" s="17"/>
      <c r="I303" s="17"/>
      <c r="J303" s="17"/>
    </row>
    <row r="304" spans="1:10">
      <c r="A304" s="17"/>
      <c r="B304" s="17"/>
      <c r="C304" s="17"/>
      <c r="D304" s="17"/>
      <c r="E304" s="17"/>
      <c r="F304" s="17"/>
      <c r="G304" s="20" t="s">
        <v>411</v>
      </c>
      <c r="H304" s="17"/>
      <c r="I304" s="17"/>
      <c r="J304" s="17"/>
    </row>
    <row r="305" spans="1:10">
      <c r="A305" s="17"/>
      <c r="B305" s="17"/>
      <c r="C305" s="17"/>
      <c r="D305" s="17"/>
      <c r="E305" s="17"/>
      <c r="F305" s="17"/>
      <c r="G305" s="20" t="s">
        <v>415</v>
      </c>
      <c r="H305" s="17"/>
      <c r="I305" s="17"/>
      <c r="J305" s="17"/>
    </row>
    <row r="306" spans="1:10">
      <c r="A306" s="17"/>
      <c r="B306" s="17"/>
      <c r="C306" s="17"/>
      <c r="D306" s="17"/>
      <c r="E306" s="17"/>
      <c r="F306" s="17"/>
      <c r="G306" s="20" t="s">
        <v>419</v>
      </c>
      <c r="H306" s="17"/>
      <c r="I306" s="17"/>
      <c r="J306" s="17"/>
    </row>
    <row r="307" spans="1:10">
      <c r="A307" s="17"/>
      <c r="B307" s="17"/>
      <c r="C307" s="17"/>
      <c r="D307" s="17"/>
      <c r="E307" s="17"/>
      <c r="F307" s="17"/>
      <c r="G307" s="20" t="s">
        <v>423</v>
      </c>
      <c r="H307" s="17"/>
      <c r="I307" s="17"/>
      <c r="J307" s="17"/>
    </row>
    <row r="308" spans="1:10">
      <c r="A308" s="17"/>
      <c r="B308" s="17"/>
      <c r="C308" s="17"/>
      <c r="D308" s="17"/>
      <c r="E308" s="17"/>
      <c r="F308" s="17"/>
      <c r="G308" s="20" t="s">
        <v>427</v>
      </c>
      <c r="H308" s="17"/>
      <c r="I308" s="17"/>
      <c r="J308" s="17"/>
    </row>
    <row r="309" spans="1:10">
      <c r="A309" s="17"/>
      <c r="B309" s="17"/>
      <c r="C309" s="17"/>
      <c r="D309" s="17"/>
      <c r="E309" s="17"/>
      <c r="F309" s="17"/>
      <c r="G309" s="20" t="s">
        <v>431</v>
      </c>
      <c r="H309" s="17"/>
      <c r="I309" s="17"/>
      <c r="J309" s="17"/>
    </row>
    <row r="310" spans="1:10">
      <c r="A310" s="17"/>
      <c r="B310" s="17"/>
      <c r="C310" s="17"/>
      <c r="D310" s="17"/>
      <c r="E310" s="17"/>
      <c r="F310" s="17"/>
      <c r="G310" s="20" t="s">
        <v>435</v>
      </c>
      <c r="H310" s="17"/>
      <c r="I310" s="17"/>
      <c r="J310" s="17"/>
    </row>
    <row r="311" spans="1:10">
      <c r="A311" s="17"/>
      <c r="B311" s="17"/>
      <c r="C311" s="17"/>
      <c r="D311" s="17"/>
      <c r="E311" s="17"/>
      <c r="F311" s="17"/>
      <c r="G311" s="20" t="s">
        <v>439</v>
      </c>
      <c r="H311" s="17"/>
      <c r="I311" s="17"/>
      <c r="J311" s="17"/>
    </row>
    <row r="312" spans="1:10">
      <c r="A312" s="17"/>
      <c r="B312" s="17"/>
      <c r="C312" s="17"/>
      <c r="D312" s="17"/>
      <c r="E312" s="17"/>
      <c r="F312" s="17"/>
      <c r="G312" s="20" t="s">
        <v>443</v>
      </c>
      <c r="H312" s="17"/>
      <c r="I312" s="17"/>
      <c r="J312" s="17"/>
    </row>
    <row r="313" spans="1:10">
      <c r="A313" s="17"/>
      <c r="B313" s="17"/>
      <c r="C313" s="17"/>
      <c r="D313" s="17"/>
      <c r="E313" s="17"/>
      <c r="F313" s="17"/>
      <c r="G313" s="20" t="s">
        <v>447</v>
      </c>
      <c r="H313" s="17"/>
      <c r="I313" s="17"/>
      <c r="J313" s="17"/>
    </row>
    <row r="314" spans="1:10">
      <c r="A314" s="17"/>
      <c r="B314" s="17"/>
      <c r="C314" s="17"/>
      <c r="D314" s="17"/>
      <c r="E314" s="17"/>
      <c r="F314" s="17"/>
      <c r="G314" s="20" t="s">
        <v>451</v>
      </c>
      <c r="H314" s="17"/>
      <c r="I314" s="17"/>
      <c r="J314" s="17"/>
    </row>
    <row r="315" spans="1:10">
      <c r="A315" s="17"/>
      <c r="B315" s="17"/>
      <c r="C315" s="17"/>
      <c r="D315" s="17"/>
      <c r="E315" s="17"/>
      <c r="F315" s="17"/>
      <c r="G315" s="20" t="s">
        <v>455</v>
      </c>
      <c r="H315" s="17"/>
      <c r="I315" s="17"/>
      <c r="J315" s="17"/>
    </row>
    <row r="316" spans="1:10">
      <c r="A316" s="17"/>
      <c r="B316" s="17"/>
      <c r="C316" s="17"/>
      <c r="D316" s="17"/>
      <c r="E316" s="17"/>
      <c r="F316" s="17"/>
      <c r="G316" s="20" t="s">
        <v>459</v>
      </c>
      <c r="H316" s="17"/>
      <c r="I316" s="17"/>
      <c r="J316" s="17"/>
    </row>
    <row r="317" spans="1:10">
      <c r="A317" s="17"/>
      <c r="B317" s="17"/>
      <c r="C317" s="17"/>
      <c r="D317" s="17"/>
      <c r="E317" s="17"/>
      <c r="F317" s="17"/>
      <c r="G317" s="20" t="s">
        <v>463</v>
      </c>
      <c r="H317" s="17"/>
      <c r="I317" s="17"/>
      <c r="J317" s="17"/>
    </row>
    <row r="318" spans="1:10">
      <c r="A318" s="17"/>
      <c r="B318" s="17"/>
      <c r="C318" s="17"/>
      <c r="D318" s="17"/>
      <c r="E318" s="17"/>
      <c r="F318" s="17"/>
      <c r="G318" s="20" t="s">
        <v>467</v>
      </c>
      <c r="H318" s="17"/>
      <c r="I318" s="17"/>
      <c r="J318" s="17"/>
    </row>
    <row r="319" spans="1:10">
      <c r="A319" s="17"/>
      <c r="B319" s="17"/>
      <c r="C319" s="17"/>
      <c r="D319" s="17"/>
      <c r="E319" s="17"/>
      <c r="F319" s="17"/>
      <c r="G319" s="20" t="s">
        <v>471</v>
      </c>
      <c r="H319" s="17"/>
      <c r="I319" s="17"/>
      <c r="J319" s="17"/>
    </row>
    <row r="320" spans="1:10">
      <c r="A320" s="17"/>
      <c r="B320" s="17"/>
      <c r="C320" s="17"/>
      <c r="D320" s="17"/>
      <c r="E320" s="17"/>
      <c r="F320" s="17"/>
      <c r="G320" s="20" t="s">
        <v>475</v>
      </c>
      <c r="H320" s="17"/>
      <c r="I320" s="17"/>
      <c r="J320" s="17"/>
    </row>
    <row r="321" spans="1:10">
      <c r="A321" s="17"/>
      <c r="B321" s="17"/>
      <c r="C321" s="17"/>
      <c r="D321" s="17"/>
      <c r="E321" s="17"/>
      <c r="F321" s="17"/>
      <c r="G321" s="20" t="s">
        <v>479</v>
      </c>
      <c r="H321" s="17"/>
      <c r="I321" s="17"/>
      <c r="J321" s="17"/>
    </row>
    <row r="322" spans="1:10">
      <c r="A322" s="17"/>
      <c r="B322" s="17"/>
      <c r="C322" s="17"/>
      <c r="D322" s="17"/>
      <c r="E322" s="17"/>
      <c r="F322" s="17"/>
      <c r="G322" s="20" t="s">
        <v>483</v>
      </c>
      <c r="H322" s="17"/>
      <c r="I322" s="17"/>
      <c r="J322" s="17"/>
    </row>
    <row r="323" spans="1:10">
      <c r="A323" s="17"/>
      <c r="B323" s="17"/>
      <c r="C323" s="17"/>
      <c r="D323" s="17"/>
      <c r="E323" s="17"/>
      <c r="F323" s="17"/>
      <c r="G323" s="20" t="s">
        <v>487</v>
      </c>
      <c r="H323" s="17"/>
      <c r="I323" s="17"/>
      <c r="J323" s="17"/>
    </row>
    <row r="324" spans="1:10">
      <c r="A324" s="17"/>
      <c r="B324" s="17"/>
      <c r="C324" s="17"/>
      <c r="D324" s="17"/>
      <c r="E324" s="17"/>
      <c r="F324" s="17"/>
      <c r="G324" s="20" t="s">
        <v>491</v>
      </c>
      <c r="H324" s="17"/>
      <c r="I324" s="17"/>
      <c r="J324" s="17"/>
    </row>
    <row r="325" spans="1:10">
      <c r="A325" s="17"/>
      <c r="B325" s="17"/>
      <c r="C325" s="17"/>
      <c r="D325" s="17"/>
      <c r="E325" s="17"/>
      <c r="F325" s="17"/>
      <c r="G325" s="20" t="s">
        <v>495</v>
      </c>
      <c r="H325" s="17"/>
      <c r="I325" s="17"/>
      <c r="J325" s="17"/>
    </row>
    <row r="326" spans="1:10">
      <c r="A326" s="17"/>
      <c r="B326" s="17"/>
      <c r="C326" s="17"/>
      <c r="D326" s="17"/>
      <c r="E326" s="17"/>
      <c r="F326" s="17"/>
      <c r="G326" s="20" t="s">
        <v>499</v>
      </c>
      <c r="H326" s="17"/>
      <c r="I326" s="17"/>
      <c r="J326" s="17"/>
    </row>
    <row r="327" spans="1:10">
      <c r="A327" s="17"/>
      <c r="B327" s="17"/>
      <c r="C327" s="17"/>
      <c r="D327" s="17"/>
      <c r="E327" s="17"/>
      <c r="F327" s="17"/>
      <c r="G327" s="20" t="s">
        <v>503</v>
      </c>
      <c r="H327" s="17"/>
      <c r="I327" s="17"/>
      <c r="J327" s="17"/>
    </row>
    <row r="328" spans="1:10">
      <c r="A328" s="17"/>
      <c r="B328" s="17"/>
      <c r="C328" s="17"/>
      <c r="D328" s="17"/>
      <c r="E328" s="17"/>
      <c r="F328" s="17"/>
      <c r="G328" s="20" t="s">
        <v>507</v>
      </c>
      <c r="H328" s="17"/>
      <c r="I328" s="17"/>
      <c r="J328" s="17"/>
    </row>
    <row r="329" spans="1:10">
      <c r="A329" s="17"/>
      <c r="B329" s="17"/>
      <c r="C329" s="17"/>
      <c r="D329" s="17"/>
      <c r="E329" s="17"/>
      <c r="F329" s="17"/>
      <c r="G329" s="20" t="s">
        <v>511</v>
      </c>
      <c r="H329" s="17"/>
      <c r="I329" s="17"/>
      <c r="J329" s="17"/>
    </row>
    <row r="330" spans="1:10">
      <c r="A330" s="17"/>
      <c r="B330" s="17"/>
      <c r="C330" s="17"/>
      <c r="D330" s="17"/>
      <c r="E330" s="17"/>
      <c r="F330" s="17"/>
      <c r="G330" s="20" t="s">
        <v>515</v>
      </c>
      <c r="H330" s="17"/>
      <c r="I330" s="17"/>
      <c r="J330" s="17"/>
    </row>
    <row r="331" spans="1:10">
      <c r="A331" s="17"/>
      <c r="B331" s="17"/>
      <c r="C331" s="17"/>
      <c r="D331" s="17"/>
      <c r="E331" s="17"/>
      <c r="F331" s="17"/>
      <c r="G331" s="20" t="s">
        <v>519</v>
      </c>
      <c r="H331" s="17"/>
      <c r="I331" s="17"/>
      <c r="J331" s="17"/>
    </row>
    <row r="332" spans="1:10">
      <c r="A332" s="17"/>
      <c r="B332" s="17"/>
      <c r="C332" s="17"/>
      <c r="D332" s="17"/>
      <c r="E332" s="17"/>
      <c r="F332" s="17"/>
      <c r="G332" s="20" t="s">
        <v>523</v>
      </c>
      <c r="H332" s="17"/>
      <c r="I332" s="17"/>
      <c r="J332" s="17"/>
    </row>
    <row r="333" spans="1:10">
      <c r="A333" s="17"/>
      <c r="B333" s="17"/>
      <c r="C333" s="17"/>
      <c r="D333" s="17"/>
      <c r="E333" s="17"/>
      <c r="F333" s="17"/>
      <c r="G333" s="20" t="s">
        <v>527</v>
      </c>
      <c r="H333" s="17"/>
      <c r="I333" s="17"/>
      <c r="J333" s="17"/>
    </row>
    <row r="334" spans="1:10">
      <c r="A334" s="17"/>
      <c r="B334" s="17"/>
      <c r="C334" s="17"/>
      <c r="D334" s="17"/>
      <c r="E334" s="17"/>
      <c r="F334" s="17"/>
      <c r="G334" s="20" t="s">
        <v>531</v>
      </c>
      <c r="H334" s="17"/>
      <c r="I334" s="17"/>
      <c r="J334" s="17"/>
    </row>
    <row r="335" spans="1:10">
      <c r="A335" s="17"/>
      <c r="B335" s="17"/>
      <c r="C335" s="17"/>
      <c r="D335" s="17"/>
      <c r="E335" s="17"/>
      <c r="F335" s="17"/>
      <c r="G335" s="20" t="s">
        <v>535</v>
      </c>
      <c r="H335" s="17"/>
      <c r="I335" s="17"/>
      <c r="J335" s="17"/>
    </row>
    <row r="336" spans="1:10">
      <c r="A336" s="17"/>
      <c r="B336" s="17"/>
      <c r="C336" s="17"/>
      <c r="D336" s="17"/>
      <c r="E336" s="17"/>
      <c r="F336" s="17"/>
      <c r="G336" s="20" t="s">
        <v>539</v>
      </c>
      <c r="H336" s="17"/>
      <c r="I336" s="17"/>
      <c r="J336" s="17"/>
    </row>
    <row r="337" spans="1:10">
      <c r="A337" s="17"/>
      <c r="B337" s="17"/>
      <c r="C337" s="17"/>
      <c r="D337" s="17"/>
      <c r="E337" s="17"/>
      <c r="F337" s="17"/>
      <c r="G337" s="20" t="s">
        <v>543</v>
      </c>
      <c r="H337" s="17"/>
      <c r="I337" s="17"/>
      <c r="J337" s="17"/>
    </row>
    <row r="338" spans="1:10">
      <c r="A338" s="17"/>
      <c r="B338" s="17"/>
      <c r="C338" s="17"/>
      <c r="D338" s="17"/>
      <c r="E338" s="17"/>
      <c r="F338" s="17"/>
      <c r="G338" s="20" t="s">
        <v>547</v>
      </c>
      <c r="H338" s="17"/>
      <c r="I338" s="17"/>
      <c r="J338" s="17"/>
    </row>
    <row r="339" spans="1:10">
      <c r="A339" s="17"/>
      <c r="B339" s="17"/>
      <c r="C339" s="17"/>
      <c r="D339" s="17"/>
      <c r="E339" s="17"/>
      <c r="F339" s="17"/>
      <c r="G339" s="20" t="s">
        <v>551</v>
      </c>
      <c r="H339" s="17"/>
      <c r="I339" s="17"/>
      <c r="J339" s="17"/>
    </row>
    <row r="340" spans="1:10">
      <c r="A340" s="17"/>
      <c r="B340" s="17"/>
      <c r="C340" s="17"/>
      <c r="D340" s="17"/>
      <c r="E340" s="17"/>
      <c r="F340" s="17"/>
      <c r="G340" s="20" t="s">
        <v>555</v>
      </c>
      <c r="H340" s="17"/>
      <c r="I340" s="17"/>
      <c r="J340" s="17"/>
    </row>
    <row r="341" spans="1:10">
      <c r="A341" s="17"/>
      <c r="B341" s="17"/>
      <c r="C341" s="17"/>
      <c r="D341" s="17"/>
      <c r="E341" s="17"/>
      <c r="F341" s="17"/>
      <c r="G341" s="20" t="s">
        <v>559</v>
      </c>
      <c r="H341" s="17"/>
      <c r="I341" s="17"/>
      <c r="J341" s="17"/>
    </row>
    <row r="342" spans="1:10">
      <c r="A342" s="17"/>
      <c r="B342" s="17"/>
      <c r="C342" s="17"/>
      <c r="D342" s="17"/>
      <c r="E342" s="17"/>
      <c r="F342" s="17"/>
      <c r="G342" s="20" t="s">
        <v>563</v>
      </c>
      <c r="H342" s="17"/>
      <c r="I342" s="17"/>
      <c r="J342" s="17"/>
    </row>
    <row r="343" spans="1:10">
      <c r="A343" s="17"/>
      <c r="B343" s="17"/>
      <c r="C343" s="17"/>
      <c r="D343" s="17"/>
      <c r="E343" s="17"/>
      <c r="F343" s="17"/>
      <c r="G343" s="20" t="s">
        <v>567</v>
      </c>
      <c r="H343" s="17"/>
      <c r="I343" s="17"/>
      <c r="J343" s="17"/>
    </row>
    <row r="344" spans="1:10">
      <c r="A344" s="17"/>
      <c r="B344" s="17"/>
      <c r="C344" s="17"/>
      <c r="D344" s="17"/>
      <c r="E344" s="17"/>
      <c r="F344" s="17"/>
      <c r="G344" s="20" t="s">
        <v>571</v>
      </c>
      <c r="H344" s="17"/>
      <c r="I344" s="17"/>
      <c r="J344" s="17"/>
    </row>
    <row r="345" spans="1:10">
      <c r="A345" s="17"/>
      <c r="B345" s="17"/>
      <c r="C345" s="17"/>
      <c r="D345" s="17"/>
      <c r="E345" s="17"/>
      <c r="F345" s="17"/>
      <c r="G345" s="20" t="s">
        <v>574</v>
      </c>
      <c r="H345" s="17"/>
      <c r="I345" s="17"/>
      <c r="J345" s="17"/>
    </row>
    <row r="346" spans="1:10">
      <c r="A346" s="17"/>
      <c r="B346" s="17"/>
      <c r="C346" s="17"/>
      <c r="D346" s="17"/>
      <c r="E346" s="17"/>
      <c r="F346" s="17"/>
      <c r="G346" s="20" t="s">
        <v>578</v>
      </c>
      <c r="H346" s="17"/>
      <c r="I346" s="17"/>
      <c r="J346" s="17"/>
    </row>
    <row r="347" spans="1:10">
      <c r="A347" s="17"/>
      <c r="B347" s="17"/>
      <c r="C347" s="17"/>
      <c r="D347" s="17"/>
      <c r="E347" s="17"/>
      <c r="F347" s="17"/>
      <c r="G347" s="20" t="s">
        <v>582</v>
      </c>
      <c r="H347" s="17"/>
      <c r="I347" s="17"/>
      <c r="J347" s="17"/>
    </row>
    <row r="348" spans="1:10">
      <c r="A348" s="17"/>
      <c r="B348" s="17"/>
      <c r="C348" s="17"/>
      <c r="D348" s="17"/>
      <c r="E348" s="17"/>
      <c r="F348" s="17"/>
      <c r="G348" s="20" t="s">
        <v>585</v>
      </c>
      <c r="H348" s="17"/>
      <c r="I348" s="17"/>
      <c r="J348" s="17"/>
    </row>
    <row r="349" spans="1:10">
      <c r="A349" s="17"/>
      <c r="B349" s="17"/>
      <c r="C349" s="17"/>
      <c r="D349" s="17"/>
      <c r="E349" s="17"/>
      <c r="F349" s="17"/>
      <c r="G349" s="20" t="s">
        <v>589</v>
      </c>
      <c r="H349" s="17"/>
      <c r="I349" s="17"/>
      <c r="J349" s="17"/>
    </row>
    <row r="350" spans="1:10">
      <c r="A350" s="17"/>
      <c r="B350" s="17"/>
      <c r="C350" s="17"/>
      <c r="D350" s="17"/>
      <c r="E350" s="17"/>
      <c r="F350" s="17"/>
      <c r="G350" s="20" t="s">
        <v>593</v>
      </c>
      <c r="H350" s="17"/>
      <c r="I350" s="17"/>
      <c r="J350" s="17"/>
    </row>
    <row r="351" spans="1:10">
      <c r="A351" s="17"/>
      <c r="B351" s="17"/>
      <c r="C351" s="17"/>
      <c r="D351" s="17"/>
      <c r="E351" s="17"/>
      <c r="F351" s="17"/>
      <c r="G351" s="20" t="s">
        <v>597</v>
      </c>
      <c r="H351" s="17"/>
      <c r="I351" s="17"/>
      <c r="J351" s="17"/>
    </row>
    <row r="352" spans="1:10">
      <c r="A352" s="17"/>
      <c r="B352" s="17"/>
      <c r="C352" s="17"/>
      <c r="D352" s="17"/>
      <c r="E352" s="17"/>
      <c r="F352" s="17"/>
      <c r="G352" s="20" t="s">
        <v>601</v>
      </c>
      <c r="H352" s="17"/>
      <c r="I352" s="17"/>
      <c r="J352" s="17"/>
    </row>
    <row r="353" spans="1:10">
      <c r="A353" s="17"/>
      <c r="B353" s="17"/>
      <c r="C353" s="17"/>
      <c r="D353" s="17"/>
      <c r="E353" s="17"/>
      <c r="F353" s="17"/>
      <c r="G353" s="20" t="s">
        <v>605</v>
      </c>
      <c r="H353" s="17"/>
      <c r="I353" s="17"/>
      <c r="J353" s="17"/>
    </row>
    <row r="354" spans="1:10">
      <c r="A354" s="17"/>
      <c r="B354" s="17"/>
      <c r="C354" s="17"/>
      <c r="D354" s="17"/>
      <c r="E354" s="17"/>
      <c r="F354" s="17"/>
      <c r="G354" s="20" t="s">
        <v>609</v>
      </c>
      <c r="H354" s="17"/>
      <c r="I354" s="17"/>
      <c r="J354" s="17"/>
    </row>
    <row r="355" spans="1:10">
      <c r="A355" s="17"/>
      <c r="B355" s="17"/>
      <c r="C355" s="17"/>
      <c r="D355" s="17"/>
      <c r="E355" s="17"/>
      <c r="F355" s="17"/>
      <c r="G355" s="20" t="s">
        <v>613</v>
      </c>
      <c r="H355" s="17"/>
      <c r="I355" s="17"/>
      <c r="J355" s="17"/>
    </row>
    <row r="356" spans="1:10">
      <c r="A356" s="17"/>
      <c r="B356" s="17"/>
      <c r="C356" s="17"/>
      <c r="D356" s="17"/>
      <c r="E356" s="17"/>
      <c r="F356" s="17"/>
      <c r="G356" s="20" t="s">
        <v>617</v>
      </c>
      <c r="H356" s="17"/>
      <c r="I356" s="17"/>
      <c r="J356" s="17"/>
    </row>
    <row r="357" spans="1:10">
      <c r="A357" s="17"/>
      <c r="B357" s="17"/>
      <c r="C357" s="17"/>
      <c r="D357" s="17"/>
      <c r="E357" s="17"/>
      <c r="F357" s="17"/>
      <c r="G357" s="20" t="s">
        <v>621</v>
      </c>
      <c r="H357" s="17"/>
      <c r="I357" s="17"/>
      <c r="J357" s="17"/>
    </row>
    <row r="358" spans="1:10">
      <c r="A358" s="17"/>
      <c r="B358" s="17"/>
      <c r="C358" s="17"/>
      <c r="D358" s="17"/>
      <c r="E358" s="17"/>
      <c r="F358" s="17"/>
      <c r="G358" s="20" t="s">
        <v>625</v>
      </c>
      <c r="H358" s="17"/>
      <c r="I358" s="17"/>
      <c r="J358" s="17"/>
    </row>
    <row r="359" spans="1:10">
      <c r="A359" s="17"/>
      <c r="B359" s="17"/>
      <c r="C359" s="17"/>
      <c r="D359" s="17"/>
      <c r="E359" s="17"/>
      <c r="F359" s="17"/>
      <c r="G359" s="20" t="s">
        <v>629</v>
      </c>
      <c r="H359" s="17"/>
      <c r="I359" s="17"/>
      <c r="J359" s="17"/>
    </row>
    <row r="360" spans="1:10">
      <c r="A360" s="17"/>
      <c r="B360" s="17"/>
      <c r="C360" s="17"/>
      <c r="D360" s="17"/>
      <c r="E360" s="17"/>
      <c r="F360" s="17"/>
      <c r="G360" s="20" t="s">
        <v>633</v>
      </c>
      <c r="H360" s="17"/>
      <c r="I360" s="17"/>
      <c r="J360" s="17"/>
    </row>
    <row r="361" spans="1:10">
      <c r="A361" s="17"/>
      <c r="B361" s="17"/>
      <c r="C361" s="17"/>
      <c r="D361" s="17"/>
      <c r="E361" s="17"/>
      <c r="F361" s="17"/>
      <c r="G361" s="20" t="s">
        <v>637</v>
      </c>
      <c r="H361" s="17"/>
      <c r="I361" s="17"/>
      <c r="J361" s="17"/>
    </row>
    <row r="362" spans="1:10">
      <c r="A362" s="17"/>
      <c r="B362" s="17"/>
      <c r="C362" s="17"/>
      <c r="D362" s="17"/>
      <c r="E362" s="17"/>
      <c r="F362" s="17"/>
      <c r="G362" s="20" t="s">
        <v>641</v>
      </c>
      <c r="H362" s="17"/>
      <c r="I362" s="17"/>
      <c r="J362" s="17"/>
    </row>
    <row r="363" spans="1:10">
      <c r="A363" s="17"/>
      <c r="B363" s="17"/>
      <c r="C363" s="17"/>
      <c r="D363" s="17"/>
      <c r="E363" s="17"/>
      <c r="F363" s="17"/>
      <c r="G363" s="20" t="s">
        <v>645</v>
      </c>
      <c r="H363" s="17"/>
      <c r="I363" s="17"/>
      <c r="J363" s="17"/>
    </row>
    <row r="364" spans="1:10">
      <c r="A364" s="17"/>
      <c r="B364" s="17"/>
      <c r="C364" s="17"/>
      <c r="D364" s="17"/>
      <c r="E364" s="17"/>
      <c r="F364" s="17"/>
      <c r="G364" s="20" t="s">
        <v>649</v>
      </c>
      <c r="H364" s="17"/>
      <c r="I364" s="17"/>
      <c r="J364" s="17"/>
    </row>
    <row r="365" spans="1:10">
      <c r="A365" s="17"/>
      <c r="B365" s="17"/>
      <c r="C365" s="17"/>
      <c r="D365" s="17"/>
      <c r="E365" s="17"/>
      <c r="F365" s="17"/>
      <c r="G365" s="20" t="s">
        <v>653</v>
      </c>
      <c r="H365" s="17"/>
      <c r="I365" s="17"/>
      <c r="J365" s="17"/>
    </row>
    <row r="366" spans="1:10">
      <c r="A366" s="17"/>
      <c r="B366" s="17"/>
      <c r="C366" s="17"/>
      <c r="D366" s="17"/>
      <c r="E366" s="17"/>
      <c r="F366" s="17"/>
      <c r="G366" s="20" t="s">
        <v>657</v>
      </c>
      <c r="H366" s="17"/>
      <c r="I366" s="17"/>
      <c r="J366" s="17"/>
    </row>
    <row r="367" spans="1:10">
      <c r="A367" s="17"/>
      <c r="B367" s="17"/>
      <c r="C367" s="17"/>
      <c r="D367" s="17"/>
      <c r="E367" s="17"/>
      <c r="F367" s="17"/>
      <c r="G367" s="20" t="s">
        <v>661</v>
      </c>
      <c r="H367" s="17"/>
      <c r="I367" s="17"/>
      <c r="J367" s="17"/>
    </row>
    <row r="368" spans="1:10">
      <c r="A368" s="17"/>
      <c r="B368" s="17"/>
      <c r="C368" s="17"/>
      <c r="D368" s="17"/>
      <c r="E368" s="17"/>
      <c r="F368" s="17"/>
      <c r="G368" s="20" t="s">
        <v>665</v>
      </c>
      <c r="H368" s="17"/>
      <c r="I368" s="17"/>
      <c r="J368" s="17"/>
    </row>
    <row r="369" spans="1:10">
      <c r="A369" s="17"/>
      <c r="B369" s="17"/>
      <c r="C369" s="17"/>
      <c r="D369" s="17"/>
      <c r="E369" s="17"/>
      <c r="F369" s="17"/>
      <c r="G369" s="20" t="s">
        <v>669</v>
      </c>
      <c r="H369" s="17"/>
      <c r="I369" s="17"/>
      <c r="J369" s="17"/>
    </row>
    <row r="370" spans="1:10">
      <c r="A370" s="17"/>
      <c r="B370" s="17"/>
      <c r="C370" s="17"/>
      <c r="D370" s="17"/>
      <c r="E370" s="17"/>
      <c r="F370" s="17"/>
      <c r="G370" s="20" t="s">
        <v>673</v>
      </c>
      <c r="H370" s="17"/>
      <c r="I370" s="17"/>
      <c r="J370" s="17"/>
    </row>
    <row r="371" spans="1:10">
      <c r="A371" s="17"/>
      <c r="B371" s="17"/>
      <c r="C371" s="17"/>
      <c r="D371" s="17"/>
      <c r="E371" s="17"/>
      <c r="F371" s="17"/>
      <c r="G371" s="20" t="s">
        <v>677</v>
      </c>
      <c r="H371" s="17"/>
      <c r="I371" s="17"/>
      <c r="J371" s="17"/>
    </row>
    <row r="372" spans="1:10">
      <c r="A372" s="17"/>
      <c r="B372" s="17"/>
      <c r="C372" s="17"/>
      <c r="D372" s="17"/>
      <c r="E372" s="17"/>
      <c r="F372" s="17"/>
      <c r="G372" s="20" t="s">
        <v>681</v>
      </c>
      <c r="H372" s="17"/>
      <c r="I372" s="17"/>
      <c r="J372" s="17"/>
    </row>
    <row r="373" spans="1:10">
      <c r="A373" s="17"/>
      <c r="B373" s="17"/>
      <c r="C373" s="17"/>
      <c r="D373" s="17"/>
      <c r="E373" s="17"/>
      <c r="F373" s="17"/>
      <c r="G373" s="20" t="s">
        <v>685</v>
      </c>
      <c r="H373" s="17"/>
      <c r="I373" s="17"/>
      <c r="J373" s="17"/>
    </row>
    <row r="374" spans="1:10">
      <c r="A374" s="17"/>
      <c r="B374" s="17"/>
      <c r="C374" s="17"/>
      <c r="D374" s="17"/>
      <c r="E374" s="17"/>
      <c r="F374" s="17"/>
      <c r="G374" s="20" t="s">
        <v>689</v>
      </c>
      <c r="H374" s="17"/>
      <c r="I374" s="17"/>
      <c r="J374" s="17"/>
    </row>
    <row r="375" spans="1:10">
      <c r="A375" s="17"/>
      <c r="B375" s="17"/>
      <c r="C375" s="17"/>
      <c r="D375" s="17"/>
      <c r="E375" s="17"/>
      <c r="F375" s="17"/>
      <c r="G375" s="20" t="s">
        <v>693</v>
      </c>
      <c r="H375" s="17"/>
      <c r="I375" s="17"/>
      <c r="J375" s="17"/>
    </row>
    <row r="376" spans="1:10">
      <c r="A376" s="17"/>
      <c r="B376" s="17"/>
      <c r="C376" s="17"/>
      <c r="D376" s="17"/>
      <c r="E376" s="17"/>
      <c r="F376" s="17"/>
      <c r="G376" s="20" t="s">
        <v>696</v>
      </c>
      <c r="H376" s="17"/>
      <c r="I376" s="17"/>
      <c r="J376" s="17"/>
    </row>
    <row r="377" spans="1:10">
      <c r="A377" s="17"/>
      <c r="B377" s="17"/>
      <c r="C377" s="17"/>
      <c r="D377" s="17"/>
      <c r="E377" s="17"/>
      <c r="F377" s="17"/>
      <c r="G377" s="20" t="s">
        <v>700</v>
      </c>
      <c r="H377" s="17"/>
      <c r="I377" s="17"/>
      <c r="J377" s="17"/>
    </row>
    <row r="378" spans="1:10">
      <c r="A378" s="17"/>
      <c r="B378" s="17"/>
      <c r="C378" s="17"/>
      <c r="D378" s="17"/>
      <c r="E378" s="17"/>
      <c r="F378" s="17"/>
      <c r="G378" s="20" t="s">
        <v>704</v>
      </c>
      <c r="H378" s="17"/>
      <c r="I378" s="17"/>
      <c r="J378" s="17"/>
    </row>
    <row r="379" spans="1:10">
      <c r="A379" s="17"/>
      <c r="B379" s="17"/>
      <c r="C379" s="17"/>
      <c r="D379" s="17"/>
      <c r="E379" s="17"/>
      <c r="F379" s="17"/>
      <c r="G379" s="20" t="s">
        <v>708</v>
      </c>
      <c r="H379" s="17"/>
      <c r="I379" s="17"/>
      <c r="J379" s="17"/>
    </row>
    <row r="380" spans="1:10">
      <c r="A380" s="17"/>
      <c r="B380" s="17"/>
      <c r="C380" s="17"/>
      <c r="D380" s="17"/>
      <c r="E380" s="17"/>
      <c r="F380" s="17"/>
      <c r="G380" s="20" t="s">
        <v>712</v>
      </c>
      <c r="H380" s="17"/>
      <c r="I380" s="17"/>
      <c r="J380" s="17"/>
    </row>
    <row r="381" spans="1:10">
      <c r="A381" s="17"/>
      <c r="B381" s="17"/>
      <c r="C381" s="17"/>
      <c r="D381" s="17"/>
      <c r="E381" s="17"/>
      <c r="F381" s="17"/>
      <c r="G381" s="20" t="s">
        <v>716</v>
      </c>
      <c r="H381" s="17"/>
      <c r="I381" s="17"/>
      <c r="J381" s="17"/>
    </row>
    <row r="382" spans="1:10">
      <c r="A382" s="17"/>
      <c r="B382" s="17"/>
      <c r="C382" s="17"/>
      <c r="D382" s="17"/>
      <c r="E382" s="17"/>
      <c r="F382" s="17"/>
      <c r="G382" s="20" t="s">
        <v>720</v>
      </c>
      <c r="H382" s="17"/>
      <c r="I382" s="17"/>
      <c r="J382" s="17"/>
    </row>
    <row r="383" spans="1:10">
      <c r="A383" s="17"/>
      <c r="B383" s="17"/>
      <c r="C383" s="17"/>
      <c r="D383" s="17"/>
      <c r="E383" s="17"/>
      <c r="F383" s="17"/>
      <c r="G383" s="20" t="s">
        <v>724</v>
      </c>
      <c r="H383" s="17"/>
      <c r="I383" s="17"/>
      <c r="J383" s="17"/>
    </row>
    <row r="384" spans="1:10">
      <c r="A384" s="17"/>
      <c r="B384" s="17"/>
      <c r="C384" s="17"/>
      <c r="D384" s="17"/>
      <c r="E384" s="17"/>
      <c r="F384" s="17"/>
      <c r="G384" s="20" t="s">
        <v>728</v>
      </c>
      <c r="H384" s="17"/>
      <c r="I384" s="17"/>
      <c r="J384" s="17"/>
    </row>
    <row r="385" spans="1:10">
      <c r="A385" s="17"/>
      <c r="B385" s="17"/>
      <c r="C385" s="17"/>
      <c r="D385" s="17"/>
      <c r="E385" s="17"/>
      <c r="F385" s="17"/>
      <c r="G385" s="20" t="s">
        <v>732</v>
      </c>
      <c r="H385" s="17"/>
      <c r="I385" s="17"/>
      <c r="J385" s="17"/>
    </row>
    <row r="386" spans="1:10">
      <c r="A386" s="17"/>
      <c r="B386" s="17"/>
      <c r="C386" s="17"/>
      <c r="D386" s="17"/>
      <c r="E386" s="17"/>
      <c r="F386" s="17"/>
      <c r="G386" s="20" t="s">
        <v>736</v>
      </c>
      <c r="H386" s="17"/>
      <c r="I386" s="17"/>
      <c r="J386" s="17"/>
    </row>
    <row r="387" spans="1:10">
      <c r="A387" s="17"/>
      <c r="B387" s="17"/>
      <c r="C387" s="17"/>
      <c r="D387" s="17"/>
      <c r="E387" s="17"/>
      <c r="F387" s="17"/>
      <c r="G387" s="20" t="s">
        <v>740</v>
      </c>
      <c r="H387" s="17"/>
      <c r="I387" s="17"/>
      <c r="J387" s="17"/>
    </row>
    <row r="388" spans="1:10">
      <c r="A388" s="17"/>
      <c r="B388" s="17"/>
      <c r="C388" s="17"/>
      <c r="D388" s="17"/>
      <c r="E388" s="17"/>
      <c r="F388" s="17"/>
      <c r="G388" s="20" t="s">
        <v>744</v>
      </c>
      <c r="H388" s="17"/>
      <c r="I388" s="17"/>
      <c r="J388" s="17"/>
    </row>
    <row r="389" spans="1:10">
      <c r="A389" s="17"/>
      <c r="B389" s="17"/>
      <c r="C389" s="17"/>
      <c r="D389" s="17"/>
      <c r="E389" s="17"/>
      <c r="F389" s="17"/>
      <c r="G389" s="20" t="s">
        <v>748</v>
      </c>
      <c r="H389" s="17"/>
      <c r="I389" s="17"/>
      <c r="J389" s="17"/>
    </row>
    <row r="390" spans="1:10">
      <c r="A390" s="17"/>
      <c r="B390" s="17"/>
      <c r="C390" s="17"/>
      <c r="D390" s="17"/>
      <c r="E390" s="17"/>
      <c r="F390" s="17"/>
      <c r="G390" s="20" t="s">
        <v>752</v>
      </c>
      <c r="H390" s="17"/>
      <c r="I390" s="17"/>
      <c r="J390" s="17"/>
    </row>
    <row r="391" spans="1:10">
      <c r="A391" s="17"/>
      <c r="B391" s="17"/>
      <c r="C391" s="17"/>
      <c r="D391" s="17"/>
      <c r="E391" s="17"/>
      <c r="F391" s="17"/>
      <c r="G391" s="20" t="s">
        <v>756</v>
      </c>
      <c r="H391" s="17"/>
      <c r="I391" s="17"/>
      <c r="J391" s="17"/>
    </row>
    <row r="392" spans="1:10">
      <c r="A392" s="17"/>
      <c r="B392" s="17"/>
      <c r="C392" s="17"/>
      <c r="D392" s="17"/>
      <c r="E392" s="17"/>
      <c r="F392" s="17"/>
      <c r="G392" s="20" t="s">
        <v>760</v>
      </c>
      <c r="H392" s="17"/>
      <c r="I392" s="17"/>
      <c r="J392" s="17"/>
    </row>
    <row r="393" spans="1:10">
      <c r="A393" s="17"/>
      <c r="B393" s="17"/>
      <c r="C393" s="17"/>
      <c r="D393" s="17"/>
      <c r="E393" s="17"/>
      <c r="F393" s="17"/>
      <c r="G393" s="20" t="s">
        <v>764</v>
      </c>
      <c r="H393" s="17"/>
      <c r="I393" s="17"/>
      <c r="J393" s="17"/>
    </row>
    <row r="394" spans="1:10">
      <c r="A394" s="17"/>
      <c r="B394" s="17"/>
      <c r="C394" s="17"/>
      <c r="D394" s="17"/>
      <c r="E394" s="17"/>
      <c r="F394" s="17"/>
      <c r="G394" s="20" t="s">
        <v>768</v>
      </c>
      <c r="H394" s="17"/>
      <c r="I394" s="17"/>
      <c r="J394" s="17"/>
    </row>
    <row r="395" spans="1:10">
      <c r="A395" s="17"/>
      <c r="B395" s="17"/>
      <c r="C395" s="17"/>
      <c r="D395" s="17"/>
      <c r="E395" s="17"/>
      <c r="F395" s="17"/>
      <c r="G395" s="20" t="s">
        <v>772</v>
      </c>
      <c r="H395" s="17"/>
      <c r="I395" s="17"/>
      <c r="J395" s="17"/>
    </row>
    <row r="396" spans="1:10">
      <c r="A396" s="17"/>
      <c r="B396" s="17"/>
      <c r="C396" s="17"/>
      <c r="D396" s="17"/>
      <c r="E396" s="17"/>
      <c r="F396" s="17"/>
      <c r="G396" s="20" t="s">
        <v>776</v>
      </c>
      <c r="H396" s="17"/>
      <c r="I396" s="17"/>
      <c r="J396" s="17"/>
    </row>
    <row r="397" spans="1:10">
      <c r="A397" s="17"/>
      <c r="B397" s="17"/>
      <c r="C397" s="17"/>
      <c r="D397" s="17"/>
      <c r="E397" s="17"/>
      <c r="F397" s="17"/>
      <c r="G397" s="20" t="s">
        <v>780</v>
      </c>
      <c r="H397" s="17"/>
      <c r="I397" s="17"/>
      <c r="J397" s="17"/>
    </row>
    <row r="398" spans="1:10">
      <c r="A398" s="17"/>
      <c r="B398" s="17"/>
      <c r="C398" s="17"/>
      <c r="D398" s="17"/>
      <c r="E398" s="17"/>
      <c r="F398" s="17"/>
      <c r="G398" s="20" t="s">
        <v>784</v>
      </c>
      <c r="H398" s="17"/>
      <c r="I398" s="17"/>
      <c r="J398" s="17"/>
    </row>
    <row r="399" spans="1:10">
      <c r="A399" s="17"/>
      <c r="B399" s="17"/>
      <c r="C399" s="17"/>
      <c r="D399" s="17"/>
      <c r="E399" s="17"/>
      <c r="F399" s="17"/>
      <c r="G399" s="20" t="s">
        <v>788</v>
      </c>
      <c r="H399" s="17"/>
      <c r="I399" s="17"/>
      <c r="J399" s="17"/>
    </row>
    <row r="400" spans="1:10">
      <c r="A400" s="17"/>
      <c r="B400" s="17"/>
      <c r="C400" s="17"/>
      <c r="D400" s="17"/>
      <c r="E400" s="17"/>
      <c r="F400" s="17"/>
      <c r="G400" s="20" t="s">
        <v>792</v>
      </c>
      <c r="H400" s="17"/>
      <c r="I400" s="17"/>
      <c r="J400" s="17"/>
    </row>
    <row r="401" spans="1:10">
      <c r="A401" s="17"/>
      <c r="B401" s="17"/>
      <c r="C401" s="17"/>
      <c r="D401" s="17"/>
      <c r="E401" s="17"/>
      <c r="F401" s="17"/>
      <c r="G401" s="20" t="s">
        <v>796</v>
      </c>
      <c r="H401" s="17"/>
      <c r="I401" s="17"/>
      <c r="J401" s="17"/>
    </row>
    <row r="402" spans="1:10">
      <c r="A402" s="17"/>
      <c r="B402" s="17"/>
      <c r="C402" s="17"/>
      <c r="D402" s="17"/>
      <c r="E402" s="17"/>
      <c r="F402" s="17"/>
      <c r="G402" s="20" t="s">
        <v>800</v>
      </c>
      <c r="H402" s="17"/>
      <c r="I402" s="17"/>
      <c r="J402" s="17"/>
    </row>
    <row r="403" spans="1:10">
      <c r="A403" s="17"/>
      <c r="B403" s="17"/>
      <c r="C403" s="17"/>
      <c r="D403" s="17"/>
      <c r="E403" s="17"/>
      <c r="F403" s="17"/>
      <c r="G403" s="20" t="s">
        <v>804</v>
      </c>
      <c r="H403" s="17"/>
      <c r="I403" s="17"/>
      <c r="J403" s="17"/>
    </row>
    <row r="404" spans="1:10">
      <c r="A404" s="17"/>
      <c r="B404" s="17"/>
      <c r="C404" s="17"/>
      <c r="D404" s="17"/>
      <c r="E404" s="17"/>
      <c r="F404" s="17"/>
      <c r="G404" s="20" t="s">
        <v>808</v>
      </c>
      <c r="H404" s="17"/>
      <c r="I404" s="17"/>
      <c r="J404" s="17"/>
    </row>
    <row r="405" spans="1:10">
      <c r="A405" s="17"/>
      <c r="B405" s="17"/>
      <c r="C405" s="17"/>
      <c r="D405" s="17"/>
      <c r="E405" s="17"/>
      <c r="F405" s="17"/>
      <c r="G405" s="20" t="s">
        <v>812</v>
      </c>
      <c r="H405" s="17"/>
      <c r="I405" s="17"/>
      <c r="J405" s="17"/>
    </row>
    <row r="406" spans="1:10">
      <c r="A406" s="17"/>
      <c r="B406" s="17"/>
      <c r="C406" s="17"/>
      <c r="D406" s="17"/>
      <c r="E406" s="17"/>
      <c r="F406" s="17"/>
      <c r="G406" s="20" t="s">
        <v>816</v>
      </c>
      <c r="H406" s="17"/>
      <c r="I406" s="17"/>
      <c r="J406" s="17"/>
    </row>
    <row r="407" spans="1:10">
      <c r="A407" s="17"/>
      <c r="B407" s="17"/>
      <c r="C407" s="17"/>
      <c r="D407" s="17"/>
      <c r="E407" s="17"/>
      <c r="F407" s="17"/>
      <c r="G407" s="20" t="s">
        <v>820</v>
      </c>
      <c r="H407" s="17"/>
      <c r="I407" s="17"/>
      <c r="J407" s="17"/>
    </row>
    <row r="408" spans="1:10">
      <c r="A408" s="17"/>
      <c r="B408" s="17"/>
      <c r="C408" s="17"/>
      <c r="D408" s="17"/>
      <c r="E408" s="17"/>
      <c r="F408" s="17"/>
      <c r="G408" s="20" t="s">
        <v>824</v>
      </c>
      <c r="H408" s="17"/>
      <c r="I408" s="17"/>
      <c r="J408" s="17"/>
    </row>
    <row r="409" spans="1:10">
      <c r="A409" s="17"/>
      <c r="B409" s="17"/>
      <c r="C409" s="17"/>
      <c r="D409" s="17"/>
      <c r="E409" s="17"/>
      <c r="F409" s="17"/>
      <c r="G409" s="20" t="s">
        <v>828</v>
      </c>
      <c r="H409" s="17"/>
      <c r="I409" s="17"/>
      <c r="J409" s="17"/>
    </row>
    <row r="410" spans="1:10">
      <c r="A410" s="17"/>
      <c r="B410" s="17"/>
      <c r="C410" s="17"/>
      <c r="D410" s="17"/>
      <c r="E410" s="17"/>
      <c r="F410" s="17"/>
      <c r="G410" s="20" t="s">
        <v>832</v>
      </c>
      <c r="H410" s="17"/>
      <c r="I410" s="17"/>
      <c r="J410" s="17"/>
    </row>
    <row r="411" spans="1:10">
      <c r="A411" s="17"/>
      <c r="B411" s="17"/>
      <c r="C411" s="17"/>
      <c r="D411" s="17"/>
      <c r="E411" s="17"/>
      <c r="F411" s="17"/>
      <c r="G411" s="20" t="s">
        <v>836</v>
      </c>
      <c r="H411" s="17"/>
      <c r="I411" s="17"/>
      <c r="J411" s="17"/>
    </row>
    <row r="412" spans="1:10">
      <c r="A412" s="17"/>
      <c r="B412" s="17"/>
      <c r="C412" s="17"/>
      <c r="D412" s="17"/>
      <c r="E412" s="17"/>
      <c r="F412" s="17"/>
      <c r="G412" s="20" t="s">
        <v>840</v>
      </c>
      <c r="H412" s="17"/>
      <c r="I412" s="17"/>
      <c r="J412" s="17"/>
    </row>
    <row r="413" spans="1:10">
      <c r="A413" s="17"/>
      <c r="B413" s="17"/>
      <c r="C413" s="17"/>
      <c r="D413" s="17"/>
      <c r="E413" s="17"/>
      <c r="F413" s="17"/>
      <c r="G413" s="20" t="s">
        <v>844</v>
      </c>
      <c r="H413" s="17"/>
      <c r="I413" s="17"/>
      <c r="J413" s="17"/>
    </row>
    <row r="414" spans="1:10">
      <c r="A414" s="17"/>
      <c r="B414" s="17"/>
      <c r="C414" s="17"/>
      <c r="D414" s="17"/>
      <c r="E414" s="17"/>
      <c r="F414" s="17"/>
      <c r="G414" s="20" t="s">
        <v>848</v>
      </c>
      <c r="H414" s="17"/>
      <c r="I414" s="17"/>
      <c r="J414" s="17"/>
    </row>
    <row r="415" spans="1:10">
      <c r="A415" s="17"/>
      <c r="B415" s="17"/>
      <c r="C415" s="17"/>
      <c r="D415" s="17"/>
      <c r="E415" s="17"/>
      <c r="F415" s="17"/>
      <c r="G415" s="20" t="s">
        <v>852</v>
      </c>
      <c r="H415" s="17"/>
      <c r="I415" s="17"/>
      <c r="J415" s="17"/>
    </row>
    <row r="416" spans="1:10">
      <c r="A416" s="17"/>
      <c r="B416" s="17"/>
      <c r="C416" s="17"/>
      <c r="D416" s="17"/>
      <c r="E416" s="17"/>
      <c r="F416" s="17"/>
      <c r="G416" s="20" t="s">
        <v>856</v>
      </c>
      <c r="H416" s="17"/>
      <c r="I416" s="17"/>
      <c r="J416" s="17"/>
    </row>
    <row r="417" spans="1:10">
      <c r="A417" s="17"/>
      <c r="B417" s="17"/>
      <c r="C417" s="17"/>
      <c r="D417" s="17"/>
      <c r="E417" s="17"/>
      <c r="F417" s="17"/>
      <c r="G417" s="20" t="s">
        <v>860</v>
      </c>
      <c r="H417" s="17"/>
      <c r="I417" s="17"/>
      <c r="J417" s="17"/>
    </row>
    <row r="418" spans="1:10">
      <c r="A418" s="17"/>
      <c r="B418" s="17"/>
      <c r="C418" s="17"/>
      <c r="D418" s="17"/>
      <c r="E418" s="17"/>
      <c r="F418" s="17"/>
      <c r="G418" s="20" t="s">
        <v>864</v>
      </c>
      <c r="H418" s="17"/>
      <c r="I418" s="17"/>
      <c r="J418" s="17"/>
    </row>
    <row r="419" spans="1:10">
      <c r="A419" s="17"/>
      <c r="B419" s="17"/>
      <c r="C419" s="17"/>
      <c r="D419" s="17"/>
      <c r="E419" s="17"/>
      <c r="F419" s="17"/>
      <c r="G419" s="20" t="s">
        <v>868</v>
      </c>
      <c r="H419" s="17"/>
      <c r="I419" s="17"/>
      <c r="J419" s="17"/>
    </row>
    <row r="420" spans="1:10">
      <c r="A420" s="17"/>
      <c r="B420" s="17"/>
      <c r="C420" s="17"/>
      <c r="D420" s="17"/>
      <c r="E420" s="17"/>
      <c r="F420" s="17"/>
      <c r="G420" s="20" t="s">
        <v>872</v>
      </c>
      <c r="H420" s="17"/>
      <c r="I420" s="17"/>
      <c r="J420" s="17"/>
    </row>
    <row r="421" spans="1:10">
      <c r="A421" s="17"/>
      <c r="B421" s="17"/>
      <c r="C421" s="17"/>
      <c r="D421" s="17"/>
      <c r="E421" s="17"/>
      <c r="F421" s="17"/>
      <c r="G421" s="20" t="s">
        <v>876</v>
      </c>
      <c r="H421" s="17"/>
      <c r="I421" s="17"/>
      <c r="J421" s="17"/>
    </row>
    <row r="422" spans="1:10">
      <c r="A422" s="17"/>
      <c r="B422" s="17"/>
      <c r="C422" s="17"/>
      <c r="D422" s="17"/>
      <c r="E422" s="17"/>
      <c r="F422" s="17"/>
      <c r="G422" s="20" t="s">
        <v>880</v>
      </c>
      <c r="H422" s="17"/>
      <c r="I422" s="17"/>
      <c r="J422" s="17"/>
    </row>
    <row r="423" spans="1:10">
      <c r="A423" s="17"/>
      <c r="B423" s="17"/>
      <c r="C423" s="17"/>
      <c r="D423" s="17"/>
      <c r="E423" s="17"/>
      <c r="F423" s="17"/>
      <c r="G423" s="20" t="s">
        <v>884</v>
      </c>
      <c r="H423" s="17"/>
      <c r="I423" s="17"/>
      <c r="J423" s="17"/>
    </row>
    <row r="424" spans="1:10">
      <c r="A424" s="17"/>
      <c r="B424" s="17"/>
      <c r="C424" s="17"/>
      <c r="D424" s="17"/>
      <c r="E424" s="17"/>
      <c r="F424" s="17"/>
      <c r="G424" s="20" t="s">
        <v>888</v>
      </c>
      <c r="H424" s="17"/>
      <c r="I424" s="17"/>
      <c r="J424" s="17"/>
    </row>
    <row r="425" spans="1:10">
      <c r="A425" s="17"/>
      <c r="B425" s="17"/>
      <c r="C425" s="17"/>
      <c r="D425" s="17"/>
      <c r="E425" s="17"/>
      <c r="F425" s="17"/>
      <c r="G425" s="20" t="s">
        <v>892</v>
      </c>
      <c r="H425" s="17"/>
      <c r="I425" s="17"/>
      <c r="J425" s="17"/>
    </row>
    <row r="426" spans="1:10">
      <c r="A426" s="17"/>
      <c r="B426" s="17"/>
      <c r="C426" s="17"/>
      <c r="D426" s="17"/>
      <c r="E426" s="17"/>
      <c r="F426" s="17"/>
      <c r="G426" s="20" t="s">
        <v>896</v>
      </c>
      <c r="H426" s="17"/>
      <c r="I426" s="17"/>
      <c r="J426" s="17"/>
    </row>
    <row r="427" spans="1:10">
      <c r="A427" s="17"/>
      <c r="B427" s="17"/>
      <c r="C427" s="17"/>
      <c r="D427" s="17"/>
      <c r="E427" s="17"/>
      <c r="F427" s="17"/>
      <c r="G427" s="20" t="s">
        <v>900</v>
      </c>
      <c r="H427" s="17"/>
      <c r="I427" s="17"/>
      <c r="J427" s="17"/>
    </row>
    <row r="428" spans="1:10">
      <c r="A428" s="17"/>
      <c r="B428" s="17"/>
      <c r="C428" s="17"/>
      <c r="D428" s="17"/>
      <c r="E428" s="17"/>
      <c r="F428" s="17"/>
      <c r="G428" s="20" t="s">
        <v>904</v>
      </c>
      <c r="H428" s="17"/>
      <c r="I428" s="17"/>
      <c r="J428" s="17"/>
    </row>
    <row r="429" spans="1:10">
      <c r="A429" s="17"/>
      <c r="B429" s="17"/>
      <c r="C429" s="17"/>
      <c r="D429" s="17"/>
      <c r="E429" s="17"/>
      <c r="F429" s="17"/>
      <c r="G429" s="20" t="s">
        <v>908</v>
      </c>
      <c r="H429" s="17"/>
      <c r="I429" s="17"/>
      <c r="J429" s="17"/>
    </row>
    <row r="430" spans="1:10">
      <c r="A430" s="17"/>
      <c r="B430" s="17"/>
      <c r="C430" s="17"/>
      <c r="D430" s="17"/>
      <c r="E430" s="17"/>
      <c r="F430" s="17"/>
      <c r="G430" s="20" t="s">
        <v>912</v>
      </c>
      <c r="H430" s="17"/>
      <c r="I430" s="17"/>
      <c r="J430" s="17"/>
    </row>
    <row r="431" spans="1:10">
      <c r="A431" s="17"/>
      <c r="B431" s="17"/>
      <c r="C431" s="17"/>
      <c r="D431" s="17"/>
      <c r="E431" s="17"/>
      <c r="F431" s="17"/>
      <c r="G431" s="20" t="s">
        <v>916</v>
      </c>
      <c r="H431" s="17"/>
      <c r="I431" s="17"/>
      <c r="J431" s="17"/>
    </row>
    <row r="432" spans="1:10">
      <c r="A432" s="17"/>
      <c r="B432" s="17"/>
      <c r="C432" s="17"/>
      <c r="D432" s="17"/>
      <c r="E432" s="17"/>
      <c r="F432" s="17"/>
      <c r="G432" s="20" t="s">
        <v>920</v>
      </c>
      <c r="H432" s="17"/>
      <c r="I432" s="17"/>
      <c r="J432" s="17"/>
    </row>
    <row r="433" spans="1:10">
      <c r="A433" s="17"/>
      <c r="B433" s="17"/>
      <c r="C433" s="17"/>
      <c r="D433" s="17"/>
      <c r="E433" s="17"/>
      <c r="F433" s="17"/>
      <c r="G433" s="20" t="s">
        <v>924</v>
      </c>
      <c r="H433" s="17"/>
      <c r="I433" s="17"/>
      <c r="J433" s="17"/>
    </row>
    <row r="434" spans="1:10">
      <c r="A434" s="17"/>
      <c r="B434" s="17"/>
      <c r="C434" s="17"/>
      <c r="D434" s="17"/>
      <c r="E434" s="17"/>
      <c r="F434" s="17"/>
      <c r="G434" s="20" t="s">
        <v>928</v>
      </c>
      <c r="H434" s="17"/>
      <c r="I434" s="17"/>
      <c r="J434" s="17"/>
    </row>
    <row r="435" spans="1:10">
      <c r="A435" s="17"/>
      <c r="B435" s="17"/>
      <c r="C435" s="17"/>
      <c r="D435" s="17"/>
      <c r="E435" s="17"/>
      <c r="F435" s="17"/>
      <c r="G435" s="20" t="s">
        <v>932</v>
      </c>
      <c r="H435" s="17"/>
      <c r="I435" s="17"/>
      <c r="J435" s="17"/>
    </row>
    <row r="436" spans="1:10">
      <c r="A436" s="17"/>
      <c r="B436" s="17"/>
      <c r="C436" s="17"/>
      <c r="D436" s="17"/>
      <c r="E436" s="17"/>
      <c r="F436" s="17"/>
      <c r="G436" s="20" t="s">
        <v>936</v>
      </c>
      <c r="H436" s="17"/>
      <c r="I436" s="17"/>
      <c r="J436" s="17"/>
    </row>
    <row r="437" spans="1:10">
      <c r="A437" s="17"/>
      <c r="B437" s="17"/>
      <c r="C437" s="17"/>
      <c r="D437" s="17"/>
      <c r="E437" s="17"/>
      <c r="F437" s="17"/>
      <c r="G437" s="20" t="s">
        <v>940</v>
      </c>
      <c r="H437" s="17"/>
      <c r="I437" s="17"/>
      <c r="J437" s="17"/>
    </row>
    <row r="438" spans="1:10">
      <c r="A438" s="17"/>
      <c r="B438" s="17"/>
      <c r="C438" s="17"/>
      <c r="D438" s="17"/>
      <c r="E438" s="17"/>
      <c r="F438" s="17"/>
      <c r="G438" s="20" t="s">
        <v>944</v>
      </c>
      <c r="H438" s="17"/>
      <c r="I438" s="17"/>
      <c r="J438" s="17"/>
    </row>
    <row r="439" spans="1:10">
      <c r="A439" s="17"/>
      <c r="B439" s="17"/>
      <c r="C439" s="17"/>
      <c r="D439" s="17"/>
      <c r="E439" s="17"/>
      <c r="F439" s="17"/>
      <c r="G439" s="20" t="s">
        <v>948</v>
      </c>
      <c r="H439" s="17"/>
      <c r="I439" s="17"/>
      <c r="J439" s="17"/>
    </row>
    <row r="440" spans="1:10">
      <c r="A440" s="17"/>
      <c r="B440" s="17"/>
      <c r="C440" s="17"/>
      <c r="D440" s="17"/>
      <c r="E440" s="17"/>
      <c r="F440" s="17"/>
      <c r="G440" s="20" t="s">
        <v>952</v>
      </c>
      <c r="H440" s="17"/>
      <c r="I440" s="17"/>
      <c r="J440" s="17"/>
    </row>
    <row r="441" spans="1:10">
      <c r="A441" s="17"/>
      <c r="B441" s="17"/>
      <c r="C441" s="17"/>
      <c r="D441" s="17"/>
      <c r="E441" s="17"/>
      <c r="F441" s="17"/>
      <c r="G441" s="20" t="s">
        <v>956</v>
      </c>
      <c r="H441" s="17"/>
      <c r="I441" s="17"/>
      <c r="J441" s="17"/>
    </row>
    <row r="442" spans="1:10">
      <c r="A442" s="17"/>
      <c r="B442" s="17"/>
      <c r="C442" s="17"/>
      <c r="D442" s="17"/>
      <c r="E442" s="17"/>
      <c r="F442" s="17"/>
      <c r="G442" s="20" t="s">
        <v>960</v>
      </c>
      <c r="H442" s="17"/>
      <c r="I442" s="17"/>
      <c r="J442" s="17"/>
    </row>
    <row r="443" spans="1:10">
      <c r="A443" s="17"/>
      <c r="B443" s="17"/>
      <c r="C443" s="17"/>
      <c r="D443" s="17"/>
      <c r="E443" s="17"/>
      <c r="F443" s="17"/>
      <c r="G443" s="20" t="s">
        <v>964</v>
      </c>
      <c r="H443" s="17"/>
      <c r="I443" s="17"/>
      <c r="J443" s="17"/>
    </row>
    <row r="444" spans="1:10">
      <c r="A444" s="17"/>
      <c r="B444" s="17"/>
      <c r="C444" s="17"/>
      <c r="D444" s="17"/>
      <c r="E444" s="17"/>
      <c r="F444" s="17"/>
      <c r="G444" s="20" t="s">
        <v>968</v>
      </c>
      <c r="H444" s="17"/>
      <c r="I444" s="17"/>
      <c r="J444" s="17"/>
    </row>
    <row r="445" spans="1:10">
      <c r="A445" s="17"/>
      <c r="B445" s="17"/>
      <c r="C445" s="17"/>
      <c r="D445" s="17"/>
      <c r="E445" s="17"/>
      <c r="F445" s="17"/>
      <c r="G445" s="20" t="s">
        <v>972</v>
      </c>
      <c r="H445" s="17"/>
      <c r="I445" s="17"/>
      <c r="J445" s="17"/>
    </row>
    <row r="446" spans="1:10">
      <c r="A446" s="17"/>
      <c r="B446" s="17"/>
      <c r="C446" s="17"/>
      <c r="D446" s="17"/>
      <c r="E446" s="17"/>
      <c r="F446" s="17"/>
      <c r="G446" s="20" t="s">
        <v>976</v>
      </c>
      <c r="H446" s="17"/>
      <c r="I446" s="17"/>
      <c r="J446" s="17"/>
    </row>
    <row r="447" spans="1:10">
      <c r="A447" s="17"/>
      <c r="B447" s="17"/>
      <c r="C447" s="17"/>
      <c r="D447" s="17"/>
      <c r="E447" s="17"/>
      <c r="F447" s="17"/>
      <c r="G447" s="20" t="s">
        <v>980</v>
      </c>
      <c r="H447" s="17"/>
      <c r="I447" s="17"/>
      <c r="J447" s="17"/>
    </row>
    <row r="448" spans="1:10">
      <c r="A448" s="17"/>
      <c r="B448" s="17"/>
      <c r="C448" s="17"/>
      <c r="D448" s="17"/>
      <c r="E448" s="17"/>
      <c r="F448" s="17"/>
      <c r="G448" s="20" t="s">
        <v>984</v>
      </c>
      <c r="H448" s="17"/>
      <c r="I448" s="17"/>
      <c r="J448" s="17"/>
    </row>
    <row r="449" spans="1:10">
      <c r="A449" s="17"/>
      <c r="B449" s="17"/>
      <c r="C449" s="17"/>
      <c r="D449" s="17"/>
      <c r="E449" s="17"/>
      <c r="F449" s="17"/>
      <c r="G449" s="20" t="s">
        <v>988</v>
      </c>
      <c r="H449" s="17"/>
      <c r="I449" s="17"/>
      <c r="J449" s="17"/>
    </row>
    <row r="450" spans="1:10">
      <c r="A450" s="17"/>
      <c r="B450" s="17"/>
      <c r="C450" s="17"/>
      <c r="D450" s="17"/>
      <c r="E450" s="17"/>
      <c r="F450" s="17"/>
      <c r="G450" s="20" t="s">
        <v>992</v>
      </c>
      <c r="H450" s="17"/>
      <c r="I450" s="17"/>
      <c r="J450" s="17"/>
    </row>
    <row r="451" spans="1:10">
      <c r="A451" s="17"/>
      <c r="B451" s="17"/>
      <c r="C451" s="17"/>
      <c r="D451" s="17"/>
      <c r="E451" s="17"/>
      <c r="F451" s="17"/>
      <c r="G451" s="20" t="s">
        <v>996</v>
      </c>
      <c r="H451" s="17"/>
      <c r="I451" s="17"/>
      <c r="J451" s="17"/>
    </row>
    <row r="452" spans="1:10">
      <c r="A452" s="17"/>
      <c r="B452" s="17"/>
      <c r="C452" s="17"/>
      <c r="D452" s="17"/>
      <c r="E452" s="17"/>
      <c r="F452" s="17"/>
      <c r="G452" s="20" t="s">
        <v>1000</v>
      </c>
      <c r="H452" s="17"/>
      <c r="I452" s="17"/>
      <c r="J452" s="17"/>
    </row>
    <row r="453" spans="1:10">
      <c r="A453" s="17"/>
      <c r="B453" s="17"/>
      <c r="C453" s="17"/>
      <c r="D453" s="17"/>
      <c r="E453" s="17"/>
      <c r="F453" s="17"/>
      <c r="G453" s="20" t="s">
        <v>1004</v>
      </c>
      <c r="H453" s="17"/>
      <c r="I453" s="17"/>
      <c r="J453" s="17"/>
    </row>
    <row r="454" spans="1:10">
      <c r="A454" s="17"/>
      <c r="B454" s="17"/>
      <c r="C454" s="17"/>
      <c r="D454" s="17"/>
      <c r="E454" s="17"/>
      <c r="F454" s="17"/>
      <c r="G454" s="20" t="s">
        <v>1008</v>
      </c>
      <c r="H454" s="17"/>
      <c r="I454" s="17"/>
      <c r="J454" s="17"/>
    </row>
    <row r="455" spans="1:10">
      <c r="A455" s="17"/>
      <c r="B455" s="17"/>
      <c r="C455" s="17"/>
      <c r="D455" s="17"/>
      <c r="E455" s="17"/>
      <c r="F455" s="17"/>
      <c r="G455" s="20" t="s">
        <v>1012</v>
      </c>
      <c r="H455" s="17"/>
      <c r="I455" s="17"/>
      <c r="J455" s="17"/>
    </row>
    <row r="456" spans="1:10">
      <c r="A456" s="17"/>
      <c r="B456" s="17"/>
      <c r="C456" s="17"/>
      <c r="D456" s="17"/>
      <c r="E456" s="17"/>
      <c r="F456" s="17"/>
      <c r="G456" s="20" t="s">
        <v>1016</v>
      </c>
      <c r="H456" s="17"/>
      <c r="I456" s="17"/>
      <c r="J456" s="17"/>
    </row>
    <row r="457" spans="1:10">
      <c r="A457" s="17"/>
      <c r="B457" s="17"/>
      <c r="C457" s="17"/>
      <c r="D457" s="17"/>
      <c r="E457" s="17"/>
      <c r="F457" s="17"/>
      <c r="G457" s="20" t="s">
        <v>1018</v>
      </c>
      <c r="H457" s="17"/>
      <c r="I457" s="17"/>
      <c r="J457" s="17"/>
    </row>
  </sheetData>
  <sheetProtection algorithmName="SHA-512" hashValue="h31gAbrNXZLKP4zpN/J8lSCh8WfD+pzi3/qGqDMYT5gQ8V2k6dmOplW39nfS9Yt9+hGtG7r7vSDTSixihRmTwg==" saltValue="DMBs01MxtG93NVdym4DeIQ==" spinCount="100000" sheet="1" objects="1" scenarios="1" selectLockedCells="1"/>
  <mergeCells count="3">
    <mergeCell ref="C1:F1"/>
    <mergeCell ref="A3:A4"/>
    <mergeCell ref="I1:J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C0B90-2AD1-472B-AFD8-E49E3535E452}">
  <sheetPr codeName="Feuil96">
    <tabColor rgb="FF0070C0"/>
  </sheetPr>
  <dimension ref="A1:Q29"/>
  <sheetViews>
    <sheetView topLeftCell="B1" zoomScaleNormal="100" workbookViewId="0">
      <selection activeCell="G11" sqref="G11:I11"/>
    </sheetView>
  </sheetViews>
  <sheetFormatPr baseColWidth="10" defaultColWidth="11.5234375" defaultRowHeight="14.4"/>
  <cols>
    <col min="1" max="4" width="11.5234375" style="10"/>
    <col min="5" max="5" width="23.3125" style="10" customWidth="1"/>
    <col min="6" max="6" width="1.89453125" style="10" customWidth="1"/>
    <col min="7" max="7" width="12.1015625" style="10" customWidth="1"/>
    <col min="8" max="12" width="11.5234375" style="10"/>
    <col min="13" max="13" width="11.5234375" style="10" customWidth="1"/>
    <col min="14" max="16" width="11.5234375" style="10"/>
    <col min="17" max="17" width="11.5234375" style="10" hidden="1" customWidth="1"/>
    <col min="18" max="16384" width="11.5234375" style="10"/>
  </cols>
  <sheetData>
    <row r="1" spans="1:17" ht="14.4" customHeight="1">
      <c r="A1" s="1296" t="s">
        <v>9121</v>
      </c>
      <c r="B1" s="1296"/>
      <c r="C1" s="1296"/>
      <c r="D1" s="1296"/>
      <c r="E1" s="1296"/>
      <c r="F1" s="1296"/>
      <c r="G1" s="1296"/>
      <c r="H1" s="1296"/>
      <c r="I1" s="1296"/>
      <c r="J1" s="1296"/>
      <c r="K1" s="1296"/>
      <c r="L1" s="1296"/>
    </row>
    <row r="2" spans="1:17" ht="14.4" customHeight="1">
      <c r="A2" s="1296"/>
      <c r="B2" s="1296"/>
      <c r="C2" s="1296"/>
      <c r="D2" s="1296"/>
      <c r="E2" s="1296"/>
      <c r="F2" s="1296"/>
      <c r="G2" s="1296"/>
      <c r="H2" s="1296"/>
      <c r="I2" s="1296"/>
      <c r="J2" s="1296"/>
      <c r="K2" s="1296"/>
      <c r="L2" s="1296"/>
    </row>
    <row r="3" spans="1:17" ht="14.4" customHeight="1">
      <c r="A3" s="1296"/>
      <c r="B3" s="1296"/>
      <c r="C3" s="1296"/>
      <c r="D3" s="1296"/>
      <c r="E3" s="1296"/>
      <c r="F3" s="1296"/>
      <c r="G3" s="1296"/>
      <c r="H3" s="1296"/>
      <c r="I3" s="1296"/>
      <c r="J3" s="1296"/>
      <c r="K3" s="1296"/>
      <c r="L3" s="1296"/>
    </row>
    <row r="4" spans="1:17" ht="14.4" customHeight="1"/>
    <row r="5" spans="1:17" ht="14.4" customHeight="1">
      <c r="A5" s="1303" t="s">
        <v>3527</v>
      </c>
      <c r="B5" s="1303"/>
      <c r="C5" s="1303"/>
      <c r="D5" s="1303"/>
      <c r="E5" s="1303"/>
      <c r="F5" s="1303"/>
      <c r="G5" s="1303"/>
      <c r="H5" s="1303"/>
      <c r="I5" s="1303"/>
      <c r="J5" s="1303"/>
      <c r="K5" s="1303"/>
      <c r="L5" s="1303"/>
    </row>
    <row r="6" spans="1:17" ht="14.4" customHeight="1">
      <c r="A6" s="1304"/>
      <c r="B6" s="1304"/>
      <c r="C6" s="1304"/>
      <c r="D6" s="1304"/>
      <c r="E6" s="1304"/>
      <c r="F6" s="1304"/>
      <c r="G6" s="1304"/>
      <c r="H6" s="1304"/>
      <c r="I6" s="1304"/>
      <c r="J6" s="1304"/>
      <c r="K6" s="1304"/>
      <c r="L6" s="1304"/>
    </row>
    <row r="7" spans="1:17" ht="14.4" customHeight="1">
      <c r="A7" s="1304"/>
      <c r="B7" s="1304"/>
      <c r="C7" s="1304"/>
      <c r="D7" s="1304"/>
      <c r="E7" s="1304"/>
      <c r="F7" s="1304"/>
      <c r="G7" s="1304"/>
      <c r="H7" s="1304"/>
      <c r="I7" s="1304"/>
      <c r="J7" s="1304"/>
      <c r="K7" s="1304"/>
      <c r="L7" s="1304"/>
    </row>
    <row r="8" spans="1:17">
      <c r="A8" s="1304"/>
      <c r="B8" s="1304"/>
      <c r="C8" s="1304"/>
      <c r="D8" s="1304"/>
      <c r="E8" s="1304"/>
      <c r="F8" s="1304"/>
      <c r="G8" s="1304"/>
      <c r="H8" s="1304"/>
      <c r="I8" s="1304"/>
      <c r="J8" s="1304"/>
      <c r="K8" s="1304"/>
      <c r="L8" s="1304"/>
    </row>
    <row r="10" spans="1:17" ht="18.3">
      <c r="D10" s="1305" t="s">
        <v>2971</v>
      </c>
      <c r="E10" s="1305"/>
      <c r="F10" s="1305"/>
      <c r="G10" s="1297" t="s">
        <v>2974</v>
      </c>
      <c r="H10" s="1298"/>
      <c r="I10" s="1299"/>
    </row>
    <row r="11" spans="1:17" ht="18.3">
      <c r="D11" s="1305" t="s">
        <v>2972</v>
      </c>
      <c r="E11" s="1305"/>
      <c r="F11" s="1305"/>
      <c r="G11" s="1300" t="str">
        <f>SUBSTITUTE(Sommaire!$D$45," ","")</f>
        <v/>
      </c>
      <c r="H11" s="1301"/>
      <c r="I11" s="1302"/>
      <c r="J11" s="12" t="str">
        <f>IF(Q11=0,"Veuillez respecter le format 1234567A, sans espace.","")</f>
        <v/>
      </c>
      <c r="Q11" s="10">
        <f>IF(AND(LEN(G11)&lt;&gt;8,LEN(G11)&lt;&gt;0), 0, 1)</f>
        <v>1</v>
      </c>
    </row>
    <row r="12" spans="1:17" ht="18.3">
      <c r="D12" s="1305" t="s">
        <v>2973</v>
      </c>
      <c r="E12" s="1305"/>
      <c r="F12" s="1305"/>
      <c r="G12" s="1300">
        <f>YEAR(Sommaire!$M$35)</f>
        <v>1900</v>
      </c>
      <c r="H12" s="1301"/>
      <c r="I12" s="1302"/>
      <c r="J12" s="12" t="str">
        <f>IF(Q12=0,"Veuillez renseigner un exercice valide.","")</f>
        <v/>
      </c>
      <c r="Q12" s="10">
        <f>IF(OR(LEN(G12)=0,AND(ISNUMBER(G12),LEN(G12)=4)),1,0)</f>
        <v>1</v>
      </c>
    </row>
    <row r="14" spans="1:17">
      <c r="A14" s="1290" t="s">
        <v>9122</v>
      </c>
      <c r="B14" s="1291"/>
      <c r="C14" s="1291"/>
      <c r="D14" s="1291"/>
      <c r="E14" s="1292"/>
      <c r="G14" s="1306" t="s">
        <v>9126</v>
      </c>
      <c r="H14" s="1307"/>
      <c r="I14" s="1307"/>
      <c r="J14" s="1307"/>
      <c r="K14" s="1307"/>
      <c r="L14" s="1308"/>
    </row>
    <row r="15" spans="1:17" ht="16.2" customHeight="1">
      <c r="A15" s="13" t="s">
        <v>9115</v>
      </c>
      <c r="B15" s="1326" t="s">
        <v>9120</v>
      </c>
      <c r="C15" s="1327"/>
      <c r="D15" s="1327"/>
      <c r="E15" s="1328"/>
      <c r="G15" s="1309" t="s">
        <v>9129</v>
      </c>
      <c r="H15" s="1310"/>
      <c r="I15" s="1310"/>
      <c r="J15" s="1310"/>
      <c r="K15" s="1310"/>
      <c r="L15" s="1311"/>
    </row>
    <row r="16" spans="1:17" ht="14.4" customHeight="1">
      <c r="A16" s="14" t="s">
        <v>9116</v>
      </c>
      <c r="B16" s="1320" t="s">
        <v>9130</v>
      </c>
      <c r="C16" s="1321"/>
      <c r="D16" s="1321"/>
      <c r="E16" s="1322"/>
      <c r="G16" s="1312"/>
      <c r="H16" s="1313"/>
      <c r="I16" s="1313"/>
      <c r="J16" s="1313"/>
      <c r="K16" s="1313"/>
      <c r="L16" s="1314"/>
    </row>
    <row r="17" spans="1:17">
      <c r="A17" s="13" t="s">
        <v>9117</v>
      </c>
      <c r="B17" s="1323" t="s">
        <v>9123</v>
      </c>
      <c r="C17" s="1324"/>
      <c r="D17" s="1324"/>
      <c r="E17" s="1325"/>
      <c r="G17" s="1315"/>
      <c r="H17" s="1316"/>
      <c r="I17" s="1316"/>
      <c r="J17" s="1316"/>
      <c r="K17" s="1316"/>
      <c r="L17" s="1317"/>
    </row>
    <row r="18" spans="1:17">
      <c r="A18" s="1290" t="s">
        <v>9124</v>
      </c>
      <c r="B18" s="1291"/>
      <c r="C18" s="1291"/>
      <c r="D18" s="1291"/>
      <c r="E18" s="1292"/>
      <c r="G18" s="1309" t="s">
        <v>9613</v>
      </c>
      <c r="H18" s="1310"/>
      <c r="I18" s="1310"/>
      <c r="J18" s="1310"/>
      <c r="K18" s="1310"/>
      <c r="L18" s="1311"/>
    </row>
    <row r="19" spans="1:17" ht="31.95" customHeight="1">
      <c r="A19" s="14" t="s">
        <v>9118</v>
      </c>
      <c r="B19" s="1293" t="s">
        <v>9125</v>
      </c>
      <c r="C19" s="1294"/>
      <c r="D19" s="1294"/>
      <c r="E19" s="1295"/>
      <c r="G19" s="1315"/>
      <c r="H19" s="1316"/>
      <c r="I19" s="1316"/>
      <c r="J19" s="1316"/>
      <c r="K19" s="1316"/>
      <c r="L19" s="1317"/>
    </row>
    <row r="20" spans="1:17">
      <c r="A20" s="1288" t="s">
        <v>9119</v>
      </c>
      <c r="B20" s="1289" t="s">
        <v>9127</v>
      </c>
      <c r="C20" s="1289"/>
      <c r="D20" s="1289"/>
      <c r="E20" s="1289"/>
      <c r="G20" s="1329" t="s">
        <v>9128</v>
      </c>
      <c r="H20" s="1330"/>
      <c r="I20" s="1330"/>
      <c r="J20" s="1330"/>
      <c r="K20" s="1330"/>
      <c r="L20" s="1331"/>
      <c r="Q20" s="15"/>
    </row>
    <row r="21" spans="1:17" ht="41.25" customHeight="1">
      <c r="A21" s="1288"/>
      <c r="B21" s="1289"/>
      <c r="C21" s="1289"/>
      <c r="D21" s="1289"/>
      <c r="E21" s="1289"/>
      <c r="G21" s="1332" t="s">
        <v>9939</v>
      </c>
      <c r="H21" s="1333"/>
      <c r="I21" s="1333"/>
      <c r="J21" s="1333"/>
      <c r="K21" s="1333"/>
      <c r="L21" s="1334"/>
      <c r="Q21" s="16"/>
    </row>
    <row r="27" spans="1:17" ht="18.3">
      <c r="D27" s="1319" t="s">
        <v>8995</v>
      </c>
      <c r="E27" s="1319"/>
      <c r="F27" s="1319"/>
      <c r="G27" s="1319"/>
      <c r="H27" s="1319"/>
      <c r="I27" s="1319"/>
    </row>
    <row r="29" spans="1:17">
      <c r="E29" s="1318" t="s">
        <v>9940</v>
      </c>
      <c r="F29" s="1318"/>
      <c r="G29" s="1318"/>
      <c r="H29" s="1318"/>
    </row>
  </sheetData>
  <sheetProtection algorithmName="SHA-512" hashValue="ceVDtvw4Uz3AqR7jOvT77RMbrI/d0VL/3d5D4jqeOUkwGYbG+carA6Rr0gQMI6+EduA1HsKBPp4d8CzEZBGLgw==" saltValue="yOy8YPMNvkBZV9fvIZZwHw==" spinCount="100000" sheet="1" objects="1" scenarios="1" selectLockedCells="1"/>
  <mergeCells count="24">
    <mergeCell ref="G14:L14"/>
    <mergeCell ref="G15:L17"/>
    <mergeCell ref="G18:L19"/>
    <mergeCell ref="E29:H29"/>
    <mergeCell ref="D27:I27"/>
    <mergeCell ref="B16:E16"/>
    <mergeCell ref="B17:E17"/>
    <mergeCell ref="B15:E15"/>
    <mergeCell ref="G20:L20"/>
    <mergeCell ref="G21:L21"/>
    <mergeCell ref="A1:L3"/>
    <mergeCell ref="G10:I10"/>
    <mergeCell ref="G11:I11"/>
    <mergeCell ref="G12:I12"/>
    <mergeCell ref="A5:L5"/>
    <mergeCell ref="A6:L8"/>
    <mergeCell ref="D10:F10"/>
    <mergeCell ref="D11:F11"/>
    <mergeCell ref="D12:F12"/>
    <mergeCell ref="A20:A21"/>
    <mergeCell ref="B20:E21"/>
    <mergeCell ref="A14:E14"/>
    <mergeCell ref="A18:E18"/>
    <mergeCell ref="B19:E1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66B74-8C4A-4666-AC92-4153CE46F5F4}">
  <sheetPr codeName="Feuil86">
    <tabColor theme="3"/>
  </sheetPr>
  <dimension ref="A1:P136"/>
  <sheetViews>
    <sheetView topLeftCell="A112" zoomScaleNormal="100" workbookViewId="0">
      <selection activeCell="F127" sqref="F127"/>
    </sheetView>
  </sheetViews>
  <sheetFormatPr baseColWidth="10" defaultRowHeight="14.4"/>
  <cols>
    <col min="1" max="1" width="21" customWidth="1"/>
    <col min="2" max="2" width="56" customWidth="1"/>
    <col min="3" max="3" width="10.1015625" customWidth="1"/>
    <col min="4" max="4" width="15.68359375" customWidth="1"/>
    <col min="5" max="6" width="19" customWidth="1"/>
    <col min="7" max="7" width="17.89453125" customWidth="1"/>
    <col min="8" max="8" width="23.68359375" bestFit="1" customWidth="1"/>
    <col min="9" max="9" width="23.68359375" customWidth="1"/>
    <col min="10" max="10" width="14.3125" customWidth="1"/>
    <col min="11" max="11" width="18.41796875" customWidth="1"/>
    <col min="13" max="13" width="24.1015625" customWidth="1"/>
    <col min="14" max="14" width="18.3125" customWidth="1"/>
  </cols>
  <sheetData>
    <row r="1" spans="1:16" ht="18" customHeight="1">
      <c r="A1" s="1352" t="s">
        <v>3293</v>
      </c>
      <c r="B1" s="1352"/>
      <c r="C1" s="1352"/>
      <c r="D1" s="1352"/>
      <c r="E1" s="1352"/>
      <c r="F1" s="1352"/>
      <c r="G1" s="1352"/>
      <c r="H1" s="1352"/>
      <c r="I1" s="1352"/>
      <c r="J1" s="17"/>
      <c r="K1" s="17"/>
      <c r="L1" s="17"/>
      <c r="M1" s="17"/>
      <c r="N1" s="17"/>
      <c r="O1" s="17"/>
      <c r="P1" s="17"/>
    </row>
    <row r="2" spans="1:16" ht="18" customHeight="1">
      <c r="A2" s="1352"/>
      <c r="B2" s="1352"/>
      <c r="C2" s="1352"/>
      <c r="D2" s="1352"/>
      <c r="E2" s="1352"/>
      <c r="F2" s="1352"/>
      <c r="G2" s="1352"/>
      <c r="H2" s="1352"/>
      <c r="I2" s="1352"/>
      <c r="J2" s="17"/>
      <c r="K2" s="17"/>
      <c r="L2" s="17"/>
      <c r="M2" s="17"/>
      <c r="N2" s="17"/>
      <c r="O2" s="17"/>
      <c r="P2" s="17"/>
    </row>
    <row r="3" spans="1:16" ht="18" customHeight="1" thickBot="1">
      <c r="A3" s="17"/>
      <c r="B3" s="17"/>
      <c r="C3" s="17"/>
      <c r="D3" s="17"/>
      <c r="E3" s="17"/>
      <c r="F3" s="17"/>
      <c r="G3" s="17"/>
      <c r="H3" s="17"/>
      <c r="I3" s="17"/>
      <c r="J3" s="17"/>
      <c r="K3" s="17"/>
      <c r="L3" s="17"/>
      <c r="M3" s="17"/>
      <c r="N3" s="17"/>
      <c r="O3" s="17"/>
      <c r="P3" s="17"/>
    </row>
    <row r="4" spans="1:16" ht="26.1" thickBot="1">
      <c r="A4" s="1343" t="s">
        <v>3299</v>
      </c>
      <c r="B4" s="1344"/>
      <c r="C4" s="1344"/>
      <c r="D4" s="1344"/>
      <c r="E4" s="1344"/>
      <c r="F4" s="1344"/>
      <c r="G4" s="1344"/>
      <c r="H4" s="1344"/>
      <c r="I4" s="1344"/>
      <c r="J4" s="17"/>
      <c r="K4" s="17"/>
      <c r="L4" s="17"/>
      <c r="M4" s="17"/>
      <c r="N4" s="17"/>
      <c r="O4" s="17"/>
      <c r="P4" s="17"/>
    </row>
    <row r="5" spans="1:16" ht="33" customHeight="1">
      <c r="A5" s="1342" t="s">
        <v>3277</v>
      </c>
      <c r="B5" s="1342"/>
      <c r="C5" s="1342"/>
      <c r="D5" s="1342"/>
      <c r="E5" s="1342"/>
      <c r="F5" s="1342"/>
      <c r="G5" s="1342"/>
      <c r="H5" s="1342"/>
      <c r="I5" s="1342"/>
      <c r="J5" s="33"/>
      <c r="K5" s="33"/>
      <c r="L5" s="17"/>
      <c r="M5" s="17"/>
      <c r="N5" s="17"/>
      <c r="O5" s="17"/>
      <c r="P5" s="18"/>
    </row>
    <row r="6" spans="1:16" ht="81.599999999999994" customHeight="1">
      <c r="A6" s="1348" t="s">
        <v>3318</v>
      </c>
      <c r="B6" s="1349"/>
      <c r="C6" s="1348" t="s">
        <v>3283</v>
      </c>
      <c r="D6" s="1350"/>
      <c r="E6" s="1350"/>
      <c r="F6" s="1350"/>
      <c r="G6" s="1353" t="s">
        <v>3286</v>
      </c>
      <c r="H6" s="1353"/>
      <c r="I6" s="1353"/>
      <c r="J6" s="34"/>
      <c r="K6" s="34"/>
      <c r="L6" s="17"/>
      <c r="M6" s="17"/>
      <c r="N6" s="17"/>
      <c r="O6" s="17"/>
      <c r="P6" s="18"/>
    </row>
    <row r="7" spans="1:16" ht="54" customHeight="1">
      <c r="A7" s="1354" t="s">
        <v>3334</v>
      </c>
      <c r="B7" s="1354"/>
      <c r="C7" s="1354"/>
      <c r="D7" s="1354"/>
      <c r="E7" s="1354"/>
      <c r="F7" s="1354"/>
      <c r="G7" s="1354"/>
      <c r="H7" s="1354"/>
      <c r="I7" s="1354"/>
      <c r="J7" s="17"/>
      <c r="K7" s="17"/>
      <c r="L7" s="17"/>
      <c r="M7" s="17"/>
      <c r="N7" s="17"/>
      <c r="O7" s="17"/>
      <c r="P7" s="18"/>
    </row>
    <row r="8" spans="1:16" ht="14.7" thickBot="1">
      <c r="A8" s="1359"/>
      <c r="B8" s="1359"/>
      <c r="C8" s="1359"/>
      <c r="D8" s="1359"/>
      <c r="E8" s="1359"/>
      <c r="F8" s="1359"/>
      <c r="G8" s="1359"/>
      <c r="H8" s="1359"/>
      <c r="I8" s="1359"/>
      <c r="J8" s="17"/>
      <c r="K8" s="17"/>
      <c r="L8" s="17"/>
      <c r="M8" s="17"/>
      <c r="N8" s="17"/>
      <c r="O8" s="17"/>
      <c r="P8" s="18"/>
    </row>
    <row r="9" spans="1:16" ht="26.1" thickBot="1">
      <c r="A9" s="1343" t="s">
        <v>3291</v>
      </c>
      <c r="B9" s="1344"/>
      <c r="C9" s="1344"/>
      <c r="D9" s="1344"/>
      <c r="E9" s="1344"/>
      <c r="F9" s="1344"/>
      <c r="G9" s="1344"/>
      <c r="H9" s="1344"/>
      <c r="I9" s="1344"/>
      <c r="J9" s="17"/>
      <c r="K9" s="17"/>
      <c r="L9" s="17"/>
      <c r="M9" s="17"/>
      <c r="N9" s="17"/>
      <c r="O9" s="17"/>
      <c r="P9" s="18"/>
    </row>
    <row r="10" spans="1:16">
      <c r="A10" s="1355"/>
      <c r="B10" s="1355"/>
      <c r="C10" s="1355"/>
      <c r="D10" s="1355"/>
      <c r="E10" s="1355"/>
      <c r="F10" s="1355"/>
      <c r="G10" s="1355"/>
      <c r="H10" s="1355"/>
      <c r="I10" s="1355"/>
      <c r="J10" s="17"/>
      <c r="K10" s="17"/>
      <c r="L10" s="17"/>
      <c r="M10" s="17"/>
      <c r="N10" s="17"/>
      <c r="O10" s="17"/>
      <c r="P10" s="18"/>
    </row>
    <row r="11" spans="1:16" ht="18.3">
      <c r="A11" s="1345" t="s">
        <v>3300</v>
      </c>
      <c r="B11" s="1346"/>
      <c r="C11" s="1346"/>
      <c r="D11" s="1346"/>
      <c r="E11" s="1347"/>
      <c r="F11" s="1356" t="s">
        <v>2975</v>
      </c>
      <c r="G11" s="1357"/>
      <c r="H11" s="1357"/>
      <c r="I11" s="1358"/>
      <c r="J11" s="17"/>
      <c r="K11" s="17"/>
      <c r="L11" s="17"/>
      <c r="M11" s="17"/>
      <c r="N11" s="17"/>
      <c r="O11" s="17"/>
      <c r="P11" s="17"/>
    </row>
    <row r="12" spans="1:16" ht="15.6">
      <c r="A12" s="95" t="s">
        <v>3003</v>
      </c>
      <c r="B12" s="1351" t="s">
        <v>2976</v>
      </c>
      <c r="C12" s="1351"/>
      <c r="D12" s="1351"/>
      <c r="E12" s="1351"/>
      <c r="F12" s="94" t="s">
        <v>3289</v>
      </c>
      <c r="G12" s="1341" t="s">
        <v>2976</v>
      </c>
      <c r="H12" s="1341"/>
      <c r="I12" s="1341"/>
      <c r="J12" s="17"/>
      <c r="K12" s="17"/>
      <c r="L12" s="17"/>
      <c r="M12" s="17"/>
      <c r="N12" s="17"/>
      <c r="O12" s="17"/>
      <c r="P12" s="17"/>
    </row>
    <row r="13" spans="1:16" ht="15" customHeight="1">
      <c r="A13" s="35" t="s">
        <v>3278</v>
      </c>
      <c r="B13" s="1338" t="s">
        <v>8758</v>
      </c>
      <c r="C13" s="1339"/>
      <c r="D13" s="1339"/>
      <c r="E13" s="1340"/>
      <c r="F13" s="36" t="s">
        <v>3287</v>
      </c>
      <c r="G13" s="1335" t="s">
        <v>8757</v>
      </c>
      <c r="H13" s="1336"/>
      <c r="I13" s="1337">
        <v>334</v>
      </c>
      <c r="J13" s="17"/>
      <c r="K13" s="17"/>
      <c r="L13" s="17"/>
      <c r="M13" s="17"/>
      <c r="N13" s="17"/>
      <c r="O13" s="17"/>
      <c r="P13" s="17"/>
    </row>
    <row r="14" spans="1:16" ht="15.6">
      <c r="A14" s="35" t="s">
        <v>3279</v>
      </c>
      <c r="B14" s="1338" t="s">
        <v>3004</v>
      </c>
      <c r="C14" s="1339"/>
      <c r="D14" s="1339"/>
      <c r="E14" s="1340"/>
      <c r="F14" s="36" t="s">
        <v>3288</v>
      </c>
      <c r="G14" s="1335" t="s">
        <v>3290</v>
      </c>
      <c r="H14" s="1336"/>
      <c r="I14" s="1337"/>
      <c r="J14" s="17"/>
      <c r="K14" s="17"/>
      <c r="L14" s="17"/>
      <c r="M14" s="17"/>
      <c r="N14" s="17"/>
      <c r="O14" s="17"/>
      <c r="P14" s="17"/>
    </row>
    <row r="15" spans="1:16" ht="14.4" customHeight="1">
      <c r="A15" s="35" t="s">
        <v>3280</v>
      </c>
      <c r="B15" s="1338" t="s">
        <v>3005</v>
      </c>
      <c r="C15" s="1339"/>
      <c r="D15" s="1339"/>
      <c r="E15" s="1340"/>
      <c r="F15" s="17"/>
      <c r="G15" s="17"/>
      <c r="H15" s="17"/>
      <c r="I15" s="17"/>
      <c r="J15" s="17"/>
      <c r="K15" s="17"/>
      <c r="L15" s="17"/>
      <c r="M15" s="17"/>
      <c r="N15" s="17"/>
      <c r="O15" s="17"/>
      <c r="P15" s="17"/>
    </row>
    <row r="16" spans="1:16" ht="15.6">
      <c r="A16" s="35" t="s">
        <v>2989</v>
      </c>
      <c r="B16" s="1367" t="s">
        <v>3307</v>
      </c>
      <c r="C16" s="1367"/>
      <c r="D16" s="1367"/>
      <c r="E16" s="1367"/>
      <c r="F16" s="17"/>
      <c r="G16" s="17"/>
      <c r="H16" s="17"/>
      <c r="I16" s="17"/>
      <c r="J16" s="17"/>
      <c r="K16" s="17"/>
      <c r="L16" s="17"/>
      <c r="M16" s="17"/>
      <c r="N16" s="17"/>
      <c r="O16" s="17"/>
      <c r="P16" s="17"/>
    </row>
    <row r="17" spans="1:16" ht="14.4" customHeight="1">
      <c r="A17" s="91" t="s">
        <v>3284</v>
      </c>
      <c r="B17" s="1368" t="s">
        <v>3330</v>
      </c>
      <c r="C17" s="1368"/>
      <c r="D17" s="1368"/>
      <c r="E17" s="1368"/>
      <c r="F17" s="17"/>
      <c r="G17" s="17"/>
      <c r="H17" s="17"/>
      <c r="I17" s="17"/>
      <c r="J17" s="17"/>
      <c r="K17" s="17"/>
      <c r="L17" s="17"/>
      <c r="M17" s="17"/>
      <c r="N17" s="17"/>
      <c r="O17" s="17"/>
      <c r="P17" s="17"/>
    </row>
    <row r="18" spans="1:16">
      <c r="A18" s="1366" t="s">
        <v>3285</v>
      </c>
      <c r="B18" s="1369" t="s">
        <v>3331</v>
      </c>
      <c r="C18" s="1369"/>
      <c r="D18" s="1369"/>
      <c r="E18" s="1369"/>
      <c r="F18" s="17"/>
      <c r="G18" s="17"/>
      <c r="H18" s="17"/>
      <c r="I18" s="17"/>
      <c r="J18" s="17"/>
      <c r="K18" s="17"/>
      <c r="L18" s="17"/>
      <c r="M18" s="17"/>
      <c r="N18" s="17"/>
      <c r="O18" s="17"/>
      <c r="P18" s="17"/>
    </row>
    <row r="19" spans="1:16" ht="15.6">
      <c r="A19" s="1366"/>
      <c r="B19" s="1369"/>
      <c r="C19" s="1369"/>
      <c r="D19" s="1369"/>
      <c r="E19" s="1369"/>
      <c r="F19" s="37"/>
      <c r="G19" s="37"/>
      <c r="H19" s="37"/>
      <c r="I19" s="37"/>
      <c r="J19" s="17"/>
      <c r="K19" s="17"/>
      <c r="L19" s="17"/>
      <c r="M19" s="17"/>
      <c r="N19" s="17"/>
      <c r="O19" s="17"/>
      <c r="P19" s="17"/>
    </row>
    <row r="20" spans="1:16" ht="15.6">
      <c r="A20" s="91" t="s">
        <v>3296</v>
      </c>
      <c r="B20" s="1360" t="s">
        <v>3298</v>
      </c>
      <c r="C20" s="1361"/>
      <c r="D20" s="1361"/>
      <c r="E20" s="1362"/>
      <c r="F20" s="37"/>
      <c r="G20" s="37"/>
      <c r="H20" s="37"/>
      <c r="I20" s="37"/>
      <c r="J20" s="17"/>
      <c r="K20" s="17"/>
      <c r="L20" s="17"/>
      <c r="M20" s="17"/>
      <c r="N20" s="17"/>
      <c r="O20" s="17"/>
      <c r="P20" s="17"/>
    </row>
    <row r="21" spans="1:16" ht="15.6">
      <c r="A21" s="91" t="s">
        <v>3297</v>
      </c>
      <c r="B21" s="1360" t="s">
        <v>3332</v>
      </c>
      <c r="C21" s="1361"/>
      <c r="D21" s="1361"/>
      <c r="E21" s="1362"/>
      <c r="F21" s="37"/>
      <c r="G21" s="37"/>
      <c r="H21" s="37"/>
      <c r="I21" s="37"/>
      <c r="J21" s="17"/>
      <c r="K21" s="17"/>
      <c r="L21" s="17"/>
      <c r="M21" s="17"/>
      <c r="N21" s="17"/>
      <c r="O21" s="17"/>
      <c r="P21" s="17"/>
    </row>
    <row r="22" spans="1:16" ht="15.6">
      <c r="A22" s="91" t="s">
        <v>3282</v>
      </c>
      <c r="B22" s="1360" t="s">
        <v>3333</v>
      </c>
      <c r="C22" s="1361"/>
      <c r="D22" s="1361"/>
      <c r="E22" s="1362"/>
      <c r="F22" s="37"/>
      <c r="G22" s="37"/>
      <c r="H22" s="37"/>
      <c r="I22" s="37"/>
      <c r="J22" s="17"/>
      <c r="K22" s="17"/>
      <c r="L22" s="17"/>
      <c r="M22" s="17"/>
      <c r="N22" s="17"/>
      <c r="O22" s="17"/>
      <c r="P22" s="17"/>
    </row>
    <row r="23" spans="1:16" ht="14.7" thickBot="1">
      <c r="A23" s="17"/>
      <c r="B23" s="17"/>
      <c r="C23" s="17"/>
      <c r="D23" s="17"/>
      <c r="E23" s="38"/>
      <c r="F23" s="17"/>
      <c r="G23" s="17"/>
      <c r="H23" s="17"/>
      <c r="I23" s="17"/>
      <c r="J23" s="17"/>
      <c r="K23" s="17"/>
      <c r="L23" s="17"/>
      <c r="M23" s="17"/>
      <c r="N23" s="17"/>
      <c r="O23" s="17"/>
      <c r="P23" s="17"/>
    </row>
    <row r="24" spans="1:16" ht="26.1" thickBot="1">
      <c r="A24" s="1343" t="s">
        <v>3325</v>
      </c>
      <c r="B24" s="1344"/>
      <c r="C24" s="1344"/>
      <c r="D24" s="1344"/>
      <c r="E24" s="1344"/>
      <c r="F24" s="1344"/>
      <c r="G24" s="1344"/>
      <c r="H24" s="1344"/>
      <c r="I24" s="1344"/>
      <c r="J24" s="17"/>
      <c r="K24" s="17"/>
      <c r="L24" s="17"/>
      <c r="M24" s="17"/>
      <c r="N24" s="17"/>
      <c r="O24" s="17"/>
      <c r="P24" s="17"/>
    </row>
    <row r="25" spans="1:16">
      <c r="A25" s="1355"/>
      <c r="B25" s="1355"/>
      <c r="C25" s="1355"/>
      <c r="D25" s="1355"/>
      <c r="E25" s="1355"/>
      <c r="F25" s="1355"/>
      <c r="G25" s="1355"/>
      <c r="H25" s="1355"/>
      <c r="I25" s="1355"/>
      <c r="J25" s="17"/>
      <c r="K25" s="17"/>
      <c r="L25" s="17"/>
      <c r="M25" s="17"/>
      <c r="N25" s="17"/>
      <c r="O25" s="17"/>
      <c r="P25" s="17"/>
    </row>
    <row r="26" spans="1:16" ht="15.6">
      <c r="A26" s="1363" t="s">
        <v>3292</v>
      </c>
      <c r="B26" s="1363"/>
      <c r="C26" s="1363"/>
      <c r="D26" s="1365" t="s">
        <v>3322</v>
      </c>
      <c r="E26" s="1365"/>
      <c r="F26" s="1365"/>
      <c r="G26" s="1364" t="s">
        <v>3328</v>
      </c>
      <c r="H26" s="1364"/>
      <c r="I26" s="1364"/>
      <c r="J26" s="17"/>
      <c r="K26" s="17"/>
      <c r="L26" s="17"/>
      <c r="M26" s="17"/>
      <c r="N26" s="17"/>
      <c r="O26" s="17"/>
      <c r="P26" s="17"/>
    </row>
    <row r="27" spans="1:16" ht="15.6">
      <c r="A27" s="39" t="s">
        <v>3278</v>
      </c>
      <c r="B27" s="39" t="s">
        <v>3279</v>
      </c>
      <c r="C27" s="39" t="s">
        <v>3280</v>
      </c>
      <c r="D27" s="40" t="s">
        <v>2989</v>
      </c>
      <c r="E27" s="41" t="s">
        <v>3284</v>
      </c>
      <c r="F27" s="41" t="s">
        <v>3285</v>
      </c>
      <c r="G27" s="42" t="s">
        <v>3296</v>
      </c>
      <c r="H27" s="42" t="s">
        <v>3281</v>
      </c>
      <c r="I27" s="42" t="s">
        <v>3282</v>
      </c>
      <c r="J27" s="17"/>
      <c r="K27" s="17"/>
      <c r="L27" s="17"/>
      <c r="M27" s="17"/>
      <c r="N27" s="17"/>
      <c r="O27" s="17"/>
      <c r="P27" s="17"/>
    </row>
    <row r="28" spans="1:16" ht="15.6">
      <c r="A28" s="542" t="s">
        <v>9094</v>
      </c>
      <c r="B28" s="543" t="s">
        <v>9112</v>
      </c>
      <c r="C28" s="544" t="s">
        <v>3287</v>
      </c>
      <c r="D28" s="544" t="s">
        <v>1020</v>
      </c>
      <c r="E28" s="545" t="s">
        <v>3716</v>
      </c>
      <c r="F28" s="546"/>
      <c r="G28" s="544" t="s">
        <v>1020</v>
      </c>
      <c r="H28" s="545" t="s">
        <v>3716</v>
      </c>
      <c r="I28" s="546"/>
      <c r="J28" s="17"/>
      <c r="K28" s="43"/>
      <c r="L28" s="43"/>
      <c r="M28" s="43"/>
      <c r="N28" s="43"/>
      <c r="O28" s="43"/>
      <c r="P28" s="43"/>
    </row>
    <row r="29" spans="1:16" ht="15.6">
      <c r="A29" s="542" t="s">
        <v>9011</v>
      </c>
      <c r="B29" s="543" t="s">
        <v>9022</v>
      </c>
      <c r="C29" s="544" t="s">
        <v>3287</v>
      </c>
      <c r="D29" s="544" t="s">
        <v>1080</v>
      </c>
      <c r="E29" s="545" t="s">
        <v>9070</v>
      </c>
      <c r="F29" s="546"/>
      <c r="G29" s="544" t="s">
        <v>1080</v>
      </c>
      <c r="H29" s="545" t="s">
        <v>9070</v>
      </c>
      <c r="I29" s="58"/>
      <c r="J29" s="17"/>
      <c r="K29" s="43"/>
      <c r="L29" s="43"/>
      <c r="M29" s="43"/>
      <c r="N29" s="43"/>
      <c r="O29" s="43"/>
      <c r="P29" s="43"/>
    </row>
    <row r="30" spans="1:16" ht="15.6">
      <c r="A30" s="542" t="s">
        <v>9023</v>
      </c>
      <c r="B30" s="543" t="s">
        <v>9576</v>
      </c>
      <c r="C30" s="544" t="s">
        <v>3288</v>
      </c>
      <c r="D30" s="544" t="s">
        <v>1080</v>
      </c>
      <c r="E30" s="545" t="s">
        <v>3703</v>
      </c>
      <c r="F30" s="546" t="str">
        <f>ADDRESS(ROW('FICHE R2'!AH29),COLUMN('FICHE R2'!AH29),4)</f>
        <v>AH29</v>
      </c>
      <c r="G30" s="544" t="s">
        <v>1080</v>
      </c>
      <c r="H30" s="545" t="s">
        <v>3703</v>
      </c>
      <c r="I30" s="546" t="s">
        <v>9132</v>
      </c>
      <c r="J30" s="17"/>
      <c r="K30" s="44"/>
      <c r="L30" s="44" t="s">
        <v>0</v>
      </c>
      <c r="M30" s="44"/>
      <c r="N30" s="44"/>
      <c r="O30" s="44"/>
      <c r="P30" s="17"/>
    </row>
    <row r="31" spans="1:16" ht="15.6">
      <c r="A31" s="542" t="s">
        <v>9236</v>
      </c>
      <c r="B31" s="543" t="s">
        <v>9238</v>
      </c>
      <c r="C31" s="544" t="s">
        <v>3287</v>
      </c>
      <c r="D31" s="544" t="s">
        <v>1080</v>
      </c>
      <c r="E31" s="545" t="s">
        <v>9239</v>
      </c>
      <c r="F31" s="541"/>
      <c r="G31" s="544" t="s">
        <v>1080</v>
      </c>
      <c r="H31" s="545" t="s">
        <v>9239</v>
      </c>
      <c r="I31" s="58"/>
      <c r="J31" s="17"/>
      <c r="K31" s="17"/>
      <c r="L31" s="17"/>
      <c r="M31" s="17"/>
      <c r="N31" s="17"/>
      <c r="O31" s="17"/>
      <c r="P31" s="17"/>
    </row>
    <row r="32" spans="1:16" ht="15.6">
      <c r="A32" s="542" t="s">
        <v>9252</v>
      </c>
      <c r="B32" s="543" t="s">
        <v>9253</v>
      </c>
      <c r="C32" s="544" t="s">
        <v>3287</v>
      </c>
      <c r="D32" s="544" t="s">
        <v>1080</v>
      </c>
      <c r="E32" s="545" t="str">
        <f>ADDRESS(ROW('FICHE R2'!Y30),COLUMN('FICHE R2'!Y30),4)</f>
        <v>Y30</v>
      </c>
      <c r="F32" s="541"/>
      <c r="G32" s="544" t="s">
        <v>1080</v>
      </c>
      <c r="H32" s="545" t="s">
        <v>9254</v>
      </c>
      <c r="I32" s="58"/>
      <c r="J32" s="17"/>
      <c r="K32" s="17"/>
      <c r="L32" s="17"/>
      <c r="M32" s="17"/>
      <c r="N32" s="17"/>
      <c r="O32" s="17"/>
      <c r="P32" s="17"/>
    </row>
    <row r="33" spans="1:16" ht="15.6">
      <c r="A33" s="542" t="s">
        <v>9024</v>
      </c>
      <c r="B33" s="543" t="s">
        <v>9025</v>
      </c>
      <c r="C33" s="544" t="s">
        <v>3288</v>
      </c>
      <c r="D33" s="544" t="s">
        <v>1095</v>
      </c>
      <c r="E33" s="545" t="s">
        <v>2993</v>
      </c>
      <c r="F33" s="546" t="str">
        <f>ADDRESS(ROW('FICHE R3'!H11),COLUMN('FICHE R3'!H11),4)</f>
        <v>H11</v>
      </c>
      <c r="G33" s="547" t="s">
        <v>1095</v>
      </c>
      <c r="H33" s="541" t="s">
        <v>2993</v>
      </c>
      <c r="I33" s="58" t="s">
        <v>2991</v>
      </c>
      <c r="J33" s="17"/>
      <c r="K33" s="17"/>
      <c r="L33" s="17"/>
      <c r="M33" s="17"/>
      <c r="N33" s="17"/>
      <c r="O33" s="17"/>
      <c r="P33" s="17"/>
    </row>
    <row r="34" spans="1:16" ht="15.6">
      <c r="A34" s="542" t="s">
        <v>9026</v>
      </c>
      <c r="B34" s="543" t="s">
        <v>9027</v>
      </c>
      <c r="C34" s="544" t="s">
        <v>3288</v>
      </c>
      <c r="D34" s="544" t="s">
        <v>1095</v>
      </c>
      <c r="E34" s="545" t="str">
        <f>ADDRESS(ROW('FICHE R3'!A17),COLUMN('FICHE R3'!A17),4)</f>
        <v>A17</v>
      </c>
      <c r="F34" s="546" t="str">
        <f>ADDRESS(ROW('FICHE R3'!G17),COLUMN('FICHE R3'!G17),4)</f>
        <v>G17</v>
      </c>
      <c r="G34" s="547" t="s">
        <v>1095</v>
      </c>
      <c r="H34" s="541" t="s">
        <v>9085</v>
      </c>
      <c r="I34" s="58" t="s">
        <v>3360</v>
      </c>
      <c r="J34" s="17"/>
      <c r="K34" s="17"/>
      <c r="L34" s="17"/>
      <c r="M34" s="17"/>
      <c r="N34" s="17"/>
      <c r="O34" s="17"/>
      <c r="P34" s="17"/>
    </row>
    <row r="35" spans="1:16" ht="15.6">
      <c r="A35" s="548" t="s">
        <v>1112</v>
      </c>
      <c r="B35" s="549" t="s">
        <v>9609</v>
      </c>
      <c r="C35" s="548" t="s">
        <v>3287</v>
      </c>
      <c r="D35" s="548" t="s">
        <v>1112</v>
      </c>
      <c r="E35" s="546" t="s">
        <v>2990</v>
      </c>
      <c r="F35" s="546"/>
      <c r="G35" s="548" t="s">
        <v>1112</v>
      </c>
      <c r="H35" s="546" t="s">
        <v>2990</v>
      </c>
      <c r="I35" s="546"/>
      <c r="J35" s="17"/>
      <c r="K35" s="17"/>
      <c r="L35" s="17"/>
      <c r="M35" s="17"/>
      <c r="N35" s="17"/>
      <c r="O35" s="17"/>
      <c r="P35" s="17"/>
    </row>
    <row r="36" spans="1:16" ht="15.6">
      <c r="A36" s="548" t="s">
        <v>1116</v>
      </c>
      <c r="B36" s="549" t="s">
        <v>9610</v>
      </c>
      <c r="C36" s="548" t="s">
        <v>3287</v>
      </c>
      <c r="D36" s="548" t="s">
        <v>1116</v>
      </c>
      <c r="E36" s="546" t="s">
        <v>2991</v>
      </c>
      <c r="F36" s="546"/>
      <c r="G36" s="548" t="s">
        <v>1116</v>
      </c>
      <c r="H36" s="546" t="s">
        <v>2991</v>
      </c>
      <c r="I36" s="546"/>
      <c r="J36" s="17"/>
      <c r="K36" s="17"/>
      <c r="L36" s="17"/>
      <c r="M36" s="17"/>
      <c r="N36" s="17"/>
      <c r="O36" s="17"/>
      <c r="P36" s="17"/>
    </row>
    <row r="37" spans="1:16" ht="15.6">
      <c r="A37" s="548" t="s">
        <v>2965</v>
      </c>
      <c r="B37" s="549" t="s">
        <v>3000</v>
      </c>
      <c r="C37" s="548" t="s">
        <v>3287</v>
      </c>
      <c r="D37" s="548" t="s">
        <v>2965</v>
      </c>
      <c r="E37" s="546" t="s">
        <v>2992</v>
      </c>
      <c r="F37" s="546"/>
      <c r="G37" s="548" t="s">
        <v>2965</v>
      </c>
      <c r="H37" s="546" t="s">
        <v>2992</v>
      </c>
      <c r="I37" s="546"/>
      <c r="J37" s="17"/>
      <c r="K37" s="17"/>
      <c r="L37" s="17"/>
      <c r="M37" s="17"/>
      <c r="N37" s="17"/>
      <c r="O37" s="17"/>
      <c r="P37" s="17"/>
    </row>
    <row r="38" spans="1:16" ht="15.6">
      <c r="A38" s="544" t="s">
        <v>3540</v>
      </c>
      <c r="B38" s="550" t="s">
        <v>3541</v>
      </c>
      <c r="C38" s="548" t="s">
        <v>3287</v>
      </c>
      <c r="D38" s="548" t="s">
        <v>3540</v>
      </c>
      <c r="E38" s="546" t="s">
        <v>3521</v>
      </c>
      <c r="F38" s="546"/>
      <c r="G38" s="548" t="s">
        <v>3540</v>
      </c>
      <c r="H38" s="546" t="s">
        <v>3521</v>
      </c>
      <c r="I38" s="546"/>
      <c r="J38" s="17"/>
      <c r="K38" s="17"/>
      <c r="L38" s="17"/>
      <c r="M38" s="17"/>
      <c r="N38" s="17"/>
      <c r="O38" s="17"/>
      <c r="P38" s="17"/>
    </row>
    <row r="39" spans="1:16" ht="15.6">
      <c r="A39" s="544" t="s">
        <v>3542</v>
      </c>
      <c r="B39" s="543" t="s">
        <v>3543</v>
      </c>
      <c r="C39" s="548" t="s">
        <v>3287</v>
      </c>
      <c r="D39" s="548" t="s">
        <v>1426</v>
      </c>
      <c r="E39" s="541" t="s">
        <v>3518</v>
      </c>
      <c r="F39" s="546"/>
      <c r="G39" s="548" t="s">
        <v>1426</v>
      </c>
      <c r="H39" s="541" t="s">
        <v>3518</v>
      </c>
      <c r="I39" s="546"/>
      <c r="J39" s="17"/>
      <c r="K39" s="17"/>
      <c r="L39" s="17"/>
      <c r="M39" s="17"/>
      <c r="N39" s="17"/>
      <c r="O39" s="17"/>
      <c r="P39" s="17"/>
    </row>
    <row r="40" spans="1:16" ht="15.6">
      <c r="A40" s="544" t="s">
        <v>3544</v>
      </c>
      <c r="B40" s="550" t="s">
        <v>3545</v>
      </c>
      <c r="C40" s="548" t="s">
        <v>3287</v>
      </c>
      <c r="D40" s="548" t="s">
        <v>1426</v>
      </c>
      <c r="E40" s="541" t="s">
        <v>3427</v>
      </c>
      <c r="F40" s="546"/>
      <c r="G40" s="548" t="s">
        <v>1426</v>
      </c>
      <c r="H40" s="541" t="s">
        <v>3427</v>
      </c>
      <c r="I40" s="58"/>
      <c r="J40" s="17"/>
      <c r="K40" s="17"/>
      <c r="L40" s="17"/>
      <c r="M40" s="17"/>
      <c r="N40" s="17"/>
      <c r="O40" s="17"/>
      <c r="P40" s="17"/>
    </row>
    <row r="41" spans="1:16" ht="15.6">
      <c r="A41" s="542" t="s">
        <v>3546</v>
      </c>
      <c r="B41" s="543" t="s">
        <v>3547</v>
      </c>
      <c r="C41" s="542" t="s">
        <v>3287</v>
      </c>
      <c r="D41" s="544" t="s">
        <v>1428</v>
      </c>
      <c r="E41" s="541" t="s">
        <v>2995</v>
      </c>
      <c r="F41" s="546"/>
      <c r="G41" s="544" t="s">
        <v>1428</v>
      </c>
      <c r="H41" s="541" t="s">
        <v>2995</v>
      </c>
      <c r="I41" s="546"/>
      <c r="J41" s="17"/>
      <c r="K41" s="17"/>
      <c r="L41" s="17"/>
      <c r="M41" s="17"/>
      <c r="N41" s="17"/>
      <c r="O41" s="17"/>
      <c r="P41" s="17"/>
    </row>
    <row r="42" spans="1:16" ht="15.6">
      <c r="A42" s="540" t="s">
        <v>3548</v>
      </c>
      <c r="B42" s="551" t="s">
        <v>3549</v>
      </c>
      <c r="C42" s="60" t="s">
        <v>3287</v>
      </c>
      <c r="D42" s="544" t="s">
        <v>1430</v>
      </c>
      <c r="E42" s="541" t="s">
        <v>3691</v>
      </c>
      <c r="F42" s="546"/>
      <c r="G42" s="544" t="s">
        <v>1430</v>
      </c>
      <c r="H42" s="541" t="s">
        <v>3691</v>
      </c>
      <c r="I42" s="58"/>
      <c r="J42" s="17"/>
      <c r="K42" s="17"/>
      <c r="L42" s="17"/>
      <c r="M42" s="17"/>
      <c r="N42" s="17"/>
      <c r="O42" s="17"/>
      <c r="P42" s="17"/>
    </row>
    <row r="43" spans="1:16" ht="15.6">
      <c r="A43" s="542" t="s">
        <v>3550</v>
      </c>
      <c r="B43" s="543" t="s">
        <v>3551</v>
      </c>
      <c r="C43" s="542" t="s">
        <v>3287</v>
      </c>
      <c r="D43" s="544" t="s">
        <v>1432</v>
      </c>
      <c r="E43" s="542" t="s">
        <v>3326</v>
      </c>
      <c r="F43" s="546"/>
      <c r="G43" s="544" t="s">
        <v>1432</v>
      </c>
      <c r="H43" s="542" t="s">
        <v>3326</v>
      </c>
      <c r="I43" s="552"/>
      <c r="J43" s="17"/>
      <c r="K43" s="17"/>
      <c r="L43" s="17"/>
      <c r="M43" s="17"/>
      <c r="N43" s="17"/>
      <c r="O43" s="17"/>
      <c r="P43" s="17"/>
    </row>
    <row r="44" spans="1:16" ht="15.6">
      <c r="A44" s="542" t="s">
        <v>3552</v>
      </c>
      <c r="B44" s="543" t="s">
        <v>3553</v>
      </c>
      <c r="C44" s="542" t="s">
        <v>3287</v>
      </c>
      <c r="D44" s="544" t="s">
        <v>1434</v>
      </c>
      <c r="E44" s="541" t="s">
        <v>3691</v>
      </c>
      <c r="F44" s="546"/>
      <c r="G44" s="544" t="s">
        <v>1434</v>
      </c>
      <c r="H44" s="541" t="s">
        <v>3691</v>
      </c>
      <c r="I44" s="58"/>
      <c r="J44" s="17"/>
      <c r="K44" s="17"/>
      <c r="L44" s="17"/>
      <c r="M44" s="17"/>
      <c r="N44" s="17"/>
      <c r="O44" s="17"/>
      <c r="P44" s="17"/>
    </row>
    <row r="45" spans="1:16" ht="15.6">
      <c r="A45" s="542" t="s">
        <v>3554</v>
      </c>
      <c r="B45" s="543" t="s">
        <v>3555</v>
      </c>
      <c r="C45" s="542" t="s">
        <v>3287</v>
      </c>
      <c r="D45" s="547" t="s">
        <v>3684</v>
      </c>
      <c r="E45" s="541" t="s">
        <v>3691</v>
      </c>
      <c r="F45" s="546"/>
      <c r="G45" s="547" t="s">
        <v>3684</v>
      </c>
      <c r="H45" s="541" t="s">
        <v>3691</v>
      </c>
      <c r="I45" s="58"/>
      <c r="J45" s="17"/>
      <c r="K45" s="17"/>
      <c r="L45" s="17"/>
      <c r="M45" s="17"/>
      <c r="N45" s="17"/>
      <c r="O45" s="17"/>
      <c r="P45" s="17"/>
    </row>
    <row r="46" spans="1:16" ht="15.6">
      <c r="A46" s="542" t="s">
        <v>3556</v>
      </c>
      <c r="B46" s="543" t="s">
        <v>3557</v>
      </c>
      <c r="C46" s="542" t="s">
        <v>3287</v>
      </c>
      <c r="D46" s="547" t="s">
        <v>1438</v>
      </c>
      <c r="E46" s="541" t="s">
        <v>3690</v>
      </c>
      <c r="F46" s="546"/>
      <c r="G46" s="547" t="s">
        <v>1438</v>
      </c>
      <c r="H46" s="541" t="s">
        <v>3690</v>
      </c>
      <c r="I46" s="58"/>
      <c r="J46" s="17"/>
      <c r="K46" s="17"/>
      <c r="L46" s="17"/>
      <c r="M46" s="17"/>
      <c r="N46" s="17"/>
      <c r="O46" s="17"/>
      <c r="P46" s="17"/>
    </row>
    <row r="47" spans="1:16" ht="15.6">
      <c r="A47" s="542" t="s">
        <v>2966</v>
      </c>
      <c r="B47" s="543" t="s">
        <v>3001</v>
      </c>
      <c r="C47" s="542" t="s">
        <v>3287</v>
      </c>
      <c r="D47" s="547" t="s">
        <v>1440</v>
      </c>
      <c r="E47" s="546" t="s">
        <v>2995</v>
      </c>
      <c r="F47" s="546"/>
      <c r="G47" s="547" t="s">
        <v>1440</v>
      </c>
      <c r="H47" s="546" t="s">
        <v>2995</v>
      </c>
      <c r="I47" s="58"/>
      <c r="J47" s="17"/>
      <c r="K47" s="17"/>
      <c r="L47" s="17"/>
      <c r="M47" s="17"/>
      <c r="N47" s="17"/>
      <c r="O47" s="17"/>
      <c r="P47" s="17"/>
    </row>
    <row r="48" spans="1:16" ht="15.6">
      <c r="A48" s="542" t="s">
        <v>2967</v>
      </c>
      <c r="B48" s="543" t="s">
        <v>2987</v>
      </c>
      <c r="C48" s="542" t="s">
        <v>3287</v>
      </c>
      <c r="D48" s="547" t="s">
        <v>1440</v>
      </c>
      <c r="E48" s="546" t="str">
        <f>ADDRESS(ROW('NOTE 3E'!H17),COLUMN('NOTE 3E'!H17),4)</f>
        <v>H17</v>
      </c>
      <c r="F48" s="541"/>
      <c r="G48" s="547" t="s">
        <v>1440</v>
      </c>
      <c r="H48" s="546" t="s">
        <v>3327</v>
      </c>
      <c r="I48" s="58"/>
      <c r="J48" s="17"/>
      <c r="K48" s="17"/>
      <c r="L48" s="17"/>
      <c r="M48" s="17"/>
      <c r="N48" s="17"/>
      <c r="O48" s="17"/>
      <c r="P48" s="17"/>
    </row>
    <row r="49" spans="1:16" ht="15.6">
      <c r="A49" s="542" t="s">
        <v>2968</v>
      </c>
      <c r="B49" s="543" t="s">
        <v>9577</v>
      </c>
      <c r="C49" s="542" t="s">
        <v>3288</v>
      </c>
      <c r="D49" s="547" t="s">
        <v>1440</v>
      </c>
      <c r="E49" s="546" t="s">
        <v>2993</v>
      </c>
      <c r="F49" s="546" t="str">
        <f>ADDRESS(ROW('NOTE 3E'!I11),COLUMN('NOTE 3E'!I11),4)</f>
        <v>I11</v>
      </c>
      <c r="G49" s="547" t="s">
        <v>1440</v>
      </c>
      <c r="H49" s="546" t="s">
        <v>2993</v>
      </c>
      <c r="I49" s="546" t="s">
        <v>2992</v>
      </c>
      <c r="J49" s="17"/>
      <c r="K49" s="17"/>
      <c r="L49" s="17"/>
      <c r="M49" s="17"/>
      <c r="N49" s="17"/>
      <c r="O49" s="17"/>
      <c r="P49" s="17"/>
    </row>
    <row r="50" spans="1:16" ht="15.6">
      <c r="A50" s="542" t="s">
        <v>9255</v>
      </c>
      <c r="B50" s="543" t="s">
        <v>9256</v>
      </c>
      <c r="C50" s="544" t="s">
        <v>3287</v>
      </c>
      <c r="D50" s="547" t="s">
        <v>1440</v>
      </c>
      <c r="E50" s="541" t="str">
        <f>ADDRESS(ROW('NOTE 3E'!F12),COLUMN('NOTE 3E'!F12),4)</f>
        <v>F12</v>
      </c>
      <c r="F50" s="541"/>
      <c r="G50" s="547" t="s">
        <v>1440</v>
      </c>
      <c r="H50" s="541" t="s">
        <v>3339</v>
      </c>
      <c r="I50" s="58"/>
      <c r="J50" s="17"/>
      <c r="K50" s="17"/>
      <c r="L50" s="17"/>
      <c r="M50" s="17"/>
      <c r="N50" s="17"/>
      <c r="O50" s="17"/>
      <c r="P50" s="17"/>
    </row>
    <row r="51" spans="1:16" ht="15.6">
      <c r="A51" s="542" t="s">
        <v>3558</v>
      </c>
      <c r="B51" s="543" t="s">
        <v>3559</v>
      </c>
      <c r="C51" s="542" t="s">
        <v>3287</v>
      </c>
      <c r="D51" s="547" t="s">
        <v>1442</v>
      </c>
      <c r="E51" s="541" t="s">
        <v>3692</v>
      </c>
      <c r="F51" s="541"/>
      <c r="G51" s="547" t="s">
        <v>1442</v>
      </c>
      <c r="H51" s="541" t="s">
        <v>3692</v>
      </c>
      <c r="I51" s="58"/>
      <c r="J51" s="17"/>
      <c r="K51" s="17"/>
      <c r="L51" s="17"/>
      <c r="M51" s="17"/>
      <c r="N51" s="17"/>
      <c r="O51" s="17"/>
      <c r="P51" s="17"/>
    </row>
    <row r="52" spans="1:16" ht="15.6">
      <c r="A52" s="542" t="s">
        <v>3560</v>
      </c>
      <c r="B52" s="543" t="s">
        <v>3561</v>
      </c>
      <c r="C52" s="542" t="s">
        <v>3288</v>
      </c>
      <c r="D52" s="547" t="s">
        <v>1442</v>
      </c>
      <c r="E52" s="541" t="s">
        <v>3693</v>
      </c>
      <c r="F52" s="546" t="str">
        <f>ADDRESS(ROW('NOTE 4'!K25),COLUMN('NOTE 4'!K25),4)</f>
        <v>K25</v>
      </c>
      <c r="G52" s="547" t="s">
        <v>1442</v>
      </c>
      <c r="H52" s="541" t="s">
        <v>3693</v>
      </c>
      <c r="I52" s="541" t="s">
        <v>3694</v>
      </c>
      <c r="J52" s="17"/>
      <c r="K52" s="17"/>
      <c r="L52" s="17"/>
      <c r="M52" s="17"/>
      <c r="N52" s="17"/>
      <c r="O52" s="17"/>
      <c r="P52" s="17"/>
    </row>
    <row r="53" spans="1:16" ht="15.6">
      <c r="A53" s="542" t="s">
        <v>3562</v>
      </c>
      <c r="B53" s="543" t="s">
        <v>3563</v>
      </c>
      <c r="C53" s="542" t="s">
        <v>3287</v>
      </c>
      <c r="D53" s="547" t="s">
        <v>1443</v>
      </c>
      <c r="E53" s="541" t="s">
        <v>3517</v>
      </c>
      <c r="F53" s="541"/>
      <c r="G53" s="547" t="s">
        <v>1443</v>
      </c>
      <c r="H53" s="541" t="s">
        <v>3517</v>
      </c>
      <c r="I53" s="58"/>
      <c r="J53" s="17"/>
      <c r="K53" s="17"/>
      <c r="L53" s="17"/>
      <c r="M53" s="17"/>
      <c r="N53" s="17"/>
      <c r="O53" s="17"/>
      <c r="P53" s="17"/>
    </row>
    <row r="54" spans="1:16" ht="15.6">
      <c r="A54" s="542" t="s">
        <v>3564</v>
      </c>
      <c r="B54" s="543" t="s">
        <v>1188</v>
      </c>
      <c r="C54" s="542" t="s">
        <v>3287</v>
      </c>
      <c r="D54" s="547" t="s">
        <v>1443</v>
      </c>
      <c r="E54" s="541" t="s">
        <v>3695</v>
      </c>
      <c r="F54" s="541"/>
      <c r="G54" s="547" t="s">
        <v>1443</v>
      </c>
      <c r="H54" s="541" t="s">
        <v>3695</v>
      </c>
      <c r="I54" s="58"/>
      <c r="J54" s="17"/>
      <c r="K54" s="17"/>
      <c r="L54" s="17"/>
      <c r="M54" s="17"/>
      <c r="N54" s="17"/>
      <c r="O54" s="17"/>
      <c r="P54" s="17"/>
    </row>
    <row r="55" spans="1:16" ht="15.6">
      <c r="A55" s="542" t="s">
        <v>3565</v>
      </c>
      <c r="B55" s="543" t="s">
        <v>3566</v>
      </c>
      <c r="C55" s="542" t="s">
        <v>3287</v>
      </c>
      <c r="D55" s="547" t="s">
        <v>1445</v>
      </c>
      <c r="E55" s="541" t="s">
        <v>3696</v>
      </c>
      <c r="F55" s="541"/>
      <c r="G55" s="547" t="s">
        <v>1445</v>
      </c>
      <c r="H55" s="541" t="s">
        <v>3696</v>
      </c>
      <c r="I55" s="58"/>
      <c r="J55" s="17"/>
      <c r="K55" s="17"/>
      <c r="L55" s="17"/>
      <c r="M55" s="17"/>
      <c r="N55" s="17"/>
      <c r="O55" s="17"/>
      <c r="P55" s="17"/>
    </row>
    <row r="56" spans="1:16" ht="15.6">
      <c r="A56" s="542" t="s">
        <v>3567</v>
      </c>
      <c r="B56" s="543" t="s">
        <v>1202</v>
      </c>
      <c r="C56" s="542" t="s">
        <v>3287</v>
      </c>
      <c r="D56" s="547" t="s">
        <v>1446</v>
      </c>
      <c r="E56" s="541" t="s">
        <v>3696</v>
      </c>
      <c r="F56" s="541"/>
      <c r="G56" s="547" t="s">
        <v>1446</v>
      </c>
      <c r="H56" s="541" t="s">
        <v>3696</v>
      </c>
      <c r="I56" s="58"/>
      <c r="J56" s="17"/>
      <c r="K56" s="17"/>
      <c r="L56" s="17"/>
      <c r="M56" s="17"/>
      <c r="N56" s="17"/>
      <c r="O56" s="17"/>
      <c r="P56" s="17"/>
    </row>
    <row r="57" spans="1:16" ht="15.6">
      <c r="A57" s="542" t="s">
        <v>3568</v>
      </c>
      <c r="B57" s="543" t="s">
        <v>1246</v>
      </c>
      <c r="C57" s="542" t="s">
        <v>3287</v>
      </c>
      <c r="D57" s="547" t="s">
        <v>1448</v>
      </c>
      <c r="E57" s="541" t="s">
        <v>3696</v>
      </c>
      <c r="F57" s="541"/>
      <c r="G57" s="547" t="s">
        <v>1448</v>
      </c>
      <c r="H57" s="541" t="s">
        <v>3696</v>
      </c>
      <c r="I57" s="58"/>
      <c r="J57" s="17"/>
      <c r="K57" s="17"/>
      <c r="L57" s="17"/>
      <c r="M57" s="17"/>
      <c r="N57" s="17"/>
      <c r="O57" s="17"/>
      <c r="P57" s="17"/>
    </row>
    <row r="58" spans="1:16" ht="15.6">
      <c r="A58" s="542" t="s">
        <v>3569</v>
      </c>
      <c r="B58" s="543" t="s">
        <v>3570</v>
      </c>
      <c r="C58" s="542" t="s">
        <v>3287</v>
      </c>
      <c r="D58" s="547" t="s">
        <v>1450</v>
      </c>
      <c r="E58" s="541" t="s">
        <v>3517</v>
      </c>
      <c r="F58" s="541"/>
      <c r="G58" s="547" t="s">
        <v>1450</v>
      </c>
      <c r="H58" s="541" t="s">
        <v>3517</v>
      </c>
      <c r="I58" s="58"/>
      <c r="J58" s="17"/>
      <c r="K58" s="17"/>
      <c r="L58" s="17"/>
      <c r="M58" s="17"/>
      <c r="N58" s="17"/>
      <c r="O58" s="17"/>
      <c r="P58" s="17"/>
    </row>
    <row r="59" spans="1:16" ht="15.6">
      <c r="A59" s="542" t="s">
        <v>3571</v>
      </c>
      <c r="B59" s="543" t="s">
        <v>3707</v>
      </c>
      <c r="C59" s="542" t="s">
        <v>3288</v>
      </c>
      <c r="D59" s="547" t="s">
        <v>1450</v>
      </c>
      <c r="E59" s="541" t="s">
        <v>3697</v>
      </c>
      <c r="F59" s="546" t="s">
        <v>7904</v>
      </c>
      <c r="G59" s="547" t="s">
        <v>1450</v>
      </c>
      <c r="H59" s="541" t="s">
        <v>3697</v>
      </c>
      <c r="I59" s="58" t="s">
        <v>7904</v>
      </c>
      <c r="J59" s="17"/>
      <c r="K59" s="17"/>
      <c r="L59" s="17"/>
      <c r="M59" s="17"/>
      <c r="N59" s="17"/>
      <c r="O59" s="17"/>
      <c r="P59" s="17"/>
    </row>
    <row r="60" spans="1:16" ht="31.2">
      <c r="A60" s="542" t="s">
        <v>3572</v>
      </c>
      <c r="B60" s="543" t="s">
        <v>3708</v>
      </c>
      <c r="C60" s="542" t="s">
        <v>3288</v>
      </c>
      <c r="D60" s="547" t="s">
        <v>1450</v>
      </c>
      <c r="E60" s="541" t="s">
        <v>3344</v>
      </c>
      <c r="F60" s="546" t="s">
        <v>7762</v>
      </c>
      <c r="G60" s="547" t="s">
        <v>1450</v>
      </c>
      <c r="H60" s="541" t="s">
        <v>3344</v>
      </c>
      <c r="I60" s="58" t="s">
        <v>7762</v>
      </c>
      <c r="J60" s="17"/>
      <c r="K60" s="17"/>
      <c r="L60" s="17"/>
      <c r="M60" s="17"/>
      <c r="N60" s="17"/>
      <c r="O60" s="17"/>
      <c r="P60" s="17"/>
    </row>
    <row r="61" spans="1:16" ht="31.2">
      <c r="A61" s="542" t="s">
        <v>3573</v>
      </c>
      <c r="B61" s="543" t="s">
        <v>3709</v>
      </c>
      <c r="C61" s="542" t="s">
        <v>3287</v>
      </c>
      <c r="D61" s="547" t="s">
        <v>1450</v>
      </c>
      <c r="E61" s="541" t="s">
        <v>3452</v>
      </c>
      <c r="F61" s="541"/>
      <c r="G61" s="547" t="s">
        <v>1450</v>
      </c>
      <c r="H61" s="541" t="s">
        <v>3452</v>
      </c>
      <c r="I61" s="58"/>
      <c r="J61" s="17"/>
      <c r="K61" s="17"/>
      <c r="L61" s="17"/>
      <c r="M61" s="17"/>
      <c r="N61" s="17"/>
      <c r="O61" s="17"/>
      <c r="P61" s="17"/>
    </row>
    <row r="62" spans="1:16" ht="15.6">
      <c r="A62" s="542" t="s">
        <v>3574</v>
      </c>
      <c r="B62" s="543" t="s">
        <v>3575</v>
      </c>
      <c r="C62" s="542" t="s">
        <v>3287</v>
      </c>
      <c r="D62" s="547" t="s">
        <v>1452</v>
      </c>
      <c r="E62" s="541" t="s">
        <v>3517</v>
      </c>
      <c r="F62" s="541"/>
      <c r="G62" s="547" t="s">
        <v>1452</v>
      </c>
      <c r="H62" s="541" t="s">
        <v>3517</v>
      </c>
      <c r="I62" s="58"/>
      <c r="J62" s="17"/>
      <c r="K62" s="17"/>
      <c r="L62" s="17"/>
      <c r="M62" s="17"/>
      <c r="N62" s="17"/>
      <c r="O62" s="17"/>
      <c r="P62" s="17"/>
    </row>
    <row r="63" spans="1:16" ht="31.2">
      <c r="A63" s="542" t="s">
        <v>3576</v>
      </c>
      <c r="B63" s="543" t="s">
        <v>3577</v>
      </c>
      <c r="C63" s="542" t="s">
        <v>3287</v>
      </c>
      <c r="D63" s="547" t="s">
        <v>1454</v>
      </c>
      <c r="E63" s="541" t="s">
        <v>3517</v>
      </c>
      <c r="F63" s="541"/>
      <c r="G63" s="547" t="s">
        <v>1454</v>
      </c>
      <c r="H63" s="541" t="s">
        <v>3517</v>
      </c>
      <c r="I63" s="58"/>
      <c r="J63" s="17"/>
      <c r="K63" s="17"/>
      <c r="L63" s="17"/>
      <c r="M63" s="17"/>
      <c r="N63" s="17"/>
      <c r="O63" s="17"/>
      <c r="P63" s="17"/>
    </row>
    <row r="64" spans="1:16" ht="15.6">
      <c r="A64" s="542" t="s">
        <v>3578</v>
      </c>
      <c r="B64" s="543" t="s">
        <v>1214</v>
      </c>
      <c r="C64" s="542" t="s">
        <v>3287</v>
      </c>
      <c r="D64" s="547" t="s">
        <v>1456</v>
      </c>
      <c r="E64" s="541" t="s">
        <v>3696</v>
      </c>
      <c r="F64" s="541"/>
      <c r="G64" s="547" t="s">
        <v>1456</v>
      </c>
      <c r="H64" s="541" t="s">
        <v>3696</v>
      </c>
      <c r="I64" s="58"/>
      <c r="J64" s="17"/>
      <c r="K64" s="17"/>
      <c r="L64" s="17"/>
      <c r="M64" s="17"/>
      <c r="N64" s="17"/>
      <c r="O64" s="17"/>
      <c r="P64" s="17"/>
    </row>
    <row r="65" spans="1:16" ht="15.6">
      <c r="A65" s="542" t="s">
        <v>3579</v>
      </c>
      <c r="B65" s="543" t="s">
        <v>1216</v>
      </c>
      <c r="C65" s="542" t="s">
        <v>3287</v>
      </c>
      <c r="D65" s="547" t="s">
        <v>1458</v>
      </c>
      <c r="E65" s="541" t="s">
        <v>3696</v>
      </c>
      <c r="F65" s="541"/>
      <c r="G65" s="547" t="s">
        <v>1458</v>
      </c>
      <c r="H65" s="541" t="s">
        <v>3696</v>
      </c>
      <c r="I65" s="58"/>
      <c r="J65" s="17"/>
      <c r="K65" s="17"/>
      <c r="L65" s="17"/>
      <c r="M65" s="17"/>
      <c r="N65" s="17"/>
      <c r="O65" s="17"/>
      <c r="P65" s="17"/>
    </row>
    <row r="66" spans="1:16" ht="15.6">
      <c r="A66" s="542" t="s">
        <v>3580</v>
      </c>
      <c r="B66" s="543" t="s">
        <v>3581</v>
      </c>
      <c r="C66" s="542" t="s">
        <v>3287</v>
      </c>
      <c r="D66" s="547" t="s">
        <v>1460</v>
      </c>
      <c r="E66" s="541" t="s">
        <v>3696</v>
      </c>
      <c r="F66" s="541"/>
      <c r="G66" s="547" t="s">
        <v>1460</v>
      </c>
      <c r="H66" s="541" t="s">
        <v>3696</v>
      </c>
      <c r="I66" s="58"/>
      <c r="J66" s="17"/>
      <c r="K66" s="17"/>
      <c r="L66" s="17"/>
      <c r="M66" s="17"/>
      <c r="N66" s="17"/>
      <c r="O66" s="17"/>
      <c r="P66" s="17"/>
    </row>
    <row r="67" spans="1:16" ht="15.6">
      <c r="A67" s="542" t="s">
        <v>3582</v>
      </c>
      <c r="B67" s="543" t="s">
        <v>3583</v>
      </c>
      <c r="C67" s="542" t="s">
        <v>3288</v>
      </c>
      <c r="D67" s="547" t="s">
        <v>1462</v>
      </c>
      <c r="E67" s="541" t="s">
        <v>2993</v>
      </c>
      <c r="F67" s="546" t="str">
        <f>ADDRESS(ROW('NOTE 12'!I11),COLUMN('NOTE 12'!I11),4)</f>
        <v>I11</v>
      </c>
      <c r="G67" s="547" t="s">
        <v>1462</v>
      </c>
      <c r="H67" s="541" t="s">
        <v>2993</v>
      </c>
      <c r="I67" s="58" t="s">
        <v>2992</v>
      </c>
      <c r="J67" s="17"/>
      <c r="K67" s="17"/>
      <c r="L67" s="17"/>
      <c r="M67" s="17"/>
      <c r="N67" s="17"/>
      <c r="O67" s="17"/>
      <c r="P67" s="17"/>
    </row>
    <row r="68" spans="1:16" ht="15.6">
      <c r="A68" s="542" t="s">
        <v>3584</v>
      </c>
      <c r="B68" s="543" t="s">
        <v>3585</v>
      </c>
      <c r="C68" s="542" t="s">
        <v>3288</v>
      </c>
      <c r="D68" s="547" t="s">
        <v>1462</v>
      </c>
      <c r="E68" s="546" t="str">
        <f>ADDRESS(ROW('NOTE 12'!A13),COLUMN('NOTE 12'!A13),4)</f>
        <v>A13</v>
      </c>
      <c r="F68" s="546" t="str">
        <f>ADDRESS(ROW('NOTE 12'!I13),COLUMN('NOTE 12'!I13),4)</f>
        <v>I13</v>
      </c>
      <c r="G68" s="547" t="s">
        <v>1462</v>
      </c>
      <c r="H68" s="541" t="s">
        <v>3699</v>
      </c>
      <c r="I68" s="58" t="s">
        <v>3346</v>
      </c>
      <c r="J68" s="17"/>
      <c r="K68" s="17"/>
      <c r="L68" s="17"/>
      <c r="M68" s="17"/>
      <c r="N68" s="17"/>
      <c r="O68" s="17"/>
      <c r="P68" s="17"/>
    </row>
    <row r="69" spans="1:16" ht="15.6">
      <c r="A69" s="542" t="s">
        <v>3586</v>
      </c>
      <c r="B69" s="543" t="s">
        <v>1291</v>
      </c>
      <c r="C69" s="542" t="s">
        <v>3288</v>
      </c>
      <c r="D69" s="547" t="s">
        <v>1462</v>
      </c>
      <c r="E69" s="546" t="str">
        <f>ADDRESS(ROW('NOTE 12'!A18),COLUMN('NOTE 12'!A18),4)</f>
        <v>A18</v>
      </c>
      <c r="F69" s="546" t="str">
        <f>ADDRESS(ROW('NOTE 12'!I18),COLUMN('NOTE 12'!I18),4)</f>
        <v>I18</v>
      </c>
      <c r="G69" s="547" t="s">
        <v>1462</v>
      </c>
      <c r="H69" s="541" t="s">
        <v>3698</v>
      </c>
      <c r="I69" s="58" t="s">
        <v>3365</v>
      </c>
      <c r="J69" s="17"/>
      <c r="K69" s="17"/>
      <c r="L69" s="17"/>
      <c r="M69" s="17"/>
      <c r="N69" s="17"/>
      <c r="O69" s="17"/>
      <c r="P69" s="17"/>
    </row>
    <row r="70" spans="1:16" ht="15.6">
      <c r="A70" s="542" t="s">
        <v>3587</v>
      </c>
      <c r="B70" s="543" t="s">
        <v>1326</v>
      </c>
      <c r="C70" s="542" t="s">
        <v>3288</v>
      </c>
      <c r="D70" s="547" t="s">
        <v>1462</v>
      </c>
      <c r="E70" s="546" t="str">
        <f>ADDRESS(ROW('NOTE 12'!A20),COLUMN('NOTE 12'!A20),4)</f>
        <v>A20</v>
      </c>
      <c r="F70" s="546" t="str">
        <f>ADDRESS(ROW('NOTE 12'!I20),COLUMN('NOTE 12'!I20),4)</f>
        <v>I20</v>
      </c>
      <c r="G70" s="547" t="s">
        <v>1462</v>
      </c>
      <c r="H70" s="541" t="s">
        <v>3700</v>
      </c>
      <c r="I70" s="58" t="s">
        <v>3373</v>
      </c>
      <c r="J70" s="17"/>
      <c r="K70" s="17"/>
      <c r="L70" s="17"/>
      <c r="M70" s="17"/>
      <c r="N70" s="17"/>
      <c r="O70" s="17"/>
      <c r="P70" s="17"/>
    </row>
    <row r="71" spans="1:16" ht="15.6">
      <c r="A71" s="542" t="s">
        <v>2969</v>
      </c>
      <c r="B71" s="543" t="s">
        <v>2988</v>
      </c>
      <c r="C71" s="542" t="s">
        <v>3287</v>
      </c>
      <c r="D71" s="547" t="s">
        <v>1464</v>
      </c>
      <c r="E71" s="546" t="s">
        <v>2996</v>
      </c>
      <c r="F71" s="541"/>
      <c r="G71" s="547" t="s">
        <v>1464</v>
      </c>
      <c r="H71" s="546" t="s">
        <v>2996</v>
      </c>
      <c r="I71" s="58"/>
      <c r="J71" s="17"/>
      <c r="K71" s="17"/>
      <c r="L71" s="17"/>
      <c r="M71" s="17"/>
      <c r="N71" s="17"/>
      <c r="O71" s="17"/>
      <c r="P71" s="17"/>
    </row>
    <row r="72" spans="1:16" ht="15.6">
      <c r="A72" s="542" t="s">
        <v>2970</v>
      </c>
      <c r="B72" s="543" t="s">
        <v>9578</v>
      </c>
      <c r="C72" s="542" t="s">
        <v>3288</v>
      </c>
      <c r="D72" s="547" t="s">
        <v>1464</v>
      </c>
      <c r="E72" s="541" t="s">
        <v>2994</v>
      </c>
      <c r="F72" s="541" t="str">
        <f>ADDRESS(ROW('NOTE 13'!L11),COLUMN('NOTE 13'!L11),4)</f>
        <v>L11</v>
      </c>
      <c r="G72" s="547" t="s">
        <v>1464</v>
      </c>
      <c r="H72" s="541" t="s">
        <v>2994</v>
      </c>
      <c r="I72" s="541" t="s">
        <v>3329</v>
      </c>
      <c r="J72" s="17"/>
      <c r="K72" s="17"/>
      <c r="L72" s="17"/>
      <c r="M72" s="17"/>
      <c r="N72" s="17"/>
      <c r="O72" s="17"/>
      <c r="P72" s="17"/>
    </row>
    <row r="73" spans="1:16" ht="15.6">
      <c r="A73" s="542" t="s">
        <v>9257</v>
      </c>
      <c r="B73" s="543" t="s">
        <v>9258</v>
      </c>
      <c r="C73" s="544" t="s">
        <v>3287</v>
      </c>
      <c r="D73" s="544" t="s">
        <v>1464</v>
      </c>
      <c r="E73" s="541" t="str">
        <f>ADDRESS(ROW('NOTE 13'!K12),COLUMN('NOTE 13'!K12),4)</f>
        <v>K12</v>
      </c>
      <c r="F73" s="541"/>
      <c r="G73" s="544" t="s">
        <v>1464</v>
      </c>
      <c r="H73" s="541" t="s">
        <v>7804</v>
      </c>
      <c r="I73" s="58"/>
      <c r="J73" s="17"/>
      <c r="K73" s="17"/>
      <c r="L73" s="17"/>
      <c r="M73" s="17"/>
      <c r="N73" s="17"/>
      <c r="O73" s="17"/>
      <c r="P73" s="17"/>
    </row>
    <row r="74" spans="1:16" ht="15.6">
      <c r="A74" s="542" t="s">
        <v>3588</v>
      </c>
      <c r="B74" s="543" t="s">
        <v>3589</v>
      </c>
      <c r="C74" s="542" t="s">
        <v>3287</v>
      </c>
      <c r="D74" s="547" t="s">
        <v>1466</v>
      </c>
      <c r="E74" s="541" t="s">
        <v>3692</v>
      </c>
      <c r="F74" s="541"/>
      <c r="G74" s="547" t="s">
        <v>1466</v>
      </c>
      <c r="H74" s="541" t="s">
        <v>3692</v>
      </c>
      <c r="I74" s="58"/>
      <c r="J74" s="17"/>
      <c r="K74" s="17"/>
      <c r="L74" s="17"/>
      <c r="M74" s="17"/>
      <c r="N74" s="17"/>
      <c r="O74" s="17"/>
      <c r="P74" s="17"/>
    </row>
    <row r="75" spans="1:16" ht="15.6">
      <c r="A75" s="542" t="s">
        <v>3590</v>
      </c>
      <c r="B75" s="543" t="s">
        <v>3591</v>
      </c>
      <c r="C75" s="542" t="s">
        <v>3287</v>
      </c>
      <c r="D75" s="547" t="s">
        <v>1468</v>
      </c>
      <c r="E75" s="541" t="s">
        <v>3696</v>
      </c>
      <c r="F75" s="541"/>
      <c r="G75" s="547" t="s">
        <v>1468</v>
      </c>
      <c r="H75" s="541" t="s">
        <v>3696</v>
      </c>
      <c r="I75" s="58"/>
      <c r="J75" s="17"/>
      <c r="K75" s="17"/>
      <c r="L75" s="17"/>
      <c r="M75" s="17"/>
      <c r="N75" s="17"/>
      <c r="O75" s="17"/>
      <c r="P75" s="17"/>
    </row>
    <row r="76" spans="1:16" ht="15.6">
      <c r="A76" s="542" t="s">
        <v>3592</v>
      </c>
      <c r="B76" s="543" t="s">
        <v>3593</v>
      </c>
      <c r="C76" s="542" t="s">
        <v>3287</v>
      </c>
      <c r="D76" s="547" t="s">
        <v>1470</v>
      </c>
      <c r="E76" s="541" t="s">
        <v>3701</v>
      </c>
      <c r="F76" s="541"/>
      <c r="G76" s="547" t="s">
        <v>1470</v>
      </c>
      <c r="H76" s="541" t="s">
        <v>3701</v>
      </c>
      <c r="I76" s="58"/>
      <c r="J76" s="17"/>
      <c r="K76" s="17"/>
      <c r="L76" s="17"/>
      <c r="M76" s="17"/>
      <c r="N76" s="17"/>
      <c r="O76" s="17"/>
      <c r="P76" s="17"/>
    </row>
    <row r="77" spans="1:16" ht="15.6">
      <c r="A77" s="542" t="s">
        <v>3594</v>
      </c>
      <c r="B77" s="543" t="s">
        <v>3595</v>
      </c>
      <c r="C77" s="542" t="s">
        <v>3287</v>
      </c>
      <c r="D77" s="547" t="s">
        <v>1472</v>
      </c>
      <c r="E77" s="541" t="s">
        <v>3696</v>
      </c>
      <c r="F77" s="541"/>
      <c r="G77" s="547" t="s">
        <v>1472</v>
      </c>
      <c r="H77" s="541" t="s">
        <v>3696</v>
      </c>
      <c r="I77" s="58"/>
      <c r="J77" s="17"/>
      <c r="K77" s="17"/>
      <c r="L77" s="17"/>
      <c r="M77" s="17"/>
      <c r="N77" s="17"/>
      <c r="O77" s="17"/>
      <c r="P77" s="17"/>
    </row>
    <row r="78" spans="1:16" ht="15.6">
      <c r="A78" s="542" t="s">
        <v>3596</v>
      </c>
      <c r="B78" s="543" t="s">
        <v>3597</v>
      </c>
      <c r="C78" s="542" t="s">
        <v>3287</v>
      </c>
      <c r="D78" s="547" t="s">
        <v>1474</v>
      </c>
      <c r="E78" s="541" t="s">
        <v>3520</v>
      </c>
      <c r="F78" s="541"/>
      <c r="G78" s="547" t="s">
        <v>1474</v>
      </c>
      <c r="H78" s="541" t="s">
        <v>3520</v>
      </c>
      <c r="I78" s="58"/>
      <c r="J78" s="17"/>
      <c r="K78" s="17"/>
      <c r="L78" s="17"/>
      <c r="M78" s="17"/>
      <c r="N78" s="17"/>
      <c r="O78" s="17"/>
      <c r="P78" s="17"/>
    </row>
    <row r="79" spans="1:16" ht="15.6">
      <c r="A79" s="542" t="s">
        <v>3598</v>
      </c>
      <c r="B79" s="543" t="s">
        <v>3599</v>
      </c>
      <c r="C79" s="542" t="s">
        <v>3287</v>
      </c>
      <c r="D79" s="547" t="s">
        <v>1474</v>
      </c>
      <c r="E79" s="541" t="s">
        <v>3376</v>
      </c>
      <c r="F79" s="541"/>
      <c r="G79" s="547" t="s">
        <v>1474</v>
      </c>
      <c r="H79" s="541" t="s">
        <v>3376</v>
      </c>
      <c r="I79" s="58"/>
      <c r="J79" s="17"/>
      <c r="K79" s="17"/>
      <c r="L79" s="17"/>
      <c r="M79" s="17"/>
      <c r="N79" s="17"/>
      <c r="O79" s="17"/>
      <c r="P79" s="17"/>
    </row>
    <row r="80" spans="1:16" ht="15.6">
      <c r="A80" s="542" t="s">
        <v>3600</v>
      </c>
      <c r="B80" s="543" t="s">
        <v>3601</v>
      </c>
      <c r="C80" s="542" t="s">
        <v>3287</v>
      </c>
      <c r="D80" s="547" t="s">
        <v>1474</v>
      </c>
      <c r="E80" s="541" t="s">
        <v>3426</v>
      </c>
      <c r="F80" s="541"/>
      <c r="G80" s="547" t="s">
        <v>1474</v>
      </c>
      <c r="H80" s="541" t="s">
        <v>3426</v>
      </c>
      <c r="I80" s="58"/>
      <c r="J80" s="17"/>
      <c r="K80" s="17"/>
      <c r="L80" s="17"/>
      <c r="M80" s="17"/>
      <c r="N80" s="17"/>
      <c r="O80" s="17"/>
      <c r="P80" s="17"/>
    </row>
    <row r="81" spans="1:16" ht="15.6">
      <c r="A81" s="542" t="s">
        <v>3602</v>
      </c>
      <c r="B81" s="543" t="s">
        <v>3603</v>
      </c>
      <c r="C81" s="542" t="s">
        <v>3287</v>
      </c>
      <c r="D81" s="547" t="s">
        <v>3685</v>
      </c>
      <c r="E81" s="541" t="s">
        <v>3520</v>
      </c>
      <c r="F81" s="541"/>
      <c r="G81" s="547" t="s">
        <v>3685</v>
      </c>
      <c r="H81" s="541" t="s">
        <v>3520</v>
      </c>
      <c r="I81" s="58"/>
      <c r="J81" s="17"/>
      <c r="K81" s="17"/>
      <c r="L81" s="17"/>
      <c r="M81" s="17"/>
      <c r="N81" s="17"/>
      <c r="O81" s="17"/>
      <c r="P81" s="17"/>
    </row>
    <row r="82" spans="1:16" ht="15.6">
      <c r="A82" s="542" t="s">
        <v>3604</v>
      </c>
      <c r="B82" s="543" t="s">
        <v>3605</v>
      </c>
      <c r="C82" s="542" t="s">
        <v>3287</v>
      </c>
      <c r="D82" s="547" t="s">
        <v>3685</v>
      </c>
      <c r="E82" s="541" t="s">
        <v>3366</v>
      </c>
      <c r="F82" s="541"/>
      <c r="G82" s="547" t="s">
        <v>3685</v>
      </c>
      <c r="H82" s="541" t="s">
        <v>3366</v>
      </c>
      <c r="I82" s="58"/>
      <c r="J82" s="17"/>
      <c r="K82" s="17"/>
      <c r="L82" s="17"/>
      <c r="M82" s="17"/>
      <c r="N82" s="17"/>
      <c r="O82" s="17"/>
      <c r="P82" s="17"/>
    </row>
    <row r="83" spans="1:16" ht="15.6">
      <c r="A83" s="542" t="s">
        <v>3606</v>
      </c>
      <c r="B83" s="543" t="s">
        <v>3607</v>
      </c>
      <c r="C83" s="542" t="s">
        <v>3287</v>
      </c>
      <c r="D83" s="547" t="s">
        <v>1478</v>
      </c>
      <c r="E83" s="541" t="s">
        <v>3701</v>
      </c>
      <c r="F83" s="541"/>
      <c r="G83" s="547" t="s">
        <v>1478</v>
      </c>
      <c r="H83" s="541" t="s">
        <v>3701</v>
      </c>
      <c r="I83" s="58"/>
      <c r="J83" s="17"/>
      <c r="K83" s="17"/>
      <c r="L83" s="17"/>
      <c r="M83" s="17"/>
      <c r="N83" s="17"/>
      <c r="O83" s="17"/>
      <c r="P83" s="17"/>
    </row>
    <row r="84" spans="1:16" ht="15.6">
      <c r="A84" s="542" t="s">
        <v>3608</v>
      </c>
      <c r="B84" s="543" t="s">
        <v>3611</v>
      </c>
      <c r="C84" s="542" t="s">
        <v>3288</v>
      </c>
      <c r="D84" s="547" t="s">
        <v>1478</v>
      </c>
      <c r="E84" s="541" t="s">
        <v>2993</v>
      </c>
      <c r="F84" s="541" t="str">
        <f>ADDRESS(ROW('NOTE 16C'!H11),COLUMN('NOTE 16C'!H11),4)</f>
        <v>H11</v>
      </c>
      <c r="G84" s="547" t="s">
        <v>1478</v>
      </c>
      <c r="H84" s="541" t="s">
        <v>2993</v>
      </c>
      <c r="I84" s="58" t="s">
        <v>2991</v>
      </c>
      <c r="J84" s="17"/>
      <c r="K84" s="17"/>
      <c r="L84" s="17"/>
      <c r="M84" s="17"/>
      <c r="N84" s="17"/>
      <c r="O84" s="17"/>
      <c r="P84" s="17"/>
    </row>
    <row r="85" spans="1:16" ht="15.6">
      <c r="A85" s="542" t="s">
        <v>3610</v>
      </c>
      <c r="B85" s="543" t="s">
        <v>3609</v>
      </c>
      <c r="C85" s="542" t="s">
        <v>3288</v>
      </c>
      <c r="D85" s="547" t="s">
        <v>1478</v>
      </c>
      <c r="E85" s="541" t="str">
        <f>ADDRESS(ROW('NOTE 16C'!A14),COLUMN('NOTE 16C'!A14),4)</f>
        <v>A14</v>
      </c>
      <c r="F85" s="541" t="str">
        <f>ADDRESS(ROW('NOTE 16C'!H14),COLUMN('NOTE 16C'!H14),4)</f>
        <v>H14</v>
      </c>
      <c r="G85" s="547" t="s">
        <v>1478</v>
      </c>
      <c r="H85" s="541" t="s">
        <v>3702</v>
      </c>
      <c r="I85" s="58" t="s">
        <v>3349</v>
      </c>
      <c r="J85" s="17"/>
      <c r="K85" s="17"/>
      <c r="L85" s="17"/>
      <c r="M85" s="17"/>
      <c r="N85" s="17"/>
      <c r="O85" s="17"/>
      <c r="P85" s="17"/>
    </row>
    <row r="86" spans="1:16" ht="15.6">
      <c r="A86" s="542" t="s">
        <v>3612</v>
      </c>
      <c r="B86" s="543" t="s">
        <v>1196</v>
      </c>
      <c r="C86" s="542" t="s">
        <v>3287</v>
      </c>
      <c r="D86" s="547" t="s">
        <v>1480</v>
      </c>
      <c r="E86" s="541" t="s">
        <v>3692</v>
      </c>
      <c r="F86" s="541"/>
      <c r="G86" s="547" t="s">
        <v>1480</v>
      </c>
      <c r="H86" s="541" t="s">
        <v>3692</v>
      </c>
      <c r="I86" s="58"/>
      <c r="J86" s="17"/>
      <c r="K86" s="17"/>
      <c r="L86" s="17"/>
      <c r="M86" s="17"/>
      <c r="N86" s="17"/>
      <c r="O86" s="17"/>
      <c r="P86" s="17"/>
    </row>
    <row r="87" spans="1:16" ht="15.6">
      <c r="A87" s="542" t="s">
        <v>3613</v>
      </c>
      <c r="B87" s="543" t="s">
        <v>1200</v>
      </c>
      <c r="C87" s="542" t="s">
        <v>3287</v>
      </c>
      <c r="D87" s="547" t="s">
        <v>1482</v>
      </c>
      <c r="E87" s="541" t="s">
        <v>3696</v>
      </c>
      <c r="F87" s="541"/>
      <c r="G87" s="547" t="s">
        <v>1482</v>
      </c>
      <c r="H87" s="541" t="s">
        <v>3696</v>
      </c>
      <c r="I87" s="58"/>
      <c r="J87" s="17"/>
      <c r="K87" s="17"/>
      <c r="L87" s="17"/>
      <c r="M87" s="17"/>
      <c r="N87" s="17"/>
      <c r="O87" s="17"/>
      <c r="P87" s="17"/>
    </row>
    <row r="88" spans="1:16" ht="31.2">
      <c r="A88" s="542" t="s">
        <v>3614</v>
      </c>
      <c r="B88" s="543" t="s">
        <v>3615</v>
      </c>
      <c r="C88" s="542" t="s">
        <v>3287</v>
      </c>
      <c r="D88" s="547" t="s">
        <v>1484</v>
      </c>
      <c r="E88" s="541" t="s">
        <v>3696</v>
      </c>
      <c r="F88" s="541"/>
      <c r="G88" s="547" t="s">
        <v>1484</v>
      </c>
      <c r="H88" s="541" t="s">
        <v>3696</v>
      </c>
      <c r="I88" s="58"/>
      <c r="J88" s="17"/>
      <c r="K88" s="17"/>
      <c r="L88" s="17"/>
      <c r="M88" s="17"/>
      <c r="N88" s="17"/>
      <c r="O88" s="17"/>
      <c r="P88" s="17"/>
    </row>
    <row r="89" spans="1:16" ht="15.6">
      <c r="A89" s="542" t="s">
        <v>3616</v>
      </c>
      <c r="B89" s="543" t="s">
        <v>3617</v>
      </c>
      <c r="C89" s="542" t="s">
        <v>3287</v>
      </c>
      <c r="D89" s="547" t="s">
        <v>1486</v>
      </c>
      <c r="E89" s="541" t="s">
        <v>3692</v>
      </c>
      <c r="F89" s="541"/>
      <c r="G89" s="547" t="s">
        <v>1486</v>
      </c>
      <c r="H89" s="541" t="s">
        <v>3692</v>
      </c>
      <c r="I89" s="58"/>
      <c r="J89" s="17"/>
      <c r="K89" s="17"/>
      <c r="L89" s="17"/>
      <c r="M89" s="17"/>
      <c r="N89" s="17"/>
      <c r="O89" s="17"/>
      <c r="P89" s="17"/>
    </row>
    <row r="90" spans="1:16" ht="15.6">
      <c r="A90" s="542" t="s">
        <v>3618</v>
      </c>
      <c r="B90" s="543" t="s">
        <v>3619</v>
      </c>
      <c r="C90" s="542" t="s">
        <v>3287</v>
      </c>
      <c r="D90" s="547" t="s">
        <v>1488</v>
      </c>
      <c r="E90" s="541" t="s">
        <v>3692</v>
      </c>
      <c r="F90" s="541"/>
      <c r="G90" s="547" t="s">
        <v>1488</v>
      </c>
      <c r="H90" s="541" t="s">
        <v>3692</v>
      </c>
      <c r="I90" s="58"/>
      <c r="J90" s="17"/>
      <c r="K90" s="17"/>
      <c r="L90" s="17"/>
      <c r="M90" s="17"/>
      <c r="N90" s="17"/>
      <c r="O90" s="17"/>
      <c r="P90" s="17"/>
    </row>
    <row r="91" spans="1:16" ht="31.2">
      <c r="A91" s="542" t="s">
        <v>3620</v>
      </c>
      <c r="B91" s="543" t="s">
        <v>3621</v>
      </c>
      <c r="C91" s="542" t="s">
        <v>3288</v>
      </c>
      <c r="D91" s="547" t="s">
        <v>1488</v>
      </c>
      <c r="E91" s="541" t="s">
        <v>3703</v>
      </c>
      <c r="F91" s="541" t="str">
        <f>ADDRESS(ROW('NOTE 21'!H28),COLUMN('NOTE 21'!H28),4)</f>
        <v>H28</v>
      </c>
      <c r="G91" s="547" t="s">
        <v>1488</v>
      </c>
      <c r="H91" s="541" t="s">
        <v>3703</v>
      </c>
      <c r="I91" s="58" t="s">
        <v>3404</v>
      </c>
      <c r="J91" s="17"/>
      <c r="K91" s="17"/>
      <c r="L91" s="17"/>
      <c r="M91" s="17"/>
      <c r="N91" s="17"/>
      <c r="O91" s="17"/>
      <c r="P91" s="17"/>
    </row>
    <row r="92" spans="1:16" ht="15.6">
      <c r="A92" s="542" t="s">
        <v>3622</v>
      </c>
      <c r="B92" s="543" t="s">
        <v>3623</v>
      </c>
      <c r="C92" s="542" t="s">
        <v>3287</v>
      </c>
      <c r="D92" s="547" t="s">
        <v>1490</v>
      </c>
      <c r="E92" s="541" t="s">
        <v>3692</v>
      </c>
      <c r="F92" s="541"/>
      <c r="G92" s="547" t="s">
        <v>1490</v>
      </c>
      <c r="H92" s="541" t="s">
        <v>3692</v>
      </c>
      <c r="I92" s="58"/>
      <c r="J92" s="17"/>
      <c r="K92" s="17"/>
      <c r="L92" s="17"/>
      <c r="M92" s="17"/>
      <c r="N92" s="17"/>
      <c r="O92" s="17"/>
      <c r="P92" s="17"/>
    </row>
    <row r="93" spans="1:16" ht="15.6">
      <c r="A93" s="542" t="s">
        <v>3624</v>
      </c>
      <c r="B93" s="543" t="s">
        <v>1301</v>
      </c>
      <c r="C93" s="542" t="s">
        <v>3287</v>
      </c>
      <c r="D93" s="547" t="s">
        <v>1492</v>
      </c>
      <c r="E93" s="541" t="s">
        <v>3692</v>
      </c>
      <c r="F93" s="541"/>
      <c r="G93" s="547" t="s">
        <v>1492</v>
      </c>
      <c r="H93" s="541" t="s">
        <v>3692</v>
      </c>
      <c r="I93" s="58"/>
      <c r="J93" s="17"/>
      <c r="K93" s="17"/>
      <c r="L93" s="17"/>
      <c r="M93" s="17"/>
      <c r="N93" s="17"/>
      <c r="O93" s="17"/>
      <c r="P93" s="17"/>
    </row>
    <row r="94" spans="1:16" ht="15.6">
      <c r="A94" s="542" t="s">
        <v>3625</v>
      </c>
      <c r="B94" s="543" t="s">
        <v>1303</v>
      </c>
      <c r="C94" s="542" t="s">
        <v>3287</v>
      </c>
      <c r="D94" s="547" t="s">
        <v>1494</v>
      </c>
      <c r="E94" s="541" t="s">
        <v>3692</v>
      </c>
      <c r="F94" s="541"/>
      <c r="G94" s="547" t="s">
        <v>1494</v>
      </c>
      <c r="H94" s="541" t="s">
        <v>3692</v>
      </c>
      <c r="I94" s="58"/>
      <c r="J94" s="17"/>
      <c r="K94" s="17"/>
      <c r="L94" s="17"/>
      <c r="M94" s="17"/>
      <c r="N94" s="17"/>
      <c r="O94" s="17"/>
      <c r="P94" s="17"/>
    </row>
    <row r="95" spans="1:16" ht="15.6">
      <c r="A95" s="542" t="s">
        <v>3626</v>
      </c>
      <c r="B95" s="543" t="s">
        <v>1305</v>
      </c>
      <c r="C95" s="542" t="s">
        <v>3287</v>
      </c>
      <c r="D95" s="547" t="s">
        <v>1496</v>
      </c>
      <c r="E95" s="541" t="s">
        <v>3692</v>
      </c>
      <c r="F95" s="541"/>
      <c r="G95" s="547" t="s">
        <v>1496</v>
      </c>
      <c r="H95" s="541" t="s">
        <v>3692</v>
      </c>
      <c r="I95" s="58"/>
      <c r="J95" s="17"/>
      <c r="K95" s="17"/>
      <c r="L95" s="17"/>
      <c r="M95" s="17"/>
      <c r="N95" s="17"/>
      <c r="O95" s="17"/>
      <c r="P95" s="17"/>
    </row>
    <row r="96" spans="1:16" ht="15.6">
      <c r="A96" s="542" t="s">
        <v>3627</v>
      </c>
      <c r="B96" s="543" t="s">
        <v>1307</v>
      </c>
      <c r="C96" s="542" t="s">
        <v>3287</v>
      </c>
      <c r="D96" s="547" t="s">
        <v>1498</v>
      </c>
      <c r="E96" s="541" t="s">
        <v>3692</v>
      </c>
      <c r="F96" s="541"/>
      <c r="G96" s="547" t="s">
        <v>1498</v>
      </c>
      <c r="H96" s="541" t="s">
        <v>3692</v>
      </c>
      <c r="I96" s="58"/>
      <c r="J96" s="17"/>
      <c r="K96" s="17"/>
      <c r="L96" s="17"/>
      <c r="M96" s="17"/>
      <c r="N96" s="17"/>
      <c r="O96" s="17"/>
      <c r="P96" s="17"/>
    </row>
    <row r="97" spans="1:16" ht="15.6">
      <c r="A97" s="542" t="s">
        <v>3628</v>
      </c>
      <c r="B97" s="543" t="s">
        <v>1311</v>
      </c>
      <c r="C97" s="542" t="s">
        <v>3287</v>
      </c>
      <c r="D97" s="547" t="s">
        <v>1500</v>
      </c>
      <c r="E97" s="541" t="s">
        <v>3692</v>
      </c>
      <c r="F97" s="541"/>
      <c r="G97" s="547" t="s">
        <v>1500</v>
      </c>
      <c r="H97" s="541" t="s">
        <v>3692</v>
      </c>
      <c r="I97" s="58"/>
      <c r="J97" s="17"/>
      <c r="K97" s="17"/>
      <c r="L97" s="17"/>
      <c r="M97" s="17"/>
      <c r="N97" s="17"/>
      <c r="O97" s="17"/>
      <c r="P97" s="17"/>
    </row>
    <row r="98" spans="1:16" ht="15.6">
      <c r="A98" s="542" t="s">
        <v>3629</v>
      </c>
      <c r="B98" s="543" t="s">
        <v>3630</v>
      </c>
      <c r="C98" s="542" t="s">
        <v>3287</v>
      </c>
      <c r="D98" s="547" t="s">
        <v>1502</v>
      </c>
      <c r="E98" s="541" t="s">
        <v>3525</v>
      </c>
      <c r="F98" s="541"/>
      <c r="G98" s="547" t="s">
        <v>1502</v>
      </c>
      <c r="H98" s="541" t="s">
        <v>3525</v>
      </c>
      <c r="I98" s="58"/>
      <c r="J98" s="17"/>
      <c r="K98" s="17"/>
      <c r="L98" s="17"/>
      <c r="M98" s="17"/>
      <c r="N98" s="17"/>
      <c r="O98" s="17"/>
      <c r="P98" s="17"/>
    </row>
    <row r="99" spans="1:16" ht="15.6">
      <c r="A99" s="542" t="s">
        <v>3631</v>
      </c>
      <c r="B99" s="543" t="s">
        <v>3632</v>
      </c>
      <c r="C99" s="542" t="s">
        <v>3287</v>
      </c>
      <c r="D99" s="547" t="s">
        <v>1502</v>
      </c>
      <c r="E99" s="541" t="s">
        <v>3526</v>
      </c>
      <c r="F99" s="541"/>
      <c r="G99" s="547" t="s">
        <v>1502</v>
      </c>
      <c r="H99" s="541" t="s">
        <v>3526</v>
      </c>
      <c r="I99" s="58"/>
      <c r="J99" s="17"/>
      <c r="K99" s="17"/>
      <c r="L99" s="17"/>
      <c r="M99" s="17"/>
      <c r="N99" s="17"/>
      <c r="O99" s="17"/>
      <c r="P99" s="17"/>
    </row>
    <row r="100" spans="1:16" ht="15.6">
      <c r="A100" s="542" t="s">
        <v>3633</v>
      </c>
      <c r="B100" s="543" t="s">
        <v>3634</v>
      </c>
      <c r="C100" s="542" t="s">
        <v>3287</v>
      </c>
      <c r="D100" s="547" t="s">
        <v>1502</v>
      </c>
      <c r="E100" s="541" t="s">
        <v>3704</v>
      </c>
      <c r="F100" s="541"/>
      <c r="G100" s="547" t="s">
        <v>1502</v>
      </c>
      <c r="H100" s="541" t="s">
        <v>3704</v>
      </c>
      <c r="I100" s="58"/>
      <c r="J100" s="17"/>
      <c r="K100" s="17"/>
      <c r="L100" s="17"/>
      <c r="M100" s="17"/>
      <c r="N100" s="17"/>
      <c r="O100" s="17"/>
      <c r="P100" s="17"/>
    </row>
    <row r="101" spans="1:16" ht="15.6">
      <c r="A101" s="542" t="s">
        <v>3635</v>
      </c>
      <c r="B101" s="543" t="s">
        <v>3636</v>
      </c>
      <c r="C101" s="542" t="s">
        <v>3287</v>
      </c>
      <c r="D101" s="547" t="s">
        <v>1502</v>
      </c>
      <c r="E101" s="541" t="s">
        <v>3705</v>
      </c>
      <c r="F101" s="541"/>
      <c r="G101" s="547" t="s">
        <v>1502</v>
      </c>
      <c r="H101" s="541" t="s">
        <v>3705</v>
      </c>
      <c r="I101" s="58"/>
      <c r="J101" s="17"/>
      <c r="K101" s="17"/>
      <c r="L101" s="17"/>
      <c r="M101" s="17"/>
      <c r="N101" s="17"/>
      <c r="O101" s="17"/>
      <c r="P101" s="17"/>
    </row>
    <row r="102" spans="1:16" ht="15.6">
      <c r="A102" s="542" t="s">
        <v>2999</v>
      </c>
      <c r="B102" s="543" t="s">
        <v>3002</v>
      </c>
      <c r="C102" s="542" t="s">
        <v>3287</v>
      </c>
      <c r="D102" s="547" t="s">
        <v>1504</v>
      </c>
      <c r="E102" s="541" t="s">
        <v>3326</v>
      </c>
      <c r="F102" s="541"/>
      <c r="G102" s="547" t="s">
        <v>1504</v>
      </c>
      <c r="H102" s="541" t="s">
        <v>3326</v>
      </c>
      <c r="I102" s="58"/>
      <c r="J102" s="17"/>
      <c r="K102" s="17"/>
      <c r="L102" s="17"/>
      <c r="M102" s="17"/>
      <c r="N102" s="17"/>
      <c r="O102" s="17"/>
      <c r="P102" s="17"/>
    </row>
    <row r="103" spans="1:16" ht="15.6">
      <c r="A103" s="542" t="s">
        <v>3637</v>
      </c>
      <c r="B103" s="543" t="s">
        <v>3638</v>
      </c>
      <c r="C103" s="542" t="s">
        <v>3287</v>
      </c>
      <c r="D103" s="547" t="s">
        <v>1506</v>
      </c>
      <c r="E103" s="541" t="s">
        <v>3692</v>
      </c>
      <c r="F103" s="541"/>
      <c r="G103" s="547" t="s">
        <v>1506</v>
      </c>
      <c r="H103" s="541" t="s">
        <v>3692</v>
      </c>
      <c r="I103" s="58"/>
      <c r="J103" s="17"/>
      <c r="K103" s="17"/>
      <c r="L103" s="17"/>
      <c r="M103" s="17"/>
      <c r="N103" s="17"/>
      <c r="O103" s="17"/>
      <c r="P103" s="17"/>
    </row>
    <row r="104" spans="1:16" ht="15.6">
      <c r="A104" s="542" t="s">
        <v>3639</v>
      </c>
      <c r="B104" s="543" t="s">
        <v>3640</v>
      </c>
      <c r="C104" s="542" t="s">
        <v>3287</v>
      </c>
      <c r="D104" s="547" t="s">
        <v>1508</v>
      </c>
      <c r="E104" s="541" t="s">
        <v>3692</v>
      </c>
      <c r="F104" s="541"/>
      <c r="G104" s="547" t="s">
        <v>1508</v>
      </c>
      <c r="H104" s="541" t="s">
        <v>3692</v>
      </c>
      <c r="I104" s="58"/>
      <c r="J104" s="17"/>
      <c r="K104" s="17"/>
      <c r="L104" s="17"/>
      <c r="M104" s="17"/>
      <c r="N104" s="17"/>
      <c r="O104" s="17"/>
      <c r="P104" s="17"/>
    </row>
    <row r="105" spans="1:16" ht="15.6">
      <c r="A105" s="542" t="s">
        <v>3641</v>
      </c>
      <c r="B105" s="543" t="s">
        <v>3642</v>
      </c>
      <c r="C105" s="542" t="s">
        <v>3288</v>
      </c>
      <c r="D105" s="547" t="s">
        <v>1508</v>
      </c>
      <c r="E105" s="541" t="s">
        <v>2994</v>
      </c>
      <c r="F105" s="541" t="str">
        <f>ADDRESS(ROW('NOTE 30'!H10),COLUMN('NOTE 30'!H10),4)</f>
        <v>H10</v>
      </c>
      <c r="G105" s="547" t="s">
        <v>1508</v>
      </c>
      <c r="H105" s="541" t="s">
        <v>2994</v>
      </c>
      <c r="I105" s="541" t="s">
        <v>3520</v>
      </c>
      <c r="J105" s="17"/>
      <c r="K105" s="17"/>
      <c r="L105" s="17"/>
      <c r="M105" s="17"/>
      <c r="N105" s="17"/>
      <c r="O105" s="17"/>
      <c r="P105" s="17"/>
    </row>
    <row r="106" spans="1:16" ht="15.6">
      <c r="A106" s="542" t="s">
        <v>3643</v>
      </c>
      <c r="B106" s="543" t="s">
        <v>3644</v>
      </c>
      <c r="C106" s="542" t="s">
        <v>3288</v>
      </c>
      <c r="D106" s="547" t="s">
        <v>1508</v>
      </c>
      <c r="E106" s="541" t="str">
        <f>ADDRESS(ROW('NOTE 30'!A20),COLUMN('NOTE 30'!A20),4)</f>
        <v>A20</v>
      </c>
      <c r="F106" s="541" t="str">
        <f>ADDRESS(ROW('NOTE 30'!H20),COLUMN('NOTE 30'!H20),4)</f>
        <v>H20</v>
      </c>
      <c r="G106" s="547" t="s">
        <v>1508</v>
      </c>
      <c r="H106" s="541" t="s">
        <v>3700</v>
      </c>
      <c r="I106" s="58" t="s">
        <v>3372</v>
      </c>
      <c r="J106" s="17"/>
      <c r="K106" s="17"/>
      <c r="L106" s="17"/>
      <c r="M106" s="17"/>
      <c r="N106" s="17"/>
      <c r="O106" s="17"/>
      <c r="P106" s="17"/>
    </row>
    <row r="107" spans="1:16" ht="15.6">
      <c r="A107" s="542" t="s">
        <v>3645</v>
      </c>
      <c r="B107" s="543" t="s">
        <v>3646</v>
      </c>
      <c r="C107" s="542" t="s">
        <v>3287</v>
      </c>
      <c r="D107" s="547" t="s">
        <v>1510</v>
      </c>
      <c r="E107" s="541" t="s">
        <v>3519</v>
      </c>
      <c r="F107" s="541"/>
      <c r="G107" s="547" t="s">
        <v>1510</v>
      </c>
      <c r="H107" s="541" t="s">
        <v>3519</v>
      </c>
      <c r="I107" s="58"/>
      <c r="J107" s="17"/>
      <c r="K107" s="17"/>
      <c r="L107" s="17"/>
      <c r="M107" s="17"/>
      <c r="N107" s="17"/>
      <c r="O107" s="17"/>
      <c r="P107" s="17"/>
    </row>
    <row r="108" spans="1:16" ht="15.6">
      <c r="A108" s="542" t="s">
        <v>3647</v>
      </c>
      <c r="B108" s="543" t="s">
        <v>9579</v>
      </c>
      <c r="C108" s="542" t="s">
        <v>3288</v>
      </c>
      <c r="D108" s="547" t="s">
        <v>1512</v>
      </c>
      <c r="E108" s="541" t="s">
        <v>2993</v>
      </c>
      <c r="F108" s="541" t="str">
        <f>ADDRESS(ROW('NOTE 32'!P12),COLUMN('NOTE 32'!P12),4)</f>
        <v>P12</v>
      </c>
      <c r="G108" s="547" t="s">
        <v>1512</v>
      </c>
      <c r="H108" s="541" t="s">
        <v>2993</v>
      </c>
      <c r="I108" s="58" t="s">
        <v>7839</v>
      </c>
      <c r="J108" s="17"/>
      <c r="K108" s="17"/>
      <c r="L108" s="17"/>
      <c r="M108" s="17"/>
      <c r="N108" s="17"/>
      <c r="O108" s="17"/>
      <c r="P108" s="17"/>
    </row>
    <row r="109" spans="1:16" ht="15.6">
      <c r="A109" s="542" t="s">
        <v>9259</v>
      </c>
      <c r="B109" s="543" t="s">
        <v>9260</v>
      </c>
      <c r="C109" s="544" t="s">
        <v>3287</v>
      </c>
      <c r="D109" s="544" t="s">
        <v>1512</v>
      </c>
      <c r="E109" s="541" t="str">
        <f>ADDRESS(ROW('NOTE 32'!E13),COLUMN('NOTE 32'!E13),4)</f>
        <v>E13</v>
      </c>
      <c r="F109" s="541"/>
      <c r="G109" s="544" t="s">
        <v>1512</v>
      </c>
      <c r="H109" s="541" t="s">
        <v>3697</v>
      </c>
      <c r="I109" s="58"/>
      <c r="J109" s="17"/>
      <c r="K109" s="17"/>
      <c r="L109" s="17"/>
      <c r="M109" s="17"/>
      <c r="N109" s="17"/>
      <c r="O109" s="17"/>
      <c r="P109" s="17"/>
    </row>
    <row r="110" spans="1:16" ht="15.6">
      <c r="A110" s="542" t="s">
        <v>3648</v>
      </c>
      <c r="B110" s="543" t="s">
        <v>9580</v>
      </c>
      <c r="C110" s="542" t="s">
        <v>3288</v>
      </c>
      <c r="D110" s="547" t="s">
        <v>1514</v>
      </c>
      <c r="E110" s="541" t="s">
        <v>3524</v>
      </c>
      <c r="F110" s="541" t="str">
        <f>ADDRESS(ROW('NOTE 33'!L13),COLUMN('NOTE 33'!L13),4)</f>
        <v>L13</v>
      </c>
      <c r="G110" s="547" t="s">
        <v>1514</v>
      </c>
      <c r="H110" s="541" t="s">
        <v>3524</v>
      </c>
      <c r="I110" s="58" t="s">
        <v>7806</v>
      </c>
      <c r="J110" s="17"/>
      <c r="K110" s="17"/>
      <c r="L110" s="17"/>
      <c r="M110" s="17"/>
      <c r="N110" s="17"/>
      <c r="O110" s="17"/>
      <c r="P110" s="17"/>
    </row>
    <row r="111" spans="1:16" ht="15.6">
      <c r="A111" s="542" t="s">
        <v>9261</v>
      </c>
      <c r="B111" s="543" t="s">
        <v>9262</v>
      </c>
      <c r="C111" s="544" t="s">
        <v>3287</v>
      </c>
      <c r="D111" s="544" t="s">
        <v>1514</v>
      </c>
      <c r="E111" s="541" t="str">
        <f>ADDRESS(ROW('NOTE 33'!F14),COLUMN('NOTE 33'!F14),4)</f>
        <v>F14</v>
      </c>
      <c r="F111" s="541"/>
      <c r="G111" s="544" t="s">
        <v>1514</v>
      </c>
      <c r="H111" s="541" t="s">
        <v>3347</v>
      </c>
      <c r="I111" s="58"/>
      <c r="J111" s="17"/>
      <c r="K111" s="17"/>
      <c r="L111" s="17"/>
      <c r="M111" s="17"/>
      <c r="N111" s="17"/>
      <c r="O111" s="17"/>
      <c r="P111" s="17"/>
    </row>
    <row r="112" spans="1:16" ht="15.6">
      <c r="A112" s="542" t="s">
        <v>3649</v>
      </c>
      <c r="B112" s="543" t="s">
        <v>3650</v>
      </c>
      <c r="C112" s="542" t="s">
        <v>3287</v>
      </c>
      <c r="D112" s="547" t="s">
        <v>1516</v>
      </c>
      <c r="E112" s="541" t="s">
        <v>3692</v>
      </c>
      <c r="F112" s="541"/>
      <c r="G112" s="547" t="s">
        <v>1516</v>
      </c>
      <c r="H112" s="541" t="s">
        <v>3692</v>
      </c>
      <c r="I112" s="58"/>
      <c r="J112" s="17"/>
      <c r="K112" s="17"/>
      <c r="L112" s="17"/>
      <c r="M112" s="17"/>
      <c r="N112" s="17"/>
      <c r="O112" s="17"/>
      <c r="P112" s="17"/>
    </row>
    <row r="113" spans="1:16" ht="15.6">
      <c r="A113" s="542" t="s">
        <v>3710</v>
      </c>
      <c r="B113" s="543" t="s">
        <v>3711</v>
      </c>
      <c r="C113" s="542" t="s">
        <v>3287</v>
      </c>
      <c r="D113" s="544" t="s">
        <v>1518</v>
      </c>
      <c r="E113" s="541" t="s">
        <v>7811</v>
      </c>
      <c r="F113" s="541"/>
      <c r="G113" s="544" t="s">
        <v>1518</v>
      </c>
      <c r="H113" s="541" t="s">
        <v>7811</v>
      </c>
      <c r="I113" s="58"/>
      <c r="J113" s="17"/>
      <c r="K113" s="17"/>
      <c r="L113" s="17"/>
      <c r="M113" s="17"/>
      <c r="N113" s="17"/>
      <c r="O113" s="17"/>
      <c r="P113" s="17"/>
    </row>
    <row r="114" spans="1:16" ht="15.6">
      <c r="A114" s="542" t="s">
        <v>9183</v>
      </c>
      <c r="B114" s="543" t="s">
        <v>3651</v>
      </c>
      <c r="C114" s="542" t="s">
        <v>3287</v>
      </c>
      <c r="D114" s="544" t="s">
        <v>1522</v>
      </c>
      <c r="E114" s="541" t="s">
        <v>3723</v>
      </c>
      <c r="F114" s="541"/>
      <c r="G114" s="544" t="s">
        <v>1522</v>
      </c>
      <c r="H114" s="541" t="s">
        <v>3723</v>
      </c>
      <c r="I114" s="58"/>
      <c r="J114" s="17"/>
      <c r="K114" s="17"/>
      <c r="L114" s="17"/>
      <c r="M114" s="17"/>
      <c r="N114" s="17"/>
      <c r="O114" s="17"/>
      <c r="P114" s="17"/>
    </row>
    <row r="115" spans="1:16" ht="15.6">
      <c r="A115" s="542" t="s">
        <v>9155</v>
      </c>
      <c r="B115" s="543" t="s">
        <v>9162</v>
      </c>
      <c r="C115" s="544" t="s">
        <v>3287</v>
      </c>
      <c r="D115" s="544" t="s">
        <v>1524</v>
      </c>
      <c r="E115" s="541" t="s">
        <v>3716</v>
      </c>
      <c r="F115" s="541"/>
      <c r="G115" s="544" t="s">
        <v>1524</v>
      </c>
      <c r="H115" s="541" t="s">
        <v>3716</v>
      </c>
      <c r="I115" s="58"/>
      <c r="J115" s="17"/>
      <c r="K115" s="17"/>
      <c r="L115" s="17"/>
      <c r="M115" s="17"/>
      <c r="N115" s="17"/>
      <c r="O115" s="17"/>
      <c r="P115" s="17"/>
    </row>
    <row r="116" spans="1:16" ht="15.6">
      <c r="A116" s="542" t="s">
        <v>9158</v>
      </c>
      <c r="B116" s="543" t="s">
        <v>9163</v>
      </c>
      <c r="C116" s="542" t="s">
        <v>3287</v>
      </c>
      <c r="D116" s="544" t="s">
        <v>1524</v>
      </c>
      <c r="E116" s="541" t="s">
        <v>7812</v>
      </c>
      <c r="F116" s="541"/>
      <c r="G116" s="544" t="s">
        <v>1524</v>
      </c>
      <c r="H116" s="541" t="s">
        <v>7812</v>
      </c>
      <c r="I116" s="58"/>
      <c r="J116" s="17"/>
      <c r="K116" s="17"/>
      <c r="L116" s="17"/>
      <c r="M116" s="17"/>
      <c r="N116" s="17"/>
      <c r="O116" s="17"/>
      <c r="P116" s="17"/>
    </row>
    <row r="117" spans="1:16" ht="31.2">
      <c r="A117" s="542" t="s">
        <v>3712</v>
      </c>
      <c r="B117" s="543" t="s">
        <v>3713</v>
      </c>
      <c r="C117" s="542" t="s">
        <v>3287</v>
      </c>
      <c r="D117" s="544" t="s">
        <v>1526</v>
      </c>
      <c r="E117" s="541" t="s">
        <v>3703</v>
      </c>
      <c r="F117" s="541"/>
      <c r="G117" s="544" t="s">
        <v>1526</v>
      </c>
      <c r="H117" s="541" t="s">
        <v>3703</v>
      </c>
      <c r="I117" s="58"/>
      <c r="J117" s="17"/>
      <c r="K117" s="17"/>
      <c r="L117" s="17"/>
      <c r="M117" s="17"/>
      <c r="N117" s="17"/>
      <c r="O117" s="17"/>
      <c r="P117" s="17"/>
    </row>
    <row r="118" spans="1:16" ht="15.6">
      <c r="A118" s="542" t="s">
        <v>3652</v>
      </c>
      <c r="B118" s="543" t="s">
        <v>3653</v>
      </c>
      <c r="C118" s="542" t="s">
        <v>3287</v>
      </c>
      <c r="D118" s="544" t="s">
        <v>3686</v>
      </c>
      <c r="E118" s="541" t="s">
        <v>3338</v>
      </c>
      <c r="F118" s="541"/>
      <c r="G118" s="544" t="s">
        <v>3686</v>
      </c>
      <c r="H118" s="541" t="s">
        <v>3338</v>
      </c>
      <c r="I118" s="58"/>
      <c r="J118" s="17"/>
      <c r="K118" s="17"/>
      <c r="L118" s="17"/>
      <c r="M118" s="17"/>
      <c r="N118" s="17"/>
      <c r="O118" s="17"/>
      <c r="P118" s="17"/>
    </row>
    <row r="119" spans="1:16" ht="15.6">
      <c r="A119" s="542" t="s">
        <v>3654</v>
      </c>
      <c r="B119" s="543" t="s">
        <v>3655</v>
      </c>
      <c r="C119" s="542" t="s">
        <v>3287</v>
      </c>
      <c r="D119" s="544" t="s">
        <v>3687</v>
      </c>
      <c r="E119" s="541" t="s">
        <v>3519</v>
      </c>
      <c r="F119" s="541"/>
      <c r="G119" s="544" t="s">
        <v>3687</v>
      </c>
      <c r="H119" s="541" t="s">
        <v>3519</v>
      </c>
      <c r="I119" s="58"/>
      <c r="J119" s="17"/>
      <c r="K119" s="17"/>
      <c r="L119" s="17"/>
      <c r="M119" s="17"/>
      <c r="N119" s="17"/>
      <c r="O119" s="17"/>
      <c r="P119" s="17"/>
    </row>
    <row r="120" spans="1:16" ht="15.6">
      <c r="A120" s="542" t="s">
        <v>3656</v>
      </c>
      <c r="B120" s="543" t="s">
        <v>3657</v>
      </c>
      <c r="C120" s="542" t="s">
        <v>3287</v>
      </c>
      <c r="D120" s="544" t="s">
        <v>3688</v>
      </c>
      <c r="E120" s="541" t="s">
        <v>3519</v>
      </c>
      <c r="F120" s="541"/>
      <c r="G120" s="544" t="s">
        <v>3688</v>
      </c>
      <c r="H120" s="541" t="s">
        <v>3519</v>
      </c>
      <c r="I120" s="58"/>
      <c r="J120" s="17"/>
      <c r="K120" s="17"/>
      <c r="L120" s="17"/>
      <c r="M120" s="17"/>
      <c r="N120" s="17"/>
      <c r="O120" s="17"/>
      <c r="P120" s="17"/>
    </row>
    <row r="121" spans="1:16" ht="15.6">
      <c r="A121" s="542" t="s">
        <v>3658</v>
      </c>
      <c r="B121" s="543" t="s">
        <v>3659</v>
      </c>
      <c r="C121" s="542" t="s">
        <v>3287</v>
      </c>
      <c r="D121" s="544" t="s">
        <v>3660</v>
      </c>
      <c r="E121" s="541" t="s">
        <v>3717</v>
      </c>
      <c r="F121" s="541"/>
      <c r="G121" s="544" t="s">
        <v>3660</v>
      </c>
      <c r="H121" s="541" t="s">
        <v>3717</v>
      </c>
      <c r="I121" s="58"/>
      <c r="J121" s="17"/>
      <c r="K121" s="17"/>
      <c r="L121" s="17"/>
      <c r="M121" s="17"/>
      <c r="N121" s="17"/>
      <c r="O121" s="17"/>
      <c r="P121" s="17"/>
    </row>
    <row r="122" spans="1:16" ht="15.6">
      <c r="A122" s="542" t="s">
        <v>3661</v>
      </c>
      <c r="B122" s="543" t="s">
        <v>3662</v>
      </c>
      <c r="C122" s="542" t="s">
        <v>3288</v>
      </c>
      <c r="D122" s="544" t="s">
        <v>3660</v>
      </c>
      <c r="E122" s="541" t="s">
        <v>3718</v>
      </c>
      <c r="F122" s="58" t="s">
        <v>8759</v>
      </c>
      <c r="G122" s="544" t="s">
        <v>3660</v>
      </c>
      <c r="H122" s="541" t="s">
        <v>3718</v>
      </c>
      <c r="I122" s="58" t="s">
        <v>8759</v>
      </c>
      <c r="J122" s="17"/>
      <c r="K122" s="17"/>
      <c r="L122" s="17"/>
      <c r="M122" s="17"/>
      <c r="N122" s="17"/>
      <c r="O122" s="17"/>
      <c r="P122" s="17"/>
    </row>
    <row r="123" spans="1:16" ht="15.6">
      <c r="A123" s="542" t="s">
        <v>3663</v>
      </c>
      <c r="B123" s="543" t="s">
        <v>9612</v>
      </c>
      <c r="C123" s="542" t="s">
        <v>3288</v>
      </c>
      <c r="D123" s="544" t="s">
        <v>3660</v>
      </c>
      <c r="E123" s="541" t="str">
        <f>ADDRESS(ROW(SUPPL1!I13),COLUMN(SUPPL1!I13),4)</f>
        <v>I13</v>
      </c>
      <c r="F123" s="58" t="s">
        <v>9133</v>
      </c>
      <c r="G123" s="544" t="s">
        <v>3660</v>
      </c>
      <c r="H123" s="541" t="s">
        <v>3346</v>
      </c>
      <c r="I123" s="58" t="s">
        <v>9133</v>
      </c>
      <c r="J123" s="17"/>
      <c r="K123" s="17"/>
      <c r="L123" s="17"/>
      <c r="M123" s="17"/>
      <c r="N123" s="17"/>
      <c r="O123" s="17"/>
      <c r="P123" s="17"/>
    </row>
    <row r="124" spans="1:16" ht="15.6">
      <c r="A124" s="542" t="s">
        <v>9263</v>
      </c>
      <c r="B124" s="543" t="s">
        <v>9611</v>
      </c>
      <c r="C124" s="544" t="s">
        <v>3287</v>
      </c>
      <c r="D124" s="544" t="s">
        <v>3660</v>
      </c>
      <c r="E124" s="541" t="str">
        <f>ADDRESS(ROW(SUPPL1!K65),COLUMN(SUPPL1!K65),4)</f>
        <v>K65</v>
      </c>
      <c r="F124" s="541"/>
      <c r="G124" s="544" t="s">
        <v>3660</v>
      </c>
      <c r="H124" s="541" t="s">
        <v>9266</v>
      </c>
      <c r="I124" s="58"/>
      <c r="J124" s="17"/>
      <c r="K124" s="17"/>
      <c r="L124" s="17"/>
      <c r="M124" s="17"/>
      <c r="N124" s="17"/>
      <c r="O124" s="17"/>
      <c r="P124" s="17"/>
    </row>
    <row r="125" spans="1:16" ht="15.6">
      <c r="A125" s="542" t="s">
        <v>3664</v>
      </c>
      <c r="B125" s="543" t="s">
        <v>3665</v>
      </c>
      <c r="C125" s="542" t="s">
        <v>3287</v>
      </c>
      <c r="D125" s="544" t="s">
        <v>3660</v>
      </c>
      <c r="E125" s="541" t="str">
        <f>ADDRESS(ROW(SUPPL1!B70),COLUMN(SUPPL1!B70),4)</f>
        <v>B70</v>
      </c>
      <c r="F125" s="541"/>
      <c r="G125" s="544" t="s">
        <v>3660</v>
      </c>
      <c r="H125" s="541" t="s">
        <v>8894</v>
      </c>
      <c r="I125" s="58"/>
      <c r="J125" s="17"/>
      <c r="K125" s="17"/>
      <c r="L125" s="17"/>
      <c r="M125" s="17"/>
      <c r="N125" s="17"/>
      <c r="O125" s="17"/>
      <c r="P125" s="17"/>
    </row>
    <row r="126" spans="1:16" ht="15.6">
      <c r="A126" s="542" t="s">
        <v>3666</v>
      </c>
      <c r="B126" s="543" t="s">
        <v>3667</v>
      </c>
      <c r="C126" s="542" t="s">
        <v>3287</v>
      </c>
      <c r="D126" s="544" t="s">
        <v>3660</v>
      </c>
      <c r="E126" s="541" t="str">
        <f>ADDRESS(ROW(SUPPL1!M68),COLUMN(SUPPL1!M68),4)</f>
        <v>M68</v>
      </c>
      <c r="F126" s="541"/>
      <c r="G126" s="544" t="s">
        <v>3660</v>
      </c>
      <c r="H126" s="541" t="s">
        <v>8915</v>
      </c>
      <c r="I126" s="58"/>
      <c r="J126" s="17"/>
      <c r="K126" s="17"/>
      <c r="L126" s="17"/>
      <c r="M126" s="17"/>
      <c r="N126" s="17"/>
      <c r="O126" s="17"/>
      <c r="P126" s="17"/>
    </row>
    <row r="127" spans="1:16" ht="31.2">
      <c r="A127" s="542" t="s">
        <v>3668</v>
      </c>
      <c r="B127" s="543" t="s">
        <v>9581</v>
      </c>
      <c r="C127" s="542" t="s">
        <v>3288</v>
      </c>
      <c r="D127" s="544" t="s">
        <v>3668</v>
      </c>
      <c r="E127" s="541" t="s">
        <v>2995</v>
      </c>
      <c r="F127" s="541" t="str">
        <f>ADDRESS(ROW(SUPPL2!J9),COLUMN(SUPPL2!J9),4)</f>
        <v>J9</v>
      </c>
      <c r="G127" s="544" t="s">
        <v>3668</v>
      </c>
      <c r="H127" s="541" t="s">
        <v>2995</v>
      </c>
      <c r="I127" s="58" t="s">
        <v>3721</v>
      </c>
      <c r="J127" s="17"/>
      <c r="K127" s="17"/>
      <c r="L127" s="17"/>
      <c r="M127" s="17"/>
      <c r="N127" s="17"/>
      <c r="O127" s="17"/>
      <c r="P127" s="17"/>
    </row>
    <row r="128" spans="1:16" ht="15.6" customHeight="1">
      <c r="A128" s="542" t="s">
        <v>9264</v>
      </c>
      <c r="B128" s="543" t="s">
        <v>9265</v>
      </c>
      <c r="C128" s="544" t="s">
        <v>3287</v>
      </c>
      <c r="D128" s="544" t="s">
        <v>3668</v>
      </c>
      <c r="E128" s="541" t="str">
        <f>ADDRESS(ROW(SUPPL2!G10),COLUMN(SUPPL2!G10),4)</f>
        <v>G10</v>
      </c>
      <c r="F128" s="541"/>
      <c r="G128" s="544" t="s">
        <v>3668</v>
      </c>
      <c r="H128" s="541" t="s">
        <v>3519</v>
      </c>
      <c r="I128" s="58"/>
    </row>
    <row r="129" spans="1:9" ht="15.6">
      <c r="A129" s="542" t="s">
        <v>3669</v>
      </c>
      <c r="B129" s="543" t="s">
        <v>3670</v>
      </c>
      <c r="C129" s="542" t="s">
        <v>3287</v>
      </c>
      <c r="D129" s="544" t="s">
        <v>3669</v>
      </c>
      <c r="E129" s="541" t="s">
        <v>3720</v>
      </c>
      <c r="F129" s="541"/>
      <c r="G129" s="544" t="s">
        <v>3669</v>
      </c>
      <c r="H129" s="541" t="s">
        <v>3720</v>
      </c>
      <c r="I129" s="58"/>
    </row>
    <row r="130" spans="1:9" ht="15.6">
      <c r="A130" s="542" t="s">
        <v>3671</v>
      </c>
      <c r="B130" s="543" t="s">
        <v>3672</v>
      </c>
      <c r="C130" s="542" t="s">
        <v>3288</v>
      </c>
      <c r="D130" s="544" t="s">
        <v>3671</v>
      </c>
      <c r="E130" s="541" t="s">
        <v>2994</v>
      </c>
      <c r="F130" s="541" t="str">
        <f>ADDRESS(ROW(SUPPL4!N10),COLUMN(SUPPL4!N10),4)</f>
        <v>N10</v>
      </c>
      <c r="G130" s="544" t="s">
        <v>3671</v>
      </c>
      <c r="H130" s="541" t="s">
        <v>2994</v>
      </c>
      <c r="I130" s="58" t="s">
        <v>3722</v>
      </c>
    </row>
    <row r="131" spans="1:9" ht="15.6" customHeight="1">
      <c r="A131" s="542" t="s">
        <v>9267</v>
      </c>
      <c r="B131" s="543" t="s">
        <v>9268</v>
      </c>
      <c r="C131" s="544" t="s">
        <v>3287</v>
      </c>
      <c r="D131" s="544" t="s">
        <v>3671</v>
      </c>
      <c r="E131" s="541" t="str">
        <f>ADDRESS(ROW(SUPPL4!G11),COLUMN(SUPPL4!G11),4)</f>
        <v>G11</v>
      </c>
      <c r="F131" s="541"/>
      <c r="G131" s="544" t="s">
        <v>3671</v>
      </c>
      <c r="H131" s="541" t="s">
        <v>3338</v>
      </c>
      <c r="I131" s="58"/>
    </row>
    <row r="132" spans="1:9" ht="15.6">
      <c r="A132" s="542" t="s">
        <v>3673</v>
      </c>
      <c r="B132" s="543" t="s">
        <v>3674</v>
      </c>
      <c r="C132" s="542" t="s">
        <v>3287</v>
      </c>
      <c r="D132" s="544" t="s">
        <v>3673</v>
      </c>
      <c r="E132" s="541" t="s">
        <v>3723</v>
      </c>
      <c r="F132" s="541"/>
      <c r="G132" s="544" t="s">
        <v>3673</v>
      </c>
      <c r="H132" s="541" t="s">
        <v>3723</v>
      </c>
      <c r="I132" s="58"/>
    </row>
    <row r="133" spans="1:9" ht="31.2">
      <c r="A133" s="542" t="s">
        <v>3675</v>
      </c>
      <c r="B133" s="543" t="s">
        <v>3676</v>
      </c>
      <c r="C133" s="542" t="s">
        <v>3287</v>
      </c>
      <c r="D133" s="544" t="s">
        <v>3675</v>
      </c>
      <c r="E133" s="541" t="s">
        <v>3701</v>
      </c>
      <c r="F133" s="541"/>
      <c r="G133" s="544" t="s">
        <v>3675</v>
      </c>
      <c r="H133" s="541" t="s">
        <v>3701</v>
      </c>
      <c r="I133" s="58"/>
    </row>
    <row r="134" spans="1:9" ht="15.6">
      <c r="A134" s="542" t="s">
        <v>3677</v>
      </c>
      <c r="B134" s="543" t="s">
        <v>3678</v>
      </c>
      <c r="C134" s="542" t="s">
        <v>3288</v>
      </c>
      <c r="D134" s="544" t="s">
        <v>3679</v>
      </c>
      <c r="E134" s="541" t="s">
        <v>2995</v>
      </c>
      <c r="F134" s="541" t="str">
        <f>ADDRESS(ROW(SUPPL7!I9),COLUMN(SUPPL7!I9),4)</f>
        <v>I9</v>
      </c>
      <c r="G134" s="544" t="s">
        <v>3679</v>
      </c>
      <c r="H134" s="541" t="s">
        <v>2995</v>
      </c>
      <c r="I134" s="58" t="s">
        <v>3720</v>
      </c>
    </row>
    <row r="135" spans="1:9" ht="15.6">
      <c r="A135" s="542" t="s">
        <v>3680</v>
      </c>
      <c r="B135" s="543" t="s">
        <v>3681</v>
      </c>
      <c r="C135" s="544" t="s">
        <v>3288</v>
      </c>
      <c r="D135" s="544" t="s">
        <v>3679</v>
      </c>
      <c r="E135" s="541" t="str">
        <f>ADDRESS(ROW(SUPPL7!A11),COLUMN(SUPPL7!A11),4)</f>
        <v>A11</v>
      </c>
      <c r="F135" s="541" t="str">
        <f>ADDRESS(ROW(SUPPL7!I11),COLUMN(SUPPL7!I11),4)</f>
        <v>I11</v>
      </c>
      <c r="G135" s="544" t="s">
        <v>3679</v>
      </c>
      <c r="H135" s="541" t="s">
        <v>2993</v>
      </c>
      <c r="I135" s="58" t="s">
        <v>2992</v>
      </c>
    </row>
    <row r="136" spans="1:9" ht="15.6">
      <c r="A136" s="542" t="s">
        <v>3682</v>
      </c>
      <c r="B136" s="543" t="s">
        <v>3683</v>
      </c>
      <c r="C136" s="544" t="s">
        <v>3287</v>
      </c>
      <c r="D136" s="547" t="s">
        <v>3689</v>
      </c>
      <c r="E136" s="541" t="s">
        <v>3724</v>
      </c>
      <c r="F136" s="541"/>
      <c r="G136" s="547" t="s">
        <v>3689</v>
      </c>
      <c r="H136" s="541" t="s">
        <v>3724</v>
      </c>
      <c r="I136" s="58"/>
    </row>
  </sheetData>
  <sheetProtection algorithmName="SHA-512" hashValue="mpQ0an6V08JQ0cbCHZaDM5Lz5okO+COdjMJKdtkfGpqrYkwb8Ni1WprFlWlF+Cv/36+hfSMFiu6WK/ZsWxKDXQ==" saltValue="zaAI/D28UI+EHrKpWti25g==" spinCount="100000" sheet="1" objects="1" scenarios="1" selectLockedCells="1"/>
  <mergeCells count="31">
    <mergeCell ref="B14:E14"/>
    <mergeCell ref="B15:E15"/>
    <mergeCell ref="G14:I14"/>
    <mergeCell ref="A18:A19"/>
    <mergeCell ref="B16:E16"/>
    <mergeCell ref="B17:E17"/>
    <mergeCell ref="B18:E19"/>
    <mergeCell ref="B20:E20"/>
    <mergeCell ref="A24:I24"/>
    <mergeCell ref="A26:C26"/>
    <mergeCell ref="A25:I25"/>
    <mergeCell ref="B21:E21"/>
    <mergeCell ref="B22:E22"/>
    <mergeCell ref="G26:I26"/>
    <mergeCell ref="D26:F26"/>
    <mergeCell ref="A1:I2"/>
    <mergeCell ref="G6:I6"/>
    <mergeCell ref="A7:I7"/>
    <mergeCell ref="A10:I10"/>
    <mergeCell ref="F11:I11"/>
    <mergeCell ref="A8:I8"/>
    <mergeCell ref="A4:I4"/>
    <mergeCell ref="G13:I13"/>
    <mergeCell ref="B13:E13"/>
    <mergeCell ref="G12:I12"/>
    <mergeCell ref="A5:I5"/>
    <mergeCell ref="A9:I9"/>
    <mergeCell ref="A11:E11"/>
    <mergeCell ref="A6:B6"/>
    <mergeCell ref="C6:F6"/>
    <mergeCell ref="B12:E12"/>
  </mergeCells>
  <conditionalFormatting sqref="B15:B16">
    <cfRule type="expression" priority="6">
      <formula>"C3 = ""variable"""</formula>
    </cfRule>
  </conditionalFormatting>
  <conditionalFormatting sqref="B14">
    <cfRule type="expression" priority="3">
      <formula>"C3 = ""variable"""</formula>
    </cfRule>
  </conditionalFormatting>
  <conditionalFormatting sqref="B13">
    <cfRule type="expression" priority="1">
      <formula>"C3 = ""variable"""</formula>
    </cfRule>
  </conditionalFormatting>
  <dataValidations disablePrompts="1" count="1">
    <dataValidation type="list" allowBlank="1" showInputMessage="1" showErrorMessage="1" sqref="C28:C136" xr:uid="{94993F4A-7537-4C82-8689-2859AFDB6A1F}">
      <formula1>$F$13:$F$14</formula1>
    </dataValidation>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27073-E211-45A5-A956-4732D8D6D825}">
  <sheetPr codeName="Feuil88">
    <tabColor theme="3"/>
  </sheetPr>
  <dimension ref="A1:Q4317"/>
  <sheetViews>
    <sheetView topLeftCell="A10" zoomScale="90" zoomScaleNormal="90" workbookViewId="0">
      <selection activeCell="A29" sqref="A29"/>
    </sheetView>
  </sheetViews>
  <sheetFormatPr baseColWidth="10" defaultRowHeight="14.4"/>
  <cols>
    <col min="1" max="1" width="16.68359375" bestFit="1" customWidth="1"/>
    <col min="2" max="2" width="13" bestFit="1" customWidth="1"/>
    <col min="3" max="3" width="75.1015625" customWidth="1"/>
    <col min="4" max="4" width="57.41796875" customWidth="1"/>
    <col min="5" max="5" width="22.68359375" customWidth="1"/>
    <col min="6" max="6" width="16.68359375" bestFit="1" customWidth="1"/>
    <col min="7" max="7" width="19.3125" customWidth="1"/>
    <col min="8" max="8" width="10.41796875" customWidth="1"/>
    <col min="9" max="9" width="13.3125" customWidth="1"/>
    <col min="10" max="10" width="8.41796875" bestFit="1" customWidth="1"/>
    <col min="12" max="12" width="8.5234375" bestFit="1" customWidth="1"/>
    <col min="13" max="13" width="14.1015625" bestFit="1" customWidth="1"/>
    <col min="14" max="14" width="12" bestFit="1" customWidth="1"/>
    <col min="15" max="15" width="51.3125" customWidth="1"/>
    <col min="16" max="16" width="14.5234375" bestFit="1" customWidth="1"/>
    <col min="17" max="17" width="10.41796875" customWidth="1"/>
    <col min="18" max="18" width="15.5234375" customWidth="1"/>
    <col min="19" max="19" width="7.5234375" customWidth="1"/>
    <col min="20" max="20" width="14.89453125" customWidth="1"/>
  </cols>
  <sheetData>
    <row r="1" spans="1:17" ht="18" customHeight="1">
      <c r="A1" s="1373" t="s">
        <v>3294</v>
      </c>
      <c r="B1" s="1373"/>
      <c r="C1" s="1373"/>
      <c r="D1" s="1373"/>
      <c r="E1" s="1373"/>
      <c r="F1" s="1373"/>
      <c r="G1" s="1373"/>
      <c r="H1" s="1373"/>
      <c r="I1" s="1373"/>
      <c r="J1" s="17"/>
      <c r="K1" s="45"/>
      <c r="L1" s="17"/>
      <c r="M1" s="17"/>
      <c r="N1" s="17"/>
      <c r="O1" s="17"/>
      <c r="P1" s="17"/>
      <c r="Q1" s="17"/>
    </row>
    <row r="2" spans="1:17" ht="28.95" customHeight="1">
      <c r="A2" s="1373"/>
      <c r="B2" s="1373"/>
      <c r="C2" s="1373"/>
      <c r="D2" s="1373"/>
      <c r="E2" s="1373"/>
      <c r="F2" s="1373"/>
      <c r="G2" s="1373"/>
      <c r="H2" s="1373"/>
      <c r="I2" s="1373"/>
      <c r="J2" s="17"/>
      <c r="K2" s="45"/>
      <c r="L2" s="17"/>
      <c r="M2" s="17"/>
      <c r="N2" s="17"/>
      <c r="O2" s="17"/>
      <c r="P2" s="17"/>
      <c r="Q2" s="17"/>
    </row>
    <row r="3" spans="1:17" ht="14.7" thickBot="1">
      <c r="A3" s="17"/>
      <c r="B3" s="17"/>
      <c r="C3" s="17"/>
      <c r="D3" s="17"/>
      <c r="E3" s="17"/>
      <c r="F3" s="17"/>
      <c r="G3" s="17"/>
      <c r="H3" s="17"/>
      <c r="I3" s="17"/>
      <c r="J3" s="17"/>
      <c r="K3" s="17"/>
      <c r="L3" s="17"/>
      <c r="M3" s="17"/>
      <c r="N3" s="17"/>
      <c r="O3" s="17"/>
      <c r="P3" s="17"/>
      <c r="Q3" s="17"/>
    </row>
    <row r="4" spans="1:17" ht="26.1" thickBot="1">
      <c r="A4" s="1370" t="s">
        <v>3299</v>
      </c>
      <c r="B4" s="1371"/>
      <c r="C4" s="1371"/>
      <c r="D4" s="1371"/>
      <c r="E4" s="1371"/>
      <c r="F4" s="1371"/>
      <c r="G4" s="1371"/>
      <c r="H4" s="1371"/>
      <c r="I4" s="1371"/>
      <c r="J4" s="17"/>
      <c r="K4" s="17"/>
      <c r="L4" s="17"/>
      <c r="M4" s="17"/>
      <c r="N4" s="17"/>
      <c r="O4" s="17"/>
      <c r="P4" s="17"/>
      <c r="Q4" s="17"/>
    </row>
    <row r="5" spans="1:17">
      <c r="A5" s="17"/>
      <c r="B5" s="17"/>
      <c r="C5" s="17"/>
      <c r="D5" s="17"/>
      <c r="E5" s="17"/>
      <c r="F5" s="17"/>
      <c r="G5" s="17"/>
      <c r="H5" s="17"/>
      <c r="I5" s="17"/>
      <c r="J5" s="17"/>
      <c r="K5" s="17"/>
      <c r="L5" s="17"/>
      <c r="M5" s="17"/>
      <c r="N5" s="17"/>
      <c r="O5" s="17"/>
      <c r="P5" s="17"/>
      <c r="Q5" s="17"/>
    </row>
    <row r="6" spans="1:17" ht="112.2" customHeight="1">
      <c r="A6" s="1353" t="s">
        <v>3533</v>
      </c>
      <c r="B6" s="1353"/>
      <c r="C6" s="1353"/>
      <c r="D6" s="1353" t="s">
        <v>3534</v>
      </c>
      <c r="E6" s="1353"/>
      <c r="F6" s="1353"/>
      <c r="G6" s="1348" t="s">
        <v>3532</v>
      </c>
      <c r="H6" s="1350"/>
      <c r="I6" s="1372"/>
      <c r="J6" s="17"/>
      <c r="K6" s="17"/>
      <c r="L6" s="17"/>
      <c r="M6" s="17"/>
      <c r="N6" s="17"/>
      <c r="O6" s="17"/>
      <c r="P6" s="17"/>
      <c r="Q6" s="17"/>
    </row>
    <row r="7" spans="1:17" ht="14.7" thickBot="1">
      <c r="A7" s="17"/>
      <c r="B7" s="17"/>
      <c r="C7" s="17"/>
      <c r="D7" s="17"/>
      <c r="E7" s="17"/>
      <c r="F7" s="17"/>
      <c r="G7" s="17"/>
      <c r="H7" s="17"/>
      <c r="I7" s="17"/>
      <c r="J7" s="17"/>
      <c r="K7" s="17"/>
      <c r="L7" s="17"/>
      <c r="M7" s="17"/>
      <c r="N7" s="17"/>
      <c r="O7" s="17"/>
      <c r="P7" s="17"/>
      <c r="Q7" s="17"/>
    </row>
    <row r="8" spans="1:17" ht="26.1" thickBot="1">
      <c r="A8" s="1370" t="s">
        <v>3291</v>
      </c>
      <c r="B8" s="1371"/>
      <c r="C8" s="1371"/>
      <c r="D8" s="1371"/>
      <c r="E8" s="1371"/>
      <c r="F8" s="1371"/>
      <c r="G8" s="1371"/>
      <c r="H8" s="1371"/>
      <c r="I8" s="1371"/>
      <c r="J8" s="17"/>
      <c r="K8" s="17"/>
      <c r="L8" s="17"/>
      <c r="M8" s="17"/>
      <c r="N8" s="17"/>
      <c r="O8" s="17"/>
      <c r="P8" s="17"/>
      <c r="Q8" s="17"/>
    </row>
    <row r="9" spans="1:17">
      <c r="A9" s="17"/>
      <c r="B9" s="17"/>
      <c r="C9" s="17"/>
      <c r="D9" s="17"/>
      <c r="E9" s="17"/>
      <c r="F9" s="17"/>
      <c r="G9" s="17"/>
      <c r="H9" s="17"/>
      <c r="I9" s="17"/>
      <c r="J9" s="17"/>
      <c r="K9" s="17"/>
      <c r="L9" s="17"/>
      <c r="M9" s="17"/>
      <c r="N9" s="17"/>
      <c r="O9" s="17"/>
      <c r="P9" s="17"/>
      <c r="Q9" s="17"/>
    </row>
    <row r="10" spans="1:17" ht="18.3">
      <c r="A10" s="1379" t="s">
        <v>3300</v>
      </c>
      <c r="B10" s="1379"/>
      <c r="C10" s="1379"/>
      <c r="D10" s="1379"/>
      <c r="E10" s="1379"/>
      <c r="F10" s="1379"/>
      <c r="G10" s="1379"/>
      <c r="H10" s="1379"/>
      <c r="I10" s="1379"/>
      <c r="J10" s="17"/>
      <c r="K10" s="17"/>
      <c r="L10" s="17"/>
      <c r="M10" s="17"/>
      <c r="N10" s="17"/>
      <c r="O10" s="17"/>
      <c r="P10" s="17"/>
      <c r="Q10" s="17"/>
    </row>
    <row r="11" spans="1:17" ht="15.6">
      <c r="A11" s="95" t="s">
        <v>3003</v>
      </c>
      <c r="B11" s="1351" t="s">
        <v>2976</v>
      </c>
      <c r="C11" s="1351"/>
      <c r="D11" s="1351"/>
      <c r="E11" s="1351"/>
      <c r="F11" s="1351"/>
      <c r="G11" s="1351"/>
      <c r="H11" s="1351"/>
      <c r="I11" s="1351"/>
      <c r="J11" s="17"/>
      <c r="K11" s="17"/>
      <c r="L11" s="17"/>
      <c r="M11" s="17"/>
      <c r="N11" s="17"/>
      <c r="O11" s="17"/>
      <c r="P11" s="17"/>
      <c r="Q11" s="17"/>
    </row>
    <row r="12" spans="1:17" ht="15.6">
      <c r="A12" s="91" t="s">
        <v>3278</v>
      </c>
      <c r="B12" s="1380" t="s">
        <v>3308</v>
      </c>
      <c r="C12" s="1380"/>
      <c r="D12" s="1380"/>
      <c r="E12" s="1380"/>
      <c r="F12" s="1380"/>
      <c r="G12" s="1380"/>
      <c r="H12" s="1380"/>
      <c r="I12" s="1380"/>
      <c r="J12" s="17"/>
      <c r="K12" s="17"/>
      <c r="L12" s="17"/>
      <c r="M12" s="17"/>
      <c r="N12" s="17"/>
      <c r="O12" s="17"/>
      <c r="P12" s="17"/>
      <c r="Q12" s="17"/>
    </row>
    <row r="13" spans="1:17" ht="15.6">
      <c r="A13" s="91" t="s">
        <v>3301</v>
      </c>
      <c r="B13" s="1381" t="s">
        <v>3315</v>
      </c>
      <c r="C13" s="1381"/>
      <c r="D13" s="1381"/>
      <c r="E13" s="1381"/>
      <c r="F13" s="1381"/>
      <c r="G13" s="1381"/>
      <c r="H13" s="1381"/>
      <c r="I13" s="1381"/>
      <c r="J13" s="17"/>
      <c r="K13" s="17"/>
      <c r="L13" s="17"/>
      <c r="M13" s="17"/>
      <c r="N13" s="17"/>
      <c r="O13" s="17"/>
      <c r="P13" s="17"/>
      <c r="Q13" s="17"/>
    </row>
    <row r="14" spans="1:17" ht="15.6">
      <c r="A14" s="91" t="s">
        <v>3302</v>
      </c>
      <c r="B14" s="1381" t="s">
        <v>3316</v>
      </c>
      <c r="C14" s="1381"/>
      <c r="D14" s="1381"/>
      <c r="E14" s="1381"/>
      <c r="F14" s="1381"/>
      <c r="G14" s="1381"/>
      <c r="H14" s="1381"/>
      <c r="I14" s="1381"/>
      <c r="J14" s="17"/>
      <c r="K14" s="17"/>
      <c r="L14" s="17"/>
      <c r="M14" s="17"/>
      <c r="N14" s="17"/>
      <c r="O14" s="17"/>
      <c r="P14" s="17"/>
      <c r="Q14" s="17"/>
    </row>
    <row r="15" spans="1:17" ht="15.6" customHeight="1">
      <c r="A15" s="91" t="s">
        <v>3303</v>
      </c>
      <c r="B15" s="1381" t="s">
        <v>3317</v>
      </c>
      <c r="C15" s="1381"/>
      <c r="D15" s="1381"/>
      <c r="E15" s="1381"/>
      <c r="F15" s="1381"/>
      <c r="G15" s="1381"/>
      <c r="H15" s="1381"/>
      <c r="I15" s="1381"/>
      <c r="J15" s="17"/>
      <c r="K15" s="17"/>
      <c r="L15" s="17"/>
      <c r="M15" s="17"/>
      <c r="N15" s="17"/>
      <c r="O15" s="17"/>
      <c r="P15" s="17"/>
      <c r="Q15" s="17"/>
    </row>
    <row r="16" spans="1:17" ht="15.6">
      <c r="A16" s="91" t="s">
        <v>3304</v>
      </c>
      <c r="B16" s="1368" t="s">
        <v>3306</v>
      </c>
      <c r="C16" s="1368"/>
      <c r="D16" s="1368"/>
      <c r="E16" s="1368"/>
      <c r="F16" s="1368"/>
      <c r="G16" s="1368"/>
      <c r="H16" s="1368"/>
      <c r="I16" s="1368"/>
      <c r="J16" s="17"/>
      <c r="K16" s="17"/>
      <c r="L16" s="17"/>
      <c r="M16" s="17"/>
      <c r="N16" s="17"/>
      <c r="O16" s="17"/>
      <c r="P16" s="17"/>
      <c r="Q16" s="17"/>
    </row>
    <row r="17" spans="1:17" ht="18.3">
      <c r="A17" s="91" t="s">
        <v>3309</v>
      </c>
      <c r="B17" s="1380" t="s">
        <v>3514</v>
      </c>
      <c r="C17" s="1380"/>
      <c r="D17" s="1380"/>
      <c r="E17" s="1380"/>
      <c r="F17" s="1380"/>
      <c r="G17" s="1380"/>
      <c r="H17" s="1380"/>
      <c r="I17" s="1380"/>
      <c r="J17" s="93"/>
      <c r="K17" s="17"/>
      <c r="L17" s="17"/>
      <c r="M17" s="17"/>
      <c r="N17" s="17"/>
      <c r="O17" s="17"/>
      <c r="P17" s="17"/>
      <c r="Q17" s="17"/>
    </row>
    <row r="18" spans="1:17" ht="18.3">
      <c r="A18" s="91" t="s">
        <v>3310</v>
      </c>
      <c r="B18" s="1380" t="s">
        <v>3515</v>
      </c>
      <c r="C18" s="1380"/>
      <c r="D18" s="1380"/>
      <c r="E18" s="1380"/>
      <c r="F18" s="1380"/>
      <c r="G18" s="1380"/>
      <c r="H18" s="1380"/>
      <c r="I18" s="1380"/>
      <c r="J18" s="93"/>
      <c r="K18" s="17"/>
      <c r="L18" s="17"/>
      <c r="M18" s="17"/>
      <c r="N18" s="17"/>
      <c r="O18" s="17"/>
      <c r="P18" s="17"/>
      <c r="Q18" s="17"/>
    </row>
    <row r="19" spans="1:17" ht="18" customHeight="1">
      <c r="A19" s="91" t="s">
        <v>3305</v>
      </c>
      <c r="B19" s="1368" t="s">
        <v>3335</v>
      </c>
      <c r="C19" s="1368"/>
      <c r="D19" s="1368"/>
      <c r="E19" s="1368"/>
      <c r="F19" s="1368"/>
      <c r="G19" s="1368"/>
      <c r="H19" s="1368"/>
      <c r="I19" s="1368"/>
      <c r="J19" s="93"/>
      <c r="K19" s="17"/>
      <c r="L19" s="17"/>
      <c r="M19" s="17"/>
      <c r="N19" s="17"/>
      <c r="O19" s="17"/>
      <c r="P19" s="17"/>
      <c r="Q19" s="17"/>
    </row>
    <row r="20" spans="1:17" ht="18.3">
      <c r="A20" s="91" t="s">
        <v>2419</v>
      </c>
      <c r="B20" s="1368" t="s">
        <v>3336</v>
      </c>
      <c r="C20" s="1368"/>
      <c r="D20" s="1368"/>
      <c r="E20" s="1368"/>
      <c r="F20" s="1368"/>
      <c r="G20" s="1368"/>
      <c r="H20" s="1368"/>
      <c r="I20" s="1368"/>
      <c r="J20" s="93"/>
      <c r="K20" s="17"/>
      <c r="L20" s="17"/>
      <c r="M20" s="17"/>
      <c r="N20" s="17"/>
      <c r="O20" s="17"/>
      <c r="P20" s="17"/>
      <c r="Q20" s="17"/>
    </row>
    <row r="21" spans="1:17" ht="14.7" thickBot="1">
      <c r="A21" s="17"/>
      <c r="B21" s="17"/>
      <c r="C21" s="17"/>
      <c r="D21" s="17"/>
      <c r="E21" s="17"/>
      <c r="F21" s="17"/>
      <c r="G21" s="17"/>
      <c r="H21" s="17"/>
      <c r="I21" s="17"/>
      <c r="J21" s="17"/>
      <c r="K21" s="17"/>
      <c r="L21" s="17"/>
      <c r="M21" s="17"/>
      <c r="N21" s="17"/>
      <c r="O21" s="17"/>
      <c r="P21" s="17"/>
      <c r="Q21" s="17"/>
    </row>
    <row r="22" spans="1:17" ht="26.1" thickBot="1">
      <c r="A22" s="1370" t="s">
        <v>3324</v>
      </c>
      <c r="B22" s="1371"/>
      <c r="C22" s="1371"/>
      <c r="D22" s="1371"/>
      <c r="E22" s="1371"/>
      <c r="F22" s="1371"/>
      <c r="G22" s="1371"/>
      <c r="H22" s="1371"/>
      <c r="I22" s="1371"/>
      <c r="J22" s="17"/>
      <c r="K22" s="17"/>
      <c r="L22" s="17"/>
      <c r="M22" s="17"/>
      <c r="N22" s="17"/>
      <c r="O22" s="17"/>
      <c r="P22" s="17"/>
      <c r="Q22" s="17"/>
    </row>
    <row r="23" spans="1:17">
      <c r="A23" s="17"/>
      <c r="B23" s="17"/>
      <c r="C23" s="17"/>
      <c r="D23" s="17"/>
      <c r="E23" s="17"/>
      <c r="F23" s="17"/>
      <c r="G23" s="17"/>
      <c r="H23" s="17"/>
      <c r="I23" s="17"/>
      <c r="J23" s="17"/>
      <c r="K23" s="17"/>
      <c r="L23" s="17"/>
      <c r="M23" s="17"/>
      <c r="N23" s="17"/>
      <c r="O23" s="17"/>
      <c r="P23" s="17"/>
      <c r="Q23" s="17"/>
    </row>
    <row r="24" spans="1:17">
      <c r="A24" s="17"/>
      <c r="B24" s="17"/>
      <c r="C24" s="17"/>
      <c r="D24" s="17"/>
      <c r="E24" s="17"/>
      <c r="F24" s="17"/>
      <c r="G24" s="17"/>
      <c r="H24" s="17"/>
      <c r="I24" s="17"/>
      <c r="J24" s="17"/>
      <c r="K24" s="17"/>
      <c r="L24" s="17"/>
      <c r="M24" s="17"/>
      <c r="N24" s="17"/>
      <c r="O24" s="17"/>
      <c r="P24" s="17"/>
      <c r="Q24" s="17"/>
    </row>
    <row r="25" spans="1:17">
      <c r="A25" s="17"/>
      <c r="B25" s="17"/>
      <c r="C25" s="17"/>
      <c r="D25" s="17"/>
      <c r="E25" s="17"/>
      <c r="F25" s="17"/>
      <c r="G25" s="17"/>
      <c r="H25" s="17"/>
      <c r="I25" s="17"/>
      <c r="J25" s="17"/>
      <c r="K25" s="17"/>
      <c r="L25" s="17"/>
      <c r="M25" s="17"/>
      <c r="N25" s="17"/>
      <c r="O25" s="17"/>
      <c r="P25" s="17"/>
      <c r="Q25" s="17"/>
    </row>
    <row r="26" spans="1:17">
      <c r="A26" s="17"/>
      <c r="B26" s="17"/>
      <c r="C26" s="17"/>
      <c r="D26" s="17"/>
      <c r="E26" s="17"/>
      <c r="F26" s="17"/>
      <c r="G26" s="17"/>
      <c r="H26" s="17"/>
      <c r="I26" s="17"/>
      <c r="J26" s="17"/>
      <c r="K26" s="17"/>
      <c r="L26" s="17"/>
      <c r="M26" s="17"/>
      <c r="N26" s="17"/>
      <c r="O26" s="17"/>
      <c r="P26" s="17"/>
      <c r="Q26" s="17"/>
    </row>
    <row r="27" spans="1:17" ht="18.3">
      <c r="A27" s="1374" t="s">
        <v>3313</v>
      </c>
      <c r="B27" s="1374"/>
      <c r="C27" s="1374"/>
      <c r="D27" s="1374"/>
      <c r="E27" s="1375"/>
      <c r="F27" s="1376" t="s">
        <v>3321</v>
      </c>
      <c r="G27" s="1377"/>
      <c r="H27" s="1378" t="s">
        <v>3314</v>
      </c>
      <c r="I27" s="1378"/>
      <c r="J27" s="46"/>
      <c r="K27" s="45"/>
      <c r="L27" s="17"/>
      <c r="M27" s="17"/>
      <c r="N27" s="17"/>
      <c r="O27" s="17"/>
      <c r="P27" s="17"/>
      <c r="Q27" s="17"/>
    </row>
    <row r="28" spans="1:17" ht="15.6">
      <c r="A28" s="47" t="s">
        <v>3278</v>
      </c>
      <c r="B28" s="47" t="s">
        <v>3301</v>
      </c>
      <c r="C28" s="47" t="s">
        <v>3302</v>
      </c>
      <c r="D28" s="47" t="s">
        <v>3303</v>
      </c>
      <c r="E28" s="47" t="s">
        <v>3304</v>
      </c>
      <c r="F28" s="48" t="s">
        <v>3309</v>
      </c>
      <c r="G28" s="48" t="s">
        <v>3310</v>
      </c>
      <c r="H28" s="49" t="s">
        <v>3305</v>
      </c>
      <c r="I28" s="50" t="s">
        <v>2419</v>
      </c>
      <c r="J28" s="51"/>
      <c r="K28" s="51"/>
      <c r="L28" s="17"/>
      <c r="M28" s="17"/>
      <c r="N28" s="51"/>
      <c r="O28" s="17"/>
      <c r="P28" s="17"/>
      <c r="Q28" s="17"/>
    </row>
    <row r="29" spans="1:17" ht="18.3">
      <c r="A29" s="17" t="s">
        <v>9094</v>
      </c>
      <c r="B29" s="17" t="s">
        <v>1023</v>
      </c>
      <c r="C29" s="17" t="s">
        <v>9006</v>
      </c>
      <c r="D29" s="17" t="s">
        <v>6573</v>
      </c>
      <c r="E29" s="17" t="s">
        <v>9095</v>
      </c>
      <c r="F29" s="553">
        <v>1</v>
      </c>
      <c r="G29" s="553">
        <v>12</v>
      </c>
      <c r="H29" s="554" t="s">
        <v>9071</v>
      </c>
      <c r="I29" s="555"/>
      <c r="J29" s="45"/>
      <c r="K29" s="17"/>
      <c r="L29" s="17"/>
      <c r="M29" s="17"/>
      <c r="N29" s="17"/>
      <c r="O29" s="17"/>
      <c r="P29" s="17"/>
      <c r="Q29" s="17"/>
    </row>
    <row r="30" spans="1:17">
      <c r="A30" s="17" t="s">
        <v>9094</v>
      </c>
      <c r="B30" s="17" t="s">
        <v>1023</v>
      </c>
      <c r="C30" s="17" t="s">
        <v>9007</v>
      </c>
      <c r="D30" s="17" t="s">
        <v>6573</v>
      </c>
      <c r="E30" s="17" t="s">
        <v>9096</v>
      </c>
      <c r="F30" s="556">
        <v>1</v>
      </c>
      <c r="G30" s="556">
        <v>17</v>
      </c>
      <c r="H30" s="554" t="s">
        <v>9072</v>
      </c>
      <c r="I30" s="555"/>
      <c r="J30" s="17"/>
      <c r="K30" s="17"/>
      <c r="L30" s="17"/>
      <c r="M30" s="17"/>
      <c r="N30" s="17"/>
      <c r="O30" s="17"/>
      <c r="P30" s="17"/>
      <c r="Q30" s="17"/>
    </row>
    <row r="31" spans="1:17">
      <c r="A31" s="17" t="s">
        <v>9094</v>
      </c>
      <c r="B31" s="17" t="s">
        <v>1027</v>
      </c>
      <c r="C31" s="17" t="s">
        <v>9008</v>
      </c>
      <c r="D31" s="17" t="s">
        <v>6573</v>
      </c>
      <c r="E31" s="17" t="s">
        <v>9097</v>
      </c>
      <c r="F31" s="553">
        <v>3</v>
      </c>
      <c r="G31" s="553">
        <v>6</v>
      </c>
      <c r="H31" s="554" t="s">
        <v>3520</v>
      </c>
      <c r="I31" s="555"/>
      <c r="J31" s="17"/>
      <c r="K31" s="17"/>
      <c r="L31" s="17"/>
      <c r="M31" s="17"/>
      <c r="N31" s="17"/>
      <c r="O31" s="17"/>
      <c r="P31" s="17"/>
      <c r="Q31" s="17"/>
    </row>
    <row r="32" spans="1:17">
      <c r="A32" s="17" t="s">
        <v>9094</v>
      </c>
      <c r="B32" s="17" t="s">
        <v>1030</v>
      </c>
      <c r="C32" s="17" t="s">
        <v>9009</v>
      </c>
      <c r="D32" s="17" t="s">
        <v>6573</v>
      </c>
      <c r="E32" s="17" t="s">
        <v>9098</v>
      </c>
      <c r="F32" s="556">
        <v>5</v>
      </c>
      <c r="G32" s="556">
        <v>6</v>
      </c>
      <c r="H32" s="554" t="s">
        <v>3341</v>
      </c>
      <c r="I32" s="555"/>
      <c r="J32" s="17"/>
      <c r="K32" s="17"/>
      <c r="L32" s="17"/>
      <c r="M32" s="17"/>
      <c r="N32" s="17"/>
      <c r="O32" s="17"/>
      <c r="P32" s="17"/>
      <c r="Q32" s="17"/>
    </row>
    <row r="33" spans="1:17">
      <c r="A33" s="17" t="s">
        <v>9094</v>
      </c>
      <c r="B33" s="17" t="s">
        <v>1029</v>
      </c>
      <c r="C33" s="17" t="s">
        <v>9099</v>
      </c>
      <c r="D33" s="17" t="s">
        <v>6573</v>
      </c>
      <c r="E33" s="17" t="s">
        <v>9100</v>
      </c>
      <c r="F33" s="553">
        <v>5</v>
      </c>
      <c r="G33" s="553">
        <v>19</v>
      </c>
      <c r="H33" s="554" t="s">
        <v>9073</v>
      </c>
      <c r="I33" s="555"/>
      <c r="J33" s="17"/>
      <c r="K33" s="17"/>
      <c r="L33" s="17"/>
      <c r="M33" s="17"/>
      <c r="N33" s="17"/>
      <c r="O33" s="17"/>
      <c r="P33" s="17"/>
      <c r="Q33" s="17"/>
    </row>
    <row r="34" spans="1:17">
      <c r="A34" s="17" t="s">
        <v>9094</v>
      </c>
      <c r="B34" s="17" t="s">
        <v>1033</v>
      </c>
      <c r="C34" s="17" t="s">
        <v>1035</v>
      </c>
      <c r="D34" s="17" t="s">
        <v>6573</v>
      </c>
      <c r="E34" s="17" t="s">
        <v>9101</v>
      </c>
      <c r="F34" s="556">
        <v>7</v>
      </c>
      <c r="G34" s="556">
        <v>1</v>
      </c>
      <c r="H34" s="554" t="s">
        <v>9074</v>
      </c>
      <c r="I34" s="555"/>
      <c r="J34" s="17"/>
      <c r="K34" s="17"/>
      <c r="L34" s="17"/>
      <c r="M34" s="17"/>
      <c r="N34" s="17"/>
      <c r="O34" s="17"/>
      <c r="P34" s="17"/>
      <c r="Q34" s="17"/>
    </row>
    <row r="35" spans="1:17">
      <c r="A35" s="17" t="s">
        <v>9094</v>
      </c>
      <c r="B35" s="17" t="s">
        <v>1033</v>
      </c>
      <c r="C35" s="17" t="s">
        <v>1036</v>
      </c>
      <c r="D35" s="17" t="s">
        <v>6573</v>
      </c>
      <c r="E35" s="17" t="s">
        <v>9102</v>
      </c>
      <c r="F35" s="553">
        <v>7</v>
      </c>
      <c r="G35" s="553">
        <v>2</v>
      </c>
      <c r="H35" s="554" t="s">
        <v>7771</v>
      </c>
      <c r="I35" s="555"/>
      <c r="J35" s="17"/>
      <c r="K35" s="17"/>
      <c r="L35" s="17"/>
      <c r="M35" s="17"/>
      <c r="N35" s="17"/>
      <c r="O35" s="17"/>
      <c r="P35" s="17"/>
      <c r="Q35" s="17"/>
    </row>
    <row r="36" spans="1:17">
      <c r="A36" s="17" t="s">
        <v>9094</v>
      </c>
      <c r="B36" s="17" t="s">
        <v>1034</v>
      </c>
      <c r="C36" s="17" t="s">
        <v>1037</v>
      </c>
      <c r="D36" s="17" t="s">
        <v>6573</v>
      </c>
      <c r="E36" s="17" t="s">
        <v>9103</v>
      </c>
      <c r="F36" s="556">
        <v>7</v>
      </c>
      <c r="G36" s="556">
        <v>9</v>
      </c>
      <c r="H36" s="554" t="s">
        <v>7807</v>
      </c>
      <c r="I36" s="555"/>
      <c r="J36" s="17"/>
      <c r="K36" s="17"/>
      <c r="L36" s="17"/>
      <c r="M36" s="17"/>
      <c r="N36" s="17"/>
      <c r="O36" s="17"/>
      <c r="P36" s="17"/>
      <c r="Q36" s="17"/>
    </row>
    <row r="37" spans="1:17">
      <c r="A37" s="17" t="s">
        <v>9094</v>
      </c>
      <c r="B37" s="17" t="s">
        <v>1038</v>
      </c>
      <c r="C37" s="17" t="s">
        <v>1041</v>
      </c>
      <c r="D37" s="17" t="s">
        <v>6573</v>
      </c>
      <c r="E37" s="17" t="s">
        <v>9104</v>
      </c>
      <c r="F37" s="17">
        <v>10</v>
      </c>
      <c r="G37" s="17">
        <v>1</v>
      </c>
      <c r="H37" s="554" t="s">
        <v>580</v>
      </c>
      <c r="I37" s="555"/>
      <c r="J37" s="17"/>
      <c r="K37" s="17"/>
      <c r="L37" s="17"/>
      <c r="M37" s="17"/>
      <c r="N37" s="17"/>
      <c r="O37" s="17"/>
      <c r="P37" s="17"/>
      <c r="Q37" s="17"/>
    </row>
    <row r="38" spans="1:17">
      <c r="A38" s="17" t="s">
        <v>9094</v>
      </c>
      <c r="B38" s="17" t="s">
        <v>1039</v>
      </c>
      <c r="C38" s="17" t="s">
        <v>1042</v>
      </c>
      <c r="D38" s="17" t="s">
        <v>6573</v>
      </c>
      <c r="E38" s="17" t="s">
        <v>9105</v>
      </c>
      <c r="F38" s="17">
        <v>10</v>
      </c>
      <c r="G38" s="17">
        <v>4</v>
      </c>
      <c r="H38" s="554" t="s">
        <v>3359</v>
      </c>
      <c r="I38" s="555"/>
      <c r="J38" s="17"/>
      <c r="K38" s="17"/>
      <c r="L38" s="17"/>
      <c r="M38" s="17"/>
      <c r="N38" s="17"/>
      <c r="O38" s="17"/>
      <c r="P38" s="17"/>
      <c r="Q38" s="17"/>
    </row>
    <row r="39" spans="1:17">
      <c r="A39" s="556" t="s">
        <v>9094</v>
      </c>
      <c r="B39" s="557" t="s">
        <v>1040</v>
      </c>
      <c r="C39" s="558" t="s">
        <v>1043</v>
      </c>
      <c r="D39" s="556" t="s">
        <v>6573</v>
      </c>
      <c r="E39" s="559" t="s">
        <v>9233</v>
      </c>
      <c r="F39" s="17">
        <v>10</v>
      </c>
      <c r="G39" s="17">
        <v>15</v>
      </c>
      <c r="H39" s="554" t="s">
        <v>7871</v>
      </c>
      <c r="I39" s="555"/>
      <c r="J39" s="17"/>
      <c r="K39" s="17"/>
      <c r="L39" s="17"/>
      <c r="M39" s="17"/>
      <c r="N39" s="17"/>
      <c r="O39" s="17"/>
      <c r="P39" s="17"/>
      <c r="Q39" s="17"/>
    </row>
    <row r="40" spans="1:17">
      <c r="A40" s="17" t="s">
        <v>9094</v>
      </c>
      <c r="B40" s="17" t="s">
        <v>1047</v>
      </c>
      <c r="C40" s="17" t="s">
        <v>1049</v>
      </c>
      <c r="D40" s="17" t="s">
        <v>6573</v>
      </c>
      <c r="E40" s="17" t="s">
        <v>9597</v>
      </c>
      <c r="F40" s="17">
        <v>16</v>
      </c>
      <c r="G40" s="17">
        <v>3</v>
      </c>
      <c r="H40" s="554" t="s">
        <v>7788</v>
      </c>
      <c r="I40" s="555"/>
      <c r="J40" s="17"/>
      <c r="K40" s="17"/>
      <c r="L40" s="17"/>
      <c r="M40" s="17"/>
      <c r="N40" s="17"/>
      <c r="O40" s="17"/>
      <c r="P40" s="17"/>
      <c r="Q40" s="17"/>
    </row>
    <row r="41" spans="1:17">
      <c r="A41" s="556" t="s">
        <v>9094</v>
      </c>
      <c r="B41" s="557" t="s">
        <v>1047</v>
      </c>
      <c r="C41" s="558" t="s">
        <v>1050</v>
      </c>
      <c r="D41" s="556" t="s">
        <v>6573</v>
      </c>
      <c r="E41" s="559" t="s">
        <v>9594</v>
      </c>
      <c r="F41" s="17">
        <v>16</v>
      </c>
      <c r="G41" s="17">
        <v>9</v>
      </c>
      <c r="H41" s="554" t="s">
        <v>7821</v>
      </c>
      <c r="I41" s="555"/>
      <c r="J41" s="17"/>
      <c r="K41" s="17"/>
      <c r="L41" s="17"/>
      <c r="M41" s="17"/>
      <c r="N41" s="17"/>
      <c r="O41" s="17"/>
      <c r="P41" s="17"/>
      <c r="Q41" s="17"/>
    </row>
    <row r="42" spans="1:17">
      <c r="A42" s="556" t="s">
        <v>9094</v>
      </c>
      <c r="B42" s="557" t="s">
        <v>1047</v>
      </c>
      <c r="C42" s="558" t="s">
        <v>1051</v>
      </c>
      <c r="D42" s="556" t="s">
        <v>6573</v>
      </c>
      <c r="E42" s="559" t="s">
        <v>9595</v>
      </c>
      <c r="F42" s="17">
        <v>16</v>
      </c>
      <c r="G42" s="17">
        <v>12</v>
      </c>
      <c r="H42" s="554" t="s">
        <v>8937</v>
      </c>
      <c r="I42" s="555"/>
      <c r="J42" s="17"/>
      <c r="K42" s="17"/>
      <c r="L42" s="17"/>
      <c r="M42" s="17"/>
      <c r="N42" s="17"/>
      <c r="O42" s="17"/>
      <c r="P42" s="17"/>
      <c r="Q42" s="17"/>
    </row>
    <row r="43" spans="1:17">
      <c r="A43" s="556" t="s">
        <v>9094</v>
      </c>
      <c r="B43" s="557" t="s">
        <v>1047</v>
      </c>
      <c r="C43" s="558" t="s">
        <v>1052</v>
      </c>
      <c r="D43" s="556" t="s">
        <v>6573</v>
      </c>
      <c r="E43" s="559" t="s">
        <v>9596</v>
      </c>
      <c r="F43" s="17">
        <v>16</v>
      </c>
      <c r="G43" s="17">
        <v>15</v>
      </c>
      <c r="H43" s="554" t="s">
        <v>9598</v>
      </c>
      <c r="I43" s="555"/>
      <c r="J43" s="17"/>
      <c r="K43" s="17"/>
      <c r="L43" s="17"/>
      <c r="M43" s="17"/>
      <c r="N43" s="17"/>
      <c r="O43" s="17"/>
      <c r="P43" s="17"/>
      <c r="Q43" s="17"/>
    </row>
    <row r="44" spans="1:17">
      <c r="A44" s="17" t="s">
        <v>9094</v>
      </c>
      <c r="B44" s="17" t="s">
        <v>1053</v>
      </c>
      <c r="C44" s="17" t="s">
        <v>1054</v>
      </c>
      <c r="D44" s="17" t="s">
        <v>6573</v>
      </c>
      <c r="E44" s="17" t="s">
        <v>9106</v>
      </c>
      <c r="F44" s="17">
        <v>19</v>
      </c>
      <c r="G44" s="17">
        <v>1</v>
      </c>
      <c r="H44" s="554" t="s">
        <v>9075</v>
      </c>
      <c r="I44" s="555"/>
      <c r="J44" s="17"/>
      <c r="K44" s="17"/>
      <c r="L44" s="17"/>
      <c r="M44" s="17"/>
      <c r="N44" s="17"/>
      <c r="O44" s="17"/>
      <c r="P44" s="17"/>
      <c r="Q44" s="17"/>
    </row>
    <row r="45" spans="1:17">
      <c r="A45" s="17" t="s">
        <v>9094</v>
      </c>
      <c r="B45" s="17" t="s">
        <v>1055</v>
      </c>
      <c r="C45" s="17" t="s">
        <v>1058</v>
      </c>
      <c r="D45" s="17" t="s">
        <v>6573</v>
      </c>
      <c r="E45" s="17" t="s">
        <v>9107</v>
      </c>
      <c r="F45" s="17">
        <v>22</v>
      </c>
      <c r="G45" s="17">
        <v>14</v>
      </c>
      <c r="H45" s="554" t="s">
        <v>9080</v>
      </c>
      <c r="I45" s="555"/>
      <c r="J45" s="17"/>
      <c r="K45" s="17"/>
      <c r="L45" s="17"/>
      <c r="M45" s="17"/>
      <c r="N45" s="17"/>
      <c r="O45" s="17"/>
      <c r="P45" s="17"/>
      <c r="Q45" s="17"/>
    </row>
    <row r="46" spans="1:17">
      <c r="A46" s="17" t="s">
        <v>9094</v>
      </c>
      <c r="B46" s="17" t="s">
        <v>1059</v>
      </c>
      <c r="C46" s="17" t="s">
        <v>9138</v>
      </c>
      <c r="D46" s="17" t="s">
        <v>6573</v>
      </c>
      <c r="E46" s="17" t="s">
        <v>9141</v>
      </c>
      <c r="F46" s="17">
        <v>25</v>
      </c>
      <c r="G46" s="17">
        <v>1</v>
      </c>
      <c r="H46" s="554" t="s">
        <v>9076</v>
      </c>
      <c r="I46" s="555"/>
      <c r="J46" s="17"/>
      <c r="K46" s="17"/>
      <c r="L46" s="17"/>
      <c r="M46" s="17"/>
      <c r="N46" s="17"/>
      <c r="O46" s="17"/>
      <c r="P46" s="17"/>
      <c r="Q46" s="17"/>
    </row>
    <row r="47" spans="1:17">
      <c r="A47" s="17" t="s">
        <v>9094</v>
      </c>
      <c r="B47" s="17" t="s">
        <v>1059</v>
      </c>
      <c r="C47" s="17" t="s">
        <v>9137</v>
      </c>
      <c r="D47" s="17" t="s">
        <v>6573</v>
      </c>
      <c r="E47" s="17" t="s">
        <v>9142</v>
      </c>
      <c r="F47" s="17">
        <v>25</v>
      </c>
      <c r="G47" s="17">
        <v>3</v>
      </c>
      <c r="H47" s="554" t="s">
        <v>7824</v>
      </c>
      <c r="I47" s="555"/>
      <c r="J47" s="17"/>
      <c r="K47" s="17"/>
      <c r="L47" s="17"/>
      <c r="M47" s="17"/>
      <c r="N47" s="17"/>
      <c r="O47" s="17"/>
      <c r="P47" s="17"/>
      <c r="Q47" s="17"/>
    </row>
    <row r="48" spans="1:17">
      <c r="A48" s="17" t="s">
        <v>9094</v>
      </c>
      <c r="B48" s="17" t="s">
        <v>1059</v>
      </c>
      <c r="C48" s="17" t="s">
        <v>9136</v>
      </c>
      <c r="D48" s="17" t="s">
        <v>6573</v>
      </c>
      <c r="E48" s="17" t="s">
        <v>9143</v>
      </c>
      <c r="F48" s="17">
        <v>25</v>
      </c>
      <c r="G48" s="17">
        <v>7</v>
      </c>
      <c r="H48" s="554" t="s">
        <v>3421</v>
      </c>
      <c r="I48" s="555"/>
      <c r="J48" s="17"/>
      <c r="K48" s="17"/>
      <c r="L48" s="17"/>
      <c r="M48" s="17"/>
      <c r="N48" s="17"/>
      <c r="O48" s="17"/>
      <c r="P48" s="17"/>
      <c r="Q48" s="17"/>
    </row>
    <row r="49" spans="1:17">
      <c r="A49" s="17" t="s">
        <v>9094</v>
      </c>
      <c r="B49" s="17" t="s">
        <v>1059</v>
      </c>
      <c r="C49" s="17" t="s">
        <v>9144</v>
      </c>
      <c r="D49" s="17" t="s">
        <v>6573</v>
      </c>
      <c r="E49" s="17" t="s">
        <v>9145</v>
      </c>
      <c r="F49" s="17">
        <v>25</v>
      </c>
      <c r="G49" s="17">
        <v>9</v>
      </c>
      <c r="H49" s="554" t="s">
        <v>9151</v>
      </c>
      <c r="I49" s="555"/>
      <c r="J49" s="17"/>
      <c r="K49" s="17"/>
      <c r="L49" s="17"/>
      <c r="M49" s="17"/>
      <c r="N49" s="17"/>
      <c r="O49" s="17"/>
      <c r="P49" s="17"/>
      <c r="Q49" s="17"/>
    </row>
    <row r="50" spans="1:17">
      <c r="A50" s="17" t="s">
        <v>9094</v>
      </c>
      <c r="B50" s="17" t="s">
        <v>1059</v>
      </c>
      <c r="C50" s="17" t="s">
        <v>1101</v>
      </c>
      <c r="D50" s="17" t="s">
        <v>6573</v>
      </c>
      <c r="E50" s="17" t="s">
        <v>9146</v>
      </c>
      <c r="F50" s="17">
        <v>25</v>
      </c>
      <c r="G50" s="17">
        <v>17</v>
      </c>
      <c r="H50" s="554" t="s">
        <v>9152</v>
      </c>
      <c r="I50" s="555"/>
      <c r="J50" s="17"/>
      <c r="K50" s="17"/>
      <c r="L50" s="17"/>
      <c r="M50" s="17"/>
      <c r="N50" s="17"/>
      <c r="O50" s="17"/>
      <c r="P50" s="17"/>
      <c r="Q50" s="17"/>
    </row>
    <row r="51" spans="1:17">
      <c r="A51" s="17" t="s">
        <v>9094</v>
      </c>
      <c r="B51" s="17" t="s">
        <v>1060</v>
      </c>
      <c r="C51" s="17" t="s">
        <v>9138</v>
      </c>
      <c r="D51" s="17" t="s">
        <v>6573</v>
      </c>
      <c r="E51" s="17" t="s">
        <v>9147</v>
      </c>
      <c r="F51" s="17">
        <v>28</v>
      </c>
      <c r="G51" s="17">
        <v>1</v>
      </c>
      <c r="H51" s="554" t="s">
        <v>9077</v>
      </c>
      <c r="I51" s="555"/>
      <c r="J51" s="17"/>
      <c r="K51" s="17"/>
      <c r="L51" s="17"/>
      <c r="M51" s="17"/>
      <c r="N51" s="17"/>
      <c r="O51" s="17"/>
      <c r="P51" s="17"/>
      <c r="Q51" s="17"/>
    </row>
    <row r="52" spans="1:17">
      <c r="A52" s="17" t="s">
        <v>9094</v>
      </c>
      <c r="B52" s="17" t="s">
        <v>1060</v>
      </c>
      <c r="C52" s="17" t="s">
        <v>9137</v>
      </c>
      <c r="D52" s="17" t="s">
        <v>6573</v>
      </c>
      <c r="E52" s="17" t="s">
        <v>9148</v>
      </c>
      <c r="F52" s="17">
        <v>28</v>
      </c>
      <c r="G52" s="17">
        <v>3</v>
      </c>
      <c r="H52" s="554" t="s">
        <v>7827</v>
      </c>
      <c r="I52" s="555"/>
      <c r="J52" s="17"/>
      <c r="K52" s="17"/>
      <c r="L52" s="17"/>
      <c r="M52" s="17"/>
      <c r="N52" s="17"/>
      <c r="O52" s="17"/>
      <c r="P52" s="17"/>
      <c r="Q52" s="17"/>
    </row>
    <row r="53" spans="1:17">
      <c r="A53" s="17" t="s">
        <v>9094</v>
      </c>
      <c r="B53" s="17" t="s">
        <v>1060</v>
      </c>
      <c r="C53" s="17" t="s">
        <v>9136</v>
      </c>
      <c r="D53" s="17" t="s">
        <v>6573</v>
      </c>
      <c r="E53" s="17" t="s">
        <v>9149</v>
      </c>
      <c r="F53" s="17">
        <v>28</v>
      </c>
      <c r="G53" s="17">
        <v>9</v>
      </c>
      <c r="H53" s="554" t="s">
        <v>9153</v>
      </c>
      <c r="I53" s="555"/>
      <c r="J53" s="17"/>
      <c r="K53" s="17"/>
      <c r="L53" s="17"/>
      <c r="M53" s="17"/>
      <c r="N53" s="17"/>
      <c r="O53" s="17"/>
      <c r="P53" s="17"/>
      <c r="Q53" s="17"/>
    </row>
    <row r="54" spans="1:17">
      <c r="A54" s="17" t="s">
        <v>9094</v>
      </c>
      <c r="B54" s="17" t="s">
        <v>1060</v>
      </c>
      <c r="C54" s="17" t="s">
        <v>9144</v>
      </c>
      <c r="D54" s="17" t="s">
        <v>6573</v>
      </c>
      <c r="E54" s="17" t="s">
        <v>9150</v>
      </c>
      <c r="F54" s="17">
        <v>28</v>
      </c>
      <c r="G54" s="17">
        <v>13</v>
      </c>
      <c r="H54" s="554" t="s">
        <v>9154</v>
      </c>
      <c r="I54" s="555"/>
      <c r="J54" s="17"/>
      <c r="K54" s="17"/>
      <c r="L54" s="17"/>
      <c r="M54" s="17"/>
      <c r="N54" s="17"/>
      <c r="O54" s="17"/>
      <c r="P54" s="17"/>
      <c r="Q54" s="17"/>
    </row>
    <row r="55" spans="1:17">
      <c r="A55" s="17" t="s">
        <v>9094</v>
      </c>
      <c r="B55" s="17" t="s">
        <v>1066</v>
      </c>
      <c r="C55" s="17" t="s">
        <v>9010</v>
      </c>
      <c r="D55" s="17" t="s">
        <v>6573</v>
      </c>
      <c r="E55" s="17" t="s">
        <v>9108</v>
      </c>
      <c r="F55" s="17">
        <v>40</v>
      </c>
      <c r="G55" s="17">
        <v>15</v>
      </c>
      <c r="H55" s="554" t="s">
        <v>9081</v>
      </c>
      <c r="I55" s="555"/>
      <c r="J55" s="17"/>
      <c r="K55" s="17"/>
      <c r="L55" s="17"/>
      <c r="M55" s="17"/>
      <c r="N55" s="17"/>
      <c r="O55" s="17"/>
      <c r="P55" s="17"/>
      <c r="Q55" s="17"/>
    </row>
    <row r="56" spans="1:17">
      <c r="A56" s="17" t="s">
        <v>9094</v>
      </c>
      <c r="B56" s="17" t="s">
        <v>1070</v>
      </c>
      <c r="C56" s="17" t="s">
        <v>1072</v>
      </c>
      <c r="D56" s="17" t="s">
        <v>6573</v>
      </c>
      <c r="E56" s="17" t="s">
        <v>9109</v>
      </c>
      <c r="F56" s="17">
        <v>43</v>
      </c>
      <c r="G56" s="17">
        <v>1</v>
      </c>
      <c r="H56" s="554" t="s">
        <v>9082</v>
      </c>
      <c r="I56" s="555"/>
      <c r="J56" s="17"/>
      <c r="K56" s="17"/>
      <c r="L56" s="17"/>
      <c r="M56" s="17"/>
      <c r="N56" s="17"/>
      <c r="O56" s="17"/>
      <c r="P56" s="17"/>
      <c r="Q56" s="17"/>
    </row>
    <row r="57" spans="1:17">
      <c r="A57" s="17" t="s">
        <v>9094</v>
      </c>
      <c r="B57" s="17" t="s">
        <v>1075</v>
      </c>
      <c r="C57" s="17" t="s">
        <v>1076</v>
      </c>
      <c r="D57" s="17" t="s">
        <v>6573</v>
      </c>
      <c r="E57" s="17" t="s">
        <v>9110</v>
      </c>
      <c r="F57" s="17">
        <v>46</v>
      </c>
      <c r="G57" s="17">
        <v>1</v>
      </c>
      <c r="H57" s="554" t="s">
        <v>9083</v>
      </c>
      <c r="I57" s="555"/>
      <c r="J57" s="17"/>
      <c r="K57" s="17"/>
      <c r="L57" s="17"/>
      <c r="M57" s="17"/>
      <c r="N57" s="17"/>
      <c r="O57" s="17"/>
      <c r="P57" s="17"/>
      <c r="Q57" s="17"/>
    </row>
    <row r="58" spans="1:17">
      <c r="A58" s="17" t="s">
        <v>9094</v>
      </c>
      <c r="B58" s="17" t="s">
        <v>1077</v>
      </c>
      <c r="C58" s="17" t="s">
        <v>1078</v>
      </c>
      <c r="D58" s="17" t="s">
        <v>6573</v>
      </c>
      <c r="E58" s="17" t="s">
        <v>9111</v>
      </c>
      <c r="F58" s="17">
        <v>49</v>
      </c>
      <c r="G58" s="17">
        <v>1</v>
      </c>
      <c r="H58" s="554" t="s">
        <v>9084</v>
      </c>
      <c r="I58" s="555"/>
      <c r="J58" s="17"/>
      <c r="K58" s="17"/>
      <c r="L58" s="17"/>
      <c r="M58" s="17"/>
      <c r="N58" s="17"/>
      <c r="O58" s="17"/>
      <c r="P58" s="17"/>
      <c r="Q58" s="17"/>
    </row>
    <row r="59" spans="1:17">
      <c r="A59" s="560" t="s">
        <v>9011</v>
      </c>
      <c r="B59" s="561" t="s">
        <v>1082</v>
      </c>
      <c r="C59" s="562" t="s">
        <v>9012</v>
      </c>
      <c r="D59" s="560" t="s">
        <v>6573</v>
      </c>
      <c r="E59" s="563" t="s">
        <v>9615</v>
      </c>
      <c r="F59" s="17">
        <v>1</v>
      </c>
      <c r="G59" s="17">
        <v>1</v>
      </c>
      <c r="H59" s="554" t="s">
        <v>9070</v>
      </c>
      <c r="I59" s="555"/>
      <c r="J59" s="17"/>
      <c r="K59" s="17"/>
      <c r="L59" s="17"/>
      <c r="M59" s="17"/>
      <c r="N59" s="17"/>
      <c r="O59" s="17"/>
      <c r="P59" s="17"/>
      <c r="Q59" s="17"/>
    </row>
    <row r="60" spans="1:17">
      <c r="A60" s="560" t="s">
        <v>9011</v>
      </c>
      <c r="B60" s="561" t="s">
        <v>1083</v>
      </c>
      <c r="C60" s="562" t="s">
        <v>9013</v>
      </c>
      <c r="D60" s="560" t="s">
        <v>6573</v>
      </c>
      <c r="E60" s="563" t="s">
        <v>9616</v>
      </c>
      <c r="F60" s="17">
        <v>3</v>
      </c>
      <c r="G60" s="17">
        <v>1</v>
      </c>
      <c r="H60" s="554" t="s">
        <v>9078</v>
      </c>
      <c r="I60" s="555"/>
      <c r="J60" s="17"/>
      <c r="K60" s="17"/>
      <c r="L60" s="17"/>
      <c r="M60" s="17"/>
      <c r="N60" s="17"/>
      <c r="O60" s="17"/>
      <c r="P60" s="17"/>
      <c r="Q60" s="17"/>
    </row>
    <row r="61" spans="1:17">
      <c r="A61" s="560" t="s">
        <v>9011</v>
      </c>
      <c r="B61" s="561" t="s">
        <v>1084</v>
      </c>
      <c r="C61" s="562" t="s">
        <v>9014</v>
      </c>
      <c r="D61" s="560" t="s">
        <v>6573</v>
      </c>
      <c r="E61" s="563" t="s">
        <v>9015</v>
      </c>
      <c r="F61" s="17">
        <v>5</v>
      </c>
      <c r="G61" s="17">
        <v>1</v>
      </c>
      <c r="H61" s="554" t="s">
        <v>7845</v>
      </c>
      <c r="I61" s="555"/>
      <c r="J61" s="17"/>
      <c r="K61" s="17"/>
      <c r="L61" s="17"/>
      <c r="M61" s="17"/>
      <c r="N61" s="17"/>
      <c r="O61" s="17"/>
      <c r="P61" s="17"/>
      <c r="Q61" s="17"/>
    </row>
    <row r="62" spans="1:17">
      <c r="A62" s="560" t="s">
        <v>9011</v>
      </c>
      <c r="B62" s="561" t="s">
        <v>1085</v>
      </c>
      <c r="C62" s="562" t="s">
        <v>1086</v>
      </c>
      <c r="D62" s="560" t="s">
        <v>6573</v>
      </c>
      <c r="E62" s="563" t="s">
        <v>9016</v>
      </c>
      <c r="F62" s="17">
        <v>7</v>
      </c>
      <c r="G62" s="17">
        <v>1</v>
      </c>
      <c r="H62" s="554" t="s">
        <v>7857</v>
      </c>
      <c r="I62" s="555"/>
      <c r="J62" s="17"/>
      <c r="K62" s="17"/>
      <c r="L62" s="17"/>
      <c r="M62" s="17"/>
      <c r="N62" s="17"/>
      <c r="O62" s="17"/>
      <c r="P62" s="17"/>
      <c r="Q62" s="17"/>
    </row>
    <row r="63" spans="1:17">
      <c r="A63" s="560" t="s">
        <v>9011</v>
      </c>
      <c r="B63" s="561" t="s">
        <v>1087</v>
      </c>
      <c r="C63" s="562" t="s">
        <v>9017</v>
      </c>
      <c r="D63" s="560" t="s">
        <v>6573</v>
      </c>
      <c r="E63" s="563" t="s">
        <v>9018</v>
      </c>
      <c r="F63" s="17">
        <v>9</v>
      </c>
      <c r="G63" s="17">
        <v>1</v>
      </c>
      <c r="H63" s="554" t="s">
        <v>7871</v>
      </c>
      <c r="I63" s="555"/>
      <c r="J63" s="17"/>
      <c r="K63" s="17"/>
      <c r="L63" s="17"/>
      <c r="M63" s="17"/>
      <c r="N63" s="17"/>
      <c r="O63" s="17"/>
      <c r="P63" s="17"/>
      <c r="Q63" s="17"/>
    </row>
    <row r="64" spans="1:17">
      <c r="A64" s="560" t="s">
        <v>9011</v>
      </c>
      <c r="B64" s="561" t="s">
        <v>1090</v>
      </c>
      <c r="C64" s="562" t="s">
        <v>1091</v>
      </c>
      <c r="D64" s="560" t="s">
        <v>6573</v>
      </c>
      <c r="E64" s="563" t="s">
        <v>9019</v>
      </c>
      <c r="F64" s="17">
        <v>12</v>
      </c>
      <c r="G64" s="17">
        <v>1</v>
      </c>
      <c r="H64" s="554" t="s">
        <v>9079</v>
      </c>
      <c r="I64" s="555"/>
      <c r="J64" s="17"/>
      <c r="K64" s="17"/>
      <c r="L64" s="17"/>
      <c r="M64" s="17"/>
      <c r="N64" s="17"/>
      <c r="O64" s="17"/>
      <c r="P64" s="17"/>
      <c r="Q64" s="17"/>
    </row>
    <row r="65" spans="1:17">
      <c r="A65" s="560" t="s">
        <v>9011</v>
      </c>
      <c r="B65" s="561"/>
      <c r="C65" s="562" t="s">
        <v>9020</v>
      </c>
      <c r="D65" s="560" t="s">
        <v>6573</v>
      </c>
      <c r="E65" s="563" t="s">
        <v>9021</v>
      </c>
      <c r="F65" s="17">
        <v>3</v>
      </c>
      <c r="G65" s="17">
        <v>7</v>
      </c>
      <c r="H65" s="554" t="s">
        <v>9093</v>
      </c>
      <c r="I65" s="555"/>
      <c r="J65" s="17"/>
      <c r="K65" s="17"/>
      <c r="L65" s="17"/>
      <c r="M65" s="17"/>
      <c r="N65" s="17"/>
      <c r="O65" s="17"/>
      <c r="P65" s="17"/>
      <c r="Q65" s="17"/>
    </row>
    <row r="66" spans="1:17">
      <c r="A66" s="560" t="s">
        <v>9236</v>
      </c>
      <c r="B66" s="561"/>
      <c r="C66" s="562" t="s">
        <v>9235</v>
      </c>
      <c r="D66" s="560" t="s">
        <v>6573</v>
      </c>
      <c r="E66" s="563" t="s">
        <v>9237</v>
      </c>
      <c r="F66" s="17">
        <v>1</v>
      </c>
      <c r="G66" s="17">
        <v>1</v>
      </c>
      <c r="H66" s="554" t="s">
        <v>9239</v>
      </c>
      <c r="I66" s="555"/>
      <c r="J66" s="17"/>
      <c r="K66" s="17"/>
      <c r="L66" s="17"/>
      <c r="M66" s="17"/>
      <c r="N66" s="17"/>
      <c r="O66" s="17"/>
      <c r="P66" s="17"/>
      <c r="Q66" s="17"/>
    </row>
    <row r="67" spans="1:17">
      <c r="A67" s="560" t="s">
        <v>9252</v>
      </c>
      <c r="B67" s="561"/>
      <c r="C67" s="562" t="s">
        <v>9269</v>
      </c>
      <c r="D67" s="560" t="s">
        <v>9270</v>
      </c>
      <c r="E67" s="563" t="s">
        <v>9271</v>
      </c>
      <c r="F67" s="17">
        <v>1</v>
      </c>
      <c r="G67" s="17">
        <v>1</v>
      </c>
      <c r="H67" s="554" t="s">
        <v>9254</v>
      </c>
      <c r="I67" s="555">
        <v>0</v>
      </c>
      <c r="J67" s="17"/>
      <c r="K67" s="17"/>
      <c r="L67" s="17"/>
      <c r="M67" s="17"/>
      <c r="N67" s="17"/>
      <c r="O67" s="17"/>
      <c r="P67" s="17"/>
      <c r="Q67" s="17"/>
    </row>
    <row r="68" spans="1:17">
      <c r="A68" s="560" t="s">
        <v>9252</v>
      </c>
      <c r="B68" s="561"/>
      <c r="C68" s="562" t="s">
        <v>9269</v>
      </c>
      <c r="D68" s="560" t="s">
        <v>9057</v>
      </c>
      <c r="E68" s="563" t="s">
        <v>9272</v>
      </c>
      <c r="F68" s="17">
        <v>1</v>
      </c>
      <c r="G68" s="17">
        <v>10</v>
      </c>
      <c r="H68" s="554" t="s">
        <v>9584</v>
      </c>
      <c r="I68" s="555" t="s">
        <v>9937</v>
      </c>
      <c r="J68" s="17"/>
      <c r="K68" s="17"/>
      <c r="L68" s="17"/>
      <c r="M68" s="17"/>
      <c r="N68" s="17"/>
      <c r="O68" s="17"/>
      <c r="P68" s="17"/>
      <c r="Q68" s="17"/>
    </row>
    <row r="69" spans="1:17">
      <c r="A69" s="564" t="s">
        <v>1112</v>
      </c>
      <c r="B69" s="565" t="s">
        <v>1122</v>
      </c>
      <c r="C69" s="566" t="s">
        <v>1236</v>
      </c>
      <c r="D69" s="564" t="s">
        <v>1119</v>
      </c>
      <c r="E69" s="565" t="s">
        <v>3006</v>
      </c>
      <c r="F69" s="17">
        <v>1</v>
      </c>
      <c r="G69" s="17">
        <v>1</v>
      </c>
      <c r="H69" s="565" t="s">
        <v>2990</v>
      </c>
      <c r="I69" s="567"/>
      <c r="J69" s="17"/>
      <c r="K69" s="17"/>
      <c r="L69" s="17"/>
      <c r="M69" s="17"/>
      <c r="N69" s="17"/>
      <c r="O69" s="17"/>
      <c r="P69" s="17"/>
      <c r="Q69" s="17"/>
    </row>
    <row r="70" spans="1:17">
      <c r="A70" s="556" t="s">
        <v>1112</v>
      </c>
      <c r="B70" s="557" t="s">
        <v>1122</v>
      </c>
      <c r="C70" s="558" t="s">
        <v>1236</v>
      </c>
      <c r="D70" s="556" t="s">
        <v>1235</v>
      </c>
      <c r="E70" s="565" t="s">
        <v>3035</v>
      </c>
      <c r="F70" s="17">
        <v>1</v>
      </c>
      <c r="G70" s="17">
        <v>2</v>
      </c>
      <c r="H70" s="565" t="s">
        <v>3338</v>
      </c>
      <c r="I70" s="567"/>
      <c r="J70" s="17"/>
      <c r="K70" s="17"/>
      <c r="L70" s="17"/>
      <c r="M70" s="17"/>
      <c r="N70" s="17"/>
      <c r="O70" s="17"/>
      <c r="P70" s="17"/>
      <c r="Q70" s="17"/>
    </row>
    <row r="71" spans="1:17">
      <c r="A71" s="556" t="s">
        <v>1112</v>
      </c>
      <c r="B71" s="557" t="s">
        <v>1122</v>
      </c>
      <c r="C71" s="558" t="s">
        <v>1236</v>
      </c>
      <c r="D71" s="556" t="s">
        <v>1121</v>
      </c>
      <c r="E71" s="559" t="s">
        <v>3064</v>
      </c>
      <c r="F71" s="17">
        <v>1</v>
      </c>
      <c r="G71" s="17">
        <v>3</v>
      </c>
      <c r="H71" s="565" t="s">
        <v>2991</v>
      </c>
      <c r="I71" s="567"/>
      <c r="J71" s="17"/>
      <c r="K71" s="17"/>
      <c r="L71" s="17"/>
      <c r="M71" s="17"/>
      <c r="N71" s="17"/>
      <c r="O71" s="17"/>
      <c r="P71" s="17"/>
      <c r="Q71" s="17"/>
    </row>
    <row r="72" spans="1:17">
      <c r="A72" s="556" t="s">
        <v>1112</v>
      </c>
      <c r="B72" s="557" t="s">
        <v>1122</v>
      </c>
      <c r="C72" s="558" t="s">
        <v>1236</v>
      </c>
      <c r="D72" s="556" t="s">
        <v>3093</v>
      </c>
      <c r="E72" s="559" t="s">
        <v>3094</v>
      </c>
      <c r="F72" s="17">
        <v>1</v>
      </c>
      <c r="G72" s="17">
        <v>4</v>
      </c>
      <c r="H72" s="565" t="s">
        <v>2992</v>
      </c>
      <c r="I72" s="567"/>
      <c r="J72" s="17"/>
      <c r="K72" s="17"/>
      <c r="L72" s="17"/>
      <c r="M72" s="17"/>
      <c r="N72" s="17"/>
      <c r="O72" s="17"/>
      <c r="P72" s="17"/>
      <c r="Q72" s="17"/>
    </row>
    <row r="73" spans="1:17">
      <c r="A73" s="556" t="s">
        <v>1112</v>
      </c>
      <c r="B73" s="557" t="s">
        <v>1126</v>
      </c>
      <c r="C73" s="558" t="s">
        <v>1127</v>
      </c>
      <c r="D73" s="556" t="s">
        <v>1119</v>
      </c>
      <c r="E73" s="559" t="s">
        <v>3007</v>
      </c>
      <c r="F73" s="17">
        <v>2</v>
      </c>
      <c r="G73" s="17">
        <v>1</v>
      </c>
      <c r="H73" s="565" t="s">
        <v>3339</v>
      </c>
      <c r="I73" s="567"/>
      <c r="J73" s="17"/>
      <c r="K73" s="17"/>
      <c r="L73" s="17"/>
      <c r="M73" s="17"/>
      <c r="N73" s="17"/>
      <c r="O73" s="17"/>
      <c r="P73" s="17"/>
      <c r="Q73" s="17"/>
    </row>
    <row r="74" spans="1:17">
      <c r="A74" s="556" t="s">
        <v>1112</v>
      </c>
      <c r="B74" s="557" t="s">
        <v>1126</v>
      </c>
      <c r="C74" s="558" t="s">
        <v>1127</v>
      </c>
      <c r="D74" s="556" t="s">
        <v>1235</v>
      </c>
      <c r="E74" s="559" t="s">
        <v>3036</v>
      </c>
      <c r="F74" s="17">
        <v>2</v>
      </c>
      <c r="G74" s="17">
        <v>2</v>
      </c>
      <c r="H74" s="565" t="s">
        <v>3340</v>
      </c>
      <c r="I74" s="567"/>
      <c r="J74" s="17"/>
      <c r="K74" s="17"/>
      <c r="L74" s="17"/>
      <c r="M74" s="17"/>
      <c r="N74" s="17"/>
      <c r="O74" s="17"/>
      <c r="P74" s="17"/>
      <c r="Q74" s="17"/>
    </row>
    <row r="75" spans="1:17">
      <c r="A75" s="556" t="s">
        <v>1112</v>
      </c>
      <c r="B75" s="557" t="s">
        <v>1126</v>
      </c>
      <c r="C75" s="558" t="s">
        <v>1127</v>
      </c>
      <c r="D75" s="556" t="s">
        <v>1121</v>
      </c>
      <c r="E75" s="559" t="s">
        <v>3065</v>
      </c>
      <c r="F75" s="17">
        <v>2</v>
      </c>
      <c r="G75" s="17">
        <v>3</v>
      </c>
      <c r="H75" s="565" t="s">
        <v>3341</v>
      </c>
      <c r="I75" s="567"/>
      <c r="J75" s="17"/>
      <c r="K75" s="17"/>
      <c r="L75" s="17"/>
      <c r="M75" s="17"/>
      <c r="N75" s="17"/>
      <c r="O75" s="17"/>
      <c r="P75" s="17"/>
      <c r="Q75" s="17"/>
    </row>
    <row r="76" spans="1:17">
      <c r="A76" s="556" t="s">
        <v>1112</v>
      </c>
      <c r="B76" s="557" t="s">
        <v>1126</v>
      </c>
      <c r="C76" s="558" t="s">
        <v>1127</v>
      </c>
      <c r="D76" s="556" t="s">
        <v>3093</v>
      </c>
      <c r="E76" s="559" t="s">
        <v>3095</v>
      </c>
      <c r="F76" s="17">
        <v>2</v>
      </c>
      <c r="G76" s="17">
        <v>4</v>
      </c>
      <c r="H76" s="565" t="s">
        <v>3342</v>
      </c>
      <c r="I76" s="567"/>
      <c r="J76" s="17"/>
      <c r="K76" s="17"/>
      <c r="L76" s="17"/>
      <c r="M76" s="17"/>
      <c r="N76" s="17"/>
      <c r="O76" s="17"/>
      <c r="P76" s="17"/>
      <c r="Q76" s="17"/>
    </row>
    <row r="77" spans="1:17">
      <c r="A77" s="556" t="s">
        <v>1112</v>
      </c>
      <c r="B77" s="557" t="s">
        <v>1130</v>
      </c>
      <c r="C77" s="558" t="s">
        <v>2977</v>
      </c>
      <c r="D77" s="556" t="s">
        <v>1119</v>
      </c>
      <c r="E77" s="559" t="s">
        <v>3008</v>
      </c>
      <c r="F77" s="17">
        <v>3</v>
      </c>
      <c r="G77" s="17">
        <v>1</v>
      </c>
      <c r="H77" s="565" t="s">
        <v>3343</v>
      </c>
      <c r="I77" s="567"/>
      <c r="J77" s="17"/>
      <c r="K77" s="17"/>
      <c r="L77" s="17"/>
      <c r="M77" s="17"/>
      <c r="N77" s="17"/>
      <c r="O77" s="17"/>
      <c r="P77" s="17"/>
      <c r="Q77" s="17"/>
    </row>
    <row r="78" spans="1:17">
      <c r="A78" s="556" t="s">
        <v>1112</v>
      </c>
      <c r="B78" s="557" t="s">
        <v>1130</v>
      </c>
      <c r="C78" s="558" t="s">
        <v>2977</v>
      </c>
      <c r="D78" s="556" t="s">
        <v>1235</v>
      </c>
      <c r="E78" s="559" t="s">
        <v>3037</v>
      </c>
      <c r="F78" s="17">
        <v>3</v>
      </c>
      <c r="G78" s="17">
        <v>2</v>
      </c>
      <c r="H78" s="565" t="s">
        <v>3344</v>
      </c>
      <c r="I78" s="567"/>
      <c r="J78" s="17"/>
      <c r="K78" s="17"/>
      <c r="L78" s="17"/>
      <c r="M78" s="17"/>
      <c r="N78" s="17"/>
      <c r="O78" s="17"/>
      <c r="P78" s="17"/>
      <c r="Q78" s="17"/>
    </row>
    <row r="79" spans="1:17">
      <c r="A79" s="556" t="s">
        <v>1112</v>
      </c>
      <c r="B79" s="557" t="s">
        <v>1130</v>
      </c>
      <c r="C79" s="558" t="s">
        <v>2977</v>
      </c>
      <c r="D79" s="556" t="s">
        <v>1121</v>
      </c>
      <c r="E79" s="559" t="s">
        <v>3066</v>
      </c>
      <c r="F79" s="17">
        <v>3</v>
      </c>
      <c r="G79" s="17">
        <v>3</v>
      </c>
      <c r="H79" s="565" t="s">
        <v>3345</v>
      </c>
      <c r="I79" s="567"/>
      <c r="J79" s="17"/>
      <c r="K79" s="17"/>
      <c r="L79" s="17"/>
      <c r="M79" s="17"/>
      <c r="N79" s="17"/>
      <c r="O79" s="17"/>
      <c r="P79" s="17"/>
      <c r="Q79" s="17"/>
    </row>
    <row r="80" spans="1:17">
      <c r="A80" s="556" t="s">
        <v>1112</v>
      </c>
      <c r="B80" s="557" t="s">
        <v>1130</v>
      </c>
      <c r="C80" s="558" t="s">
        <v>2977</v>
      </c>
      <c r="D80" s="556" t="s">
        <v>3093</v>
      </c>
      <c r="E80" s="559" t="s">
        <v>3096</v>
      </c>
      <c r="F80" s="17">
        <v>3</v>
      </c>
      <c r="G80" s="17">
        <v>4</v>
      </c>
      <c r="H80" s="565" t="s">
        <v>3346</v>
      </c>
      <c r="I80" s="567"/>
      <c r="J80" s="17"/>
      <c r="K80" s="17"/>
      <c r="L80" s="17"/>
      <c r="M80" s="17"/>
      <c r="N80" s="17"/>
      <c r="O80" s="17"/>
      <c r="P80" s="17"/>
      <c r="Q80" s="17"/>
    </row>
    <row r="81" spans="1:17">
      <c r="A81" s="556" t="s">
        <v>1112</v>
      </c>
      <c r="B81" s="557" t="s">
        <v>1134</v>
      </c>
      <c r="C81" s="558" t="s">
        <v>1135</v>
      </c>
      <c r="D81" s="556" t="s">
        <v>1119</v>
      </c>
      <c r="E81" s="559" t="s">
        <v>3009</v>
      </c>
      <c r="F81" s="17">
        <v>4</v>
      </c>
      <c r="G81" s="17">
        <v>1</v>
      </c>
      <c r="H81" s="565" t="s">
        <v>3347</v>
      </c>
      <c r="I81" s="567"/>
      <c r="J81" s="17"/>
      <c r="K81" s="17"/>
      <c r="L81" s="17"/>
      <c r="M81" s="17"/>
      <c r="N81" s="17"/>
      <c r="O81" s="17"/>
      <c r="P81" s="17"/>
      <c r="Q81" s="17"/>
    </row>
    <row r="82" spans="1:17">
      <c r="A82" s="556" t="s">
        <v>1112</v>
      </c>
      <c r="B82" s="557" t="s">
        <v>1134</v>
      </c>
      <c r="C82" s="558" t="s">
        <v>1135</v>
      </c>
      <c r="D82" s="556" t="s">
        <v>1235</v>
      </c>
      <c r="E82" s="559" t="s">
        <v>3038</v>
      </c>
      <c r="F82" s="17">
        <v>4</v>
      </c>
      <c r="G82" s="17">
        <v>2</v>
      </c>
      <c r="H82" s="565" t="s">
        <v>3348</v>
      </c>
      <c r="I82" s="567"/>
      <c r="J82" s="17"/>
      <c r="K82" s="17"/>
      <c r="L82" s="17"/>
      <c r="M82" s="17"/>
      <c r="N82" s="17"/>
      <c r="O82" s="17"/>
      <c r="P82" s="17"/>
      <c r="Q82" s="17"/>
    </row>
    <row r="83" spans="1:17">
      <c r="A83" s="556" t="s">
        <v>1112</v>
      </c>
      <c r="B83" s="557" t="s">
        <v>1134</v>
      </c>
      <c r="C83" s="558" t="s">
        <v>1135</v>
      </c>
      <c r="D83" s="556" t="s">
        <v>1121</v>
      </c>
      <c r="E83" s="559" t="s">
        <v>3067</v>
      </c>
      <c r="F83" s="17">
        <v>4</v>
      </c>
      <c r="G83" s="17">
        <v>3</v>
      </c>
      <c r="H83" s="565" t="s">
        <v>3349</v>
      </c>
      <c r="I83" s="567"/>
      <c r="J83" s="17"/>
      <c r="K83" s="17"/>
      <c r="L83" s="17"/>
      <c r="M83" s="17"/>
      <c r="N83" s="17"/>
      <c r="O83" s="17"/>
      <c r="P83" s="17"/>
      <c r="Q83" s="17"/>
    </row>
    <row r="84" spans="1:17">
      <c r="A84" s="556" t="s">
        <v>1112</v>
      </c>
      <c r="B84" s="557" t="s">
        <v>1134</v>
      </c>
      <c r="C84" s="558" t="s">
        <v>1135</v>
      </c>
      <c r="D84" s="556" t="s">
        <v>3093</v>
      </c>
      <c r="E84" s="559" t="s">
        <v>3097</v>
      </c>
      <c r="F84" s="17">
        <v>4</v>
      </c>
      <c r="G84" s="17">
        <v>4</v>
      </c>
      <c r="H84" s="565" t="s">
        <v>3350</v>
      </c>
      <c r="I84" s="567"/>
      <c r="J84" s="17"/>
      <c r="K84" s="17"/>
      <c r="L84" s="17"/>
      <c r="M84" s="17"/>
      <c r="N84" s="17"/>
      <c r="O84" s="17"/>
      <c r="P84" s="17"/>
      <c r="Q84" s="17"/>
    </row>
    <row r="85" spans="1:17">
      <c r="A85" s="556" t="s">
        <v>1112</v>
      </c>
      <c r="B85" s="557" t="s">
        <v>1139</v>
      </c>
      <c r="C85" s="558" t="s">
        <v>1238</v>
      </c>
      <c r="D85" s="556" t="s">
        <v>1119</v>
      </c>
      <c r="E85" s="559" t="s">
        <v>3010</v>
      </c>
      <c r="F85" s="17">
        <v>5</v>
      </c>
      <c r="G85" s="17">
        <v>1</v>
      </c>
      <c r="H85" s="565" t="s">
        <v>3351</v>
      </c>
      <c r="I85" s="567"/>
      <c r="J85" s="17"/>
      <c r="K85" s="17"/>
      <c r="L85" s="17"/>
      <c r="M85" s="17"/>
      <c r="N85" s="17"/>
      <c r="O85" s="17"/>
      <c r="P85" s="17"/>
      <c r="Q85" s="17"/>
    </row>
    <row r="86" spans="1:17">
      <c r="A86" s="556" t="s">
        <v>1112</v>
      </c>
      <c r="B86" s="557" t="s">
        <v>1139</v>
      </c>
      <c r="C86" s="558" t="s">
        <v>1238</v>
      </c>
      <c r="D86" s="556" t="s">
        <v>1235</v>
      </c>
      <c r="E86" s="559" t="s">
        <v>3039</v>
      </c>
      <c r="F86" s="17">
        <v>5</v>
      </c>
      <c r="G86" s="17">
        <v>2</v>
      </c>
      <c r="H86" s="565" t="s">
        <v>3352</v>
      </c>
      <c r="I86" s="567"/>
      <c r="J86" s="17"/>
      <c r="K86" s="17"/>
      <c r="L86" s="17"/>
      <c r="M86" s="17"/>
      <c r="N86" s="17"/>
      <c r="O86" s="17"/>
      <c r="P86" s="17"/>
      <c r="Q86" s="17"/>
    </row>
    <row r="87" spans="1:17">
      <c r="A87" s="556" t="s">
        <v>1112</v>
      </c>
      <c r="B87" s="557" t="s">
        <v>1139</v>
      </c>
      <c r="C87" s="558" t="s">
        <v>1238</v>
      </c>
      <c r="D87" s="556" t="s">
        <v>1121</v>
      </c>
      <c r="E87" s="559" t="s">
        <v>3068</v>
      </c>
      <c r="F87" s="17">
        <v>5</v>
      </c>
      <c r="G87" s="17">
        <v>3</v>
      </c>
      <c r="H87" s="565" t="s">
        <v>3353</v>
      </c>
      <c r="I87" s="567"/>
      <c r="J87" s="17"/>
      <c r="K87" s="17"/>
      <c r="L87" s="17"/>
      <c r="M87" s="17"/>
      <c r="N87" s="17"/>
      <c r="O87" s="17"/>
      <c r="P87" s="17"/>
      <c r="Q87" s="17"/>
    </row>
    <row r="88" spans="1:17">
      <c r="A88" s="556" t="s">
        <v>1112</v>
      </c>
      <c r="B88" s="557" t="s">
        <v>1139</v>
      </c>
      <c r="C88" s="558" t="s">
        <v>1238</v>
      </c>
      <c r="D88" s="556" t="s">
        <v>3093</v>
      </c>
      <c r="E88" s="559" t="s">
        <v>3098</v>
      </c>
      <c r="F88" s="17">
        <v>5</v>
      </c>
      <c r="G88" s="17">
        <v>4</v>
      </c>
      <c r="H88" s="565" t="s">
        <v>3354</v>
      </c>
      <c r="I88" s="567"/>
      <c r="J88" s="17"/>
      <c r="K88" s="17"/>
      <c r="L88" s="17"/>
      <c r="M88" s="17"/>
      <c r="N88" s="17"/>
      <c r="O88" s="17"/>
      <c r="P88" s="17"/>
      <c r="Q88" s="17"/>
    </row>
    <row r="89" spans="1:17">
      <c r="A89" s="556" t="s">
        <v>1112</v>
      </c>
      <c r="B89" s="557" t="s">
        <v>1143</v>
      </c>
      <c r="C89" s="558" t="s">
        <v>1239</v>
      </c>
      <c r="D89" s="556" t="s">
        <v>1119</v>
      </c>
      <c r="E89" s="559" t="s">
        <v>3011</v>
      </c>
      <c r="F89" s="17">
        <v>6</v>
      </c>
      <c r="G89" s="17">
        <v>1</v>
      </c>
      <c r="H89" s="565" t="s">
        <v>3355</v>
      </c>
      <c r="I89" s="567"/>
      <c r="J89" s="17"/>
      <c r="K89" s="17"/>
      <c r="L89" s="17"/>
      <c r="M89" s="17"/>
      <c r="N89" s="17"/>
      <c r="O89" s="17"/>
      <c r="P89" s="17"/>
      <c r="Q89" s="17"/>
    </row>
    <row r="90" spans="1:17">
      <c r="A90" s="556" t="s">
        <v>1112</v>
      </c>
      <c r="B90" s="557" t="s">
        <v>1143</v>
      </c>
      <c r="C90" s="558" t="s">
        <v>1239</v>
      </c>
      <c r="D90" s="556" t="s">
        <v>1235</v>
      </c>
      <c r="E90" s="559" t="s">
        <v>3040</v>
      </c>
      <c r="F90" s="17">
        <v>6</v>
      </c>
      <c r="G90" s="17">
        <v>2</v>
      </c>
      <c r="H90" s="565" t="s">
        <v>3356</v>
      </c>
      <c r="I90" s="567"/>
      <c r="J90" s="17"/>
      <c r="K90" s="17"/>
      <c r="L90" s="17"/>
      <c r="M90" s="17"/>
      <c r="N90" s="17"/>
      <c r="O90" s="17"/>
      <c r="P90" s="17"/>
      <c r="Q90" s="17"/>
    </row>
    <row r="91" spans="1:17">
      <c r="A91" s="556" t="s">
        <v>1112</v>
      </c>
      <c r="B91" s="557" t="s">
        <v>1143</v>
      </c>
      <c r="C91" s="558" t="s">
        <v>1239</v>
      </c>
      <c r="D91" s="556" t="s">
        <v>1121</v>
      </c>
      <c r="E91" s="559" t="s">
        <v>3069</v>
      </c>
      <c r="F91" s="17">
        <v>6</v>
      </c>
      <c r="G91" s="17">
        <v>3</v>
      </c>
      <c r="H91" s="565" t="s">
        <v>3357</v>
      </c>
      <c r="I91" s="567"/>
      <c r="J91" s="17"/>
      <c r="K91" s="17"/>
      <c r="L91" s="17"/>
      <c r="M91" s="17"/>
      <c r="N91" s="17"/>
      <c r="O91" s="17"/>
      <c r="P91" s="17"/>
      <c r="Q91" s="17"/>
    </row>
    <row r="92" spans="1:17">
      <c r="A92" s="556" t="s">
        <v>1112</v>
      </c>
      <c r="B92" s="557" t="s">
        <v>1143</v>
      </c>
      <c r="C92" s="558" t="s">
        <v>1239</v>
      </c>
      <c r="D92" s="556" t="s">
        <v>3093</v>
      </c>
      <c r="E92" s="559" t="s">
        <v>3099</v>
      </c>
      <c r="F92" s="17">
        <v>6</v>
      </c>
      <c r="G92" s="17">
        <v>4</v>
      </c>
      <c r="H92" s="565" t="s">
        <v>3358</v>
      </c>
      <c r="I92" s="567"/>
      <c r="J92" s="17"/>
      <c r="K92" s="17"/>
      <c r="L92" s="17"/>
      <c r="M92" s="17"/>
      <c r="N92" s="17"/>
      <c r="O92" s="17"/>
      <c r="P92" s="17"/>
      <c r="Q92" s="17"/>
    </row>
    <row r="93" spans="1:17">
      <c r="A93" s="556" t="s">
        <v>1112</v>
      </c>
      <c r="B93" s="557" t="s">
        <v>1147</v>
      </c>
      <c r="C93" s="558" t="s">
        <v>3725</v>
      </c>
      <c r="D93" s="556" t="s">
        <v>1119</v>
      </c>
      <c r="E93" s="559" t="s">
        <v>3012</v>
      </c>
      <c r="F93" s="17">
        <v>7</v>
      </c>
      <c r="G93" s="17">
        <v>1</v>
      </c>
      <c r="H93" s="565" t="s">
        <v>3359</v>
      </c>
      <c r="I93" s="567"/>
      <c r="J93" s="17"/>
      <c r="K93" s="17"/>
      <c r="L93" s="17"/>
      <c r="M93" s="17"/>
      <c r="N93" s="17"/>
      <c r="O93" s="17"/>
      <c r="P93" s="17"/>
      <c r="Q93" s="17"/>
    </row>
    <row r="94" spans="1:17">
      <c r="A94" s="556" t="s">
        <v>1112</v>
      </c>
      <c r="B94" s="557" t="s">
        <v>1147</v>
      </c>
      <c r="C94" s="558" t="s">
        <v>3725</v>
      </c>
      <c r="D94" s="556" t="s">
        <v>1235</v>
      </c>
      <c r="E94" s="559" t="s">
        <v>3041</v>
      </c>
      <c r="F94" s="17">
        <v>7</v>
      </c>
      <c r="G94" s="17">
        <v>2</v>
      </c>
      <c r="H94" s="565" t="s">
        <v>3360</v>
      </c>
      <c r="I94" s="567"/>
      <c r="J94" s="17"/>
      <c r="K94" s="17"/>
      <c r="L94" s="17"/>
      <c r="M94" s="17"/>
      <c r="N94" s="17"/>
      <c r="O94" s="17"/>
      <c r="P94" s="17"/>
      <c r="Q94" s="17"/>
    </row>
    <row r="95" spans="1:17">
      <c r="A95" s="556" t="s">
        <v>1112</v>
      </c>
      <c r="B95" s="557" t="s">
        <v>1147</v>
      </c>
      <c r="C95" s="558" t="s">
        <v>3725</v>
      </c>
      <c r="D95" s="556" t="s">
        <v>1121</v>
      </c>
      <c r="E95" s="559" t="s">
        <v>3070</v>
      </c>
      <c r="F95" s="17">
        <v>7</v>
      </c>
      <c r="G95" s="17">
        <v>3</v>
      </c>
      <c r="H95" s="565" t="s">
        <v>3327</v>
      </c>
      <c r="I95" s="567"/>
      <c r="J95" s="17"/>
      <c r="K95" s="17"/>
      <c r="L95" s="17"/>
      <c r="M95" s="17"/>
      <c r="N95" s="17"/>
      <c r="O95" s="17"/>
      <c r="P95" s="17"/>
      <c r="Q95" s="17"/>
    </row>
    <row r="96" spans="1:17">
      <c r="A96" s="556" t="s">
        <v>1112</v>
      </c>
      <c r="B96" s="557" t="s">
        <v>1147</v>
      </c>
      <c r="C96" s="558" t="s">
        <v>3725</v>
      </c>
      <c r="D96" s="556" t="s">
        <v>3093</v>
      </c>
      <c r="E96" s="559" t="s">
        <v>3100</v>
      </c>
      <c r="F96" s="17">
        <v>7</v>
      </c>
      <c r="G96" s="17">
        <v>4</v>
      </c>
      <c r="H96" s="565" t="s">
        <v>3361</v>
      </c>
      <c r="I96" s="567"/>
      <c r="J96" s="17"/>
      <c r="K96" s="17"/>
      <c r="L96" s="17"/>
      <c r="M96" s="17"/>
      <c r="N96" s="17"/>
      <c r="O96" s="17"/>
      <c r="P96" s="17"/>
      <c r="Q96" s="17"/>
    </row>
    <row r="97" spans="1:17">
      <c r="A97" s="556" t="s">
        <v>1112</v>
      </c>
      <c r="B97" s="557"/>
      <c r="C97" s="568" t="s">
        <v>9569</v>
      </c>
      <c r="D97" s="556" t="s">
        <v>1121</v>
      </c>
      <c r="E97" s="559" t="s">
        <v>3726</v>
      </c>
      <c r="F97" s="17">
        <v>7</v>
      </c>
      <c r="G97" s="17">
        <v>-2</v>
      </c>
      <c r="H97" s="565" t="s">
        <v>580</v>
      </c>
      <c r="I97" s="567"/>
      <c r="J97" s="17"/>
      <c r="K97" s="17"/>
      <c r="L97" s="17"/>
      <c r="M97" s="17"/>
      <c r="N97" s="17"/>
      <c r="O97" s="17"/>
      <c r="P97" s="17"/>
      <c r="Q97" s="17"/>
    </row>
    <row r="98" spans="1:17">
      <c r="A98" s="556" t="s">
        <v>1112</v>
      </c>
      <c r="B98" s="557"/>
      <c r="C98" s="568" t="s">
        <v>9569</v>
      </c>
      <c r="D98" s="556" t="s">
        <v>3093</v>
      </c>
      <c r="E98" s="559" t="s">
        <v>3727</v>
      </c>
      <c r="F98" s="17">
        <v>7</v>
      </c>
      <c r="G98" s="17">
        <v>-1</v>
      </c>
      <c r="H98" s="565" t="s">
        <v>7777</v>
      </c>
      <c r="I98" s="567"/>
      <c r="J98" s="17"/>
      <c r="K98" s="17"/>
      <c r="L98" s="17"/>
      <c r="M98" s="17"/>
      <c r="N98" s="17"/>
      <c r="O98" s="17"/>
      <c r="P98" s="17"/>
      <c r="Q98" s="17"/>
    </row>
    <row r="99" spans="1:17">
      <c r="A99" s="556" t="s">
        <v>1112</v>
      </c>
      <c r="B99" s="557" t="s">
        <v>1150</v>
      </c>
      <c r="C99" s="558" t="s">
        <v>1639</v>
      </c>
      <c r="D99" s="556" t="s">
        <v>1119</v>
      </c>
      <c r="E99" s="559" t="s">
        <v>3013</v>
      </c>
      <c r="F99" s="17">
        <v>8</v>
      </c>
      <c r="G99" s="17">
        <v>1</v>
      </c>
      <c r="H99" s="565" t="s">
        <v>3362</v>
      </c>
      <c r="I99" s="567"/>
      <c r="J99" s="17"/>
      <c r="K99" s="17"/>
      <c r="L99" s="17"/>
      <c r="M99" s="17"/>
      <c r="N99" s="17"/>
      <c r="O99" s="17"/>
      <c r="P99" s="17"/>
      <c r="Q99" s="17"/>
    </row>
    <row r="100" spans="1:17">
      <c r="A100" s="556" t="s">
        <v>1112</v>
      </c>
      <c r="B100" s="557" t="s">
        <v>1150</v>
      </c>
      <c r="C100" s="558" t="s">
        <v>1639</v>
      </c>
      <c r="D100" s="556" t="s">
        <v>1235</v>
      </c>
      <c r="E100" s="559" t="s">
        <v>3042</v>
      </c>
      <c r="F100" s="17">
        <v>8</v>
      </c>
      <c r="G100" s="17">
        <v>2</v>
      </c>
      <c r="H100" s="565" t="s">
        <v>3363</v>
      </c>
      <c r="I100" s="567"/>
      <c r="J100" s="17"/>
      <c r="K100" s="17"/>
      <c r="L100" s="17"/>
      <c r="M100" s="17"/>
      <c r="N100" s="17"/>
      <c r="O100" s="17"/>
      <c r="P100" s="17"/>
      <c r="Q100" s="17"/>
    </row>
    <row r="101" spans="1:17">
      <c r="A101" s="556" t="s">
        <v>1112</v>
      </c>
      <c r="B101" s="557" t="s">
        <v>1150</v>
      </c>
      <c r="C101" s="558" t="s">
        <v>1639</v>
      </c>
      <c r="D101" s="556" t="s">
        <v>1121</v>
      </c>
      <c r="E101" s="559" t="s">
        <v>3071</v>
      </c>
      <c r="F101" s="17">
        <v>8</v>
      </c>
      <c r="G101" s="17">
        <v>3</v>
      </c>
      <c r="H101" s="565" t="s">
        <v>3364</v>
      </c>
      <c r="I101" s="567"/>
      <c r="J101" s="17"/>
      <c r="K101" s="17"/>
      <c r="L101" s="17"/>
      <c r="M101" s="17"/>
      <c r="N101" s="17"/>
      <c r="O101" s="17"/>
      <c r="P101" s="17"/>
      <c r="Q101" s="17"/>
    </row>
    <row r="102" spans="1:17">
      <c r="A102" s="556" t="s">
        <v>1112</v>
      </c>
      <c r="B102" s="557" t="s">
        <v>1150</v>
      </c>
      <c r="C102" s="558" t="s">
        <v>1639</v>
      </c>
      <c r="D102" s="556" t="s">
        <v>3093</v>
      </c>
      <c r="E102" s="559" t="s">
        <v>3101</v>
      </c>
      <c r="F102" s="17">
        <v>8</v>
      </c>
      <c r="G102" s="17">
        <v>4</v>
      </c>
      <c r="H102" s="565" t="s">
        <v>3365</v>
      </c>
      <c r="I102" s="567"/>
      <c r="J102" s="17"/>
      <c r="K102" s="17"/>
      <c r="L102" s="17"/>
      <c r="M102" s="17"/>
      <c r="N102" s="17"/>
      <c r="O102" s="17"/>
      <c r="P102" s="17"/>
      <c r="Q102" s="17"/>
    </row>
    <row r="103" spans="1:17">
      <c r="A103" s="556" t="s">
        <v>1112</v>
      </c>
      <c r="B103" s="557"/>
      <c r="C103" s="568" t="s">
        <v>9569</v>
      </c>
      <c r="D103" s="556" t="s">
        <v>1121</v>
      </c>
      <c r="E103" s="559" t="s">
        <v>3728</v>
      </c>
      <c r="F103" s="17">
        <v>8</v>
      </c>
      <c r="G103" s="17">
        <v>-2</v>
      </c>
      <c r="H103" s="565" t="s">
        <v>8746</v>
      </c>
      <c r="I103" s="567"/>
      <c r="J103" s="17"/>
      <c r="K103" s="17"/>
      <c r="L103" s="17"/>
      <c r="M103" s="17"/>
      <c r="N103" s="17"/>
      <c r="O103" s="17"/>
      <c r="P103" s="17"/>
      <c r="Q103" s="17"/>
    </row>
    <row r="104" spans="1:17">
      <c r="A104" s="556" t="s">
        <v>1112</v>
      </c>
      <c r="B104" s="557"/>
      <c r="C104" s="568" t="s">
        <v>9569</v>
      </c>
      <c r="D104" s="556" t="s">
        <v>3093</v>
      </c>
      <c r="E104" s="559" t="s">
        <v>3729</v>
      </c>
      <c r="F104" s="17">
        <v>8</v>
      </c>
      <c r="G104" s="17">
        <v>-1</v>
      </c>
      <c r="H104" s="565" t="s">
        <v>3717</v>
      </c>
      <c r="I104" s="567"/>
      <c r="J104" s="17"/>
      <c r="K104" s="17"/>
      <c r="L104" s="17"/>
      <c r="M104" s="17"/>
      <c r="N104" s="17"/>
      <c r="O104" s="17"/>
      <c r="P104" s="17"/>
      <c r="Q104" s="17"/>
    </row>
    <row r="105" spans="1:17">
      <c r="A105" s="556" t="s">
        <v>1112</v>
      </c>
      <c r="B105" s="557" t="s">
        <v>1153</v>
      </c>
      <c r="C105" s="558" t="s">
        <v>1240</v>
      </c>
      <c r="D105" s="556" t="s">
        <v>1119</v>
      </c>
      <c r="E105" s="559" t="s">
        <v>3014</v>
      </c>
      <c r="F105" s="17">
        <v>9</v>
      </c>
      <c r="G105" s="17">
        <v>1</v>
      </c>
      <c r="H105" s="565" t="s">
        <v>3366</v>
      </c>
      <c r="I105" s="567"/>
      <c r="J105" s="17"/>
      <c r="K105" s="17"/>
      <c r="L105" s="17"/>
      <c r="M105" s="17"/>
      <c r="N105" s="17"/>
      <c r="O105" s="17"/>
      <c r="P105" s="17"/>
      <c r="Q105" s="17"/>
    </row>
    <row r="106" spans="1:17">
      <c r="A106" s="556" t="s">
        <v>1112</v>
      </c>
      <c r="B106" s="557" t="s">
        <v>1153</v>
      </c>
      <c r="C106" s="558" t="s">
        <v>1240</v>
      </c>
      <c r="D106" s="556" t="s">
        <v>1235</v>
      </c>
      <c r="E106" s="559" t="s">
        <v>3043</v>
      </c>
      <c r="F106" s="17">
        <v>9</v>
      </c>
      <c r="G106" s="17">
        <v>2</v>
      </c>
      <c r="H106" s="565" t="s">
        <v>3367</v>
      </c>
      <c r="I106" s="567"/>
      <c r="J106" s="17"/>
      <c r="K106" s="17"/>
      <c r="L106" s="17"/>
      <c r="M106" s="17"/>
      <c r="N106" s="17"/>
      <c r="O106" s="17"/>
      <c r="P106" s="17"/>
      <c r="Q106" s="17"/>
    </row>
    <row r="107" spans="1:17">
      <c r="A107" s="556" t="s">
        <v>1112</v>
      </c>
      <c r="B107" s="557" t="s">
        <v>1153</v>
      </c>
      <c r="C107" s="558" t="s">
        <v>1240</v>
      </c>
      <c r="D107" s="556" t="s">
        <v>1121</v>
      </c>
      <c r="E107" s="559" t="s">
        <v>3072</v>
      </c>
      <c r="F107" s="17">
        <v>9</v>
      </c>
      <c r="G107" s="17">
        <v>3</v>
      </c>
      <c r="H107" s="565" t="s">
        <v>3368</v>
      </c>
      <c r="I107" s="567"/>
      <c r="J107" s="17"/>
      <c r="K107" s="17"/>
      <c r="L107" s="17"/>
      <c r="M107" s="17"/>
      <c r="N107" s="17"/>
      <c r="O107" s="17"/>
      <c r="P107" s="17"/>
      <c r="Q107" s="17"/>
    </row>
    <row r="108" spans="1:17">
      <c r="A108" s="556" t="s">
        <v>1112</v>
      </c>
      <c r="B108" s="557" t="s">
        <v>1153</v>
      </c>
      <c r="C108" s="558" t="s">
        <v>1240</v>
      </c>
      <c r="D108" s="556" t="s">
        <v>3093</v>
      </c>
      <c r="E108" s="559" t="s">
        <v>3102</v>
      </c>
      <c r="F108" s="17">
        <v>9</v>
      </c>
      <c r="G108" s="17">
        <v>4</v>
      </c>
      <c r="H108" s="565" t="s">
        <v>3369</v>
      </c>
      <c r="I108" s="567"/>
      <c r="J108" s="17"/>
      <c r="K108" s="17"/>
      <c r="L108" s="17"/>
      <c r="M108" s="17"/>
      <c r="N108" s="17"/>
      <c r="O108" s="17"/>
      <c r="P108" s="17"/>
      <c r="Q108" s="17"/>
    </row>
    <row r="109" spans="1:17">
      <c r="A109" s="556" t="s">
        <v>1112</v>
      </c>
      <c r="B109" s="557" t="s">
        <v>1157</v>
      </c>
      <c r="C109" s="558" t="s">
        <v>1158</v>
      </c>
      <c r="D109" s="556" t="s">
        <v>1119</v>
      </c>
      <c r="E109" s="559" t="s">
        <v>3015</v>
      </c>
      <c r="F109" s="17">
        <v>10</v>
      </c>
      <c r="G109" s="17">
        <v>1</v>
      </c>
      <c r="H109" s="565" t="s">
        <v>3370</v>
      </c>
      <c r="I109" s="567"/>
      <c r="J109" s="17"/>
      <c r="K109" s="17"/>
      <c r="L109" s="17"/>
      <c r="M109" s="17"/>
      <c r="N109" s="17"/>
      <c r="O109" s="17"/>
      <c r="P109" s="17"/>
      <c r="Q109" s="17"/>
    </row>
    <row r="110" spans="1:17">
      <c r="A110" s="556" t="s">
        <v>1112</v>
      </c>
      <c r="B110" s="557" t="s">
        <v>1157</v>
      </c>
      <c r="C110" s="558" t="s">
        <v>1158</v>
      </c>
      <c r="D110" s="556" t="s">
        <v>1235</v>
      </c>
      <c r="E110" s="559" t="s">
        <v>3044</v>
      </c>
      <c r="F110" s="17">
        <v>10</v>
      </c>
      <c r="G110" s="17">
        <v>2</v>
      </c>
      <c r="H110" s="565" t="s">
        <v>3371</v>
      </c>
      <c r="I110" s="567"/>
      <c r="J110" s="17"/>
      <c r="K110" s="17"/>
      <c r="L110" s="17"/>
      <c r="M110" s="17"/>
      <c r="N110" s="17"/>
      <c r="O110" s="17"/>
      <c r="P110" s="17"/>
      <c r="Q110" s="17"/>
    </row>
    <row r="111" spans="1:17">
      <c r="A111" s="556" t="s">
        <v>1112</v>
      </c>
      <c r="B111" s="557" t="s">
        <v>1157</v>
      </c>
      <c r="C111" s="558" t="s">
        <v>1158</v>
      </c>
      <c r="D111" s="556" t="s">
        <v>1121</v>
      </c>
      <c r="E111" s="559" t="s">
        <v>3073</v>
      </c>
      <c r="F111" s="17">
        <v>10</v>
      </c>
      <c r="G111" s="17">
        <v>3</v>
      </c>
      <c r="H111" s="565" t="s">
        <v>3372</v>
      </c>
      <c r="I111" s="567"/>
      <c r="J111" s="17"/>
      <c r="K111" s="17"/>
      <c r="L111" s="17"/>
      <c r="M111" s="17"/>
      <c r="N111" s="17"/>
      <c r="O111" s="17"/>
      <c r="P111" s="17"/>
      <c r="Q111" s="17"/>
    </row>
    <row r="112" spans="1:17">
      <c r="A112" s="556" t="s">
        <v>1112</v>
      </c>
      <c r="B112" s="557" t="s">
        <v>1157</v>
      </c>
      <c r="C112" s="558" t="s">
        <v>1158</v>
      </c>
      <c r="D112" s="556" t="s">
        <v>3093</v>
      </c>
      <c r="E112" s="559" t="s">
        <v>3103</v>
      </c>
      <c r="F112" s="17">
        <v>10</v>
      </c>
      <c r="G112" s="17">
        <v>4</v>
      </c>
      <c r="H112" s="565" t="s">
        <v>3373</v>
      </c>
      <c r="I112" s="567"/>
      <c r="J112" s="17"/>
      <c r="K112" s="17"/>
      <c r="L112" s="17"/>
      <c r="M112" s="17"/>
      <c r="N112" s="17"/>
      <c r="O112" s="17"/>
      <c r="P112" s="17"/>
      <c r="Q112" s="17"/>
    </row>
    <row r="113" spans="1:17">
      <c r="A113" s="556" t="s">
        <v>1112</v>
      </c>
      <c r="B113" s="557" t="s">
        <v>1161</v>
      </c>
      <c r="C113" s="558" t="s">
        <v>1162</v>
      </c>
      <c r="D113" s="556" t="s">
        <v>1119</v>
      </c>
      <c r="E113" s="559" t="s">
        <v>3016</v>
      </c>
      <c r="F113" s="17">
        <v>11</v>
      </c>
      <c r="G113" s="17">
        <v>1</v>
      </c>
      <c r="H113" s="565" t="s">
        <v>3374</v>
      </c>
      <c r="I113" s="567"/>
      <c r="J113" s="17"/>
      <c r="K113" s="17"/>
      <c r="L113" s="17"/>
      <c r="M113" s="17"/>
      <c r="N113" s="17"/>
      <c r="O113" s="17"/>
      <c r="P113" s="17"/>
      <c r="Q113" s="17"/>
    </row>
    <row r="114" spans="1:17">
      <c r="A114" s="556" t="s">
        <v>1112</v>
      </c>
      <c r="B114" s="557" t="s">
        <v>1161</v>
      </c>
      <c r="C114" s="558" t="s">
        <v>1162</v>
      </c>
      <c r="D114" s="556" t="s">
        <v>1235</v>
      </c>
      <c r="E114" s="559" t="s">
        <v>3045</v>
      </c>
      <c r="F114" s="17">
        <v>11</v>
      </c>
      <c r="G114" s="17">
        <v>2</v>
      </c>
      <c r="H114" s="565" t="s">
        <v>3375</v>
      </c>
      <c r="I114" s="567"/>
      <c r="J114" s="17"/>
      <c r="K114" s="17"/>
      <c r="L114" s="17"/>
      <c r="M114" s="17"/>
      <c r="N114" s="17"/>
      <c r="O114" s="17"/>
      <c r="P114" s="17"/>
      <c r="Q114" s="17"/>
    </row>
    <row r="115" spans="1:17">
      <c r="A115" s="556" t="s">
        <v>1112</v>
      </c>
      <c r="B115" s="557" t="s">
        <v>1161</v>
      </c>
      <c r="C115" s="558" t="s">
        <v>1162</v>
      </c>
      <c r="D115" s="556" t="s">
        <v>1121</v>
      </c>
      <c r="E115" s="559" t="s">
        <v>3074</v>
      </c>
      <c r="F115" s="17">
        <v>11</v>
      </c>
      <c r="G115" s="17">
        <v>3</v>
      </c>
      <c r="H115" s="565" t="s">
        <v>3376</v>
      </c>
      <c r="I115" s="567"/>
      <c r="J115" s="17"/>
      <c r="K115" s="17"/>
      <c r="L115" s="17"/>
      <c r="M115" s="17"/>
      <c r="N115" s="17"/>
      <c r="O115" s="17"/>
      <c r="P115" s="17"/>
      <c r="Q115" s="17"/>
    </row>
    <row r="116" spans="1:17">
      <c r="A116" s="556" t="s">
        <v>1112</v>
      </c>
      <c r="B116" s="557" t="s">
        <v>1161</v>
      </c>
      <c r="C116" s="558" t="s">
        <v>1162</v>
      </c>
      <c r="D116" s="556" t="s">
        <v>3093</v>
      </c>
      <c r="E116" s="559" t="s">
        <v>3104</v>
      </c>
      <c r="F116" s="17">
        <v>11</v>
      </c>
      <c r="G116" s="17">
        <v>4</v>
      </c>
      <c r="H116" s="565" t="s">
        <v>3377</v>
      </c>
      <c r="I116" s="567"/>
      <c r="J116" s="17"/>
      <c r="K116" s="17"/>
      <c r="L116" s="17"/>
      <c r="M116" s="17"/>
      <c r="N116" s="17"/>
      <c r="O116" s="17"/>
      <c r="P116" s="17"/>
      <c r="Q116" s="17"/>
    </row>
    <row r="117" spans="1:17">
      <c r="A117" s="556" t="s">
        <v>1112</v>
      </c>
      <c r="B117" s="557" t="s">
        <v>1165</v>
      </c>
      <c r="C117" s="558" t="s">
        <v>2978</v>
      </c>
      <c r="D117" s="556" t="s">
        <v>1119</v>
      </c>
      <c r="E117" s="559" t="s">
        <v>3017</v>
      </c>
      <c r="F117" s="17">
        <v>12</v>
      </c>
      <c r="G117" s="17">
        <v>1</v>
      </c>
      <c r="H117" s="565" t="s">
        <v>3378</v>
      </c>
      <c r="I117" s="567"/>
      <c r="J117" s="17"/>
      <c r="K117" s="17"/>
      <c r="L117" s="17"/>
      <c r="M117" s="17"/>
      <c r="N117" s="17"/>
      <c r="O117" s="17"/>
      <c r="P117" s="17"/>
      <c r="Q117" s="17"/>
    </row>
    <row r="118" spans="1:17">
      <c r="A118" s="556" t="s">
        <v>1112</v>
      </c>
      <c r="B118" s="557" t="s">
        <v>1165</v>
      </c>
      <c r="C118" s="558" t="s">
        <v>2978</v>
      </c>
      <c r="D118" s="556" t="s">
        <v>1235</v>
      </c>
      <c r="E118" s="559" t="s">
        <v>3046</v>
      </c>
      <c r="F118" s="17">
        <v>12</v>
      </c>
      <c r="G118" s="17">
        <v>2</v>
      </c>
      <c r="H118" s="565" t="s">
        <v>3379</v>
      </c>
      <c r="I118" s="567"/>
      <c r="J118" s="17"/>
      <c r="K118" s="17"/>
      <c r="L118" s="17"/>
      <c r="M118" s="17"/>
      <c r="N118" s="17"/>
      <c r="O118" s="17"/>
      <c r="P118" s="17"/>
      <c r="Q118" s="17"/>
    </row>
    <row r="119" spans="1:17">
      <c r="A119" s="556" t="s">
        <v>1112</v>
      </c>
      <c r="B119" s="557" t="s">
        <v>1165</v>
      </c>
      <c r="C119" s="558" t="s">
        <v>2978</v>
      </c>
      <c r="D119" s="556" t="s">
        <v>1121</v>
      </c>
      <c r="E119" s="559" t="s">
        <v>3075</v>
      </c>
      <c r="F119" s="17">
        <v>12</v>
      </c>
      <c r="G119" s="17">
        <v>3</v>
      </c>
      <c r="H119" s="565" t="s">
        <v>3380</v>
      </c>
      <c r="I119" s="567"/>
      <c r="J119" s="17"/>
      <c r="K119" s="17"/>
      <c r="L119" s="17"/>
      <c r="M119" s="17"/>
      <c r="N119" s="17"/>
      <c r="O119" s="17"/>
      <c r="P119" s="17"/>
      <c r="Q119" s="17"/>
    </row>
    <row r="120" spans="1:17">
      <c r="A120" s="556" t="s">
        <v>1112</v>
      </c>
      <c r="B120" s="557" t="s">
        <v>1165</v>
      </c>
      <c r="C120" s="558" t="s">
        <v>2978</v>
      </c>
      <c r="D120" s="556" t="s">
        <v>3093</v>
      </c>
      <c r="E120" s="559" t="s">
        <v>3105</v>
      </c>
      <c r="F120" s="17">
        <v>12</v>
      </c>
      <c r="G120" s="17">
        <v>4</v>
      </c>
      <c r="H120" s="565" t="s">
        <v>3381</v>
      </c>
      <c r="I120" s="567"/>
      <c r="J120" s="17"/>
      <c r="K120" s="17"/>
      <c r="L120" s="17"/>
      <c r="M120" s="17"/>
      <c r="N120" s="17"/>
      <c r="O120" s="17"/>
      <c r="P120" s="17"/>
      <c r="Q120" s="17"/>
    </row>
    <row r="121" spans="1:17">
      <c r="A121" s="556" t="s">
        <v>1112</v>
      </c>
      <c r="B121" s="557" t="s">
        <v>1169</v>
      </c>
      <c r="C121" s="558" t="s">
        <v>1241</v>
      </c>
      <c r="D121" s="556" t="s">
        <v>1119</v>
      </c>
      <c r="E121" s="559" t="s">
        <v>3018</v>
      </c>
      <c r="F121" s="17">
        <v>13</v>
      </c>
      <c r="G121" s="17">
        <v>1</v>
      </c>
      <c r="H121" s="565" t="s">
        <v>3382</v>
      </c>
      <c r="I121" s="567"/>
      <c r="J121" s="17"/>
      <c r="K121" s="17"/>
      <c r="L121" s="17"/>
      <c r="M121" s="17"/>
      <c r="N121" s="17"/>
      <c r="O121" s="17"/>
      <c r="P121" s="17"/>
      <c r="Q121" s="17"/>
    </row>
    <row r="122" spans="1:17">
      <c r="A122" s="556" t="s">
        <v>1112</v>
      </c>
      <c r="B122" s="557" t="s">
        <v>1169</v>
      </c>
      <c r="C122" s="558" t="s">
        <v>1241</v>
      </c>
      <c r="D122" s="556" t="s">
        <v>1235</v>
      </c>
      <c r="E122" s="559" t="s">
        <v>3047</v>
      </c>
      <c r="F122" s="17">
        <v>13</v>
      </c>
      <c r="G122" s="17">
        <v>2</v>
      </c>
      <c r="H122" s="565" t="s">
        <v>3383</v>
      </c>
      <c r="I122" s="567"/>
      <c r="J122" s="17"/>
      <c r="K122" s="17"/>
      <c r="L122" s="17"/>
      <c r="M122" s="17"/>
      <c r="N122" s="17"/>
      <c r="O122" s="17"/>
      <c r="P122" s="17"/>
      <c r="Q122" s="17"/>
    </row>
    <row r="123" spans="1:17">
      <c r="A123" s="556" t="s">
        <v>1112</v>
      </c>
      <c r="B123" s="557" t="s">
        <v>1169</v>
      </c>
      <c r="C123" s="558" t="s">
        <v>1241</v>
      </c>
      <c r="D123" s="556" t="s">
        <v>1121</v>
      </c>
      <c r="E123" s="559" t="s">
        <v>3076</v>
      </c>
      <c r="F123" s="17">
        <v>13</v>
      </c>
      <c r="G123" s="17">
        <v>3</v>
      </c>
      <c r="H123" s="565" t="s">
        <v>3384</v>
      </c>
      <c r="I123" s="567"/>
      <c r="J123" s="17"/>
      <c r="K123" s="17"/>
      <c r="L123" s="17"/>
      <c r="M123" s="17"/>
      <c r="N123" s="17"/>
      <c r="O123" s="17"/>
      <c r="P123" s="17"/>
      <c r="Q123" s="17"/>
    </row>
    <row r="124" spans="1:17">
      <c r="A124" s="556" t="s">
        <v>1112</v>
      </c>
      <c r="B124" s="557" t="s">
        <v>1169</v>
      </c>
      <c r="C124" s="558" t="s">
        <v>1241</v>
      </c>
      <c r="D124" s="556" t="s">
        <v>3093</v>
      </c>
      <c r="E124" s="559" t="s">
        <v>3106</v>
      </c>
      <c r="F124" s="17">
        <v>13</v>
      </c>
      <c r="G124" s="17">
        <v>4</v>
      </c>
      <c r="H124" s="565" t="s">
        <v>3385</v>
      </c>
      <c r="I124" s="567"/>
      <c r="J124" s="17"/>
      <c r="K124" s="17"/>
      <c r="L124" s="17"/>
      <c r="M124" s="17"/>
      <c r="N124" s="17"/>
      <c r="O124" s="17"/>
      <c r="P124" s="17"/>
      <c r="Q124" s="17"/>
    </row>
    <row r="125" spans="1:17">
      <c r="A125" s="556" t="s">
        <v>1112</v>
      </c>
      <c r="B125" s="557" t="s">
        <v>1173</v>
      </c>
      <c r="C125" s="558" t="s">
        <v>1174</v>
      </c>
      <c r="D125" s="556" t="s">
        <v>1119</v>
      </c>
      <c r="E125" s="559" t="s">
        <v>3019</v>
      </c>
      <c r="F125" s="17">
        <v>14</v>
      </c>
      <c r="G125" s="17">
        <v>1</v>
      </c>
      <c r="H125" s="565" t="s">
        <v>3386</v>
      </c>
      <c r="I125" s="567"/>
      <c r="J125" s="17"/>
      <c r="K125" s="17"/>
      <c r="L125" s="17"/>
      <c r="M125" s="17"/>
      <c r="N125" s="17"/>
      <c r="O125" s="17"/>
      <c r="P125" s="17"/>
      <c r="Q125" s="17"/>
    </row>
    <row r="126" spans="1:17">
      <c r="A126" s="556" t="s">
        <v>1112</v>
      </c>
      <c r="B126" s="557" t="s">
        <v>1173</v>
      </c>
      <c r="C126" s="558" t="s">
        <v>1174</v>
      </c>
      <c r="D126" s="556" t="s">
        <v>1235</v>
      </c>
      <c r="E126" s="559" t="s">
        <v>3048</v>
      </c>
      <c r="F126" s="17">
        <v>14</v>
      </c>
      <c r="G126" s="17">
        <v>2</v>
      </c>
      <c r="H126" s="565" t="s">
        <v>3387</v>
      </c>
      <c r="I126" s="567"/>
      <c r="J126" s="17"/>
      <c r="K126" s="17"/>
      <c r="L126" s="17"/>
      <c r="M126" s="17"/>
      <c r="N126" s="17"/>
      <c r="O126" s="17"/>
      <c r="P126" s="17"/>
      <c r="Q126" s="17"/>
    </row>
    <row r="127" spans="1:17">
      <c r="A127" s="556" t="s">
        <v>1112</v>
      </c>
      <c r="B127" s="557" t="s">
        <v>1173</v>
      </c>
      <c r="C127" s="558" t="s">
        <v>1174</v>
      </c>
      <c r="D127" s="556" t="s">
        <v>1121</v>
      </c>
      <c r="E127" s="559" t="s">
        <v>3077</v>
      </c>
      <c r="F127" s="17">
        <v>14</v>
      </c>
      <c r="G127" s="17">
        <v>3</v>
      </c>
      <c r="H127" s="565" t="s">
        <v>3388</v>
      </c>
      <c r="I127" s="567"/>
      <c r="J127" s="17"/>
      <c r="K127" s="17"/>
      <c r="L127" s="17"/>
      <c r="M127" s="17"/>
      <c r="N127" s="17"/>
      <c r="O127" s="17"/>
      <c r="P127" s="17"/>
      <c r="Q127" s="17"/>
    </row>
    <row r="128" spans="1:17">
      <c r="A128" s="556" t="s">
        <v>1112</v>
      </c>
      <c r="B128" s="557" t="s">
        <v>1173</v>
      </c>
      <c r="C128" s="558" t="s">
        <v>1174</v>
      </c>
      <c r="D128" s="556" t="s">
        <v>3093</v>
      </c>
      <c r="E128" s="559" t="s">
        <v>3107</v>
      </c>
      <c r="F128" s="17">
        <v>14</v>
      </c>
      <c r="G128" s="17">
        <v>4</v>
      </c>
      <c r="H128" s="565" t="s">
        <v>3389</v>
      </c>
      <c r="I128" s="567"/>
      <c r="J128" s="17"/>
      <c r="K128" s="17"/>
      <c r="L128" s="17"/>
      <c r="M128" s="17"/>
      <c r="N128" s="17"/>
      <c r="O128" s="17"/>
      <c r="P128" s="17"/>
      <c r="Q128" s="17"/>
    </row>
    <row r="129" spans="1:17">
      <c r="A129" s="556" t="s">
        <v>1112</v>
      </c>
      <c r="B129" s="557" t="s">
        <v>1177</v>
      </c>
      <c r="C129" s="558" t="s">
        <v>1242</v>
      </c>
      <c r="D129" s="556" t="s">
        <v>1119</v>
      </c>
      <c r="E129" s="559" t="s">
        <v>3020</v>
      </c>
      <c r="F129" s="17">
        <v>15</v>
      </c>
      <c r="G129" s="17">
        <v>1</v>
      </c>
      <c r="H129" s="565" t="s">
        <v>3390</v>
      </c>
      <c r="I129" s="567"/>
      <c r="J129" s="17"/>
      <c r="K129" s="17"/>
      <c r="L129" s="17"/>
      <c r="M129" s="17"/>
      <c r="N129" s="17"/>
      <c r="O129" s="17"/>
      <c r="P129" s="17"/>
      <c r="Q129" s="17"/>
    </row>
    <row r="130" spans="1:17">
      <c r="A130" s="556" t="s">
        <v>1112</v>
      </c>
      <c r="B130" s="557" t="s">
        <v>1177</v>
      </c>
      <c r="C130" s="558" t="s">
        <v>1242</v>
      </c>
      <c r="D130" s="556" t="s">
        <v>1235</v>
      </c>
      <c r="E130" s="559" t="s">
        <v>3049</v>
      </c>
      <c r="F130" s="17">
        <v>15</v>
      </c>
      <c r="G130" s="17">
        <v>2</v>
      </c>
      <c r="H130" s="565" t="s">
        <v>3391</v>
      </c>
      <c r="I130" s="567"/>
      <c r="J130" s="17"/>
      <c r="K130" s="17"/>
      <c r="L130" s="17"/>
      <c r="M130" s="17"/>
      <c r="N130" s="17"/>
      <c r="O130" s="17"/>
      <c r="P130" s="17"/>
      <c r="Q130" s="17"/>
    </row>
    <row r="131" spans="1:17">
      <c r="A131" s="556" t="s">
        <v>1112</v>
      </c>
      <c r="B131" s="557" t="s">
        <v>1177</v>
      </c>
      <c r="C131" s="558" t="s">
        <v>1242</v>
      </c>
      <c r="D131" s="556" t="s">
        <v>1121</v>
      </c>
      <c r="E131" s="559" t="s">
        <v>3078</v>
      </c>
      <c r="F131" s="17">
        <v>15</v>
      </c>
      <c r="G131" s="17">
        <v>3</v>
      </c>
      <c r="H131" s="565" t="s">
        <v>3392</v>
      </c>
      <c r="I131" s="567"/>
      <c r="J131" s="17"/>
      <c r="K131" s="17"/>
      <c r="L131" s="17"/>
      <c r="M131" s="17"/>
      <c r="N131" s="17"/>
      <c r="O131" s="17"/>
      <c r="P131" s="17"/>
      <c r="Q131" s="17"/>
    </row>
    <row r="132" spans="1:17">
      <c r="A132" s="556" t="s">
        <v>1112</v>
      </c>
      <c r="B132" s="557" t="s">
        <v>1177</v>
      </c>
      <c r="C132" s="558" t="s">
        <v>1242</v>
      </c>
      <c r="D132" s="556" t="s">
        <v>3093</v>
      </c>
      <c r="E132" s="559" t="s">
        <v>3108</v>
      </c>
      <c r="F132" s="17">
        <v>15</v>
      </c>
      <c r="G132" s="17">
        <v>4</v>
      </c>
      <c r="H132" s="565" t="s">
        <v>3393</v>
      </c>
      <c r="I132" s="567"/>
      <c r="J132" s="17"/>
      <c r="K132" s="17"/>
      <c r="L132" s="17"/>
      <c r="M132" s="17"/>
      <c r="N132" s="17"/>
      <c r="O132" s="17"/>
      <c r="P132" s="17"/>
      <c r="Q132" s="17"/>
    </row>
    <row r="133" spans="1:17">
      <c r="A133" s="556" t="s">
        <v>1112</v>
      </c>
      <c r="B133" s="557" t="s">
        <v>1181</v>
      </c>
      <c r="C133" s="558" t="s">
        <v>1243</v>
      </c>
      <c r="D133" s="556" t="s">
        <v>1119</v>
      </c>
      <c r="E133" s="559" t="s">
        <v>3021</v>
      </c>
      <c r="F133" s="17">
        <v>16</v>
      </c>
      <c r="G133" s="17">
        <v>1</v>
      </c>
      <c r="H133" s="565" t="s">
        <v>3394</v>
      </c>
      <c r="I133" s="567"/>
      <c r="J133" s="17"/>
      <c r="K133" s="17"/>
      <c r="L133" s="17"/>
      <c r="M133" s="17"/>
      <c r="N133" s="17"/>
      <c r="O133" s="17"/>
      <c r="P133" s="17"/>
      <c r="Q133" s="17"/>
    </row>
    <row r="134" spans="1:17">
      <c r="A134" s="556" t="s">
        <v>1112</v>
      </c>
      <c r="B134" s="557" t="s">
        <v>1181</v>
      </c>
      <c r="C134" s="558" t="s">
        <v>1243</v>
      </c>
      <c r="D134" s="556" t="s">
        <v>1235</v>
      </c>
      <c r="E134" s="559" t="s">
        <v>3050</v>
      </c>
      <c r="F134" s="17">
        <v>16</v>
      </c>
      <c r="G134" s="17">
        <v>2</v>
      </c>
      <c r="H134" s="565" t="s">
        <v>3395</v>
      </c>
      <c r="I134" s="567"/>
      <c r="J134" s="17"/>
      <c r="K134" s="17"/>
      <c r="L134" s="17"/>
      <c r="M134" s="17"/>
      <c r="N134" s="17"/>
      <c r="O134" s="17"/>
      <c r="P134" s="17"/>
      <c r="Q134" s="17"/>
    </row>
    <row r="135" spans="1:17">
      <c r="A135" s="556" t="s">
        <v>1112</v>
      </c>
      <c r="B135" s="557" t="s">
        <v>1181</v>
      </c>
      <c r="C135" s="558" t="s">
        <v>1243</v>
      </c>
      <c r="D135" s="556" t="s">
        <v>1121</v>
      </c>
      <c r="E135" s="559" t="s">
        <v>3079</v>
      </c>
      <c r="F135" s="17">
        <v>16</v>
      </c>
      <c r="G135" s="17">
        <v>3</v>
      </c>
      <c r="H135" s="565" t="s">
        <v>3396</v>
      </c>
      <c r="I135" s="567"/>
      <c r="J135" s="17"/>
      <c r="K135" s="17"/>
      <c r="L135" s="17"/>
      <c r="M135" s="17"/>
      <c r="N135" s="17"/>
      <c r="O135" s="17"/>
      <c r="P135" s="17"/>
      <c r="Q135" s="17"/>
    </row>
    <row r="136" spans="1:17">
      <c r="A136" s="556" t="s">
        <v>1112</v>
      </c>
      <c r="B136" s="557" t="s">
        <v>1181</v>
      </c>
      <c r="C136" s="558" t="s">
        <v>1243</v>
      </c>
      <c r="D136" s="556" t="s">
        <v>3093</v>
      </c>
      <c r="E136" s="559" t="s">
        <v>3109</v>
      </c>
      <c r="F136" s="17">
        <v>16</v>
      </c>
      <c r="G136" s="17">
        <v>4</v>
      </c>
      <c r="H136" s="565" t="s">
        <v>3397</v>
      </c>
      <c r="I136" s="567"/>
      <c r="J136" s="17"/>
      <c r="K136" s="17"/>
      <c r="L136" s="17"/>
      <c r="M136" s="17"/>
      <c r="N136" s="17"/>
      <c r="O136" s="17"/>
      <c r="P136" s="17"/>
      <c r="Q136" s="17"/>
    </row>
    <row r="137" spans="1:17">
      <c r="A137" s="556" t="s">
        <v>1112</v>
      </c>
      <c r="B137" s="557" t="s">
        <v>1185</v>
      </c>
      <c r="C137" s="558" t="s">
        <v>1244</v>
      </c>
      <c r="D137" s="556" t="s">
        <v>1119</v>
      </c>
      <c r="E137" s="559" t="s">
        <v>3022</v>
      </c>
      <c r="F137" s="17">
        <v>17</v>
      </c>
      <c r="G137" s="17">
        <v>1</v>
      </c>
      <c r="H137" s="565" t="s">
        <v>3398</v>
      </c>
      <c r="I137" s="567"/>
      <c r="J137" s="17"/>
      <c r="K137" s="17"/>
      <c r="L137" s="17"/>
      <c r="M137" s="17"/>
      <c r="N137" s="17"/>
      <c r="O137" s="17"/>
      <c r="P137" s="17"/>
      <c r="Q137" s="17"/>
    </row>
    <row r="138" spans="1:17">
      <c r="A138" s="556" t="s">
        <v>1112</v>
      </c>
      <c r="B138" s="557" t="s">
        <v>1185</v>
      </c>
      <c r="C138" s="558" t="s">
        <v>1244</v>
      </c>
      <c r="D138" s="556" t="s">
        <v>1235</v>
      </c>
      <c r="E138" s="559" t="s">
        <v>3051</v>
      </c>
      <c r="F138" s="17">
        <v>17</v>
      </c>
      <c r="G138" s="17">
        <v>2</v>
      </c>
      <c r="H138" s="565" t="s">
        <v>3399</v>
      </c>
      <c r="I138" s="567"/>
      <c r="J138" s="17"/>
      <c r="K138" s="17"/>
      <c r="L138" s="17"/>
      <c r="M138" s="17"/>
      <c r="N138" s="17"/>
      <c r="O138" s="17"/>
      <c r="P138" s="17"/>
      <c r="Q138" s="17"/>
    </row>
    <row r="139" spans="1:17">
      <c r="A139" s="556" t="s">
        <v>1112</v>
      </c>
      <c r="B139" s="557" t="s">
        <v>1185</v>
      </c>
      <c r="C139" s="558" t="s">
        <v>1244</v>
      </c>
      <c r="D139" s="556" t="s">
        <v>1121</v>
      </c>
      <c r="E139" s="559" t="s">
        <v>3080</v>
      </c>
      <c r="F139" s="17">
        <v>17</v>
      </c>
      <c r="G139" s="17">
        <v>3</v>
      </c>
      <c r="H139" s="565" t="s">
        <v>3400</v>
      </c>
      <c r="I139" s="567"/>
      <c r="J139" s="17"/>
      <c r="K139" s="17"/>
      <c r="L139" s="17"/>
      <c r="M139" s="17"/>
      <c r="N139" s="17"/>
      <c r="O139" s="17"/>
      <c r="P139" s="17"/>
      <c r="Q139" s="17"/>
    </row>
    <row r="140" spans="1:17">
      <c r="A140" s="556" t="s">
        <v>1112</v>
      </c>
      <c r="B140" s="557" t="s">
        <v>1185</v>
      </c>
      <c r="C140" s="558" t="s">
        <v>1244</v>
      </c>
      <c r="D140" s="556" t="s">
        <v>3093</v>
      </c>
      <c r="E140" s="559" t="s">
        <v>3110</v>
      </c>
      <c r="F140" s="17">
        <v>17</v>
      </c>
      <c r="G140" s="17">
        <v>4</v>
      </c>
      <c r="H140" s="565" t="s">
        <v>3401</v>
      </c>
      <c r="I140" s="567"/>
      <c r="J140" s="17"/>
      <c r="K140" s="17"/>
      <c r="L140" s="17"/>
      <c r="M140" s="17"/>
      <c r="N140" s="17"/>
      <c r="O140" s="17"/>
      <c r="P140" s="17"/>
      <c r="Q140" s="17"/>
    </row>
    <row r="141" spans="1:17">
      <c r="A141" s="556" t="s">
        <v>1112</v>
      </c>
      <c r="B141" s="557" t="s">
        <v>1189</v>
      </c>
      <c r="C141" s="558" t="s">
        <v>1190</v>
      </c>
      <c r="D141" s="556" t="s">
        <v>1119</v>
      </c>
      <c r="E141" s="559" t="s">
        <v>3023</v>
      </c>
      <c r="F141" s="17">
        <v>18</v>
      </c>
      <c r="G141" s="17">
        <v>1</v>
      </c>
      <c r="H141" s="565" t="s">
        <v>3402</v>
      </c>
      <c r="I141" s="567"/>
      <c r="J141" s="17"/>
      <c r="K141" s="17"/>
      <c r="L141" s="17"/>
      <c r="M141" s="17"/>
      <c r="N141" s="17"/>
      <c r="O141" s="17"/>
      <c r="P141" s="17"/>
      <c r="Q141" s="17"/>
    </row>
    <row r="142" spans="1:17">
      <c r="A142" s="556" t="s">
        <v>1112</v>
      </c>
      <c r="B142" s="557" t="s">
        <v>1189</v>
      </c>
      <c r="C142" s="558" t="s">
        <v>1190</v>
      </c>
      <c r="D142" s="556" t="s">
        <v>1235</v>
      </c>
      <c r="E142" s="559" t="s">
        <v>3052</v>
      </c>
      <c r="F142" s="17">
        <v>18</v>
      </c>
      <c r="G142" s="17">
        <v>2</v>
      </c>
      <c r="H142" s="565" t="s">
        <v>3403</v>
      </c>
      <c r="I142" s="567"/>
      <c r="J142" s="17"/>
      <c r="K142" s="17"/>
      <c r="L142" s="17"/>
      <c r="M142" s="17"/>
      <c r="N142" s="17"/>
      <c r="O142" s="17"/>
      <c r="P142" s="17"/>
      <c r="Q142" s="17"/>
    </row>
    <row r="143" spans="1:17">
      <c r="A143" s="556" t="s">
        <v>1112</v>
      </c>
      <c r="B143" s="557" t="s">
        <v>1189</v>
      </c>
      <c r="C143" s="558" t="s">
        <v>1190</v>
      </c>
      <c r="D143" s="556" t="s">
        <v>1121</v>
      </c>
      <c r="E143" s="559" t="s">
        <v>3081</v>
      </c>
      <c r="F143" s="17">
        <v>18</v>
      </c>
      <c r="G143" s="17">
        <v>3</v>
      </c>
      <c r="H143" s="565" t="s">
        <v>3404</v>
      </c>
      <c r="I143" s="567"/>
      <c r="J143" s="17"/>
      <c r="K143" s="17"/>
      <c r="L143" s="17"/>
      <c r="M143" s="17"/>
      <c r="N143" s="17"/>
      <c r="O143" s="17"/>
      <c r="P143" s="17"/>
      <c r="Q143" s="17"/>
    </row>
    <row r="144" spans="1:17">
      <c r="A144" s="556" t="s">
        <v>1112</v>
      </c>
      <c r="B144" s="557" t="s">
        <v>1189</v>
      </c>
      <c r="C144" s="558" t="s">
        <v>1190</v>
      </c>
      <c r="D144" s="556" t="s">
        <v>3093</v>
      </c>
      <c r="E144" s="559" t="s">
        <v>3111</v>
      </c>
      <c r="F144" s="17">
        <v>18</v>
      </c>
      <c r="G144" s="17">
        <v>4</v>
      </c>
      <c r="H144" s="565" t="s">
        <v>3405</v>
      </c>
      <c r="I144" s="567"/>
      <c r="J144" s="17"/>
      <c r="K144" s="17"/>
      <c r="L144" s="17"/>
      <c r="M144" s="17"/>
      <c r="N144" s="17"/>
      <c r="O144" s="17"/>
      <c r="P144" s="17"/>
      <c r="Q144" s="17"/>
    </row>
    <row r="145" spans="1:17">
      <c r="A145" s="556" t="s">
        <v>1112</v>
      </c>
      <c r="B145" s="557" t="s">
        <v>1193</v>
      </c>
      <c r="C145" s="558" t="s">
        <v>1245</v>
      </c>
      <c r="D145" s="556" t="s">
        <v>1119</v>
      </c>
      <c r="E145" s="559" t="s">
        <v>3024</v>
      </c>
      <c r="F145" s="17">
        <v>19</v>
      </c>
      <c r="G145" s="17">
        <v>1</v>
      </c>
      <c r="H145" s="565" t="s">
        <v>3406</v>
      </c>
      <c r="I145" s="567"/>
      <c r="J145" s="17"/>
      <c r="K145" s="17"/>
      <c r="L145" s="17"/>
      <c r="M145" s="17"/>
      <c r="N145" s="17"/>
      <c r="O145" s="17"/>
      <c r="P145" s="17"/>
      <c r="Q145" s="17"/>
    </row>
    <row r="146" spans="1:17">
      <c r="A146" s="556" t="s">
        <v>1112</v>
      </c>
      <c r="B146" s="557" t="s">
        <v>1193</v>
      </c>
      <c r="C146" s="558" t="s">
        <v>1245</v>
      </c>
      <c r="D146" s="556" t="s">
        <v>1235</v>
      </c>
      <c r="E146" s="559" t="s">
        <v>3053</v>
      </c>
      <c r="F146" s="17">
        <v>19</v>
      </c>
      <c r="G146" s="17">
        <v>2</v>
      </c>
      <c r="H146" s="565" t="s">
        <v>3407</v>
      </c>
      <c r="I146" s="567"/>
      <c r="J146" s="17"/>
      <c r="K146" s="17"/>
      <c r="L146" s="17"/>
      <c r="M146" s="17"/>
      <c r="N146" s="17"/>
      <c r="O146" s="17"/>
      <c r="P146" s="17"/>
      <c r="Q146" s="17"/>
    </row>
    <row r="147" spans="1:17">
      <c r="A147" s="556" t="s">
        <v>1112</v>
      </c>
      <c r="B147" s="557" t="s">
        <v>1193</v>
      </c>
      <c r="C147" s="558" t="s">
        <v>1245</v>
      </c>
      <c r="D147" s="556" t="s">
        <v>1121</v>
      </c>
      <c r="E147" s="17" t="s">
        <v>3082</v>
      </c>
      <c r="F147" s="17">
        <v>19</v>
      </c>
      <c r="G147" s="17">
        <v>3</v>
      </c>
      <c r="H147" s="17" t="s">
        <v>3408</v>
      </c>
      <c r="I147" s="17"/>
      <c r="J147" s="17"/>
      <c r="K147" s="17"/>
      <c r="L147" s="17"/>
      <c r="M147" s="17"/>
      <c r="N147" s="17"/>
      <c r="O147" s="17"/>
      <c r="P147" s="17"/>
      <c r="Q147" s="17"/>
    </row>
    <row r="148" spans="1:17">
      <c r="A148" s="556" t="s">
        <v>1112</v>
      </c>
      <c r="B148" s="557" t="s">
        <v>1193</v>
      </c>
      <c r="C148" s="558" t="s">
        <v>1245</v>
      </c>
      <c r="D148" s="556" t="s">
        <v>3093</v>
      </c>
      <c r="E148" s="17" t="s">
        <v>3112</v>
      </c>
      <c r="F148" s="17">
        <v>19</v>
      </c>
      <c r="G148" s="17">
        <v>4</v>
      </c>
      <c r="H148" s="17" t="s">
        <v>3409</v>
      </c>
      <c r="I148" s="17"/>
      <c r="J148" s="17"/>
      <c r="K148" s="17"/>
      <c r="L148" s="17"/>
      <c r="M148" s="17"/>
      <c r="N148" s="17"/>
      <c r="O148" s="17"/>
      <c r="P148" s="17"/>
      <c r="Q148" s="17"/>
    </row>
    <row r="149" spans="1:17">
      <c r="A149" s="556" t="s">
        <v>1112</v>
      </c>
      <c r="B149" s="557" t="s">
        <v>1197</v>
      </c>
      <c r="C149" s="558" t="s">
        <v>1198</v>
      </c>
      <c r="D149" s="556" t="s">
        <v>1119</v>
      </c>
      <c r="E149" s="17" t="s">
        <v>3025</v>
      </c>
      <c r="F149" s="17">
        <v>20</v>
      </c>
      <c r="G149" s="17">
        <v>1</v>
      </c>
      <c r="H149" s="17" t="s">
        <v>3410</v>
      </c>
      <c r="I149" s="17"/>
      <c r="J149" s="17"/>
      <c r="K149" s="17"/>
      <c r="L149" s="17"/>
      <c r="M149" s="17"/>
      <c r="N149" s="17"/>
      <c r="O149" s="17"/>
      <c r="P149" s="17"/>
      <c r="Q149" s="17"/>
    </row>
    <row r="150" spans="1:17">
      <c r="A150" s="556" t="s">
        <v>1112</v>
      </c>
      <c r="B150" s="557" t="s">
        <v>1197</v>
      </c>
      <c r="C150" s="558" t="s">
        <v>1198</v>
      </c>
      <c r="D150" s="556" t="s">
        <v>1235</v>
      </c>
      <c r="E150" s="17" t="s">
        <v>3054</v>
      </c>
      <c r="F150" s="17">
        <v>20</v>
      </c>
      <c r="G150" s="17">
        <v>2</v>
      </c>
      <c r="H150" s="17" t="s">
        <v>3411</v>
      </c>
      <c r="I150" s="17"/>
      <c r="J150" s="17"/>
      <c r="K150" s="17"/>
      <c r="L150" s="17"/>
      <c r="M150" s="17"/>
      <c r="N150" s="17"/>
      <c r="O150" s="17"/>
      <c r="P150" s="17"/>
      <c r="Q150" s="17"/>
    </row>
    <row r="151" spans="1:17">
      <c r="A151" s="556" t="s">
        <v>1112</v>
      </c>
      <c r="B151" s="557" t="s">
        <v>1197</v>
      </c>
      <c r="C151" s="558" t="s">
        <v>1198</v>
      </c>
      <c r="D151" s="556" t="s">
        <v>1121</v>
      </c>
      <c r="E151" s="17" t="s">
        <v>3083</v>
      </c>
      <c r="F151" s="17">
        <v>20</v>
      </c>
      <c r="G151" s="17">
        <v>3</v>
      </c>
      <c r="H151" s="17" t="s">
        <v>3412</v>
      </c>
      <c r="I151" s="17"/>
      <c r="J151" s="17"/>
      <c r="K151" s="17"/>
      <c r="L151" s="17"/>
      <c r="M151" s="17"/>
      <c r="N151" s="17"/>
      <c r="O151" s="17"/>
      <c r="P151" s="17"/>
      <c r="Q151" s="17"/>
    </row>
    <row r="152" spans="1:17">
      <c r="A152" s="556" t="s">
        <v>1112</v>
      </c>
      <c r="B152" s="557" t="s">
        <v>1197</v>
      </c>
      <c r="C152" s="558" t="s">
        <v>1198</v>
      </c>
      <c r="D152" s="556" t="s">
        <v>3093</v>
      </c>
      <c r="E152" s="17" t="s">
        <v>3113</v>
      </c>
      <c r="F152" s="17">
        <v>20</v>
      </c>
      <c r="G152" s="17">
        <v>4</v>
      </c>
      <c r="H152" s="17" t="s">
        <v>3413</v>
      </c>
      <c r="I152" s="17"/>
      <c r="J152" s="17"/>
      <c r="K152" s="17"/>
      <c r="L152" s="17"/>
      <c r="M152" s="17"/>
      <c r="N152" s="17"/>
      <c r="O152" s="17"/>
      <c r="P152" s="17"/>
      <c r="Q152" s="17"/>
    </row>
    <row r="153" spans="1:17">
      <c r="A153" s="556" t="s">
        <v>1112</v>
      </c>
      <c r="B153" s="557" t="s">
        <v>1201</v>
      </c>
      <c r="C153" s="558" t="s">
        <v>1202</v>
      </c>
      <c r="D153" s="556" t="s">
        <v>1119</v>
      </c>
      <c r="E153" s="17" t="s">
        <v>3026</v>
      </c>
      <c r="F153" s="17">
        <v>21</v>
      </c>
      <c r="G153" s="17">
        <v>1</v>
      </c>
      <c r="H153" s="17" t="s">
        <v>3414</v>
      </c>
      <c r="I153" s="17"/>
      <c r="J153" s="17"/>
      <c r="K153" s="17"/>
      <c r="L153" s="17"/>
      <c r="M153" s="17"/>
      <c r="N153" s="17"/>
      <c r="O153" s="17"/>
      <c r="P153" s="17"/>
      <c r="Q153" s="17"/>
    </row>
    <row r="154" spans="1:17">
      <c r="A154" s="556" t="s">
        <v>1112</v>
      </c>
      <c r="B154" s="557" t="s">
        <v>1201</v>
      </c>
      <c r="C154" s="558" t="s">
        <v>1202</v>
      </c>
      <c r="D154" s="556" t="s">
        <v>1235</v>
      </c>
      <c r="E154" s="17" t="s">
        <v>3055</v>
      </c>
      <c r="F154" s="17">
        <v>21</v>
      </c>
      <c r="G154" s="17">
        <v>2</v>
      </c>
      <c r="H154" s="17" t="s">
        <v>3415</v>
      </c>
      <c r="I154" s="17"/>
      <c r="J154" s="17"/>
      <c r="K154" s="17"/>
      <c r="L154" s="17"/>
      <c r="M154" s="17"/>
      <c r="N154" s="17"/>
      <c r="O154" s="17"/>
      <c r="P154" s="17"/>
      <c r="Q154" s="17"/>
    </row>
    <row r="155" spans="1:17">
      <c r="A155" s="556" t="s">
        <v>1112</v>
      </c>
      <c r="B155" s="557" t="s">
        <v>1201</v>
      </c>
      <c r="C155" s="558" t="s">
        <v>1202</v>
      </c>
      <c r="D155" s="556" t="s">
        <v>1121</v>
      </c>
      <c r="E155" s="17" t="s">
        <v>3084</v>
      </c>
      <c r="F155" s="17">
        <v>21</v>
      </c>
      <c r="G155" s="17">
        <v>3</v>
      </c>
      <c r="H155" s="17" t="s">
        <v>3416</v>
      </c>
      <c r="I155" s="17"/>
      <c r="J155" s="17"/>
      <c r="K155" s="17"/>
      <c r="L155" s="17"/>
      <c r="M155" s="17"/>
      <c r="N155" s="17"/>
      <c r="O155" s="17"/>
      <c r="P155" s="17"/>
      <c r="Q155" s="17"/>
    </row>
    <row r="156" spans="1:17">
      <c r="A156" s="556" t="s">
        <v>1112</v>
      </c>
      <c r="B156" s="557" t="s">
        <v>1201</v>
      </c>
      <c r="C156" s="558" t="s">
        <v>1202</v>
      </c>
      <c r="D156" s="556" t="s">
        <v>3093</v>
      </c>
      <c r="E156" s="17" t="s">
        <v>3114</v>
      </c>
      <c r="F156" s="17">
        <v>21</v>
      </c>
      <c r="G156" s="17">
        <v>4</v>
      </c>
      <c r="H156" s="17" t="s">
        <v>3417</v>
      </c>
      <c r="I156" s="17"/>
      <c r="J156" s="17"/>
      <c r="K156" s="17"/>
      <c r="L156" s="17"/>
      <c r="M156" s="17"/>
      <c r="N156" s="17"/>
      <c r="O156" s="17"/>
      <c r="P156" s="17"/>
      <c r="Q156" s="17"/>
    </row>
    <row r="157" spans="1:17">
      <c r="A157" s="556" t="s">
        <v>1112</v>
      </c>
      <c r="B157" s="557" t="s">
        <v>1205</v>
      </c>
      <c r="C157" s="558" t="s">
        <v>1246</v>
      </c>
      <c r="D157" s="556" t="s">
        <v>1119</v>
      </c>
      <c r="E157" s="17" t="s">
        <v>3027</v>
      </c>
      <c r="F157" s="17">
        <v>22</v>
      </c>
      <c r="G157" s="17">
        <v>1</v>
      </c>
      <c r="H157" s="17" t="s">
        <v>3418</v>
      </c>
      <c r="I157" s="17"/>
      <c r="J157" s="17"/>
      <c r="K157" s="17"/>
      <c r="L157" s="17"/>
      <c r="M157" s="17"/>
      <c r="N157" s="17"/>
      <c r="O157" s="17"/>
      <c r="P157" s="17"/>
      <c r="Q157" s="17"/>
    </row>
    <row r="158" spans="1:17">
      <c r="A158" s="556" t="s">
        <v>1112</v>
      </c>
      <c r="B158" s="557" t="s">
        <v>1205</v>
      </c>
      <c r="C158" s="558" t="s">
        <v>1246</v>
      </c>
      <c r="D158" s="556" t="s">
        <v>1235</v>
      </c>
      <c r="E158" s="17" t="s">
        <v>3056</v>
      </c>
      <c r="F158" s="17">
        <v>22</v>
      </c>
      <c r="G158" s="17">
        <v>2</v>
      </c>
      <c r="H158" s="17" t="s">
        <v>3419</v>
      </c>
      <c r="I158" s="17"/>
      <c r="J158" s="17"/>
      <c r="K158" s="17"/>
      <c r="L158" s="17"/>
      <c r="M158" s="17"/>
      <c r="N158" s="17"/>
      <c r="O158" s="17"/>
      <c r="P158" s="17"/>
      <c r="Q158" s="17"/>
    </row>
    <row r="159" spans="1:17">
      <c r="A159" s="556" t="s">
        <v>1112</v>
      </c>
      <c r="B159" s="557" t="s">
        <v>1205</v>
      </c>
      <c r="C159" s="558" t="s">
        <v>1246</v>
      </c>
      <c r="D159" s="556" t="s">
        <v>1121</v>
      </c>
      <c r="E159" s="17" t="s">
        <v>3085</v>
      </c>
      <c r="F159" s="17">
        <v>22</v>
      </c>
      <c r="G159" s="17">
        <v>3</v>
      </c>
      <c r="H159" s="17" t="s">
        <v>3420</v>
      </c>
      <c r="I159" s="17"/>
      <c r="J159" s="17"/>
      <c r="K159" s="17"/>
      <c r="L159" s="17"/>
      <c r="M159" s="17"/>
      <c r="N159" s="17"/>
      <c r="O159" s="17"/>
      <c r="P159" s="17"/>
      <c r="Q159" s="17"/>
    </row>
    <row r="160" spans="1:17">
      <c r="A160" s="556" t="s">
        <v>1112</v>
      </c>
      <c r="B160" s="557" t="s">
        <v>1205</v>
      </c>
      <c r="C160" s="558" t="s">
        <v>1246</v>
      </c>
      <c r="D160" s="556" t="s">
        <v>3093</v>
      </c>
      <c r="E160" s="17" t="s">
        <v>3115</v>
      </c>
      <c r="F160" s="17">
        <v>22</v>
      </c>
      <c r="G160" s="17">
        <v>4</v>
      </c>
      <c r="H160" s="17" t="s">
        <v>3421</v>
      </c>
      <c r="I160" s="17"/>
      <c r="J160" s="17"/>
      <c r="K160" s="17"/>
      <c r="L160" s="17"/>
      <c r="M160" s="17"/>
      <c r="N160" s="17"/>
      <c r="O160" s="17"/>
      <c r="P160" s="17"/>
      <c r="Q160" s="17"/>
    </row>
    <row r="161" spans="1:17">
      <c r="A161" s="556" t="s">
        <v>1112</v>
      </c>
      <c r="B161" s="557" t="s">
        <v>1209</v>
      </c>
      <c r="C161" s="558" t="s">
        <v>1247</v>
      </c>
      <c r="D161" s="556" t="s">
        <v>1119</v>
      </c>
      <c r="E161" s="17" t="s">
        <v>3028</v>
      </c>
      <c r="F161" s="17">
        <v>23</v>
      </c>
      <c r="G161" s="17">
        <v>1</v>
      </c>
      <c r="H161" s="17" t="s">
        <v>3422</v>
      </c>
      <c r="I161" s="17"/>
      <c r="J161" s="17"/>
      <c r="K161" s="17"/>
      <c r="L161" s="17"/>
      <c r="M161" s="17"/>
      <c r="N161" s="17"/>
      <c r="O161" s="17"/>
      <c r="P161" s="17"/>
      <c r="Q161" s="17"/>
    </row>
    <row r="162" spans="1:17">
      <c r="A162" s="556" t="s">
        <v>1112</v>
      </c>
      <c r="B162" s="557" t="s">
        <v>1209</v>
      </c>
      <c r="C162" s="558" t="s">
        <v>1247</v>
      </c>
      <c r="D162" s="556" t="s">
        <v>1235</v>
      </c>
      <c r="E162" s="17" t="s">
        <v>3057</v>
      </c>
      <c r="F162" s="17">
        <v>23</v>
      </c>
      <c r="G162" s="17">
        <v>2</v>
      </c>
      <c r="H162" s="17" t="s">
        <v>3423</v>
      </c>
      <c r="I162" s="17"/>
      <c r="J162" s="17"/>
      <c r="K162" s="17"/>
      <c r="L162" s="17"/>
      <c r="M162" s="17"/>
      <c r="N162" s="17"/>
      <c r="O162" s="17"/>
      <c r="P162" s="17"/>
      <c r="Q162" s="17"/>
    </row>
    <row r="163" spans="1:17">
      <c r="A163" s="556" t="s">
        <v>1112</v>
      </c>
      <c r="B163" s="557" t="s">
        <v>1209</v>
      </c>
      <c r="C163" s="558" t="s">
        <v>1247</v>
      </c>
      <c r="D163" s="556" t="s">
        <v>1121</v>
      </c>
      <c r="E163" s="17" t="s">
        <v>3086</v>
      </c>
      <c r="F163" s="17">
        <v>23</v>
      </c>
      <c r="G163" s="17">
        <v>3</v>
      </c>
      <c r="H163" s="17" t="s">
        <v>3424</v>
      </c>
      <c r="I163" s="17"/>
      <c r="J163" s="17"/>
      <c r="K163" s="17"/>
      <c r="L163" s="17"/>
      <c r="M163" s="17"/>
      <c r="N163" s="17"/>
      <c r="O163" s="17"/>
      <c r="P163" s="17"/>
      <c r="Q163" s="17"/>
    </row>
    <row r="164" spans="1:17">
      <c r="A164" s="556" t="s">
        <v>1112</v>
      </c>
      <c r="B164" s="557" t="s">
        <v>1209</v>
      </c>
      <c r="C164" s="558" t="s">
        <v>1247</v>
      </c>
      <c r="D164" s="556" t="s">
        <v>3093</v>
      </c>
      <c r="E164" s="17" t="s">
        <v>3116</v>
      </c>
      <c r="F164" s="17">
        <v>23</v>
      </c>
      <c r="G164" s="17">
        <v>4</v>
      </c>
      <c r="H164" s="17" t="s">
        <v>3425</v>
      </c>
      <c r="I164" s="17"/>
      <c r="J164" s="17"/>
      <c r="K164" s="17"/>
      <c r="L164" s="17"/>
      <c r="M164" s="17"/>
      <c r="N164" s="17"/>
      <c r="O164" s="17"/>
      <c r="P164" s="17"/>
      <c r="Q164" s="17"/>
    </row>
    <row r="165" spans="1:17">
      <c r="A165" s="556" t="s">
        <v>1112</v>
      </c>
      <c r="B165" s="557" t="s">
        <v>1213</v>
      </c>
      <c r="C165" s="558" t="s">
        <v>1214</v>
      </c>
      <c r="D165" s="556" t="s">
        <v>1119</v>
      </c>
      <c r="E165" s="17" t="s">
        <v>3029</v>
      </c>
      <c r="F165" s="17">
        <v>24</v>
      </c>
      <c r="G165" s="17">
        <v>1</v>
      </c>
      <c r="H165" s="17" t="s">
        <v>3426</v>
      </c>
      <c r="I165" s="17"/>
      <c r="J165" s="17"/>
      <c r="K165" s="17"/>
      <c r="L165" s="17"/>
      <c r="M165" s="17"/>
      <c r="N165" s="17"/>
      <c r="O165" s="17"/>
      <c r="P165" s="17"/>
      <c r="Q165" s="17"/>
    </row>
    <row r="166" spans="1:17">
      <c r="A166" s="556" t="s">
        <v>1112</v>
      </c>
      <c r="B166" s="557" t="s">
        <v>1213</v>
      </c>
      <c r="C166" s="558" t="s">
        <v>1214</v>
      </c>
      <c r="D166" s="556" t="s">
        <v>1235</v>
      </c>
      <c r="E166" s="17" t="s">
        <v>3058</v>
      </c>
      <c r="F166" s="17">
        <v>24</v>
      </c>
      <c r="G166" s="17">
        <v>2</v>
      </c>
      <c r="H166" s="17" t="s">
        <v>3427</v>
      </c>
      <c r="I166" s="17"/>
      <c r="J166" s="17"/>
      <c r="K166" s="17"/>
      <c r="L166" s="17"/>
      <c r="M166" s="17"/>
      <c r="N166" s="17"/>
      <c r="O166" s="17"/>
      <c r="P166" s="17"/>
      <c r="Q166" s="17"/>
    </row>
    <row r="167" spans="1:17">
      <c r="A167" s="556" t="s">
        <v>1112</v>
      </c>
      <c r="B167" s="557" t="s">
        <v>1213</v>
      </c>
      <c r="C167" s="558" t="s">
        <v>1214</v>
      </c>
      <c r="D167" s="556" t="s">
        <v>1121</v>
      </c>
      <c r="E167" s="17" t="s">
        <v>3087</v>
      </c>
      <c r="F167" s="17">
        <v>24</v>
      </c>
      <c r="G167" s="17">
        <v>3</v>
      </c>
      <c r="H167" s="17" t="s">
        <v>3428</v>
      </c>
      <c r="I167" s="17"/>
      <c r="J167" s="17"/>
      <c r="K167" s="17"/>
      <c r="L167" s="17"/>
      <c r="M167" s="17"/>
      <c r="N167" s="17"/>
      <c r="O167" s="17"/>
      <c r="P167" s="17"/>
      <c r="Q167" s="17"/>
    </row>
    <row r="168" spans="1:17">
      <c r="A168" s="556" t="s">
        <v>1112</v>
      </c>
      <c r="B168" s="557" t="s">
        <v>1213</v>
      </c>
      <c r="C168" s="558" t="s">
        <v>1214</v>
      </c>
      <c r="D168" s="556" t="s">
        <v>3093</v>
      </c>
      <c r="E168" s="17" t="s">
        <v>3117</v>
      </c>
      <c r="F168" s="17">
        <v>24</v>
      </c>
      <c r="G168" s="17">
        <v>4</v>
      </c>
      <c r="H168" s="17" t="s">
        <v>3429</v>
      </c>
      <c r="I168" s="17"/>
      <c r="J168" s="17"/>
      <c r="K168" s="17"/>
      <c r="L168" s="17"/>
      <c r="M168" s="17"/>
      <c r="N168" s="17"/>
      <c r="O168" s="17"/>
      <c r="P168" s="17"/>
      <c r="Q168" s="17"/>
    </row>
    <row r="169" spans="1:17">
      <c r="A169" s="556" t="s">
        <v>1112</v>
      </c>
      <c r="B169" s="557" t="s">
        <v>1215</v>
      </c>
      <c r="C169" s="558" t="s">
        <v>1216</v>
      </c>
      <c r="D169" s="556" t="s">
        <v>1119</v>
      </c>
      <c r="E169" s="17" t="s">
        <v>3030</v>
      </c>
      <c r="F169" s="17">
        <v>25</v>
      </c>
      <c r="G169" s="17">
        <v>1</v>
      </c>
      <c r="H169" s="17" t="s">
        <v>3430</v>
      </c>
      <c r="I169" s="17"/>
      <c r="J169" s="17"/>
      <c r="K169" s="17"/>
      <c r="L169" s="17"/>
      <c r="M169" s="17"/>
      <c r="N169" s="17"/>
      <c r="O169" s="17"/>
      <c r="P169" s="17"/>
      <c r="Q169" s="17"/>
    </row>
    <row r="170" spans="1:17">
      <c r="A170" s="556" t="s">
        <v>1112</v>
      </c>
      <c r="B170" s="557" t="s">
        <v>1215</v>
      </c>
      <c r="C170" s="558" t="s">
        <v>1216</v>
      </c>
      <c r="D170" s="556" t="s">
        <v>1235</v>
      </c>
      <c r="E170" s="17" t="s">
        <v>3059</v>
      </c>
      <c r="F170" s="17">
        <v>25</v>
      </c>
      <c r="G170" s="17">
        <v>2</v>
      </c>
      <c r="H170" s="17" t="s">
        <v>3431</v>
      </c>
      <c r="I170" s="17"/>
      <c r="J170" s="17"/>
      <c r="K170" s="17"/>
      <c r="L170" s="17"/>
      <c r="M170" s="17"/>
      <c r="N170" s="17"/>
      <c r="O170" s="17"/>
      <c r="P170" s="17"/>
      <c r="Q170" s="17"/>
    </row>
    <row r="171" spans="1:17">
      <c r="A171" s="556" t="s">
        <v>1112</v>
      </c>
      <c r="B171" s="557" t="s">
        <v>1215</v>
      </c>
      <c r="C171" s="558" t="s">
        <v>1216</v>
      </c>
      <c r="D171" s="556" t="s">
        <v>1121</v>
      </c>
      <c r="E171" s="17" t="s">
        <v>3088</v>
      </c>
      <c r="F171" s="17">
        <v>25</v>
      </c>
      <c r="G171" s="17">
        <v>3</v>
      </c>
      <c r="H171" s="17" t="s">
        <v>3432</v>
      </c>
      <c r="I171" s="17"/>
      <c r="J171" s="17"/>
      <c r="K171" s="17"/>
      <c r="L171" s="17"/>
      <c r="M171" s="17"/>
      <c r="N171" s="17"/>
      <c r="O171" s="17"/>
      <c r="P171" s="17"/>
      <c r="Q171" s="17"/>
    </row>
    <row r="172" spans="1:17">
      <c r="A172" s="556" t="s">
        <v>1112</v>
      </c>
      <c r="B172" s="557" t="s">
        <v>1215</v>
      </c>
      <c r="C172" s="558" t="s">
        <v>1216</v>
      </c>
      <c r="D172" s="556" t="s">
        <v>3093</v>
      </c>
      <c r="E172" s="17" t="s">
        <v>3118</v>
      </c>
      <c r="F172" s="17">
        <v>25</v>
      </c>
      <c r="G172" s="17">
        <v>4</v>
      </c>
      <c r="H172" s="17" t="s">
        <v>3433</v>
      </c>
      <c r="I172" s="17"/>
      <c r="J172" s="17"/>
      <c r="K172" s="17"/>
      <c r="L172" s="17"/>
      <c r="M172" s="17"/>
      <c r="N172" s="17"/>
      <c r="O172" s="17"/>
      <c r="P172" s="17"/>
      <c r="Q172" s="17"/>
    </row>
    <row r="173" spans="1:17">
      <c r="A173" s="556" t="s">
        <v>1112</v>
      </c>
      <c r="B173" s="557" t="s">
        <v>1219</v>
      </c>
      <c r="C173" s="558" t="s">
        <v>1220</v>
      </c>
      <c r="D173" s="556" t="s">
        <v>1119</v>
      </c>
      <c r="E173" s="17" t="s">
        <v>3031</v>
      </c>
      <c r="F173" s="17">
        <v>26</v>
      </c>
      <c r="G173" s="17">
        <v>1</v>
      </c>
      <c r="H173" s="17" t="s">
        <v>3434</v>
      </c>
      <c r="I173" s="17"/>
      <c r="J173" s="17"/>
      <c r="K173" s="17"/>
      <c r="L173" s="17"/>
      <c r="M173" s="17"/>
      <c r="N173" s="17"/>
      <c r="O173" s="17"/>
      <c r="P173" s="17"/>
      <c r="Q173" s="17"/>
    </row>
    <row r="174" spans="1:17">
      <c r="A174" s="556" t="s">
        <v>1112</v>
      </c>
      <c r="B174" s="557" t="s">
        <v>1219</v>
      </c>
      <c r="C174" s="558" t="s">
        <v>1220</v>
      </c>
      <c r="D174" s="556" t="s">
        <v>1235</v>
      </c>
      <c r="E174" s="17" t="s">
        <v>3060</v>
      </c>
      <c r="F174" s="17">
        <v>26</v>
      </c>
      <c r="G174" s="17">
        <v>2</v>
      </c>
      <c r="H174" s="17" t="s">
        <v>3435</v>
      </c>
      <c r="I174" s="17"/>
      <c r="J174" s="17"/>
      <c r="K174" s="17"/>
      <c r="L174" s="17"/>
      <c r="M174" s="17"/>
      <c r="N174" s="17"/>
      <c r="O174" s="17"/>
      <c r="P174" s="17"/>
      <c r="Q174" s="17"/>
    </row>
    <row r="175" spans="1:17">
      <c r="A175" s="556" t="s">
        <v>1112</v>
      </c>
      <c r="B175" s="557" t="s">
        <v>1219</v>
      </c>
      <c r="C175" s="558" t="s">
        <v>1220</v>
      </c>
      <c r="D175" s="556" t="s">
        <v>1121</v>
      </c>
      <c r="E175" s="17" t="s">
        <v>3089</v>
      </c>
      <c r="F175" s="17">
        <v>26</v>
      </c>
      <c r="G175" s="17">
        <v>3</v>
      </c>
      <c r="H175" s="17" t="s">
        <v>3436</v>
      </c>
      <c r="I175" s="17"/>
      <c r="J175" s="17"/>
      <c r="K175" s="17"/>
      <c r="L175" s="17"/>
      <c r="M175" s="17"/>
      <c r="N175" s="17"/>
      <c r="O175" s="17"/>
      <c r="P175" s="17"/>
      <c r="Q175" s="17"/>
    </row>
    <row r="176" spans="1:17">
      <c r="A176" s="556" t="s">
        <v>1112</v>
      </c>
      <c r="B176" s="557" t="s">
        <v>1219</v>
      </c>
      <c r="C176" s="558" t="s">
        <v>1220</v>
      </c>
      <c r="D176" s="556" t="s">
        <v>3093</v>
      </c>
      <c r="E176" s="17" t="s">
        <v>3119</v>
      </c>
      <c r="F176" s="17">
        <v>26</v>
      </c>
      <c r="G176" s="17">
        <v>4</v>
      </c>
      <c r="H176" s="17" t="s">
        <v>3437</v>
      </c>
      <c r="I176" s="17"/>
      <c r="J176" s="17"/>
      <c r="K176" s="17"/>
      <c r="L176" s="17"/>
      <c r="M176" s="17"/>
      <c r="N176" s="17"/>
      <c r="O176" s="17"/>
      <c r="P176" s="17"/>
      <c r="Q176" s="17"/>
    </row>
    <row r="177" spans="1:17">
      <c r="A177" s="556" t="s">
        <v>1112</v>
      </c>
      <c r="B177" s="557" t="s">
        <v>1223</v>
      </c>
      <c r="C177" s="558" t="s">
        <v>1248</v>
      </c>
      <c r="D177" s="556" t="s">
        <v>1119</v>
      </c>
      <c r="E177" s="17" t="s">
        <v>3032</v>
      </c>
      <c r="F177" s="17">
        <v>27</v>
      </c>
      <c r="G177" s="17">
        <v>1</v>
      </c>
      <c r="H177" s="17" t="s">
        <v>3438</v>
      </c>
      <c r="I177" s="17"/>
      <c r="J177" s="17"/>
      <c r="K177" s="17"/>
      <c r="L177" s="17"/>
      <c r="M177" s="17"/>
      <c r="N177" s="17"/>
      <c r="O177" s="17"/>
      <c r="P177" s="17"/>
      <c r="Q177" s="17"/>
    </row>
    <row r="178" spans="1:17">
      <c r="A178" s="556" t="s">
        <v>1112</v>
      </c>
      <c r="B178" s="557" t="s">
        <v>1223</v>
      </c>
      <c r="C178" s="558" t="s">
        <v>1248</v>
      </c>
      <c r="D178" s="556" t="s">
        <v>1235</v>
      </c>
      <c r="E178" s="17" t="s">
        <v>3061</v>
      </c>
      <c r="F178" s="17">
        <v>27</v>
      </c>
      <c r="G178" s="17">
        <v>2</v>
      </c>
      <c r="H178" s="17" t="s">
        <v>3439</v>
      </c>
      <c r="I178" s="17"/>
      <c r="J178" s="17"/>
      <c r="K178" s="17"/>
      <c r="L178" s="17"/>
      <c r="M178" s="17"/>
      <c r="N178" s="17"/>
      <c r="O178" s="17"/>
      <c r="P178" s="17"/>
      <c r="Q178" s="17"/>
    </row>
    <row r="179" spans="1:17">
      <c r="A179" s="556" t="s">
        <v>1112</v>
      </c>
      <c r="B179" s="557" t="s">
        <v>1223</v>
      </c>
      <c r="C179" s="558" t="s">
        <v>1248</v>
      </c>
      <c r="D179" s="556" t="s">
        <v>1121</v>
      </c>
      <c r="E179" s="17" t="s">
        <v>3090</v>
      </c>
      <c r="F179" s="17">
        <v>27</v>
      </c>
      <c r="G179" s="17">
        <v>3</v>
      </c>
      <c r="H179" s="17" t="s">
        <v>3440</v>
      </c>
      <c r="I179" s="84"/>
      <c r="J179" s="17"/>
      <c r="K179" s="17"/>
      <c r="L179" s="17"/>
      <c r="M179" s="17"/>
      <c r="N179" s="17"/>
      <c r="O179" s="17"/>
      <c r="P179" s="17"/>
      <c r="Q179" s="17"/>
    </row>
    <row r="180" spans="1:17">
      <c r="A180" s="556" t="s">
        <v>1112</v>
      </c>
      <c r="B180" s="557" t="s">
        <v>1223</v>
      </c>
      <c r="C180" s="558" t="s">
        <v>1248</v>
      </c>
      <c r="D180" s="556" t="s">
        <v>3093</v>
      </c>
      <c r="E180" s="17" t="s">
        <v>3120</v>
      </c>
      <c r="F180" s="17">
        <v>27</v>
      </c>
      <c r="G180" s="17">
        <v>4</v>
      </c>
      <c r="H180" s="17" t="s">
        <v>3441</v>
      </c>
      <c r="I180" s="17"/>
      <c r="J180" s="17"/>
      <c r="K180" s="17"/>
      <c r="L180" s="17"/>
      <c r="M180" s="17"/>
      <c r="N180" s="17"/>
      <c r="O180" s="17"/>
      <c r="P180" s="17"/>
      <c r="Q180" s="17"/>
    </row>
    <row r="181" spans="1:17">
      <c r="A181" s="556" t="s">
        <v>1112</v>
      </c>
      <c r="B181" s="557" t="s">
        <v>1227</v>
      </c>
      <c r="C181" s="558" t="s">
        <v>1228</v>
      </c>
      <c r="D181" s="556" t="s">
        <v>1119</v>
      </c>
      <c r="E181" s="17" t="s">
        <v>3033</v>
      </c>
      <c r="F181" s="17">
        <v>28</v>
      </c>
      <c r="G181" s="17">
        <v>1</v>
      </c>
      <c r="H181" s="17" t="s">
        <v>3442</v>
      </c>
      <c r="I181" s="17"/>
      <c r="J181" s="17"/>
      <c r="K181" s="17"/>
      <c r="L181" s="17"/>
      <c r="M181" s="17"/>
      <c r="N181" s="17"/>
      <c r="O181" s="17"/>
      <c r="P181" s="17"/>
      <c r="Q181" s="17"/>
    </row>
    <row r="182" spans="1:17">
      <c r="A182" s="556" t="s">
        <v>1112</v>
      </c>
      <c r="B182" s="557" t="s">
        <v>1227</v>
      </c>
      <c r="C182" s="558" t="s">
        <v>1228</v>
      </c>
      <c r="D182" s="556" t="s">
        <v>1235</v>
      </c>
      <c r="E182" s="17" t="s">
        <v>3062</v>
      </c>
      <c r="F182" s="17">
        <v>28</v>
      </c>
      <c r="G182" s="17">
        <v>2</v>
      </c>
      <c r="H182" s="84" t="s">
        <v>3443</v>
      </c>
      <c r="I182" s="84"/>
      <c r="J182" s="17"/>
      <c r="K182" s="17"/>
      <c r="L182" s="17"/>
      <c r="M182" s="17"/>
      <c r="N182" s="17"/>
      <c r="O182" s="17"/>
      <c r="P182" s="17"/>
      <c r="Q182" s="17"/>
    </row>
    <row r="183" spans="1:17">
      <c r="A183" s="556" t="s">
        <v>1112</v>
      </c>
      <c r="B183" s="557" t="s">
        <v>1227</v>
      </c>
      <c r="C183" s="558" t="s">
        <v>1228</v>
      </c>
      <c r="D183" s="556" t="s">
        <v>1121</v>
      </c>
      <c r="E183" s="17" t="s">
        <v>3091</v>
      </c>
      <c r="F183" s="17">
        <v>28</v>
      </c>
      <c r="G183" s="17">
        <v>3</v>
      </c>
      <c r="H183" s="17" t="s">
        <v>3444</v>
      </c>
      <c r="I183" s="17"/>
      <c r="J183" s="17"/>
      <c r="K183" s="17"/>
      <c r="L183" s="17"/>
      <c r="M183" s="17"/>
      <c r="N183" s="17"/>
      <c r="O183" s="17"/>
      <c r="P183" s="17"/>
      <c r="Q183" s="17"/>
    </row>
    <row r="184" spans="1:17">
      <c r="A184" s="556" t="s">
        <v>1112</v>
      </c>
      <c r="B184" s="557" t="s">
        <v>1227</v>
      </c>
      <c r="C184" s="558" t="s">
        <v>1228</v>
      </c>
      <c r="D184" s="556" t="s">
        <v>3093</v>
      </c>
      <c r="E184" s="17" t="s">
        <v>3121</v>
      </c>
      <c r="F184" s="17">
        <v>28</v>
      </c>
      <c r="G184" s="17">
        <v>4</v>
      </c>
      <c r="H184" s="17" t="s">
        <v>3445</v>
      </c>
      <c r="I184" s="17"/>
      <c r="J184" s="17"/>
      <c r="K184" s="17"/>
      <c r="L184" s="17"/>
      <c r="M184" s="17"/>
      <c r="N184" s="17"/>
      <c r="O184" s="17"/>
      <c r="P184" s="17"/>
      <c r="Q184" s="17"/>
    </row>
    <row r="185" spans="1:17">
      <c r="A185" s="556" t="s">
        <v>1112</v>
      </c>
      <c r="B185" s="557" t="s">
        <v>1231</v>
      </c>
      <c r="C185" s="558" t="s">
        <v>1232</v>
      </c>
      <c r="D185" s="556" t="s">
        <v>1119</v>
      </c>
      <c r="E185" s="17" t="s">
        <v>3034</v>
      </c>
      <c r="F185" s="17">
        <v>29</v>
      </c>
      <c r="G185" s="17">
        <v>1</v>
      </c>
      <c r="H185" s="17" t="s">
        <v>3446</v>
      </c>
      <c r="I185" s="84"/>
      <c r="J185" s="17"/>
      <c r="K185" s="17"/>
      <c r="L185" s="17"/>
      <c r="M185" s="17"/>
      <c r="N185" s="17"/>
      <c r="O185" s="17"/>
      <c r="P185" s="17"/>
      <c r="Q185" s="17"/>
    </row>
    <row r="186" spans="1:17">
      <c r="A186" s="556" t="s">
        <v>1112</v>
      </c>
      <c r="B186" s="557" t="s">
        <v>1231</v>
      </c>
      <c r="C186" s="558" t="s">
        <v>1232</v>
      </c>
      <c r="D186" s="556" t="s">
        <v>1235</v>
      </c>
      <c r="E186" s="17" t="s">
        <v>3063</v>
      </c>
      <c r="F186" s="17">
        <v>29</v>
      </c>
      <c r="G186" s="17">
        <v>2</v>
      </c>
      <c r="H186" s="17" t="s">
        <v>3447</v>
      </c>
      <c r="I186" s="17"/>
      <c r="J186" s="17"/>
      <c r="K186" s="17"/>
      <c r="L186" s="17"/>
      <c r="M186" s="17"/>
      <c r="N186" s="17"/>
      <c r="O186" s="17"/>
      <c r="P186" s="17"/>
      <c r="Q186" s="17"/>
    </row>
    <row r="187" spans="1:17">
      <c r="A187" s="556" t="s">
        <v>1112</v>
      </c>
      <c r="B187" s="557" t="s">
        <v>1231</v>
      </c>
      <c r="C187" s="558" t="s">
        <v>1232</v>
      </c>
      <c r="D187" s="556" t="s">
        <v>1121</v>
      </c>
      <c r="E187" s="17" t="s">
        <v>3092</v>
      </c>
      <c r="F187" s="17">
        <v>29</v>
      </c>
      <c r="G187" s="17">
        <v>3</v>
      </c>
      <c r="H187" s="17" t="s">
        <v>3448</v>
      </c>
      <c r="I187" s="84"/>
      <c r="J187" s="17"/>
      <c r="K187" s="17"/>
      <c r="L187" s="17"/>
      <c r="M187" s="17"/>
      <c r="N187" s="17"/>
      <c r="O187" s="17"/>
      <c r="P187" s="17"/>
      <c r="Q187" s="17"/>
    </row>
    <row r="188" spans="1:17">
      <c r="A188" s="556" t="s">
        <v>1112</v>
      </c>
      <c r="B188" s="557" t="s">
        <v>1231</v>
      </c>
      <c r="C188" s="558" t="s">
        <v>1232</v>
      </c>
      <c r="D188" s="556" t="s">
        <v>3093</v>
      </c>
      <c r="E188" s="17" t="s">
        <v>3122</v>
      </c>
      <c r="F188" s="17">
        <v>29</v>
      </c>
      <c r="G188" s="17">
        <v>4</v>
      </c>
      <c r="H188" s="17" t="s">
        <v>3449</v>
      </c>
      <c r="I188" s="17"/>
      <c r="J188" s="17"/>
      <c r="K188" s="17"/>
      <c r="L188" s="17"/>
      <c r="M188" s="17"/>
      <c r="N188" s="17"/>
      <c r="O188" s="17"/>
      <c r="P188" s="17"/>
      <c r="Q188" s="17"/>
    </row>
    <row r="189" spans="1:17">
      <c r="A189" s="556" t="s">
        <v>1116</v>
      </c>
      <c r="B189" s="557" t="s">
        <v>1124</v>
      </c>
      <c r="C189" s="558" t="s">
        <v>1125</v>
      </c>
      <c r="D189" s="556" t="s">
        <v>1121</v>
      </c>
      <c r="E189" s="17" t="s">
        <v>3123</v>
      </c>
      <c r="F189" s="17">
        <v>1</v>
      </c>
      <c r="G189" s="17">
        <v>1</v>
      </c>
      <c r="H189" s="17" t="s">
        <v>2991</v>
      </c>
      <c r="I189" s="17"/>
      <c r="J189" s="17"/>
      <c r="K189" s="17"/>
      <c r="L189" s="17"/>
      <c r="M189" s="17"/>
      <c r="N189" s="17"/>
      <c r="O189" s="17"/>
      <c r="P189" s="17"/>
      <c r="Q189" s="17"/>
    </row>
    <row r="190" spans="1:17">
      <c r="A190" s="556" t="s">
        <v>1116</v>
      </c>
      <c r="B190" s="569" t="s">
        <v>1124</v>
      </c>
      <c r="C190" s="558" t="s">
        <v>1125</v>
      </c>
      <c r="D190" s="556" t="s">
        <v>3093</v>
      </c>
      <c r="E190" s="17" t="s">
        <v>3151</v>
      </c>
      <c r="F190" s="17">
        <v>1</v>
      </c>
      <c r="G190" s="17">
        <v>2</v>
      </c>
      <c r="H190" s="17" t="s">
        <v>2992</v>
      </c>
      <c r="I190" s="17"/>
      <c r="J190" s="17"/>
      <c r="K190" s="17"/>
      <c r="L190" s="17"/>
      <c r="M190" s="17"/>
      <c r="N190" s="17"/>
      <c r="O190" s="17"/>
      <c r="P190" s="17"/>
      <c r="Q190" s="17"/>
    </row>
    <row r="191" spans="1:17">
      <c r="A191" s="556" t="s">
        <v>1116</v>
      </c>
      <c r="B191" s="557" t="s">
        <v>1128</v>
      </c>
      <c r="C191" s="558" t="s">
        <v>1129</v>
      </c>
      <c r="D191" s="556" t="s">
        <v>1121</v>
      </c>
      <c r="E191" s="17" t="s">
        <v>3124</v>
      </c>
      <c r="F191" s="17">
        <v>2</v>
      </c>
      <c r="G191" s="17">
        <v>1</v>
      </c>
      <c r="H191" s="17" t="s">
        <v>3341</v>
      </c>
      <c r="I191" s="17"/>
      <c r="J191" s="17"/>
      <c r="K191" s="17"/>
      <c r="L191" s="17"/>
      <c r="M191" s="17"/>
      <c r="N191" s="17"/>
      <c r="O191" s="17"/>
      <c r="P191" s="17"/>
      <c r="Q191" s="17"/>
    </row>
    <row r="192" spans="1:17">
      <c r="A192" s="556" t="s">
        <v>1116</v>
      </c>
      <c r="B192" s="557" t="s">
        <v>1128</v>
      </c>
      <c r="C192" s="558" t="s">
        <v>1129</v>
      </c>
      <c r="D192" s="556" t="s">
        <v>3093</v>
      </c>
      <c r="E192" s="17" t="s">
        <v>3152</v>
      </c>
      <c r="F192" s="17">
        <v>2</v>
      </c>
      <c r="G192" s="17">
        <v>2</v>
      </c>
      <c r="H192" s="17" t="s">
        <v>3342</v>
      </c>
      <c r="I192" s="17"/>
      <c r="J192" s="17"/>
      <c r="K192" s="17"/>
      <c r="L192" s="17"/>
      <c r="M192" s="17"/>
      <c r="N192" s="17"/>
      <c r="O192" s="17"/>
      <c r="P192" s="17"/>
      <c r="Q192" s="17"/>
    </row>
    <row r="193" spans="1:17">
      <c r="A193" s="556" t="s">
        <v>1116</v>
      </c>
      <c r="B193" s="557" t="s">
        <v>1132</v>
      </c>
      <c r="C193" s="558" t="s">
        <v>1133</v>
      </c>
      <c r="D193" s="556" t="s">
        <v>1121</v>
      </c>
      <c r="E193" s="17" t="s">
        <v>3125</v>
      </c>
      <c r="F193" s="17">
        <v>3</v>
      </c>
      <c r="G193" s="17">
        <v>1</v>
      </c>
      <c r="H193" s="17" t="s">
        <v>3345</v>
      </c>
      <c r="I193" s="17"/>
      <c r="J193" s="17"/>
      <c r="K193" s="17"/>
      <c r="L193" s="17"/>
      <c r="M193" s="17"/>
      <c r="N193" s="17"/>
      <c r="O193" s="17"/>
      <c r="P193" s="17"/>
      <c r="Q193" s="17"/>
    </row>
    <row r="194" spans="1:17">
      <c r="A194" s="556" t="s">
        <v>1116</v>
      </c>
      <c r="B194" s="557" t="s">
        <v>1132</v>
      </c>
      <c r="C194" s="558" t="s">
        <v>1133</v>
      </c>
      <c r="D194" s="556" t="s">
        <v>3093</v>
      </c>
      <c r="E194" s="17" t="s">
        <v>3153</v>
      </c>
      <c r="F194" s="17">
        <v>3</v>
      </c>
      <c r="G194" s="17">
        <v>2</v>
      </c>
      <c r="H194" s="17" t="s">
        <v>3346</v>
      </c>
      <c r="I194" s="17"/>
      <c r="J194" s="17"/>
      <c r="K194" s="17"/>
      <c r="L194" s="17"/>
      <c r="M194" s="17"/>
      <c r="N194" s="17"/>
      <c r="O194" s="17"/>
      <c r="P194" s="17"/>
      <c r="Q194" s="17"/>
    </row>
    <row r="195" spans="1:17">
      <c r="A195" s="556" t="s">
        <v>1116</v>
      </c>
      <c r="B195" s="557" t="s">
        <v>1136</v>
      </c>
      <c r="C195" s="558" t="s">
        <v>1137</v>
      </c>
      <c r="D195" s="556" t="s">
        <v>1121</v>
      </c>
      <c r="E195" s="17" t="s">
        <v>3126</v>
      </c>
      <c r="F195" s="17">
        <v>4</v>
      </c>
      <c r="G195" s="17">
        <v>1</v>
      </c>
      <c r="H195" s="17" t="s">
        <v>3349</v>
      </c>
      <c r="I195" s="17"/>
      <c r="J195" s="17"/>
      <c r="K195" s="17"/>
      <c r="L195" s="17"/>
      <c r="M195" s="17"/>
      <c r="N195" s="17"/>
      <c r="O195" s="17"/>
      <c r="P195" s="17"/>
      <c r="Q195" s="17"/>
    </row>
    <row r="196" spans="1:17">
      <c r="A196" s="556" t="s">
        <v>1116</v>
      </c>
      <c r="B196" s="557" t="s">
        <v>1136</v>
      </c>
      <c r="C196" s="558" t="s">
        <v>1137</v>
      </c>
      <c r="D196" s="556" t="s">
        <v>3093</v>
      </c>
      <c r="E196" s="17" t="s">
        <v>3154</v>
      </c>
      <c r="F196" s="17">
        <v>4</v>
      </c>
      <c r="G196" s="17">
        <v>2</v>
      </c>
      <c r="H196" s="17" t="s">
        <v>3350</v>
      </c>
      <c r="I196" s="17"/>
      <c r="J196" s="17"/>
      <c r="K196" s="17"/>
      <c r="L196" s="17"/>
      <c r="M196" s="17"/>
      <c r="N196" s="17"/>
      <c r="O196" s="17"/>
      <c r="P196" s="17"/>
      <c r="Q196" s="17"/>
    </row>
    <row r="197" spans="1:17">
      <c r="A197" s="556" t="s">
        <v>1116</v>
      </c>
      <c r="B197" s="557" t="s">
        <v>1141</v>
      </c>
      <c r="C197" s="558" t="s">
        <v>1142</v>
      </c>
      <c r="D197" s="556" t="s">
        <v>1121</v>
      </c>
      <c r="E197" s="17" t="s">
        <v>3127</v>
      </c>
      <c r="F197" s="17">
        <v>5</v>
      </c>
      <c r="G197" s="17">
        <v>1</v>
      </c>
      <c r="H197" s="17" t="s">
        <v>3353</v>
      </c>
      <c r="I197" s="17"/>
      <c r="J197" s="17"/>
      <c r="K197" s="17"/>
      <c r="L197" s="17"/>
      <c r="M197" s="17"/>
      <c r="N197" s="17"/>
      <c r="O197" s="17"/>
      <c r="P197" s="17"/>
      <c r="Q197" s="17"/>
    </row>
    <row r="198" spans="1:17">
      <c r="A198" s="556" t="s">
        <v>1116</v>
      </c>
      <c r="B198" s="557" t="s">
        <v>1141</v>
      </c>
      <c r="C198" s="558" t="s">
        <v>1142</v>
      </c>
      <c r="D198" s="556" t="s">
        <v>3093</v>
      </c>
      <c r="E198" s="17" t="s">
        <v>3155</v>
      </c>
      <c r="F198" s="17">
        <v>5</v>
      </c>
      <c r="G198" s="17">
        <v>2</v>
      </c>
      <c r="H198" s="17" t="s">
        <v>3354</v>
      </c>
      <c r="I198" s="17"/>
      <c r="J198" s="17"/>
      <c r="K198" s="17"/>
      <c r="L198" s="17"/>
      <c r="M198" s="17"/>
      <c r="N198" s="17"/>
      <c r="O198" s="17"/>
      <c r="P198" s="17"/>
      <c r="Q198" s="17"/>
    </row>
    <row r="199" spans="1:17">
      <c r="A199" s="556" t="s">
        <v>1116</v>
      </c>
      <c r="B199" s="557" t="s">
        <v>1145</v>
      </c>
      <c r="C199" s="558" t="s">
        <v>1146</v>
      </c>
      <c r="D199" s="556" t="s">
        <v>1121</v>
      </c>
      <c r="E199" s="17" t="s">
        <v>3128</v>
      </c>
      <c r="F199" s="17">
        <v>6</v>
      </c>
      <c r="G199" s="17">
        <v>1</v>
      </c>
      <c r="H199" s="17" t="s">
        <v>3357</v>
      </c>
      <c r="I199" s="17"/>
      <c r="J199" s="17"/>
      <c r="K199" s="17"/>
      <c r="L199" s="17"/>
      <c r="M199" s="17"/>
      <c r="N199" s="17"/>
      <c r="O199" s="17"/>
      <c r="P199" s="17"/>
      <c r="Q199" s="17"/>
    </row>
    <row r="200" spans="1:17">
      <c r="A200" s="556" t="s">
        <v>1116</v>
      </c>
      <c r="B200" s="557" t="s">
        <v>1145</v>
      </c>
      <c r="C200" s="558" t="s">
        <v>1146</v>
      </c>
      <c r="D200" s="556" t="s">
        <v>3093</v>
      </c>
      <c r="E200" s="17" t="s">
        <v>3156</v>
      </c>
      <c r="F200" s="17">
        <v>6</v>
      </c>
      <c r="G200" s="17">
        <v>2</v>
      </c>
      <c r="H200" s="17" t="s">
        <v>3358</v>
      </c>
      <c r="I200" s="17"/>
      <c r="J200" s="17"/>
      <c r="K200" s="17"/>
      <c r="L200" s="17"/>
      <c r="M200" s="17"/>
      <c r="N200" s="17"/>
      <c r="O200" s="17"/>
      <c r="P200" s="17"/>
      <c r="Q200" s="17"/>
    </row>
    <row r="201" spans="1:17">
      <c r="A201" s="556" t="s">
        <v>1116</v>
      </c>
      <c r="B201" s="557" t="s">
        <v>1148</v>
      </c>
      <c r="C201" s="558" t="s">
        <v>1149</v>
      </c>
      <c r="D201" s="556" t="s">
        <v>1121</v>
      </c>
      <c r="E201" s="17" t="s">
        <v>3129</v>
      </c>
      <c r="F201" s="17">
        <v>7</v>
      </c>
      <c r="G201" s="17">
        <v>1</v>
      </c>
      <c r="H201" s="17" t="s">
        <v>3327</v>
      </c>
      <c r="I201" s="17"/>
      <c r="J201" s="17"/>
      <c r="K201" s="17"/>
      <c r="L201" s="17"/>
      <c r="M201" s="17"/>
      <c r="N201" s="17"/>
      <c r="O201" s="17"/>
      <c r="P201" s="17"/>
      <c r="Q201" s="17"/>
    </row>
    <row r="202" spans="1:17">
      <c r="A202" s="556" t="s">
        <v>1116</v>
      </c>
      <c r="B202" s="557" t="s">
        <v>1148</v>
      </c>
      <c r="C202" s="558" t="s">
        <v>1149</v>
      </c>
      <c r="D202" s="556" t="s">
        <v>3093</v>
      </c>
      <c r="E202" s="17" t="s">
        <v>3157</v>
      </c>
      <c r="F202" s="17">
        <v>7</v>
      </c>
      <c r="G202" s="17">
        <v>2</v>
      </c>
      <c r="H202" s="17" t="s">
        <v>3361</v>
      </c>
      <c r="I202" s="17"/>
      <c r="J202" s="17"/>
      <c r="K202" s="17"/>
      <c r="L202" s="17"/>
      <c r="M202" s="17"/>
      <c r="N202" s="17"/>
      <c r="O202" s="17"/>
      <c r="P202" s="17"/>
      <c r="Q202" s="17"/>
    </row>
    <row r="203" spans="1:17">
      <c r="A203" s="556" t="s">
        <v>1116</v>
      </c>
      <c r="B203" s="557" t="s">
        <v>1151</v>
      </c>
      <c r="C203" s="558" t="s">
        <v>1152</v>
      </c>
      <c r="D203" s="556" t="s">
        <v>1121</v>
      </c>
      <c r="E203" s="17" t="s">
        <v>3130</v>
      </c>
      <c r="F203" s="17">
        <v>8</v>
      </c>
      <c r="G203" s="17">
        <v>1</v>
      </c>
      <c r="H203" s="17" t="s">
        <v>3364</v>
      </c>
      <c r="I203" s="17"/>
      <c r="J203" s="17"/>
      <c r="K203" s="17"/>
      <c r="L203" s="17"/>
      <c r="M203" s="17"/>
      <c r="N203" s="17"/>
      <c r="O203" s="17"/>
      <c r="P203" s="17"/>
      <c r="Q203" s="17"/>
    </row>
    <row r="204" spans="1:17">
      <c r="A204" s="556" t="s">
        <v>1116</v>
      </c>
      <c r="B204" s="557" t="s">
        <v>1151</v>
      </c>
      <c r="C204" s="558" t="s">
        <v>1152</v>
      </c>
      <c r="D204" s="556" t="s">
        <v>3093</v>
      </c>
      <c r="E204" s="17" t="s">
        <v>3158</v>
      </c>
      <c r="F204" s="17">
        <v>8</v>
      </c>
      <c r="G204" s="17">
        <v>2</v>
      </c>
      <c r="H204" s="17" t="s">
        <v>3365</v>
      </c>
      <c r="I204" s="17"/>
      <c r="J204" s="17"/>
      <c r="K204" s="17"/>
      <c r="L204" s="17"/>
      <c r="M204" s="17"/>
      <c r="N204" s="17"/>
      <c r="O204" s="17"/>
      <c r="P204" s="17"/>
      <c r="Q204" s="17"/>
    </row>
    <row r="205" spans="1:17">
      <c r="A205" s="556" t="s">
        <v>1116</v>
      </c>
      <c r="B205" s="557" t="s">
        <v>1155</v>
      </c>
      <c r="C205" s="558" t="s">
        <v>1156</v>
      </c>
      <c r="D205" s="556" t="s">
        <v>1121</v>
      </c>
      <c r="E205" s="17" t="s">
        <v>3131</v>
      </c>
      <c r="F205" s="17">
        <v>9</v>
      </c>
      <c r="G205" s="17">
        <v>1</v>
      </c>
      <c r="H205" s="17" t="s">
        <v>3368</v>
      </c>
      <c r="I205" s="17"/>
      <c r="J205" s="17"/>
      <c r="K205" s="17"/>
      <c r="L205" s="17"/>
      <c r="M205" s="17"/>
      <c r="N205" s="17"/>
      <c r="O205" s="17"/>
      <c r="P205" s="17"/>
      <c r="Q205" s="17"/>
    </row>
    <row r="206" spans="1:17">
      <c r="A206" s="556" t="s">
        <v>1116</v>
      </c>
      <c r="B206" s="557" t="s">
        <v>1155</v>
      </c>
      <c r="C206" s="558" t="s">
        <v>1156</v>
      </c>
      <c r="D206" s="556" t="s">
        <v>3093</v>
      </c>
      <c r="E206" s="17" t="s">
        <v>3159</v>
      </c>
      <c r="F206" s="17">
        <v>9</v>
      </c>
      <c r="G206" s="17">
        <v>2</v>
      </c>
      <c r="H206" s="17" t="s">
        <v>3369</v>
      </c>
      <c r="I206" s="17"/>
      <c r="J206" s="17"/>
      <c r="K206" s="17"/>
      <c r="L206" s="17"/>
      <c r="M206" s="17"/>
      <c r="N206" s="17"/>
      <c r="O206" s="17"/>
      <c r="P206" s="17"/>
      <c r="Q206" s="17"/>
    </row>
    <row r="207" spans="1:17">
      <c r="A207" s="556" t="s">
        <v>1116</v>
      </c>
      <c r="B207" s="557" t="s">
        <v>1159</v>
      </c>
      <c r="C207" s="558" t="s">
        <v>1160</v>
      </c>
      <c r="D207" s="556" t="s">
        <v>1121</v>
      </c>
      <c r="E207" s="17" t="s">
        <v>3132</v>
      </c>
      <c r="F207" s="17">
        <v>10</v>
      </c>
      <c r="G207" s="17">
        <v>1</v>
      </c>
      <c r="H207" s="17" t="s">
        <v>3372</v>
      </c>
      <c r="I207" s="17"/>
      <c r="J207" s="17"/>
      <c r="K207" s="17"/>
      <c r="L207" s="17"/>
      <c r="M207" s="17"/>
      <c r="N207" s="17"/>
      <c r="O207" s="17"/>
      <c r="P207" s="17"/>
      <c r="Q207" s="17"/>
    </row>
    <row r="208" spans="1:17">
      <c r="A208" s="556" t="s">
        <v>1116</v>
      </c>
      <c r="B208" s="557" t="s">
        <v>1159</v>
      </c>
      <c r="C208" s="558" t="s">
        <v>1160</v>
      </c>
      <c r="D208" s="556" t="s">
        <v>3093</v>
      </c>
      <c r="E208" s="17" t="s">
        <v>3160</v>
      </c>
      <c r="F208" s="17">
        <v>10</v>
      </c>
      <c r="G208" s="17">
        <v>2</v>
      </c>
      <c r="H208" s="17" t="s">
        <v>3373</v>
      </c>
      <c r="I208" s="17"/>
      <c r="J208" s="17"/>
      <c r="K208" s="17"/>
      <c r="L208" s="17"/>
      <c r="M208" s="17"/>
      <c r="N208" s="17"/>
      <c r="O208" s="17"/>
      <c r="P208" s="17"/>
      <c r="Q208" s="17"/>
    </row>
    <row r="209" spans="1:17">
      <c r="A209" s="556" t="s">
        <v>1116</v>
      </c>
      <c r="B209" s="557" t="s">
        <v>1163</v>
      </c>
      <c r="C209" s="558" t="s">
        <v>1164</v>
      </c>
      <c r="D209" s="556" t="s">
        <v>1121</v>
      </c>
      <c r="E209" s="17" t="s">
        <v>3133</v>
      </c>
      <c r="F209" s="17">
        <v>11</v>
      </c>
      <c r="G209" s="17">
        <v>1</v>
      </c>
      <c r="H209" s="17" t="s">
        <v>3376</v>
      </c>
      <c r="I209" s="17"/>
      <c r="J209" s="17"/>
      <c r="K209" s="17"/>
      <c r="L209" s="17"/>
      <c r="M209" s="17"/>
      <c r="N209" s="17"/>
      <c r="O209" s="17"/>
      <c r="P209" s="17"/>
      <c r="Q209" s="17"/>
    </row>
    <row r="210" spans="1:17">
      <c r="A210" s="556" t="s">
        <v>1116</v>
      </c>
      <c r="B210" s="557" t="s">
        <v>1163</v>
      </c>
      <c r="C210" s="558" t="s">
        <v>1164</v>
      </c>
      <c r="D210" s="556" t="s">
        <v>3093</v>
      </c>
      <c r="E210" s="17" t="s">
        <v>3161</v>
      </c>
      <c r="F210" s="17">
        <v>11</v>
      </c>
      <c r="G210" s="17">
        <v>2</v>
      </c>
      <c r="H210" s="17" t="s">
        <v>3377</v>
      </c>
      <c r="I210" s="17"/>
      <c r="J210" s="17"/>
      <c r="K210" s="17"/>
      <c r="L210" s="17"/>
      <c r="M210" s="17"/>
      <c r="N210" s="17"/>
      <c r="O210" s="17"/>
      <c r="P210" s="17"/>
      <c r="Q210" s="17"/>
    </row>
    <row r="211" spans="1:17">
      <c r="A211" s="556" t="s">
        <v>1116</v>
      </c>
      <c r="B211" s="557" t="s">
        <v>1167</v>
      </c>
      <c r="C211" s="558" t="s">
        <v>1168</v>
      </c>
      <c r="D211" s="556" t="s">
        <v>1121</v>
      </c>
      <c r="E211" s="17" t="s">
        <v>3134</v>
      </c>
      <c r="F211" s="17">
        <v>12</v>
      </c>
      <c r="G211" s="17">
        <v>1</v>
      </c>
      <c r="H211" s="17" t="s">
        <v>3380</v>
      </c>
      <c r="I211" s="17"/>
      <c r="J211" s="17"/>
      <c r="K211" s="17"/>
      <c r="L211" s="17"/>
      <c r="M211" s="17"/>
      <c r="N211" s="17"/>
      <c r="O211" s="17"/>
      <c r="P211" s="17"/>
      <c r="Q211" s="17"/>
    </row>
    <row r="212" spans="1:17">
      <c r="A212" s="556" t="s">
        <v>1116</v>
      </c>
      <c r="B212" s="557" t="s">
        <v>1167</v>
      </c>
      <c r="C212" s="558" t="s">
        <v>1168</v>
      </c>
      <c r="D212" s="556" t="s">
        <v>3093</v>
      </c>
      <c r="E212" s="17" t="s">
        <v>3162</v>
      </c>
      <c r="F212" s="17">
        <v>12</v>
      </c>
      <c r="G212" s="17">
        <v>2</v>
      </c>
      <c r="H212" s="17" t="s">
        <v>3381</v>
      </c>
      <c r="I212" s="17"/>
      <c r="J212" s="17"/>
      <c r="K212" s="17"/>
      <c r="L212" s="17"/>
      <c r="M212" s="17"/>
      <c r="N212" s="17"/>
      <c r="O212" s="17"/>
      <c r="P212" s="17"/>
      <c r="Q212" s="17"/>
    </row>
    <row r="213" spans="1:17">
      <c r="A213" s="556" t="s">
        <v>1116</v>
      </c>
      <c r="B213" s="557" t="s">
        <v>1171</v>
      </c>
      <c r="C213" s="558" t="s">
        <v>2979</v>
      </c>
      <c r="D213" s="556" t="s">
        <v>1121</v>
      </c>
      <c r="E213" s="17" t="s">
        <v>3135</v>
      </c>
      <c r="F213" s="17">
        <v>13</v>
      </c>
      <c r="G213" s="17">
        <v>1</v>
      </c>
      <c r="H213" s="17" t="s">
        <v>3384</v>
      </c>
      <c r="I213" s="17"/>
      <c r="J213" s="17"/>
      <c r="K213" s="17"/>
      <c r="L213" s="17"/>
      <c r="M213" s="17"/>
      <c r="N213" s="17"/>
      <c r="O213" s="17"/>
      <c r="P213" s="17"/>
      <c r="Q213" s="17"/>
    </row>
    <row r="214" spans="1:17">
      <c r="A214" s="556" t="s">
        <v>1116</v>
      </c>
      <c r="B214" s="557" t="s">
        <v>1171</v>
      </c>
      <c r="C214" s="558" t="s">
        <v>2979</v>
      </c>
      <c r="D214" s="556" t="s">
        <v>3093</v>
      </c>
      <c r="E214" s="17" t="s">
        <v>3163</v>
      </c>
      <c r="F214" s="17">
        <v>13</v>
      </c>
      <c r="G214" s="17">
        <v>2</v>
      </c>
      <c r="H214" s="17" t="s">
        <v>3385</v>
      </c>
      <c r="I214" s="17"/>
      <c r="J214" s="17"/>
      <c r="K214" s="17"/>
      <c r="L214" s="17"/>
      <c r="M214" s="17"/>
      <c r="N214" s="17"/>
      <c r="O214" s="17"/>
      <c r="P214" s="17"/>
      <c r="Q214" s="17"/>
    </row>
    <row r="215" spans="1:17">
      <c r="A215" s="556" t="s">
        <v>1116</v>
      </c>
      <c r="B215" s="557" t="s">
        <v>1175</v>
      </c>
      <c r="C215" s="558" t="s">
        <v>1176</v>
      </c>
      <c r="D215" s="556" t="s">
        <v>1121</v>
      </c>
      <c r="E215" s="17" t="s">
        <v>3136</v>
      </c>
      <c r="F215" s="17">
        <v>14</v>
      </c>
      <c r="G215" s="17">
        <v>1</v>
      </c>
      <c r="H215" s="17" t="s">
        <v>3388</v>
      </c>
      <c r="I215" s="17"/>
      <c r="J215" s="17"/>
      <c r="K215" s="17"/>
      <c r="L215" s="17"/>
      <c r="M215" s="17"/>
      <c r="N215" s="17"/>
      <c r="O215" s="17"/>
      <c r="P215" s="17"/>
      <c r="Q215" s="17"/>
    </row>
    <row r="216" spans="1:17">
      <c r="A216" s="556" t="s">
        <v>1116</v>
      </c>
      <c r="B216" s="557" t="s">
        <v>1175</v>
      </c>
      <c r="C216" s="558" t="s">
        <v>1176</v>
      </c>
      <c r="D216" s="556" t="s">
        <v>3093</v>
      </c>
      <c r="E216" s="17" t="s">
        <v>3164</v>
      </c>
      <c r="F216" s="17">
        <v>14</v>
      </c>
      <c r="G216" s="17">
        <v>2</v>
      </c>
      <c r="H216" s="17" t="s">
        <v>3389</v>
      </c>
      <c r="I216" s="17"/>
      <c r="J216" s="17"/>
      <c r="K216" s="17"/>
      <c r="L216" s="17"/>
      <c r="M216" s="17"/>
      <c r="N216" s="17"/>
      <c r="O216" s="17"/>
      <c r="P216" s="17"/>
      <c r="Q216" s="17"/>
    </row>
    <row r="217" spans="1:17">
      <c r="A217" s="556" t="s">
        <v>1116</v>
      </c>
      <c r="B217" s="557" t="s">
        <v>1179</v>
      </c>
      <c r="C217" s="558" t="s">
        <v>1180</v>
      </c>
      <c r="D217" s="556" t="s">
        <v>1121</v>
      </c>
      <c r="E217" s="17" t="s">
        <v>3137</v>
      </c>
      <c r="F217" s="17">
        <v>15</v>
      </c>
      <c r="G217" s="17">
        <v>1</v>
      </c>
      <c r="H217" s="17" t="s">
        <v>3392</v>
      </c>
      <c r="I217" s="17"/>
      <c r="J217" s="17"/>
      <c r="K217" s="17"/>
      <c r="L217" s="17"/>
      <c r="M217" s="17"/>
      <c r="N217" s="17"/>
      <c r="O217" s="17"/>
      <c r="P217" s="17"/>
      <c r="Q217" s="17"/>
    </row>
    <row r="218" spans="1:17">
      <c r="A218" s="556" t="s">
        <v>1116</v>
      </c>
      <c r="B218" s="557" t="s">
        <v>1179</v>
      </c>
      <c r="C218" s="558" t="s">
        <v>1180</v>
      </c>
      <c r="D218" s="556" t="s">
        <v>3093</v>
      </c>
      <c r="E218" s="17" t="s">
        <v>3165</v>
      </c>
      <c r="F218" s="17">
        <v>15</v>
      </c>
      <c r="G218" s="17">
        <v>2</v>
      </c>
      <c r="H218" s="17" t="s">
        <v>3393</v>
      </c>
      <c r="I218" s="17"/>
      <c r="J218" s="17"/>
      <c r="K218" s="17"/>
      <c r="L218" s="17"/>
      <c r="M218" s="17"/>
      <c r="N218" s="17"/>
      <c r="O218" s="17"/>
      <c r="P218" s="17"/>
      <c r="Q218" s="17"/>
    </row>
    <row r="219" spans="1:17">
      <c r="A219" s="556" t="s">
        <v>1116</v>
      </c>
      <c r="B219" s="557" t="s">
        <v>1183</v>
      </c>
      <c r="C219" s="558" t="s">
        <v>1184</v>
      </c>
      <c r="D219" s="556" t="s">
        <v>1121</v>
      </c>
      <c r="E219" s="17" t="s">
        <v>3138</v>
      </c>
      <c r="F219" s="17">
        <v>16</v>
      </c>
      <c r="G219" s="17">
        <v>1</v>
      </c>
      <c r="H219" s="17" t="s">
        <v>3396</v>
      </c>
      <c r="I219" s="17"/>
      <c r="J219" s="17"/>
      <c r="K219" s="17"/>
      <c r="L219" s="17"/>
      <c r="M219" s="17"/>
      <c r="N219" s="17"/>
      <c r="O219" s="17"/>
      <c r="P219" s="17"/>
      <c r="Q219" s="17"/>
    </row>
    <row r="220" spans="1:17">
      <c r="A220" s="556" t="s">
        <v>1116</v>
      </c>
      <c r="B220" s="557" t="s">
        <v>1183</v>
      </c>
      <c r="C220" s="558" t="s">
        <v>1184</v>
      </c>
      <c r="D220" s="556" t="s">
        <v>3093</v>
      </c>
      <c r="E220" s="17" t="s">
        <v>3166</v>
      </c>
      <c r="F220" s="17">
        <v>16</v>
      </c>
      <c r="G220" s="17">
        <v>2</v>
      </c>
      <c r="H220" s="17" t="s">
        <v>3397</v>
      </c>
      <c r="I220" s="17"/>
      <c r="J220" s="17"/>
      <c r="K220" s="17"/>
      <c r="L220" s="17"/>
      <c r="M220" s="17"/>
      <c r="N220" s="17"/>
      <c r="O220" s="17"/>
      <c r="P220" s="17"/>
      <c r="Q220" s="17"/>
    </row>
    <row r="221" spans="1:17">
      <c r="A221" s="556" t="s">
        <v>1116</v>
      </c>
      <c r="B221" s="557" t="s">
        <v>1187</v>
      </c>
      <c r="C221" s="558" t="s">
        <v>1188</v>
      </c>
      <c r="D221" s="556" t="s">
        <v>1121</v>
      </c>
      <c r="E221" s="17" t="s">
        <v>3139</v>
      </c>
      <c r="F221" s="17">
        <v>17</v>
      </c>
      <c r="G221" s="17">
        <v>1</v>
      </c>
      <c r="H221" s="17" t="s">
        <v>3400</v>
      </c>
      <c r="I221" s="17"/>
      <c r="J221" s="17"/>
      <c r="K221" s="17"/>
      <c r="L221" s="17"/>
      <c r="M221" s="17"/>
      <c r="N221" s="17"/>
      <c r="O221" s="17"/>
      <c r="P221" s="17"/>
      <c r="Q221" s="17"/>
    </row>
    <row r="222" spans="1:17">
      <c r="A222" s="556" t="s">
        <v>1116</v>
      </c>
      <c r="B222" s="557" t="s">
        <v>1187</v>
      </c>
      <c r="C222" s="558" t="s">
        <v>1188</v>
      </c>
      <c r="D222" s="556" t="s">
        <v>3093</v>
      </c>
      <c r="E222" s="17" t="s">
        <v>3167</v>
      </c>
      <c r="F222" s="17">
        <v>17</v>
      </c>
      <c r="G222" s="17">
        <v>2</v>
      </c>
      <c r="H222" s="17" t="s">
        <v>3401</v>
      </c>
      <c r="I222" s="17"/>
      <c r="J222" s="17"/>
      <c r="K222" s="17"/>
      <c r="L222" s="17"/>
      <c r="M222" s="17"/>
      <c r="N222" s="17"/>
      <c r="O222" s="17"/>
      <c r="P222" s="17"/>
      <c r="Q222" s="17"/>
    </row>
    <row r="223" spans="1:17">
      <c r="A223" s="556" t="s">
        <v>1116</v>
      </c>
      <c r="B223" s="557" t="s">
        <v>1191</v>
      </c>
      <c r="C223" s="558" t="s">
        <v>1192</v>
      </c>
      <c r="D223" s="556" t="s">
        <v>1121</v>
      </c>
      <c r="E223" s="17" t="s">
        <v>3140</v>
      </c>
      <c r="F223" s="17">
        <v>18</v>
      </c>
      <c r="G223" s="17">
        <v>1</v>
      </c>
      <c r="H223" s="17" t="s">
        <v>3404</v>
      </c>
      <c r="I223" s="17"/>
      <c r="J223" s="17"/>
      <c r="K223" s="17"/>
      <c r="L223" s="17"/>
      <c r="M223" s="17"/>
      <c r="N223" s="17"/>
      <c r="O223" s="17"/>
      <c r="P223" s="17"/>
      <c r="Q223" s="17"/>
    </row>
    <row r="224" spans="1:17">
      <c r="A224" s="556" t="s">
        <v>1116</v>
      </c>
      <c r="B224" s="557" t="s">
        <v>1191</v>
      </c>
      <c r="C224" s="558" t="s">
        <v>1192</v>
      </c>
      <c r="D224" s="556" t="s">
        <v>3093</v>
      </c>
      <c r="E224" s="17" t="s">
        <v>3168</v>
      </c>
      <c r="F224" s="17">
        <v>18</v>
      </c>
      <c r="G224" s="17">
        <v>2</v>
      </c>
      <c r="H224" s="17" t="s">
        <v>3405</v>
      </c>
      <c r="I224" s="17"/>
      <c r="J224" s="17"/>
      <c r="K224" s="17"/>
      <c r="L224" s="17"/>
      <c r="M224" s="17"/>
      <c r="N224" s="17"/>
      <c r="O224" s="17"/>
      <c r="P224" s="17"/>
      <c r="Q224" s="17"/>
    </row>
    <row r="225" spans="1:17">
      <c r="A225" s="556" t="s">
        <v>1116</v>
      </c>
      <c r="B225" s="557" t="s">
        <v>1195</v>
      </c>
      <c r="C225" s="558" t="s">
        <v>1196</v>
      </c>
      <c r="D225" s="556" t="s">
        <v>1121</v>
      </c>
      <c r="E225" s="17" t="s">
        <v>3141</v>
      </c>
      <c r="F225" s="17">
        <v>19</v>
      </c>
      <c r="G225" s="17">
        <v>1</v>
      </c>
      <c r="H225" s="17" t="s">
        <v>3408</v>
      </c>
      <c r="I225" s="17"/>
      <c r="J225" s="17"/>
      <c r="K225" s="17"/>
      <c r="L225" s="17"/>
      <c r="M225" s="17"/>
      <c r="N225" s="17"/>
      <c r="O225" s="17"/>
      <c r="P225" s="17"/>
      <c r="Q225" s="17"/>
    </row>
    <row r="226" spans="1:17">
      <c r="A226" s="556" t="s">
        <v>1116</v>
      </c>
      <c r="B226" s="557" t="s">
        <v>1195</v>
      </c>
      <c r="C226" s="558" t="s">
        <v>1196</v>
      </c>
      <c r="D226" s="556" t="s">
        <v>3093</v>
      </c>
      <c r="E226" s="17" t="s">
        <v>3169</v>
      </c>
      <c r="F226" s="17">
        <v>19</v>
      </c>
      <c r="G226" s="17">
        <v>2</v>
      </c>
      <c r="H226" s="17" t="s">
        <v>3409</v>
      </c>
      <c r="I226" s="17"/>
      <c r="J226" s="17"/>
      <c r="K226" s="17"/>
      <c r="L226" s="17"/>
      <c r="M226" s="17"/>
      <c r="N226" s="17"/>
      <c r="O226" s="17"/>
      <c r="P226" s="17"/>
      <c r="Q226" s="17"/>
    </row>
    <row r="227" spans="1:17">
      <c r="A227" s="556" t="s">
        <v>1116</v>
      </c>
      <c r="B227" s="557" t="s">
        <v>1199</v>
      </c>
      <c r="C227" s="558" t="s">
        <v>1200</v>
      </c>
      <c r="D227" s="556" t="s">
        <v>1121</v>
      </c>
      <c r="E227" s="17" t="s">
        <v>3142</v>
      </c>
      <c r="F227" s="17">
        <v>20</v>
      </c>
      <c r="G227" s="17">
        <v>1</v>
      </c>
      <c r="H227" s="17" t="s">
        <v>3412</v>
      </c>
      <c r="I227" s="17"/>
      <c r="J227" s="17"/>
      <c r="K227" s="17"/>
      <c r="L227" s="17"/>
      <c r="M227" s="17"/>
      <c r="N227" s="17"/>
      <c r="O227" s="17"/>
      <c r="P227" s="17"/>
      <c r="Q227" s="17"/>
    </row>
    <row r="228" spans="1:17">
      <c r="A228" s="556" t="s">
        <v>1116</v>
      </c>
      <c r="B228" s="557" t="s">
        <v>1199</v>
      </c>
      <c r="C228" s="558" t="s">
        <v>1200</v>
      </c>
      <c r="D228" s="556" t="s">
        <v>3093</v>
      </c>
      <c r="E228" s="17" t="s">
        <v>3170</v>
      </c>
      <c r="F228" s="17">
        <v>20</v>
      </c>
      <c r="G228" s="17">
        <v>2</v>
      </c>
      <c r="H228" s="17" t="s">
        <v>3413</v>
      </c>
      <c r="I228" s="17"/>
      <c r="J228" s="17"/>
      <c r="K228" s="17"/>
      <c r="L228" s="17"/>
      <c r="M228" s="17"/>
      <c r="N228" s="17"/>
      <c r="O228" s="17"/>
      <c r="P228" s="17"/>
      <c r="Q228" s="17"/>
    </row>
    <row r="229" spans="1:17">
      <c r="A229" s="556" t="s">
        <v>1116</v>
      </c>
      <c r="B229" s="557" t="s">
        <v>1203</v>
      </c>
      <c r="C229" s="558" t="s">
        <v>1204</v>
      </c>
      <c r="D229" s="556" t="s">
        <v>1121</v>
      </c>
      <c r="E229" s="17" t="s">
        <v>3143</v>
      </c>
      <c r="F229" s="17">
        <v>21</v>
      </c>
      <c r="G229" s="17">
        <v>1</v>
      </c>
      <c r="H229" s="17" t="s">
        <v>3416</v>
      </c>
      <c r="I229" s="17"/>
      <c r="J229" s="17"/>
      <c r="K229" s="17"/>
      <c r="L229" s="17"/>
      <c r="M229" s="17"/>
      <c r="N229" s="17"/>
      <c r="O229" s="17"/>
      <c r="P229" s="17"/>
      <c r="Q229" s="17"/>
    </row>
    <row r="230" spans="1:17">
      <c r="A230" s="556" t="s">
        <v>1116</v>
      </c>
      <c r="B230" s="557" t="s">
        <v>1203</v>
      </c>
      <c r="C230" s="558" t="s">
        <v>1204</v>
      </c>
      <c r="D230" s="556" t="s">
        <v>3093</v>
      </c>
      <c r="E230" s="17" t="s">
        <v>3171</v>
      </c>
      <c r="F230" s="17">
        <v>21</v>
      </c>
      <c r="G230" s="17">
        <v>2</v>
      </c>
      <c r="H230" s="17" t="s">
        <v>3417</v>
      </c>
      <c r="I230" s="17"/>
      <c r="J230" s="17"/>
      <c r="K230" s="17"/>
      <c r="L230" s="17"/>
      <c r="M230" s="17"/>
      <c r="N230" s="17"/>
      <c r="O230" s="17"/>
      <c r="P230" s="17"/>
      <c r="Q230" s="17"/>
    </row>
    <row r="231" spans="1:17">
      <c r="A231" s="556" t="s">
        <v>1116</v>
      </c>
      <c r="B231" s="557" t="s">
        <v>1207</v>
      </c>
      <c r="C231" s="558" t="s">
        <v>2980</v>
      </c>
      <c r="D231" s="556" t="s">
        <v>1121</v>
      </c>
      <c r="E231" s="17" t="s">
        <v>3144</v>
      </c>
      <c r="F231" s="17">
        <v>22</v>
      </c>
      <c r="G231" s="17">
        <v>1</v>
      </c>
      <c r="H231" s="17" t="s">
        <v>3420</v>
      </c>
      <c r="I231" s="17"/>
      <c r="J231" s="17"/>
      <c r="K231" s="17"/>
      <c r="L231" s="17"/>
      <c r="M231" s="17"/>
      <c r="N231" s="17"/>
      <c r="O231" s="17"/>
      <c r="P231" s="17"/>
      <c r="Q231" s="17"/>
    </row>
    <row r="232" spans="1:17">
      <c r="A232" s="556" t="s">
        <v>1116</v>
      </c>
      <c r="B232" s="557" t="s">
        <v>1207</v>
      </c>
      <c r="C232" s="558" t="s">
        <v>2980</v>
      </c>
      <c r="D232" s="556" t="s">
        <v>3093</v>
      </c>
      <c r="E232" s="17" t="s">
        <v>3172</v>
      </c>
      <c r="F232" s="17">
        <v>22</v>
      </c>
      <c r="G232" s="17">
        <v>2</v>
      </c>
      <c r="H232" s="17" t="s">
        <v>3421</v>
      </c>
      <c r="I232" s="17"/>
      <c r="J232" s="17"/>
      <c r="K232" s="17"/>
      <c r="L232" s="17"/>
      <c r="M232" s="17"/>
      <c r="N232" s="17"/>
      <c r="O232" s="17"/>
      <c r="P232" s="17"/>
      <c r="Q232" s="17"/>
    </row>
    <row r="233" spans="1:17">
      <c r="A233" s="556" t="s">
        <v>1116</v>
      </c>
      <c r="B233" s="557" t="s">
        <v>1211</v>
      </c>
      <c r="C233" s="558" t="s">
        <v>1212</v>
      </c>
      <c r="D233" s="556" t="s">
        <v>1121</v>
      </c>
      <c r="E233" s="17" t="s">
        <v>3145</v>
      </c>
      <c r="F233" s="17">
        <v>23</v>
      </c>
      <c r="G233" s="17">
        <v>1</v>
      </c>
      <c r="H233" s="17" t="s">
        <v>3424</v>
      </c>
      <c r="I233" s="17"/>
      <c r="J233" s="17"/>
      <c r="K233" s="17"/>
      <c r="L233" s="17"/>
      <c r="M233" s="17"/>
      <c r="N233" s="17"/>
      <c r="O233" s="17"/>
      <c r="P233" s="17"/>
      <c r="Q233" s="17"/>
    </row>
    <row r="234" spans="1:17">
      <c r="A234" s="556" t="s">
        <v>1116</v>
      </c>
      <c r="B234" s="557" t="s">
        <v>1211</v>
      </c>
      <c r="C234" s="558" t="s">
        <v>1212</v>
      </c>
      <c r="D234" s="556" t="s">
        <v>3093</v>
      </c>
      <c r="E234" s="17" t="s">
        <v>3173</v>
      </c>
      <c r="F234" s="17">
        <v>23</v>
      </c>
      <c r="G234" s="17">
        <v>2</v>
      </c>
      <c r="H234" s="17" t="s">
        <v>3425</v>
      </c>
      <c r="I234" s="17"/>
      <c r="J234" s="17"/>
      <c r="K234" s="17"/>
      <c r="L234" s="17"/>
      <c r="M234" s="17"/>
      <c r="N234" s="17"/>
      <c r="O234" s="17"/>
      <c r="P234" s="17"/>
      <c r="Q234" s="17"/>
    </row>
    <row r="235" spans="1:17">
      <c r="A235" s="556" t="s">
        <v>1116</v>
      </c>
      <c r="B235" s="557" t="s">
        <v>1217</v>
      </c>
      <c r="C235" s="558" t="s">
        <v>1218</v>
      </c>
      <c r="D235" s="556" t="s">
        <v>1121</v>
      </c>
      <c r="E235" s="17" t="s">
        <v>3146</v>
      </c>
      <c r="F235" s="17">
        <v>25</v>
      </c>
      <c r="G235" s="17">
        <v>1</v>
      </c>
      <c r="H235" s="17" t="s">
        <v>3432</v>
      </c>
      <c r="I235" s="17"/>
      <c r="J235" s="17"/>
      <c r="K235" s="17"/>
      <c r="L235" s="17"/>
      <c r="M235" s="17"/>
      <c r="N235" s="17"/>
      <c r="O235" s="17"/>
      <c r="P235" s="17"/>
      <c r="Q235" s="17"/>
    </row>
    <row r="236" spans="1:17">
      <c r="A236" s="556" t="s">
        <v>1116</v>
      </c>
      <c r="B236" s="557" t="s">
        <v>1217</v>
      </c>
      <c r="C236" s="558" t="s">
        <v>1218</v>
      </c>
      <c r="D236" s="556" t="s">
        <v>3093</v>
      </c>
      <c r="E236" s="17" t="s">
        <v>3174</v>
      </c>
      <c r="F236" s="17">
        <v>25</v>
      </c>
      <c r="G236" s="17">
        <v>2</v>
      </c>
      <c r="H236" s="17" t="s">
        <v>3433</v>
      </c>
      <c r="I236" s="17"/>
      <c r="J236" s="17"/>
      <c r="K236" s="17"/>
      <c r="L236" s="17"/>
      <c r="M236" s="17"/>
      <c r="N236" s="17"/>
      <c r="O236" s="17"/>
      <c r="P236" s="17"/>
      <c r="Q236" s="17"/>
    </row>
    <row r="237" spans="1:17">
      <c r="A237" s="556" t="s">
        <v>1116</v>
      </c>
      <c r="B237" s="557" t="s">
        <v>1221</v>
      </c>
      <c r="C237" s="558" t="s">
        <v>1251</v>
      </c>
      <c r="D237" s="556" t="s">
        <v>1121</v>
      </c>
      <c r="E237" s="17" t="s">
        <v>3147</v>
      </c>
      <c r="F237" s="17">
        <v>26</v>
      </c>
      <c r="G237" s="17">
        <v>1</v>
      </c>
      <c r="H237" s="17" t="s">
        <v>3436</v>
      </c>
      <c r="I237" s="17"/>
      <c r="J237" s="17"/>
      <c r="K237" s="17"/>
      <c r="L237" s="17"/>
      <c r="M237" s="17"/>
      <c r="N237" s="17"/>
      <c r="O237" s="17"/>
      <c r="P237" s="17"/>
      <c r="Q237" s="17"/>
    </row>
    <row r="238" spans="1:17">
      <c r="A238" s="556" t="s">
        <v>1116</v>
      </c>
      <c r="B238" s="557" t="s">
        <v>1221</v>
      </c>
      <c r="C238" s="558" t="s">
        <v>1251</v>
      </c>
      <c r="D238" s="556" t="s">
        <v>3093</v>
      </c>
      <c r="E238" s="17" t="s">
        <v>3175</v>
      </c>
      <c r="F238" s="17">
        <v>26</v>
      </c>
      <c r="G238" s="17">
        <v>2</v>
      </c>
      <c r="H238" s="17" t="s">
        <v>3437</v>
      </c>
      <c r="I238" s="17"/>
      <c r="J238" s="17"/>
      <c r="K238" s="17"/>
      <c r="L238" s="17"/>
      <c r="M238" s="17"/>
      <c r="N238" s="17"/>
      <c r="O238" s="17"/>
      <c r="P238" s="17"/>
      <c r="Q238" s="17"/>
    </row>
    <row r="239" spans="1:17">
      <c r="A239" s="556" t="s">
        <v>1116</v>
      </c>
      <c r="B239" s="557" t="s">
        <v>1225</v>
      </c>
      <c r="C239" s="558" t="s">
        <v>1226</v>
      </c>
      <c r="D239" s="556" t="s">
        <v>1121</v>
      </c>
      <c r="E239" s="17" t="s">
        <v>3148</v>
      </c>
      <c r="F239" s="17">
        <v>27</v>
      </c>
      <c r="G239" s="17">
        <v>1</v>
      </c>
      <c r="H239" s="17" t="s">
        <v>3440</v>
      </c>
      <c r="I239" s="17"/>
      <c r="J239" s="17"/>
      <c r="K239" s="17"/>
      <c r="L239" s="17"/>
      <c r="M239" s="17"/>
      <c r="N239" s="17"/>
      <c r="O239" s="17"/>
      <c r="P239" s="17"/>
      <c r="Q239" s="17"/>
    </row>
    <row r="240" spans="1:17">
      <c r="A240" s="564" t="s">
        <v>1116</v>
      </c>
      <c r="B240" s="565" t="s">
        <v>1225</v>
      </c>
      <c r="C240" s="566" t="s">
        <v>1226</v>
      </c>
      <c r="D240" s="564" t="s">
        <v>3093</v>
      </c>
      <c r="E240" s="17" t="s">
        <v>3176</v>
      </c>
      <c r="F240" s="17">
        <v>27</v>
      </c>
      <c r="G240" s="17">
        <v>2</v>
      </c>
      <c r="H240" s="17" t="s">
        <v>3441</v>
      </c>
      <c r="I240" s="17"/>
      <c r="J240" s="17"/>
      <c r="K240" s="17"/>
      <c r="L240" s="17"/>
      <c r="M240" s="17"/>
      <c r="N240" s="17"/>
      <c r="O240" s="17"/>
      <c r="P240" s="17"/>
      <c r="Q240" s="17"/>
    </row>
    <row r="241" spans="1:17">
      <c r="A241" s="556" t="s">
        <v>1116</v>
      </c>
      <c r="B241" s="557" t="s">
        <v>1229</v>
      </c>
      <c r="C241" s="558" t="s">
        <v>1230</v>
      </c>
      <c r="D241" s="564" t="s">
        <v>1121</v>
      </c>
      <c r="E241" s="17" t="s">
        <v>3149</v>
      </c>
      <c r="F241" s="17">
        <v>28</v>
      </c>
      <c r="G241" s="17">
        <v>1</v>
      </c>
      <c r="H241" s="17" t="s">
        <v>3444</v>
      </c>
      <c r="I241" s="17"/>
      <c r="J241" s="17"/>
      <c r="K241" s="17"/>
      <c r="L241" s="17"/>
      <c r="M241" s="17"/>
      <c r="N241" s="17"/>
      <c r="O241" s="17"/>
      <c r="P241" s="17"/>
      <c r="Q241" s="17"/>
    </row>
    <row r="242" spans="1:17">
      <c r="A242" s="556" t="s">
        <v>1116</v>
      </c>
      <c r="B242" s="557" t="s">
        <v>1229</v>
      </c>
      <c r="C242" s="558" t="s">
        <v>1230</v>
      </c>
      <c r="D242" s="564" t="s">
        <v>3093</v>
      </c>
      <c r="E242" s="17" t="s">
        <v>3177</v>
      </c>
      <c r="F242" s="17">
        <v>28</v>
      </c>
      <c r="G242" s="17">
        <v>2</v>
      </c>
      <c r="H242" s="17" t="s">
        <v>3445</v>
      </c>
      <c r="I242" s="17"/>
      <c r="J242" s="17"/>
      <c r="K242" s="17"/>
      <c r="L242" s="17"/>
      <c r="M242" s="17"/>
      <c r="N242" s="17"/>
      <c r="O242" s="17"/>
      <c r="P242" s="17"/>
      <c r="Q242" s="17"/>
    </row>
    <row r="243" spans="1:17">
      <c r="A243" s="556" t="s">
        <v>1116</v>
      </c>
      <c r="B243" s="557" t="s">
        <v>1233</v>
      </c>
      <c r="C243" s="558" t="s">
        <v>1232</v>
      </c>
      <c r="D243" s="564" t="s">
        <v>1121</v>
      </c>
      <c r="E243" s="17" t="s">
        <v>3150</v>
      </c>
      <c r="F243" s="17">
        <v>29</v>
      </c>
      <c r="G243" s="17">
        <v>1</v>
      </c>
      <c r="H243" s="17" t="s">
        <v>3448</v>
      </c>
      <c r="I243" s="17"/>
      <c r="J243" s="17"/>
      <c r="K243" s="17"/>
      <c r="L243" s="17"/>
      <c r="M243" s="17"/>
      <c r="N243" s="17"/>
      <c r="O243" s="17"/>
      <c r="P243" s="17"/>
      <c r="Q243" s="17"/>
    </row>
    <row r="244" spans="1:17">
      <c r="A244" s="556" t="s">
        <v>1116</v>
      </c>
      <c r="B244" s="557" t="s">
        <v>1233</v>
      </c>
      <c r="C244" s="558" t="s">
        <v>1232</v>
      </c>
      <c r="D244" s="564" t="s">
        <v>3093</v>
      </c>
      <c r="E244" s="17" t="s">
        <v>3178</v>
      </c>
      <c r="F244" s="17">
        <v>29</v>
      </c>
      <c r="G244" s="17">
        <v>2</v>
      </c>
      <c r="H244" s="17" t="s">
        <v>3449</v>
      </c>
      <c r="I244" s="17"/>
      <c r="J244" s="17"/>
      <c r="K244" s="17"/>
      <c r="L244" s="17"/>
      <c r="M244" s="17"/>
      <c r="N244" s="17"/>
      <c r="O244" s="17"/>
      <c r="P244" s="17"/>
      <c r="Q244" s="17"/>
    </row>
    <row r="245" spans="1:17">
      <c r="A245" s="556" t="s">
        <v>2965</v>
      </c>
      <c r="B245" s="557" t="s">
        <v>1259</v>
      </c>
      <c r="C245" s="558" t="s">
        <v>1260</v>
      </c>
      <c r="D245" s="564" t="s">
        <v>1121</v>
      </c>
      <c r="E245" s="17" t="s">
        <v>3179</v>
      </c>
      <c r="F245" s="17">
        <v>1</v>
      </c>
      <c r="G245" s="17">
        <v>1</v>
      </c>
      <c r="H245" s="17" t="s">
        <v>2992</v>
      </c>
      <c r="I245" s="17"/>
      <c r="J245" s="17"/>
      <c r="K245" s="17"/>
      <c r="L245" s="17"/>
      <c r="M245" s="17"/>
      <c r="N245" s="17"/>
      <c r="O245" s="17"/>
      <c r="P245" s="17"/>
      <c r="Q245" s="17"/>
    </row>
    <row r="246" spans="1:17">
      <c r="A246" s="556" t="s">
        <v>2965</v>
      </c>
      <c r="B246" s="557" t="s">
        <v>1259</v>
      </c>
      <c r="C246" s="558" t="s">
        <v>1260</v>
      </c>
      <c r="D246" s="564" t="s">
        <v>3093</v>
      </c>
      <c r="E246" s="17" t="s">
        <v>3221</v>
      </c>
      <c r="F246" s="17">
        <v>1</v>
      </c>
      <c r="G246" s="17">
        <v>2</v>
      </c>
      <c r="H246" s="17" t="s">
        <v>3450</v>
      </c>
      <c r="I246" s="17"/>
      <c r="J246" s="17"/>
      <c r="K246" s="17"/>
      <c r="L246" s="17"/>
      <c r="M246" s="17"/>
      <c r="N246" s="17"/>
      <c r="O246" s="17"/>
      <c r="P246" s="17"/>
      <c r="Q246" s="17"/>
    </row>
    <row r="247" spans="1:17">
      <c r="A247" s="556" t="s">
        <v>2965</v>
      </c>
      <c r="B247" s="557" t="s">
        <v>1263</v>
      </c>
      <c r="C247" s="558" t="s">
        <v>1264</v>
      </c>
      <c r="D247" s="564" t="s">
        <v>1121</v>
      </c>
      <c r="E247" s="17" t="s">
        <v>3180</v>
      </c>
      <c r="F247" s="17">
        <v>2</v>
      </c>
      <c r="G247" s="17">
        <v>1</v>
      </c>
      <c r="H247" s="17" t="s">
        <v>3342</v>
      </c>
      <c r="I247" s="17"/>
      <c r="J247" s="17"/>
      <c r="K247" s="17"/>
      <c r="L247" s="17"/>
      <c r="M247" s="17"/>
      <c r="N247" s="17"/>
      <c r="O247" s="17"/>
      <c r="P247" s="17"/>
      <c r="Q247" s="17"/>
    </row>
    <row r="248" spans="1:17">
      <c r="A248" s="556" t="s">
        <v>2965</v>
      </c>
      <c r="B248" s="557" t="s">
        <v>1263</v>
      </c>
      <c r="C248" s="558" t="s">
        <v>1264</v>
      </c>
      <c r="D248" s="564" t="s">
        <v>3093</v>
      </c>
      <c r="E248" s="17" t="s">
        <v>3222</v>
      </c>
      <c r="F248" s="17">
        <v>2</v>
      </c>
      <c r="G248" s="17">
        <v>2</v>
      </c>
      <c r="H248" s="17" t="s">
        <v>3451</v>
      </c>
      <c r="I248" s="17"/>
      <c r="J248" s="17"/>
      <c r="K248" s="17"/>
      <c r="L248" s="17"/>
      <c r="M248" s="17"/>
      <c r="N248" s="17"/>
      <c r="O248" s="17"/>
      <c r="P248" s="17"/>
      <c r="Q248" s="17"/>
    </row>
    <row r="249" spans="1:17">
      <c r="A249" s="556" t="s">
        <v>2965</v>
      </c>
      <c r="B249" s="557" t="s">
        <v>1266</v>
      </c>
      <c r="C249" s="558" t="s">
        <v>1267</v>
      </c>
      <c r="D249" s="564" t="s">
        <v>1121</v>
      </c>
      <c r="E249" s="17" t="s">
        <v>3181</v>
      </c>
      <c r="F249" s="17">
        <v>3</v>
      </c>
      <c r="G249" s="17">
        <v>1</v>
      </c>
      <c r="H249" s="17" t="s">
        <v>3346</v>
      </c>
      <c r="I249" s="17"/>
      <c r="J249" s="17"/>
      <c r="K249" s="17"/>
      <c r="L249" s="17"/>
      <c r="M249" s="17"/>
      <c r="N249" s="17"/>
      <c r="O249" s="17"/>
      <c r="P249" s="17"/>
      <c r="Q249" s="17"/>
    </row>
    <row r="250" spans="1:17">
      <c r="A250" s="556" t="s">
        <v>2965</v>
      </c>
      <c r="B250" s="557" t="s">
        <v>1266</v>
      </c>
      <c r="C250" s="558" t="s">
        <v>1267</v>
      </c>
      <c r="D250" s="564" t="s">
        <v>3093</v>
      </c>
      <c r="E250" s="17" t="s">
        <v>3223</v>
      </c>
      <c r="F250" s="17">
        <v>3</v>
      </c>
      <c r="G250" s="17">
        <v>2</v>
      </c>
      <c r="H250" s="17" t="s">
        <v>3452</v>
      </c>
      <c r="I250" s="17"/>
      <c r="J250" s="17"/>
      <c r="K250" s="17"/>
      <c r="L250" s="17"/>
      <c r="M250" s="17"/>
      <c r="N250" s="17"/>
      <c r="O250" s="17"/>
      <c r="P250" s="17"/>
      <c r="Q250" s="17"/>
    </row>
    <row r="251" spans="1:17">
      <c r="A251" s="556" t="s">
        <v>2965</v>
      </c>
      <c r="B251" s="557" t="s">
        <v>1269</v>
      </c>
      <c r="C251" s="558" t="s">
        <v>1270</v>
      </c>
      <c r="D251" s="564" t="s">
        <v>1121</v>
      </c>
      <c r="E251" s="17" t="s">
        <v>3182</v>
      </c>
      <c r="F251" s="17">
        <v>4</v>
      </c>
      <c r="G251" s="17">
        <v>1</v>
      </c>
      <c r="H251" s="17" t="s">
        <v>3350</v>
      </c>
      <c r="I251" s="17"/>
      <c r="J251" s="17"/>
      <c r="K251" s="17"/>
      <c r="L251" s="17"/>
      <c r="M251" s="17"/>
      <c r="N251" s="17"/>
      <c r="O251" s="17"/>
      <c r="P251" s="17"/>
      <c r="Q251" s="17"/>
    </row>
    <row r="252" spans="1:17">
      <c r="A252" s="556" t="s">
        <v>2965</v>
      </c>
      <c r="B252" s="557" t="s">
        <v>1269</v>
      </c>
      <c r="C252" s="558" t="s">
        <v>1270</v>
      </c>
      <c r="D252" s="564" t="s">
        <v>3093</v>
      </c>
      <c r="E252" s="17" t="s">
        <v>3224</v>
      </c>
      <c r="F252" s="17">
        <v>4</v>
      </c>
      <c r="G252" s="17">
        <v>2</v>
      </c>
      <c r="H252" s="17" t="s">
        <v>3453</v>
      </c>
      <c r="I252" s="17"/>
      <c r="J252" s="17"/>
      <c r="K252" s="17"/>
      <c r="L252" s="17"/>
      <c r="M252" s="17"/>
      <c r="N252" s="17"/>
      <c r="O252" s="17"/>
      <c r="P252" s="17"/>
      <c r="Q252" s="17"/>
    </row>
    <row r="253" spans="1:17">
      <c r="A253" s="556" t="s">
        <v>2965</v>
      </c>
      <c r="B253" s="557" t="s">
        <v>1271</v>
      </c>
      <c r="C253" s="558" t="s">
        <v>1272</v>
      </c>
      <c r="D253" s="564" t="s">
        <v>1121</v>
      </c>
      <c r="E253" s="17" t="s">
        <v>3183</v>
      </c>
      <c r="F253" s="17">
        <v>5</v>
      </c>
      <c r="G253" s="17">
        <v>1</v>
      </c>
      <c r="H253" s="17" t="s">
        <v>3354</v>
      </c>
      <c r="I253" s="17"/>
      <c r="J253" s="17"/>
      <c r="K253" s="17"/>
      <c r="L253" s="17"/>
      <c r="M253" s="17"/>
      <c r="N253" s="17"/>
      <c r="O253" s="17"/>
      <c r="P253" s="17"/>
      <c r="Q253" s="17"/>
    </row>
    <row r="254" spans="1:17">
      <c r="A254" s="556" t="s">
        <v>2965</v>
      </c>
      <c r="B254" s="557" t="s">
        <v>1271</v>
      </c>
      <c r="C254" s="558" t="s">
        <v>1272</v>
      </c>
      <c r="D254" s="564" t="s">
        <v>3093</v>
      </c>
      <c r="E254" s="17" t="s">
        <v>3225</v>
      </c>
      <c r="F254" s="17">
        <v>5</v>
      </c>
      <c r="G254" s="17">
        <v>2</v>
      </c>
      <c r="H254" s="17" t="s">
        <v>3454</v>
      </c>
      <c r="I254" s="17"/>
      <c r="J254" s="17"/>
      <c r="K254" s="17"/>
      <c r="L254" s="17"/>
      <c r="M254" s="17"/>
      <c r="N254" s="17"/>
      <c r="O254" s="17"/>
      <c r="P254" s="17"/>
      <c r="Q254" s="17"/>
    </row>
    <row r="255" spans="1:17">
      <c r="A255" s="556" t="s">
        <v>2965</v>
      </c>
      <c r="B255" s="557" t="s">
        <v>1274</v>
      </c>
      <c r="C255" s="558" t="s">
        <v>1275</v>
      </c>
      <c r="D255" s="564" t="s">
        <v>1121</v>
      </c>
      <c r="E255" s="17" t="s">
        <v>3184</v>
      </c>
      <c r="F255" s="17">
        <v>6</v>
      </c>
      <c r="G255" s="17">
        <v>1</v>
      </c>
      <c r="H255" s="17" t="s">
        <v>3358</v>
      </c>
      <c r="I255" s="17"/>
      <c r="J255" s="17"/>
      <c r="K255" s="17"/>
      <c r="L255" s="17"/>
      <c r="M255" s="17"/>
      <c r="N255" s="17"/>
      <c r="O255" s="17"/>
      <c r="P255" s="17"/>
      <c r="Q255" s="17"/>
    </row>
    <row r="256" spans="1:17">
      <c r="A256" s="556" t="s">
        <v>2965</v>
      </c>
      <c r="B256" s="557" t="s">
        <v>1274</v>
      </c>
      <c r="C256" s="558" t="s">
        <v>1275</v>
      </c>
      <c r="D256" s="564" t="s">
        <v>3093</v>
      </c>
      <c r="E256" s="17" t="s">
        <v>3226</v>
      </c>
      <c r="F256" s="17">
        <v>6</v>
      </c>
      <c r="G256" s="17">
        <v>2</v>
      </c>
      <c r="H256" s="17" t="s">
        <v>3455</v>
      </c>
      <c r="I256" s="17"/>
      <c r="J256" s="17"/>
      <c r="K256" s="17"/>
      <c r="L256" s="17"/>
      <c r="M256" s="17"/>
      <c r="N256" s="17"/>
      <c r="O256" s="17"/>
      <c r="P256" s="17"/>
      <c r="Q256" s="17"/>
    </row>
    <row r="257" spans="1:17">
      <c r="A257" s="556" t="s">
        <v>2965</v>
      </c>
      <c r="B257" s="557" t="s">
        <v>1277</v>
      </c>
      <c r="C257" s="558" t="s">
        <v>1278</v>
      </c>
      <c r="D257" s="564" t="s">
        <v>1121</v>
      </c>
      <c r="E257" s="17" t="s">
        <v>3185</v>
      </c>
      <c r="F257" s="17">
        <v>7</v>
      </c>
      <c r="G257" s="17">
        <v>1</v>
      </c>
      <c r="H257" s="17" t="s">
        <v>3361</v>
      </c>
      <c r="I257" s="17"/>
      <c r="J257" s="17"/>
      <c r="K257" s="17"/>
      <c r="L257" s="17"/>
      <c r="M257" s="17"/>
      <c r="N257" s="17"/>
      <c r="O257" s="17"/>
      <c r="P257" s="17"/>
      <c r="Q257" s="17"/>
    </row>
    <row r="258" spans="1:17">
      <c r="A258" s="556" t="s">
        <v>2965</v>
      </c>
      <c r="B258" s="557" t="s">
        <v>1277</v>
      </c>
      <c r="C258" s="558" t="s">
        <v>1278</v>
      </c>
      <c r="D258" s="564" t="s">
        <v>3093</v>
      </c>
      <c r="E258" s="17" t="s">
        <v>3227</v>
      </c>
      <c r="F258" s="17">
        <v>7</v>
      </c>
      <c r="G258" s="17">
        <v>2</v>
      </c>
      <c r="H258" s="17" t="s">
        <v>3456</v>
      </c>
      <c r="I258" s="17"/>
      <c r="J258" s="17"/>
      <c r="K258" s="17"/>
      <c r="L258" s="17"/>
      <c r="M258" s="17"/>
      <c r="N258" s="17"/>
      <c r="O258" s="17"/>
      <c r="P258" s="17"/>
      <c r="Q258" s="17"/>
    </row>
    <row r="259" spans="1:17">
      <c r="A259" s="556" t="s">
        <v>2965</v>
      </c>
      <c r="B259" s="557" t="s">
        <v>1280</v>
      </c>
      <c r="C259" s="558" t="s">
        <v>3730</v>
      </c>
      <c r="D259" s="564" t="s">
        <v>1121</v>
      </c>
      <c r="E259" s="17" t="s">
        <v>3186</v>
      </c>
      <c r="F259" s="17">
        <v>8</v>
      </c>
      <c r="G259" s="17">
        <v>1</v>
      </c>
      <c r="H259" s="17" t="s">
        <v>3365</v>
      </c>
      <c r="I259" s="17"/>
      <c r="J259" s="17"/>
      <c r="K259" s="17"/>
      <c r="L259" s="17"/>
      <c r="M259" s="17"/>
      <c r="N259" s="17"/>
      <c r="O259" s="17"/>
      <c r="P259" s="17"/>
      <c r="Q259" s="17"/>
    </row>
    <row r="260" spans="1:17">
      <c r="A260" s="556" t="s">
        <v>2965</v>
      </c>
      <c r="B260" s="557" t="s">
        <v>1280</v>
      </c>
      <c r="C260" s="558" t="s">
        <v>3730</v>
      </c>
      <c r="D260" s="564" t="s">
        <v>3093</v>
      </c>
      <c r="E260" s="17" t="s">
        <v>3228</v>
      </c>
      <c r="F260" s="17">
        <v>8</v>
      </c>
      <c r="G260" s="17">
        <v>2</v>
      </c>
      <c r="H260" s="17" t="s">
        <v>3457</v>
      </c>
      <c r="I260" s="17"/>
      <c r="J260" s="17"/>
      <c r="K260" s="17"/>
      <c r="L260" s="17"/>
      <c r="M260" s="17"/>
      <c r="N260" s="17"/>
      <c r="O260" s="17"/>
      <c r="P260" s="17"/>
      <c r="Q260" s="17"/>
    </row>
    <row r="261" spans="1:17">
      <c r="A261" s="556" t="s">
        <v>2965</v>
      </c>
      <c r="B261" s="557" t="s">
        <v>1282</v>
      </c>
      <c r="C261" s="558" t="s">
        <v>1283</v>
      </c>
      <c r="D261" s="564" t="s">
        <v>1121</v>
      </c>
      <c r="E261" s="17" t="s">
        <v>3187</v>
      </c>
      <c r="F261" s="17">
        <v>9</v>
      </c>
      <c r="G261" s="17">
        <v>1</v>
      </c>
      <c r="H261" s="17" t="s">
        <v>3369</v>
      </c>
      <c r="I261" s="17"/>
      <c r="J261" s="17"/>
      <c r="K261" s="17"/>
      <c r="L261" s="17"/>
      <c r="M261" s="17"/>
      <c r="N261" s="17"/>
      <c r="O261" s="17"/>
      <c r="P261" s="17"/>
      <c r="Q261" s="17"/>
    </row>
    <row r="262" spans="1:17">
      <c r="A262" s="556" t="s">
        <v>2965</v>
      </c>
      <c r="B262" s="557" t="s">
        <v>1282</v>
      </c>
      <c r="C262" s="558" t="s">
        <v>1283</v>
      </c>
      <c r="D262" s="564" t="s">
        <v>3093</v>
      </c>
      <c r="E262" s="17" t="s">
        <v>3229</v>
      </c>
      <c r="F262" s="17">
        <v>9</v>
      </c>
      <c r="G262" s="17">
        <v>2</v>
      </c>
      <c r="H262" s="17" t="s">
        <v>3458</v>
      </c>
      <c r="I262" s="17"/>
      <c r="J262" s="17"/>
      <c r="K262" s="17"/>
      <c r="L262" s="17"/>
      <c r="M262" s="17"/>
      <c r="N262" s="17"/>
      <c r="O262" s="17"/>
      <c r="P262" s="17"/>
      <c r="Q262" s="17"/>
    </row>
    <row r="263" spans="1:17">
      <c r="A263" s="556" t="s">
        <v>2965</v>
      </c>
      <c r="B263" s="557" t="s">
        <v>1284</v>
      </c>
      <c r="C263" s="558" t="s">
        <v>1285</v>
      </c>
      <c r="D263" s="564" t="s">
        <v>1121</v>
      </c>
      <c r="E263" s="17" t="s">
        <v>3188</v>
      </c>
      <c r="F263" s="17">
        <v>10</v>
      </c>
      <c r="G263" s="17">
        <v>1</v>
      </c>
      <c r="H263" s="17" t="s">
        <v>3373</v>
      </c>
      <c r="I263" s="17"/>
      <c r="J263" s="17"/>
      <c r="K263" s="17"/>
      <c r="L263" s="17"/>
      <c r="M263" s="17"/>
      <c r="N263" s="17"/>
      <c r="O263" s="17"/>
      <c r="P263" s="17"/>
      <c r="Q263" s="17"/>
    </row>
    <row r="264" spans="1:17">
      <c r="A264" s="556" t="s">
        <v>2965</v>
      </c>
      <c r="B264" s="557" t="s">
        <v>1284</v>
      </c>
      <c r="C264" s="558" t="s">
        <v>1285</v>
      </c>
      <c r="D264" s="564" t="s">
        <v>3093</v>
      </c>
      <c r="E264" s="17" t="s">
        <v>3230</v>
      </c>
      <c r="F264" s="17">
        <v>10</v>
      </c>
      <c r="G264" s="17">
        <v>2</v>
      </c>
      <c r="H264" s="17" t="s">
        <v>3459</v>
      </c>
      <c r="I264" s="17"/>
      <c r="J264" s="17"/>
      <c r="K264" s="17"/>
      <c r="L264" s="17"/>
      <c r="M264" s="17"/>
      <c r="N264" s="17"/>
      <c r="O264" s="17"/>
      <c r="P264" s="17"/>
      <c r="Q264" s="17"/>
    </row>
    <row r="265" spans="1:17">
      <c r="A265" s="556" t="s">
        <v>2965</v>
      </c>
      <c r="B265" s="557" t="s">
        <v>1286</v>
      </c>
      <c r="C265" s="558" t="s">
        <v>2145</v>
      </c>
      <c r="D265" s="564" t="s">
        <v>1121</v>
      </c>
      <c r="E265" s="17" t="s">
        <v>3189</v>
      </c>
      <c r="F265" s="17">
        <v>11</v>
      </c>
      <c r="G265" s="17">
        <v>1</v>
      </c>
      <c r="H265" s="17" t="s">
        <v>3377</v>
      </c>
      <c r="I265" s="17"/>
      <c r="J265" s="17"/>
      <c r="K265" s="17"/>
      <c r="L265" s="17"/>
      <c r="M265" s="17"/>
      <c r="N265" s="17"/>
      <c r="O265" s="17"/>
      <c r="P265" s="17"/>
      <c r="Q265" s="17"/>
    </row>
    <row r="266" spans="1:17">
      <c r="A266" s="556" t="s">
        <v>2965</v>
      </c>
      <c r="B266" s="557" t="s">
        <v>1286</v>
      </c>
      <c r="C266" s="558" t="s">
        <v>2145</v>
      </c>
      <c r="D266" s="564" t="s">
        <v>3093</v>
      </c>
      <c r="E266" s="17" t="s">
        <v>3231</v>
      </c>
      <c r="F266" s="17">
        <v>11</v>
      </c>
      <c r="G266" s="17">
        <v>2</v>
      </c>
      <c r="H266" s="17" t="s">
        <v>3460</v>
      </c>
      <c r="I266" s="17"/>
      <c r="J266" s="17"/>
      <c r="K266" s="17"/>
      <c r="L266" s="17"/>
      <c r="M266" s="17"/>
      <c r="N266" s="17"/>
      <c r="O266" s="17"/>
      <c r="P266" s="17"/>
      <c r="Q266" s="17"/>
    </row>
    <row r="267" spans="1:17">
      <c r="A267" s="556" t="s">
        <v>2965</v>
      </c>
      <c r="B267" s="557" t="s">
        <v>1288</v>
      </c>
      <c r="C267" s="558" t="s">
        <v>1289</v>
      </c>
      <c r="D267" s="564" t="s">
        <v>1121</v>
      </c>
      <c r="E267" s="17" t="s">
        <v>3190</v>
      </c>
      <c r="F267" s="17">
        <v>12</v>
      </c>
      <c r="G267" s="17">
        <v>1</v>
      </c>
      <c r="H267" s="17" t="s">
        <v>3381</v>
      </c>
      <c r="I267" s="17"/>
      <c r="J267" s="17"/>
      <c r="K267" s="17"/>
      <c r="L267" s="17"/>
      <c r="M267" s="17"/>
      <c r="N267" s="17"/>
      <c r="O267" s="17"/>
      <c r="P267" s="17"/>
      <c r="Q267" s="17"/>
    </row>
    <row r="268" spans="1:17">
      <c r="A268" s="556" t="s">
        <v>2965</v>
      </c>
      <c r="B268" s="557" t="s">
        <v>1288</v>
      </c>
      <c r="C268" s="558" t="s">
        <v>1289</v>
      </c>
      <c r="D268" s="564" t="s">
        <v>3093</v>
      </c>
      <c r="E268" s="17" t="s">
        <v>3232</v>
      </c>
      <c r="F268" s="17">
        <v>12</v>
      </c>
      <c r="G268" s="17">
        <v>2</v>
      </c>
      <c r="H268" s="17" t="s">
        <v>3461</v>
      </c>
      <c r="I268" s="17"/>
      <c r="J268" s="17"/>
      <c r="K268" s="17"/>
      <c r="L268" s="17"/>
      <c r="M268" s="17"/>
      <c r="N268" s="17"/>
      <c r="O268" s="17"/>
      <c r="P268" s="17"/>
      <c r="Q268" s="17"/>
    </row>
    <row r="269" spans="1:17">
      <c r="A269" s="556" t="s">
        <v>2965</v>
      </c>
      <c r="B269" s="557" t="s">
        <v>1290</v>
      </c>
      <c r="C269" s="558" t="s">
        <v>1291</v>
      </c>
      <c r="D269" s="564" t="s">
        <v>1121</v>
      </c>
      <c r="E269" s="17" t="s">
        <v>3191</v>
      </c>
      <c r="F269" s="17">
        <v>13</v>
      </c>
      <c r="G269" s="17">
        <v>1</v>
      </c>
      <c r="H269" s="17" t="s">
        <v>3385</v>
      </c>
      <c r="I269" s="17"/>
      <c r="J269" s="17"/>
      <c r="K269" s="17"/>
      <c r="L269" s="17"/>
      <c r="M269" s="17"/>
      <c r="N269" s="17"/>
      <c r="O269" s="17"/>
      <c r="P269" s="17"/>
      <c r="Q269" s="17"/>
    </row>
    <row r="270" spans="1:17">
      <c r="A270" s="556" t="s">
        <v>2965</v>
      </c>
      <c r="B270" s="557" t="s">
        <v>1290</v>
      </c>
      <c r="C270" s="558" t="s">
        <v>1291</v>
      </c>
      <c r="D270" s="564" t="s">
        <v>3093</v>
      </c>
      <c r="E270" s="17" t="s">
        <v>3233</v>
      </c>
      <c r="F270" s="17">
        <v>13</v>
      </c>
      <c r="G270" s="17">
        <v>2</v>
      </c>
      <c r="H270" s="17" t="s">
        <v>3462</v>
      </c>
      <c r="I270" s="17"/>
      <c r="J270" s="17"/>
      <c r="K270" s="17"/>
      <c r="L270" s="17"/>
      <c r="M270" s="17"/>
      <c r="N270" s="17"/>
      <c r="O270" s="17"/>
      <c r="P270" s="17"/>
      <c r="Q270" s="17"/>
    </row>
    <row r="271" spans="1:17">
      <c r="A271" s="556" t="s">
        <v>2965</v>
      </c>
      <c r="B271" s="557" t="s">
        <v>1292</v>
      </c>
      <c r="C271" s="558" t="s">
        <v>1293</v>
      </c>
      <c r="D271" s="564" t="s">
        <v>1121</v>
      </c>
      <c r="E271" s="17" t="s">
        <v>3192</v>
      </c>
      <c r="F271" s="17">
        <v>14</v>
      </c>
      <c r="G271" s="17">
        <v>1</v>
      </c>
      <c r="H271" s="17" t="s">
        <v>3389</v>
      </c>
      <c r="I271" s="17"/>
      <c r="J271" s="17"/>
      <c r="K271" s="17"/>
      <c r="L271" s="17"/>
      <c r="M271" s="17"/>
      <c r="N271" s="17"/>
      <c r="O271" s="17"/>
      <c r="P271" s="17"/>
      <c r="Q271" s="17"/>
    </row>
    <row r="272" spans="1:17">
      <c r="A272" s="556" t="s">
        <v>2965</v>
      </c>
      <c r="B272" s="557" t="s">
        <v>1292</v>
      </c>
      <c r="C272" s="558" t="s">
        <v>1293</v>
      </c>
      <c r="D272" s="564" t="s">
        <v>3093</v>
      </c>
      <c r="E272" s="17" t="s">
        <v>3234</v>
      </c>
      <c r="F272" s="17">
        <v>14</v>
      </c>
      <c r="G272" s="17">
        <v>2</v>
      </c>
      <c r="H272" s="17" t="s">
        <v>3463</v>
      </c>
      <c r="I272" s="17"/>
      <c r="J272" s="17"/>
      <c r="K272" s="17"/>
      <c r="L272" s="17"/>
      <c r="M272" s="17"/>
      <c r="N272" s="17"/>
      <c r="O272" s="17"/>
      <c r="P272" s="17"/>
      <c r="Q272" s="17"/>
    </row>
    <row r="273" spans="1:17">
      <c r="A273" s="556" t="s">
        <v>2965</v>
      </c>
      <c r="B273" s="557" t="s">
        <v>1294</v>
      </c>
      <c r="C273" s="558" t="s">
        <v>1295</v>
      </c>
      <c r="D273" s="564" t="s">
        <v>1121</v>
      </c>
      <c r="E273" s="17" t="s">
        <v>3193</v>
      </c>
      <c r="F273" s="17">
        <v>15</v>
      </c>
      <c r="G273" s="17">
        <v>1</v>
      </c>
      <c r="H273" s="17" t="s">
        <v>3393</v>
      </c>
      <c r="I273" s="17"/>
      <c r="J273" s="17"/>
      <c r="K273" s="17"/>
      <c r="L273" s="17"/>
      <c r="M273" s="17"/>
      <c r="N273" s="17"/>
      <c r="O273" s="17"/>
      <c r="P273" s="17"/>
      <c r="Q273" s="17"/>
    </row>
    <row r="274" spans="1:17">
      <c r="A274" s="556" t="s">
        <v>2965</v>
      </c>
      <c r="B274" s="557" t="s">
        <v>1294</v>
      </c>
      <c r="C274" s="558" t="s">
        <v>1295</v>
      </c>
      <c r="D274" s="564" t="s">
        <v>3093</v>
      </c>
      <c r="E274" s="17" t="s">
        <v>3235</v>
      </c>
      <c r="F274" s="17">
        <v>15</v>
      </c>
      <c r="G274" s="17">
        <v>2</v>
      </c>
      <c r="H274" s="17" t="s">
        <v>3464</v>
      </c>
      <c r="I274" s="17"/>
      <c r="J274" s="17"/>
      <c r="K274" s="17"/>
      <c r="L274" s="17"/>
      <c r="M274" s="17"/>
      <c r="N274" s="17"/>
      <c r="O274" s="17"/>
      <c r="P274" s="17"/>
      <c r="Q274" s="17"/>
    </row>
    <row r="275" spans="1:17">
      <c r="A275" s="556" t="s">
        <v>2965</v>
      </c>
      <c r="B275" s="557" t="s">
        <v>1296</v>
      </c>
      <c r="C275" s="558" t="s">
        <v>1297</v>
      </c>
      <c r="D275" s="564" t="s">
        <v>1121</v>
      </c>
      <c r="E275" s="17" t="s">
        <v>3194</v>
      </c>
      <c r="F275" s="17">
        <v>16</v>
      </c>
      <c r="G275" s="17">
        <v>1</v>
      </c>
      <c r="H275" s="17" t="s">
        <v>3397</v>
      </c>
      <c r="I275" s="17"/>
      <c r="J275" s="17"/>
      <c r="K275" s="17"/>
      <c r="L275" s="17"/>
      <c r="M275" s="17"/>
      <c r="N275" s="17"/>
      <c r="O275" s="17"/>
      <c r="P275" s="17"/>
      <c r="Q275" s="17"/>
    </row>
    <row r="276" spans="1:17">
      <c r="A276" s="556" t="s">
        <v>2965</v>
      </c>
      <c r="B276" s="557" t="s">
        <v>1296</v>
      </c>
      <c r="C276" s="558" t="s">
        <v>1297</v>
      </c>
      <c r="D276" s="564" t="s">
        <v>3093</v>
      </c>
      <c r="E276" s="17" t="s">
        <v>3236</v>
      </c>
      <c r="F276" s="17">
        <v>16</v>
      </c>
      <c r="G276" s="17">
        <v>2</v>
      </c>
      <c r="H276" s="17" t="s">
        <v>3465</v>
      </c>
      <c r="I276" s="17"/>
      <c r="J276" s="17"/>
      <c r="K276" s="17"/>
      <c r="L276" s="17"/>
      <c r="M276" s="17"/>
      <c r="N276" s="17"/>
      <c r="O276" s="17"/>
      <c r="P276" s="17"/>
      <c r="Q276" s="17"/>
    </row>
    <row r="277" spans="1:17">
      <c r="A277" s="556" t="s">
        <v>2965</v>
      </c>
      <c r="B277" s="557" t="s">
        <v>1298</v>
      </c>
      <c r="C277" s="558" t="s">
        <v>2657</v>
      </c>
      <c r="D277" s="564" t="s">
        <v>1121</v>
      </c>
      <c r="E277" s="17" t="s">
        <v>3195</v>
      </c>
      <c r="F277" s="17">
        <v>17</v>
      </c>
      <c r="G277" s="17">
        <v>1</v>
      </c>
      <c r="H277" s="17" t="s">
        <v>3401</v>
      </c>
      <c r="I277" s="17"/>
      <c r="J277" s="17"/>
      <c r="K277" s="17"/>
      <c r="L277" s="17"/>
      <c r="M277" s="17"/>
      <c r="N277" s="17"/>
      <c r="O277" s="17"/>
      <c r="P277" s="17"/>
      <c r="Q277" s="17"/>
    </row>
    <row r="278" spans="1:17">
      <c r="A278" s="556" t="s">
        <v>2965</v>
      </c>
      <c r="B278" s="557" t="s">
        <v>1298</v>
      </c>
      <c r="C278" s="558" t="s">
        <v>2657</v>
      </c>
      <c r="D278" s="564" t="s">
        <v>3093</v>
      </c>
      <c r="E278" s="17" t="s">
        <v>3237</v>
      </c>
      <c r="F278" s="17">
        <v>17</v>
      </c>
      <c r="G278" s="17">
        <v>2</v>
      </c>
      <c r="H278" s="17" t="s">
        <v>3466</v>
      </c>
      <c r="I278" s="17"/>
      <c r="J278" s="17"/>
      <c r="K278" s="17"/>
      <c r="L278" s="17"/>
      <c r="M278" s="17"/>
      <c r="N278" s="17"/>
      <c r="O278" s="17"/>
      <c r="P278" s="17"/>
      <c r="Q278" s="17"/>
    </row>
    <row r="279" spans="1:17">
      <c r="A279" s="556" t="s">
        <v>2965</v>
      </c>
      <c r="B279" s="557" t="s">
        <v>1300</v>
      </c>
      <c r="C279" s="558" t="s">
        <v>1301</v>
      </c>
      <c r="D279" s="564" t="s">
        <v>1121</v>
      </c>
      <c r="E279" s="17" t="s">
        <v>3196</v>
      </c>
      <c r="F279" s="17">
        <v>18</v>
      </c>
      <c r="G279" s="17">
        <v>1</v>
      </c>
      <c r="H279" s="17" t="s">
        <v>3405</v>
      </c>
      <c r="I279" s="17"/>
      <c r="J279" s="17"/>
      <c r="K279" s="17"/>
      <c r="L279" s="17"/>
      <c r="M279" s="17"/>
      <c r="N279" s="17"/>
      <c r="O279" s="17"/>
      <c r="P279" s="17"/>
      <c r="Q279" s="17"/>
    </row>
    <row r="280" spans="1:17">
      <c r="A280" s="556" t="s">
        <v>2965</v>
      </c>
      <c r="B280" s="557" t="s">
        <v>1300</v>
      </c>
      <c r="C280" s="558" t="s">
        <v>1301</v>
      </c>
      <c r="D280" s="564" t="s">
        <v>3093</v>
      </c>
      <c r="E280" s="17" t="s">
        <v>3238</v>
      </c>
      <c r="F280" s="17">
        <v>18</v>
      </c>
      <c r="G280" s="17">
        <v>2</v>
      </c>
      <c r="H280" s="17" t="s">
        <v>3467</v>
      </c>
      <c r="I280" s="17"/>
      <c r="J280" s="17"/>
      <c r="K280" s="17"/>
      <c r="L280" s="17"/>
      <c r="M280" s="17"/>
      <c r="N280" s="17"/>
      <c r="O280" s="17"/>
      <c r="P280" s="17"/>
      <c r="Q280" s="17"/>
    </row>
    <row r="281" spans="1:17">
      <c r="A281" s="556" t="s">
        <v>2965</v>
      </c>
      <c r="B281" s="557" t="s">
        <v>1302</v>
      </c>
      <c r="C281" s="558" t="s">
        <v>1303</v>
      </c>
      <c r="D281" s="564" t="s">
        <v>1121</v>
      </c>
      <c r="E281" s="17" t="s">
        <v>3197</v>
      </c>
      <c r="F281" s="17">
        <v>19</v>
      </c>
      <c r="G281" s="17">
        <v>1</v>
      </c>
      <c r="H281" s="17" t="s">
        <v>3409</v>
      </c>
      <c r="I281" s="17"/>
      <c r="J281" s="17"/>
      <c r="K281" s="17"/>
      <c r="L281" s="17"/>
      <c r="M281" s="17"/>
      <c r="N281" s="17"/>
      <c r="O281" s="17"/>
      <c r="P281" s="17"/>
      <c r="Q281" s="17"/>
    </row>
    <row r="282" spans="1:17">
      <c r="A282" s="556" t="s">
        <v>2965</v>
      </c>
      <c r="B282" s="557" t="s">
        <v>1302</v>
      </c>
      <c r="C282" s="558" t="s">
        <v>1303</v>
      </c>
      <c r="D282" s="564" t="s">
        <v>3093</v>
      </c>
      <c r="E282" s="17" t="s">
        <v>3239</v>
      </c>
      <c r="F282" s="17">
        <v>19</v>
      </c>
      <c r="G282" s="17">
        <v>2</v>
      </c>
      <c r="H282" s="17" t="s">
        <v>3468</v>
      </c>
      <c r="I282" s="17"/>
      <c r="J282" s="17"/>
      <c r="K282" s="17"/>
      <c r="L282" s="17"/>
      <c r="M282" s="17"/>
      <c r="N282" s="17"/>
      <c r="O282" s="17"/>
      <c r="P282" s="17"/>
      <c r="Q282" s="17"/>
    </row>
    <row r="283" spans="1:17">
      <c r="A283" s="556" t="s">
        <v>2965</v>
      </c>
      <c r="B283" s="557" t="s">
        <v>1304</v>
      </c>
      <c r="C283" s="558" t="s">
        <v>1305</v>
      </c>
      <c r="D283" s="564" t="s">
        <v>1121</v>
      </c>
      <c r="E283" s="17" t="s">
        <v>3198</v>
      </c>
      <c r="F283" s="17">
        <v>20</v>
      </c>
      <c r="G283" s="17">
        <v>1</v>
      </c>
      <c r="H283" s="17" t="s">
        <v>3413</v>
      </c>
      <c r="I283" s="17"/>
      <c r="J283" s="17"/>
      <c r="K283" s="17"/>
      <c r="L283" s="17"/>
      <c r="M283" s="17"/>
      <c r="N283" s="17"/>
      <c r="O283" s="17"/>
      <c r="P283" s="17"/>
      <c r="Q283" s="17"/>
    </row>
    <row r="284" spans="1:17">
      <c r="A284" s="556" t="s">
        <v>2965</v>
      </c>
      <c r="B284" s="557" t="s">
        <v>1304</v>
      </c>
      <c r="C284" s="558" t="s">
        <v>1305</v>
      </c>
      <c r="D284" s="564" t="s">
        <v>3093</v>
      </c>
      <c r="E284" s="17" t="s">
        <v>3240</v>
      </c>
      <c r="F284" s="17">
        <v>20</v>
      </c>
      <c r="G284" s="17">
        <v>2</v>
      </c>
      <c r="H284" s="17" t="s">
        <v>3469</v>
      </c>
      <c r="I284" s="17"/>
      <c r="J284" s="17"/>
      <c r="K284" s="17"/>
      <c r="L284" s="17"/>
      <c r="M284" s="17"/>
      <c r="N284" s="17"/>
      <c r="O284" s="17"/>
      <c r="P284" s="17"/>
      <c r="Q284" s="17"/>
    </row>
    <row r="285" spans="1:17">
      <c r="A285" s="556" t="s">
        <v>2965</v>
      </c>
      <c r="B285" s="557" t="s">
        <v>1306</v>
      </c>
      <c r="C285" s="558" t="s">
        <v>1307</v>
      </c>
      <c r="D285" s="564" t="s">
        <v>1121</v>
      </c>
      <c r="E285" s="17" t="s">
        <v>3199</v>
      </c>
      <c r="F285" s="17">
        <v>21</v>
      </c>
      <c r="G285" s="17">
        <v>1</v>
      </c>
      <c r="H285" s="17" t="s">
        <v>3417</v>
      </c>
      <c r="I285" s="17"/>
      <c r="J285" s="17"/>
      <c r="K285" s="17"/>
      <c r="L285" s="17"/>
      <c r="M285" s="17"/>
      <c r="N285" s="17"/>
      <c r="O285" s="17"/>
      <c r="P285" s="17"/>
      <c r="Q285" s="17"/>
    </row>
    <row r="286" spans="1:17">
      <c r="A286" s="556" t="s">
        <v>2965</v>
      </c>
      <c r="B286" s="557" t="s">
        <v>1306</v>
      </c>
      <c r="C286" s="558" t="s">
        <v>1307</v>
      </c>
      <c r="D286" s="564" t="s">
        <v>3093</v>
      </c>
      <c r="E286" s="17" t="s">
        <v>3241</v>
      </c>
      <c r="F286" s="17">
        <v>21</v>
      </c>
      <c r="G286" s="17">
        <v>2</v>
      </c>
      <c r="H286" s="17" t="s">
        <v>3470</v>
      </c>
      <c r="I286" s="17"/>
      <c r="J286" s="17"/>
      <c r="K286" s="17"/>
      <c r="L286" s="17"/>
      <c r="M286" s="17"/>
      <c r="N286" s="17"/>
      <c r="O286" s="17"/>
      <c r="P286" s="17"/>
      <c r="Q286" s="17"/>
    </row>
    <row r="287" spans="1:17">
      <c r="A287" s="556" t="s">
        <v>2965</v>
      </c>
      <c r="B287" s="557" t="s">
        <v>1308</v>
      </c>
      <c r="C287" s="558" t="s">
        <v>3731</v>
      </c>
      <c r="D287" s="564" t="s">
        <v>1121</v>
      </c>
      <c r="E287" s="17" t="s">
        <v>3200</v>
      </c>
      <c r="F287" s="17">
        <v>22</v>
      </c>
      <c r="G287" s="17">
        <v>1</v>
      </c>
      <c r="H287" s="17" t="s">
        <v>3421</v>
      </c>
      <c r="I287" s="17"/>
      <c r="J287" s="17"/>
      <c r="K287" s="17"/>
      <c r="L287" s="17"/>
      <c r="M287" s="17"/>
      <c r="N287" s="17"/>
      <c r="O287" s="17"/>
      <c r="P287" s="17"/>
      <c r="Q287" s="17"/>
    </row>
    <row r="288" spans="1:17">
      <c r="A288" s="556" t="s">
        <v>2965</v>
      </c>
      <c r="B288" s="557" t="s">
        <v>1308</v>
      </c>
      <c r="C288" s="558" t="s">
        <v>3731</v>
      </c>
      <c r="D288" s="564" t="s">
        <v>3093</v>
      </c>
      <c r="E288" s="17" t="s">
        <v>3242</v>
      </c>
      <c r="F288" s="17">
        <v>22</v>
      </c>
      <c r="G288" s="17">
        <v>2</v>
      </c>
      <c r="H288" s="17" t="s">
        <v>3471</v>
      </c>
      <c r="I288" s="17"/>
      <c r="J288" s="17"/>
      <c r="K288" s="17"/>
      <c r="L288" s="17"/>
      <c r="M288" s="17"/>
      <c r="N288" s="17"/>
      <c r="O288" s="17"/>
      <c r="P288" s="17"/>
      <c r="Q288" s="17"/>
    </row>
    <row r="289" spans="1:17">
      <c r="A289" s="556" t="s">
        <v>2965</v>
      </c>
      <c r="B289" s="557" t="s">
        <v>1310</v>
      </c>
      <c r="C289" s="558" t="s">
        <v>1311</v>
      </c>
      <c r="D289" s="564" t="s">
        <v>1121</v>
      </c>
      <c r="E289" s="17" t="s">
        <v>3201</v>
      </c>
      <c r="F289" s="17">
        <v>23</v>
      </c>
      <c r="G289" s="17">
        <v>1</v>
      </c>
      <c r="H289" s="17" t="s">
        <v>3425</v>
      </c>
      <c r="I289" s="17"/>
      <c r="J289" s="17"/>
      <c r="K289" s="17"/>
      <c r="L289" s="17"/>
      <c r="M289" s="17"/>
      <c r="N289" s="17"/>
      <c r="O289" s="17"/>
      <c r="P289" s="17"/>
      <c r="Q289" s="17"/>
    </row>
    <row r="290" spans="1:17">
      <c r="A290" s="556" t="s">
        <v>2965</v>
      </c>
      <c r="B290" s="557" t="s">
        <v>1310</v>
      </c>
      <c r="C290" s="558" t="s">
        <v>1311</v>
      </c>
      <c r="D290" s="564" t="s">
        <v>3093</v>
      </c>
      <c r="E290" s="17" t="s">
        <v>3243</v>
      </c>
      <c r="F290" s="17">
        <v>23</v>
      </c>
      <c r="G290" s="17">
        <v>2</v>
      </c>
      <c r="H290" s="17" t="s">
        <v>3472</v>
      </c>
      <c r="I290" s="17"/>
      <c r="J290" s="17"/>
      <c r="K290" s="17"/>
      <c r="L290" s="17"/>
      <c r="M290" s="17"/>
      <c r="N290" s="17"/>
      <c r="O290" s="17"/>
      <c r="P290" s="17"/>
      <c r="Q290" s="17"/>
    </row>
    <row r="291" spans="1:17">
      <c r="A291" s="556" t="s">
        <v>2965</v>
      </c>
      <c r="B291" s="557" t="s">
        <v>1312</v>
      </c>
      <c r="C291" s="558" t="s">
        <v>1313</v>
      </c>
      <c r="D291" s="564" t="s">
        <v>1121</v>
      </c>
      <c r="E291" s="17" t="s">
        <v>3202</v>
      </c>
      <c r="F291" s="17">
        <v>24</v>
      </c>
      <c r="G291" s="17">
        <v>1</v>
      </c>
      <c r="H291" s="17" t="s">
        <v>3429</v>
      </c>
      <c r="I291" s="17"/>
      <c r="J291" s="17"/>
      <c r="K291" s="17"/>
      <c r="L291" s="17"/>
      <c r="M291" s="17"/>
      <c r="N291" s="17"/>
      <c r="O291" s="17"/>
      <c r="P291" s="17"/>
      <c r="Q291" s="17"/>
    </row>
    <row r="292" spans="1:17">
      <c r="A292" s="556" t="s">
        <v>2965</v>
      </c>
      <c r="B292" s="557" t="s">
        <v>1312</v>
      </c>
      <c r="C292" s="558" t="s">
        <v>1313</v>
      </c>
      <c r="D292" s="564" t="s">
        <v>3093</v>
      </c>
      <c r="E292" s="17" t="s">
        <v>3244</v>
      </c>
      <c r="F292" s="17">
        <v>24</v>
      </c>
      <c r="G292" s="17">
        <v>2</v>
      </c>
      <c r="H292" s="17" t="s">
        <v>3473</v>
      </c>
      <c r="I292" s="17"/>
      <c r="J292" s="17"/>
      <c r="K292" s="17"/>
      <c r="L292" s="17"/>
      <c r="M292" s="17"/>
      <c r="N292" s="17"/>
      <c r="O292" s="17"/>
      <c r="P292" s="17"/>
      <c r="Q292" s="17"/>
    </row>
    <row r="293" spans="1:17">
      <c r="A293" s="556" t="s">
        <v>2965</v>
      </c>
      <c r="B293" s="557" t="s">
        <v>1314</v>
      </c>
      <c r="C293" s="558" t="s">
        <v>2981</v>
      </c>
      <c r="D293" s="564" t="s">
        <v>1121</v>
      </c>
      <c r="E293" s="17" t="s">
        <v>3203</v>
      </c>
      <c r="F293" s="17">
        <v>25</v>
      </c>
      <c r="G293" s="17">
        <v>1</v>
      </c>
      <c r="H293" s="17" t="s">
        <v>3433</v>
      </c>
      <c r="I293" s="17"/>
      <c r="J293" s="17"/>
      <c r="K293" s="17"/>
      <c r="L293" s="17"/>
      <c r="M293" s="17"/>
      <c r="N293" s="17"/>
      <c r="O293" s="17"/>
      <c r="P293" s="17"/>
      <c r="Q293" s="17"/>
    </row>
    <row r="294" spans="1:17">
      <c r="A294" s="556" t="s">
        <v>2965</v>
      </c>
      <c r="B294" s="557" t="s">
        <v>1314</v>
      </c>
      <c r="C294" s="558" t="s">
        <v>2981</v>
      </c>
      <c r="D294" s="564" t="s">
        <v>3093</v>
      </c>
      <c r="E294" s="17" t="s">
        <v>3245</v>
      </c>
      <c r="F294" s="17">
        <v>25</v>
      </c>
      <c r="G294" s="17">
        <v>2</v>
      </c>
      <c r="H294" s="17" t="s">
        <v>3474</v>
      </c>
      <c r="I294" s="17"/>
      <c r="J294" s="17"/>
      <c r="K294" s="17"/>
      <c r="L294" s="17"/>
      <c r="M294" s="17"/>
      <c r="N294" s="17"/>
      <c r="O294" s="17"/>
      <c r="P294" s="17"/>
      <c r="Q294" s="17"/>
    </row>
    <row r="295" spans="1:17">
      <c r="A295" s="556" t="s">
        <v>2965</v>
      </c>
      <c r="B295" s="557" t="s">
        <v>1316</v>
      </c>
      <c r="C295" s="558" t="s">
        <v>1317</v>
      </c>
      <c r="D295" s="564" t="s">
        <v>1121</v>
      </c>
      <c r="E295" s="17" t="s">
        <v>3204</v>
      </c>
      <c r="F295" s="17">
        <v>26</v>
      </c>
      <c r="G295" s="17">
        <v>1</v>
      </c>
      <c r="H295" s="17" t="s">
        <v>3437</v>
      </c>
      <c r="I295" s="17"/>
      <c r="J295" s="17"/>
      <c r="K295" s="17"/>
      <c r="L295" s="17"/>
      <c r="M295" s="17"/>
      <c r="N295" s="17"/>
      <c r="O295" s="17"/>
      <c r="P295" s="17"/>
      <c r="Q295" s="17"/>
    </row>
    <row r="296" spans="1:17">
      <c r="A296" s="556" t="s">
        <v>2965</v>
      </c>
      <c r="B296" s="557" t="s">
        <v>1316</v>
      </c>
      <c r="C296" s="558" t="s">
        <v>1317</v>
      </c>
      <c r="D296" s="564" t="s">
        <v>3093</v>
      </c>
      <c r="E296" s="17" t="s">
        <v>3246</v>
      </c>
      <c r="F296" s="17">
        <v>26</v>
      </c>
      <c r="G296" s="17">
        <v>2</v>
      </c>
      <c r="H296" s="17" t="s">
        <v>3475</v>
      </c>
      <c r="I296" s="17"/>
      <c r="J296" s="17"/>
      <c r="K296" s="17"/>
      <c r="L296" s="17"/>
      <c r="M296" s="17"/>
      <c r="N296" s="17"/>
      <c r="O296" s="17"/>
      <c r="P296" s="17"/>
      <c r="Q296" s="17"/>
    </row>
    <row r="297" spans="1:17">
      <c r="A297" s="556" t="s">
        <v>2965</v>
      </c>
      <c r="B297" s="557" t="s">
        <v>1319</v>
      </c>
      <c r="C297" s="558" t="s">
        <v>3732</v>
      </c>
      <c r="D297" s="564" t="s">
        <v>1121</v>
      </c>
      <c r="E297" s="17" t="s">
        <v>3205</v>
      </c>
      <c r="F297" s="17">
        <v>27</v>
      </c>
      <c r="G297" s="17">
        <v>1</v>
      </c>
      <c r="H297" s="17" t="s">
        <v>3441</v>
      </c>
      <c r="I297" s="17"/>
      <c r="J297" s="17"/>
      <c r="K297" s="17"/>
      <c r="L297" s="17"/>
      <c r="M297" s="17"/>
      <c r="N297" s="17"/>
      <c r="O297" s="17"/>
      <c r="P297" s="17"/>
      <c r="Q297" s="17"/>
    </row>
    <row r="298" spans="1:17">
      <c r="A298" s="556" t="s">
        <v>2965</v>
      </c>
      <c r="B298" s="557" t="s">
        <v>1319</v>
      </c>
      <c r="C298" s="558" t="s">
        <v>3732</v>
      </c>
      <c r="D298" s="564" t="s">
        <v>3093</v>
      </c>
      <c r="E298" s="17" t="s">
        <v>3247</v>
      </c>
      <c r="F298" s="17">
        <v>27</v>
      </c>
      <c r="G298" s="17">
        <v>2</v>
      </c>
      <c r="H298" s="17" t="s">
        <v>3476</v>
      </c>
      <c r="I298" s="17"/>
      <c r="J298" s="17"/>
      <c r="K298" s="17"/>
      <c r="L298" s="17"/>
      <c r="M298" s="17"/>
      <c r="N298" s="17"/>
      <c r="O298" s="17"/>
      <c r="P298" s="17"/>
      <c r="Q298" s="17"/>
    </row>
    <row r="299" spans="1:17">
      <c r="A299" s="556" t="s">
        <v>2965</v>
      </c>
      <c r="B299" s="557" t="s">
        <v>1321</v>
      </c>
      <c r="C299" s="558" t="s">
        <v>1322</v>
      </c>
      <c r="D299" s="564" t="s">
        <v>1121</v>
      </c>
      <c r="E299" s="17" t="s">
        <v>3206</v>
      </c>
      <c r="F299" s="17">
        <v>28</v>
      </c>
      <c r="G299" s="17">
        <v>1</v>
      </c>
      <c r="H299" s="17" t="s">
        <v>3445</v>
      </c>
      <c r="I299" s="17"/>
      <c r="J299" s="17"/>
      <c r="K299" s="17"/>
      <c r="L299" s="17"/>
      <c r="M299" s="17"/>
      <c r="N299" s="17"/>
      <c r="O299" s="17"/>
      <c r="P299" s="17"/>
      <c r="Q299" s="17"/>
    </row>
    <row r="300" spans="1:17">
      <c r="A300" s="556" t="s">
        <v>2965</v>
      </c>
      <c r="B300" s="557" t="s">
        <v>1321</v>
      </c>
      <c r="C300" s="558" t="s">
        <v>1322</v>
      </c>
      <c r="D300" s="564" t="s">
        <v>3093</v>
      </c>
      <c r="E300" s="17" t="s">
        <v>3248</v>
      </c>
      <c r="F300" s="17">
        <v>28</v>
      </c>
      <c r="G300" s="17">
        <v>2</v>
      </c>
      <c r="H300" s="17" t="s">
        <v>3477</v>
      </c>
      <c r="I300" s="17"/>
      <c r="J300" s="17"/>
      <c r="K300" s="17"/>
      <c r="L300" s="17"/>
      <c r="M300" s="17"/>
      <c r="N300" s="17"/>
      <c r="O300" s="17"/>
      <c r="P300" s="17"/>
      <c r="Q300" s="17"/>
    </row>
    <row r="301" spans="1:17">
      <c r="A301" s="556" t="s">
        <v>2965</v>
      </c>
      <c r="B301" s="557" t="s">
        <v>1323</v>
      </c>
      <c r="C301" s="558" t="s">
        <v>1324</v>
      </c>
      <c r="D301" s="564" t="s">
        <v>1121</v>
      </c>
      <c r="E301" s="17" t="s">
        <v>3207</v>
      </c>
      <c r="F301" s="17">
        <v>29</v>
      </c>
      <c r="G301" s="17">
        <v>1</v>
      </c>
      <c r="H301" s="17" t="s">
        <v>3449</v>
      </c>
      <c r="I301" s="17"/>
      <c r="J301" s="17"/>
      <c r="K301" s="17"/>
      <c r="L301" s="17"/>
      <c r="M301" s="17"/>
      <c r="N301" s="17"/>
      <c r="O301" s="17"/>
      <c r="P301" s="17"/>
      <c r="Q301" s="17"/>
    </row>
    <row r="302" spans="1:17">
      <c r="A302" s="556" t="s">
        <v>2965</v>
      </c>
      <c r="B302" s="557" t="s">
        <v>1323</v>
      </c>
      <c r="C302" s="558" t="s">
        <v>1324</v>
      </c>
      <c r="D302" s="564" t="s">
        <v>3093</v>
      </c>
      <c r="E302" s="17" t="s">
        <v>3249</v>
      </c>
      <c r="F302" s="17">
        <v>29</v>
      </c>
      <c r="G302" s="17">
        <v>2</v>
      </c>
      <c r="H302" s="17" t="s">
        <v>3478</v>
      </c>
      <c r="I302" s="17"/>
      <c r="J302" s="17"/>
      <c r="K302" s="17"/>
      <c r="L302" s="17"/>
      <c r="M302" s="17"/>
      <c r="N302" s="17"/>
      <c r="O302" s="17"/>
      <c r="P302" s="17"/>
      <c r="Q302" s="17"/>
    </row>
    <row r="303" spans="1:17">
      <c r="A303" s="556" t="s">
        <v>2965</v>
      </c>
      <c r="B303" s="557" t="s">
        <v>1325</v>
      </c>
      <c r="C303" s="558" t="s">
        <v>1326</v>
      </c>
      <c r="D303" s="564" t="s">
        <v>1121</v>
      </c>
      <c r="E303" s="17" t="s">
        <v>3208</v>
      </c>
      <c r="F303" s="17">
        <v>30</v>
      </c>
      <c r="G303" s="17">
        <v>1</v>
      </c>
      <c r="H303" s="17" t="s">
        <v>3479</v>
      </c>
      <c r="I303" s="17"/>
      <c r="J303" s="17"/>
      <c r="K303" s="17"/>
      <c r="L303" s="17"/>
      <c r="M303" s="17"/>
      <c r="N303" s="17"/>
      <c r="O303" s="17"/>
      <c r="P303" s="17"/>
      <c r="Q303" s="17"/>
    </row>
    <row r="304" spans="1:17">
      <c r="A304" s="556" t="s">
        <v>2965</v>
      </c>
      <c r="B304" s="557" t="s">
        <v>1325</v>
      </c>
      <c r="C304" s="558" t="s">
        <v>1326</v>
      </c>
      <c r="D304" s="564" t="s">
        <v>3093</v>
      </c>
      <c r="E304" s="17" t="s">
        <v>3250</v>
      </c>
      <c r="F304" s="17">
        <v>30</v>
      </c>
      <c r="G304" s="17">
        <v>2</v>
      </c>
      <c r="H304" s="17" t="s">
        <v>3480</v>
      </c>
      <c r="I304" s="17"/>
      <c r="J304" s="17"/>
      <c r="K304" s="17"/>
      <c r="L304" s="17"/>
      <c r="M304" s="17"/>
      <c r="N304" s="17"/>
      <c r="O304" s="17"/>
      <c r="P304" s="17"/>
      <c r="Q304" s="17"/>
    </row>
    <row r="305" spans="1:17">
      <c r="A305" s="556" t="s">
        <v>2965</v>
      </c>
      <c r="B305" s="557" t="s">
        <v>1327</v>
      </c>
      <c r="C305" s="558" t="s">
        <v>1328</v>
      </c>
      <c r="D305" s="564" t="s">
        <v>1121</v>
      </c>
      <c r="E305" s="17" t="s">
        <v>3209</v>
      </c>
      <c r="F305" s="17">
        <v>31</v>
      </c>
      <c r="G305" s="17">
        <v>1</v>
      </c>
      <c r="H305" s="17" t="s">
        <v>3481</v>
      </c>
      <c r="I305" s="17"/>
      <c r="J305" s="17"/>
      <c r="K305" s="17"/>
      <c r="L305" s="17"/>
      <c r="M305" s="17"/>
      <c r="N305" s="17"/>
      <c r="O305" s="17"/>
      <c r="P305" s="17"/>
      <c r="Q305" s="17"/>
    </row>
    <row r="306" spans="1:17">
      <c r="A306" s="556" t="s">
        <v>2965</v>
      </c>
      <c r="B306" s="557" t="s">
        <v>1327</v>
      </c>
      <c r="C306" s="558" t="s">
        <v>1328</v>
      </c>
      <c r="D306" s="564" t="s">
        <v>3093</v>
      </c>
      <c r="E306" s="17" t="s">
        <v>3251</v>
      </c>
      <c r="F306" s="17">
        <v>31</v>
      </c>
      <c r="G306" s="17">
        <v>2</v>
      </c>
      <c r="H306" s="17" t="s">
        <v>3482</v>
      </c>
      <c r="I306" s="17"/>
      <c r="J306" s="17"/>
      <c r="K306" s="17"/>
      <c r="L306" s="17"/>
      <c r="M306" s="17"/>
      <c r="N306" s="17"/>
      <c r="O306" s="17"/>
      <c r="P306" s="17"/>
      <c r="Q306" s="17"/>
    </row>
    <row r="307" spans="1:17">
      <c r="A307" s="556" t="s">
        <v>2965</v>
      </c>
      <c r="B307" s="557" t="s">
        <v>1329</v>
      </c>
      <c r="C307" s="558" t="s">
        <v>1330</v>
      </c>
      <c r="D307" s="564" t="s">
        <v>1121</v>
      </c>
      <c r="E307" s="17" t="s">
        <v>3210</v>
      </c>
      <c r="F307" s="17">
        <v>32</v>
      </c>
      <c r="G307" s="17">
        <v>1</v>
      </c>
      <c r="H307" s="17" t="s">
        <v>3483</v>
      </c>
      <c r="I307" s="17"/>
      <c r="J307" s="17"/>
      <c r="K307" s="17"/>
      <c r="L307" s="17"/>
      <c r="M307" s="17"/>
      <c r="N307" s="17"/>
      <c r="O307" s="17"/>
      <c r="P307" s="17"/>
      <c r="Q307" s="17"/>
    </row>
    <row r="308" spans="1:17">
      <c r="A308" s="556" t="s">
        <v>2965</v>
      </c>
      <c r="B308" s="557" t="s">
        <v>1329</v>
      </c>
      <c r="C308" s="558" t="s">
        <v>1330</v>
      </c>
      <c r="D308" s="564" t="s">
        <v>3093</v>
      </c>
      <c r="E308" s="17" t="s">
        <v>3252</v>
      </c>
      <c r="F308" s="17">
        <v>32</v>
      </c>
      <c r="G308" s="17">
        <v>2</v>
      </c>
      <c r="H308" s="17" t="s">
        <v>3484</v>
      </c>
      <c r="I308" s="17"/>
      <c r="J308" s="17"/>
      <c r="K308" s="17"/>
      <c r="L308" s="17"/>
      <c r="M308" s="17"/>
      <c r="N308" s="17"/>
      <c r="O308" s="17"/>
      <c r="P308" s="17"/>
      <c r="Q308" s="17"/>
    </row>
    <row r="309" spans="1:17">
      <c r="A309" s="556" t="s">
        <v>2965</v>
      </c>
      <c r="B309" s="557" t="s">
        <v>1331</v>
      </c>
      <c r="C309" s="558" t="s">
        <v>2982</v>
      </c>
      <c r="D309" s="564" t="s">
        <v>1121</v>
      </c>
      <c r="E309" s="17" t="s">
        <v>3211</v>
      </c>
      <c r="F309" s="17">
        <v>33</v>
      </c>
      <c r="G309" s="17">
        <v>1</v>
      </c>
      <c r="H309" s="17" t="s">
        <v>3485</v>
      </c>
      <c r="I309" s="17"/>
      <c r="J309" s="17"/>
      <c r="K309" s="17"/>
      <c r="L309" s="17"/>
      <c r="M309" s="17"/>
      <c r="N309" s="17"/>
      <c r="O309" s="17"/>
      <c r="P309" s="17"/>
      <c r="Q309" s="17"/>
    </row>
    <row r="310" spans="1:17">
      <c r="A310" s="556" t="s">
        <v>2965</v>
      </c>
      <c r="B310" s="557" t="s">
        <v>1331</v>
      </c>
      <c r="C310" s="558" t="s">
        <v>2982</v>
      </c>
      <c r="D310" s="564" t="s">
        <v>3093</v>
      </c>
      <c r="E310" s="17" t="s">
        <v>3253</v>
      </c>
      <c r="F310" s="17">
        <v>33</v>
      </c>
      <c r="G310" s="17">
        <v>2</v>
      </c>
      <c r="H310" s="17" t="s">
        <v>3486</v>
      </c>
      <c r="I310" s="17"/>
      <c r="J310" s="17"/>
      <c r="K310" s="17"/>
      <c r="L310" s="17"/>
      <c r="M310" s="17"/>
      <c r="N310" s="17"/>
      <c r="O310" s="17"/>
      <c r="P310" s="17"/>
      <c r="Q310" s="17"/>
    </row>
    <row r="311" spans="1:17">
      <c r="A311" s="556" t="s">
        <v>2965</v>
      </c>
      <c r="B311" s="557" t="s">
        <v>1333</v>
      </c>
      <c r="C311" s="558" t="s">
        <v>1334</v>
      </c>
      <c r="D311" s="564" t="s">
        <v>1121</v>
      </c>
      <c r="E311" s="17" t="s">
        <v>3212</v>
      </c>
      <c r="F311" s="17">
        <v>34</v>
      </c>
      <c r="G311" s="17">
        <v>1</v>
      </c>
      <c r="H311" s="17" t="s">
        <v>3487</v>
      </c>
      <c r="I311" s="17"/>
      <c r="J311" s="17"/>
      <c r="K311" s="17"/>
      <c r="L311" s="17"/>
      <c r="M311" s="17"/>
      <c r="N311" s="17"/>
      <c r="O311" s="17"/>
      <c r="P311" s="17"/>
      <c r="Q311" s="17"/>
    </row>
    <row r="312" spans="1:17">
      <c r="A312" s="556" t="s">
        <v>2965</v>
      </c>
      <c r="B312" s="557" t="s">
        <v>1333</v>
      </c>
      <c r="C312" s="558" t="s">
        <v>1334</v>
      </c>
      <c r="D312" s="564" t="s">
        <v>3093</v>
      </c>
      <c r="E312" s="17" t="s">
        <v>3254</v>
      </c>
      <c r="F312" s="17">
        <v>34</v>
      </c>
      <c r="G312" s="17">
        <v>2</v>
      </c>
      <c r="H312" s="17" t="s">
        <v>3488</v>
      </c>
      <c r="I312" s="17"/>
      <c r="J312" s="17"/>
      <c r="K312" s="17"/>
      <c r="L312" s="17"/>
      <c r="M312" s="17"/>
      <c r="N312" s="17"/>
      <c r="O312" s="17"/>
      <c r="P312" s="17"/>
      <c r="Q312" s="17"/>
    </row>
    <row r="313" spans="1:17">
      <c r="A313" s="556" t="s">
        <v>2965</v>
      </c>
      <c r="B313" s="557" t="s">
        <v>1335</v>
      </c>
      <c r="C313" s="558" t="s">
        <v>1336</v>
      </c>
      <c r="D313" s="564" t="s">
        <v>1121</v>
      </c>
      <c r="E313" s="17" t="s">
        <v>3213</v>
      </c>
      <c r="F313" s="17">
        <v>35</v>
      </c>
      <c r="G313" s="17">
        <v>1</v>
      </c>
      <c r="H313" s="17" t="s">
        <v>3489</v>
      </c>
      <c r="I313" s="17"/>
      <c r="J313" s="17"/>
      <c r="K313" s="17"/>
      <c r="L313" s="17"/>
      <c r="M313" s="17"/>
      <c r="N313" s="17"/>
      <c r="O313" s="17"/>
      <c r="P313" s="17"/>
      <c r="Q313" s="17"/>
    </row>
    <row r="314" spans="1:17">
      <c r="A314" s="556" t="s">
        <v>2965</v>
      </c>
      <c r="B314" s="557" t="s">
        <v>1335</v>
      </c>
      <c r="C314" s="558" t="s">
        <v>1336</v>
      </c>
      <c r="D314" s="564" t="s">
        <v>3093</v>
      </c>
      <c r="E314" s="17" t="s">
        <v>3255</v>
      </c>
      <c r="F314" s="17">
        <v>35</v>
      </c>
      <c r="G314" s="17">
        <v>2</v>
      </c>
      <c r="H314" s="17" t="s">
        <v>3490</v>
      </c>
      <c r="I314" s="17"/>
      <c r="J314" s="17"/>
      <c r="K314" s="17"/>
      <c r="L314" s="17"/>
      <c r="M314" s="17"/>
      <c r="N314" s="17"/>
      <c r="O314" s="17"/>
      <c r="P314" s="17"/>
      <c r="Q314" s="17"/>
    </row>
    <row r="315" spans="1:17">
      <c r="A315" s="556" t="s">
        <v>2965</v>
      </c>
      <c r="B315" s="557" t="s">
        <v>1338</v>
      </c>
      <c r="C315" s="558" t="s">
        <v>1339</v>
      </c>
      <c r="D315" s="564" t="s">
        <v>1121</v>
      </c>
      <c r="E315" s="17" t="s">
        <v>3214</v>
      </c>
      <c r="F315" s="17">
        <v>36</v>
      </c>
      <c r="G315" s="17">
        <v>1</v>
      </c>
      <c r="H315" s="17" t="s">
        <v>3491</v>
      </c>
      <c r="I315" s="17"/>
      <c r="J315" s="17"/>
      <c r="K315" s="17"/>
      <c r="L315" s="17"/>
      <c r="M315" s="17"/>
      <c r="N315" s="17"/>
      <c r="O315" s="17"/>
      <c r="P315" s="17"/>
      <c r="Q315" s="17"/>
    </row>
    <row r="316" spans="1:17">
      <c r="A316" s="556" t="s">
        <v>2965</v>
      </c>
      <c r="B316" s="557" t="s">
        <v>1338</v>
      </c>
      <c r="C316" s="558" t="s">
        <v>1339</v>
      </c>
      <c r="D316" s="564" t="s">
        <v>3093</v>
      </c>
      <c r="E316" s="17" t="s">
        <v>3256</v>
      </c>
      <c r="F316" s="17">
        <v>36</v>
      </c>
      <c r="G316" s="17">
        <v>2</v>
      </c>
      <c r="H316" s="17" t="s">
        <v>3492</v>
      </c>
      <c r="I316" s="17"/>
      <c r="J316" s="17"/>
      <c r="K316" s="17"/>
      <c r="L316" s="17"/>
      <c r="M316" s="17"/>
      <c r="N316" s="17"/>
      <c r="O316" s="17"/>
      <c r="P316" s="17"/>
      <c r="Q316" s="17"/>
    </row>
    <row r="317" spans="1:17">
      <c r="A317" s="556" t="s">
        <v>2965</v>
      </c>
      <c r="B317" s="557" t="s">
        <v>1340</v>
      </c>
      <c r="C317" s="558" t="s">
        <v>1341</v>
      </c>
      <c r="D317" s="564" t="s">
        <v>1121</v>
      </c>
      <c r="E317" s="17" t="s">
        <v>3215</v>
      </c>
      <c r="F317" s="17">
        <v>37</v>
      </c>
      <c r="G317" s="17">
        <v>1</v>
      </c>
      <c r="H317" s="17" t="s">
        <v>3493</v>
      </c>
      <c r="I317" s="17"/>
      <c r="J317" s="17"/>
      <c r="K317" s="17"/>
      <c r="L317" s="17"/>
      <c r="M317" s="17"/>
      <c r="N317" s="17"/>
      <c r="O317" s="17"/>
      <c r="P317" s="17"/>
      <c r="Q317" s="17"/>
    </row>
    <row r="318" spans="1:17">
      <c r="A318" s="556" t="s">
        <v>2965</v>
      </c>
      <c r="B318" s="557" t="s">
        <v>1340</v>
      </c>
      <c r="C318" s="558" t="s">
        <v>1341</v>
      </c>
      <c r="D318" s="564" t="s">
        <v>3093</v>
      </c>
      <c r="E318" s="17" t="s">
        <v>3257</v>
      </c>
      <c r="F318" s="17">
        <v>37</v>
      </c>
      <c r="G318" s="17">
        <v>2</v>
      </c>
      <c r="H318" s="17" t="s">
        <v>3494</v>
      </c>
      <c r="I318" s="17"/>
      <c r="J318" s="17"/>
      <c r="K318" s="17"/>
      <c r="L318" s="17"/>
      <c r="M318" s="17"/>
      <c r="N318" s="17"/>
      <c r="O318" s="17"/>
      <c r="P318" s="17"/>
      <c r="Q318" s="17"/>
    </row>
    <row r="319" spans="1:17">
      <c r="A319" s="556" t="s">
        <v>2965</v>
      </c>
      <c r="B319" s="557" t="s">
        <v>1342</v>
      </c>
      <c r="C319" s="558" t="s">
        <v>1343</v>
      </c>
      <c r="D319" s="564" t="s">
        <v>1121</v>
      </c>
      <c r="E319" s="17" t="s">
        <v>3216</v>
      </c>
      <c r="F319" s="17">
        <v>38</v>
      </c>
      <c r="G319" s="17">
        <v>1</v>
      </c>
      <c r="H319" s="17" t="s">
        <v>3495</v>
      </c>
      <c r="I319" s="17"/>
      <c r="J319" s="17"/>
      <c r="K319" s="17"/>
      <c r="L319" s="17"/>
      <c r="M319" s="17"/>
      <c r="N319" s="17"/>
      <c r="O319" s="17"/>
      <c r="P319" s="17"/>
      <c r="Q319" s="17"/>
    </row>
    <row r="320" spans="1:17">
      <c r="A320" s="556" t="s">
        <v>2965</v>
      </c>
      <c r="B320" s="557" t="s">
        <v>1342</v>
      </c>
      <c r="C320" s="558" t="s">
        <v>1343</v>
      </c>
      <c r="D320" s="564" t="s">
        <v>3093</v>
      </c>
      <c r="E320" s="17" t="s">
        <v>3258</v>
      </c>
      <c r="F320" s="17">
        <v>38</v>
      </c>
      <c r="G320" s="17">
        <v>2</v>
      </c>
      <c r="H320" s="17" t="s">
        <v>3496</v>
      </c>
      <c r="I320" s="17"/>
      <c r="J320" s="17"/>
      <c r="K320" s="17"/>
      <c r="L320" s="17"/>
      <c r="M320" s="17"/>
      <c r="N320" s="17"/>
      <c r="O320" s="17"/>
      <c r="P320" s="17"/>
      <c r="Q320" s="17"/>
    </row>
    <row r="321" spans="1:17">
      <c r="A321" s="556" t="s">
        <v>2965</v>
      </c>
      <c r="B321" s="557" t="s">
        <v>1344</v>
      </c>
      <c r="C321" s="558" t="s">
        <v>2983</v>
      </c>
      <c r="D321" s="564" t="s">
        <v>1121</v>
      </c>
      <c r="E321" s="17" t="s">
        <v>3217</v>
      </c>
      <c r="F321" s="17">
        <v>39</v>
      </c>
      <c r="G321" s="17">
        <v>1</v>
      </c>
      <c r="H321" s="17" t="s">
        <v>3497</v>
      </c>
      <c r="I321" s="17"/>
      <c r="J321" s="17"/>
      <c r="K321" s="17"/>
      <c r="L321" s="17"/>
      <c r="M321" s="17"/>
      <c r="N321" s="17"/>
      <c r="O321" s="17"/>
      <c r="P321" s="17"/>
      <c r="Q321" s="17"/>
    </row>
    <row r="322" spans="1:17">
      <c r="A322" s="556" t="s">
        <v>2965</v>
      </c>
      <c r="B322" s="557" t="s">
        <v>1344</v>
      </c>
      <c r="C322" s="558" t="s">
        <v>2983</v>
      </c>
      <c r="D322" s="564" t="s">
        <v>3093</v>
      </c>
      <c r="E322" s="17" t="s">
        <v>3259</v>
      </c>
      <c r="F322" s="17">
        <v>39</v>
      </c>
      <c r="G322" s="17">
        <v>2</v>
      </c>
      <c r="H322" s="17" t="s">
        <v>3498</v>
      </c>
      <c r="I322" s="17"/>
      <c r="J322" s="17"/>
      <c r="K322" s="17"/>
      <c r="L322" s="17"/>
      <c r="M322" s="17"/>
      <c r="N322" s="17"/>
      <c r="O322" s="17"/>
      <c r="P322" s="17"/>
      <c r="Q322" s="17"/>
    </row>
    <row r="323" spans="1:17">
      <c r="A323" s="556" t="s">
        <v>2965</v>
      </c>
      <c r="B323" s="557" t="s">
        <v>1346</v>
      </c>
      <c r="C323" s="558" t="s">
        <v>1347</v>
      </c>
      <c r="D323" s="564" t="s">
        <v>1121</v>
      </c>
      <c r="E323" s="17" t="s">
        <v>3218</v>
      </c>
      <c r="F323" s="17">
        <v>40</v>
      </c>
      <c r="G323" s="17">
        <v>1</v>
      </c>
      <c r="H323" s="17" t="s">
        <v>3499</v>
      </c>
      <c r="I323" s="17"/>
      <c r="J323" s="17"/>
      <c r="K323" s="17"/>
      <c r="L323" s="17"/>
      <c r="M323" s="17"/>
      <c r="N323" s="17"/>
      <c r="O323" s="17"/>
      <c r="P323" s="17"/>
      <c r="Q323" s="17"/>
    </row>
    <row r="324" spans="1:17">
      <c r="A324" s="564" t="s">
        <v>2965</v>
      </c>
      <c r="B324" s="565" t="s">
        <v>1346</v>
      </c>
      <c r="C324" s="566" t="s">
        <v>1347</v>
      </c>
      <c r="D324" s="564" t="s">
        <v>3093</v>
      </c>
      <c r="E324" s="17" t="s">
        <v>3260</v>
      </c>
      <c r="F324" s="17">
        <v>40</v>
      </c>
      <c r="G324" s="17">
        <v>2</v>
      </c>
      <c r="H324" s="17" t="s">
        <v>3500</v>
      </c>
      <c r="I324" s="17"/>
      <c r="J324" s="17"/>
      <c r="K324" s="17"/>
      <c r="L324" s="17"/>
      <c r="M324" s="17"/>
      <c r="N324" s="17"/>
      <c r="O324" s="17"/>
      <c r="P324" s="17"/>
      <c r="Q324" s="17"/>
    </row>
    <row r="325" spans="1:17">
      <c r="A325" s="556" t="s">
        <v>2965</v>
      </c>
      <c r="B325" s="557" t="s">
        <v>1348</v>
      </c>
      <c r="C325" s="558" t="s">
        <v>1349</v>
      </c>
      <c r="D325" s="556" t="s">
        <v>1121</v>
      </c>
      <c r="E325" s="17" t="s">
        <v>3219</v>
      </c>
      <c r="F325" s="17">
        <v>41</v>
      </c>
      <c r="G325" s="17">
        <v>1</v>
      </c>
      <c r="H325" s="17" t="s">
        <v>3501</v>
      </c>
      <c r="I325" s="17"/>
      <c r="J325" s="17"/>
      <c r="K325" s="17"/>
      <c r="L325" s="17"/>
      <c r="M325" s="17"/>
      <c r="N325" s="17"/>
      <c r="O325" s="17"/>
      <c r="P325" s="17"/>
      <c r="Q325" s="17"/>
    </row>
    <row r="326" spans="1:17">
      <c r="A326" s="556" t="s">
        <v>2965</v>
      </c>
      <c r="B326" s="557" t="s">
        <v>1348</v>
      </c>
      <c r="C326" s="558" t="s">
        <v>1349</v>
      </c>
      <c r="D326" s="556" t="s">
        <v>3093</v>
      </c>
      <c r="E326" s="17" t="s">
        <v>3261</v>
      </c>
      <c r="F326" s="17">
        <v>41</v>
      </c>
      <c r="G326" s="17">
        <v>2</v>
      </c>
      <c r="H326" s="17" t="s">
        <v>3502</v>
      </c>
      <c r="I326" s="17"/>
      <c r="J326" s="17"/>
      <c r="K326" s="17"/>
      <c r="L326" s="17"/>
      <c r="M326" s="17"/>
      <c r="N326" s="17"/>
      <c r="O326" s="17"/>
      <c r="P326" s="17"/>
      <c r="Q326" s="17"/>
    </row>
    <row r="327" spans="1:17">
      <c r="A327" s="556" t="s">
        <v>2965</v>
      </c>
      <c r="B327" s="557" t="s">
        <v>1350</v>
      </c>
      <c r="C327" s="558" t="s">
        <v>1351</v>
      </c>
      <c r="D327" s="556" t="s">
        <v>1121</v>
      </c>
      <c r="E327" s="17" t="s">
        <v>3220</v>
      </c>
      <c r="F327" s="17">
        <v>42</v>
      </c>
      <c r="G327" s="17">
        <v>1</v>
      </c>
      <c r="H327" s="17" t="s">
        <v>3503</v>
      </c>
      <c r="I327" s="17"/>
      <c r="J327" s="17"/>
      <c r="K327" s="17"/>
      <c r="L327" s="17"/>
      <c r="M327" s="17"/>
      <c r="N327" s="17"/>
      <c r="O327" s="17"/>
      <c r="P327" s="17"/>
      <c r="Q327" s="17"/>
    </row>
    <row r="328" spans="1:17">
      <c r="A328" s="556" t="s">
        <v>2965</v>
      </c>
      <c r="B328" s="557" t="s">
        <v>1350</v>
      </c>
      <c r="C328" s="558" t="s">
        <v>1351</v>
      </c>
      <c r="D328" s="556" t="s">
        <v>3093</v>
      </c>
      <c r="E328" s="17" t="s">
        <v>3262</v>
      </c>
      <c r="F328" s="17">
        <v>42</v>
      </c>
      <c r="G328" s="17">
        <v>2</v>
      </c>
      <c r="H328" s="17" t="s">
        <v>3504</v>
      </c>
      <c r="I328" s="17"/>
      <c r="J328" s="17"/>
      <c r="K328" s="17"/>
      <c r="L328" s="17"/>
      <c r="M328" s="17"/>
      <c r="N328" s="17"/>
      <c r="O328" s="17"/>
      <c r="P328" s="17"/>
      <c r="Q328" s="17"/>
    </row>
    <row r="329" spans="1:17">
      <c r="A329" s="556" t="s">
        <v>3540</v>
      </c>
      <c r="B329" s="557" t="s">
        <v>1023</v>
      </c>
      <c r="C329" s="558" t="s">
        <v>3733</v>
      </c>
      <c r="D329" s="556" t="s">
        <v>3734</v>
      </c>
      <c r="E329" s="17" t="s">
        <v>3735</v>
      </c>
      <c r="F329" s="17">
        <v>1</v>
      </c>
      <c r="G329" s="17">
        <v>1</v>
      </c>
      <c r="H329" s="17" t="s">
        <v>3521</v>
      </c>
      <c r="I329" s="17"/>
      <c r="J329" s="17"/>
      <c r="K329" s="17"/>
      <c r="L329" s="17"/>
      <c r="M329" s="17"/>
      <c r="N329" s="17"/>
      <c r="O329" s="17"/>
      <c r="P329" s="17"/>
      <c r="Q329" s="17"/>
    </row>
    <row r="330" spans="1:17">
      <c r="A330" s="556" t="s">
        <v>3540</v>
      </c>
      <c r="B330" s="557" t="s">
        <v>1023</v>
      </c>
      <c r="C330" s="558" t="s">
        <v>3733</v>
      </c>
      <c r="D330" s="556" t="s">
        <v>3736</v>
      </c>
      <c r="E330" s="17" t="s">
        <v>3737</v>
      </c>
      <c r="F330" s="17">
        <v>1</v>
      </c>
      <c r="G330" s="17">
        <v>2</v>
      </c>
      <c r="H330" s="17" t="s">
        <v>3505</v>
      </c>
      <c r="I330" s="17"/>
      <c r="J330" s="17"/>
      <c r="K330" s="17"/>
      <c r="L330" s="17"/>
      <c r="M330" s="17"/>
      <c r="N330" s="17"/>
      <c r="O330" s="17"/>
      <c r="P330" s="17"/>
      <c r="Q330" s="17"/>
    </row>
    <row r="331" spans="1:17">
      <c r="A331" s="556" t="s">
        <v>3540</v>
      </c>
      <c r="B331" s="557" t="s">
        <v>1365</v>
      </c>
      <c r="C331" s="558" t="s">
        <v>1366</v>
      </c>
      <c r="D331" s="556" t="s">
        <v>3734</v>
      </c>
      <c r="E331" s="17" t="s">
        <v>3738</v>
      </c>
      <c r="F331" s="17">
        <v>3</v>
      </c>
      <c r="G331" s="17">
        <v>1</v>
      </c>
      <c r="H331" s="17" t="s">
        <v>3342</v>
      </c>
      <c r="I331" s="17"/>
      <c r="J331" s="17"/>
      <c r="K331" s="17"/>
      <c r="L331" s="17"/>
      <c r="M331" s="17"/>
      <c r="N331" s="17"/>
      <c r="O331" s="17"/>
      <c r="P331" s="17"/>
      <c r="Q331" s="17"/>
    </row>
    <row r="332" spans="1:17">
      <c r="A332" s="556" t="s">
        <v>3540</v>
      </c>
      <c r="B332" s="557" t="s">
        <v>1365</v>
      </c>
      <c r="C332" s="558" t="s">
        <v>1366</v>
      </c>
      <c r="D332" s="556" t="s">
        <v>3736</v>
      </c>
      <c r="E332" s="17" t="s">
        <v>3739</v>
      </c>
      <c r="F332" s="17">
        <v>3</v>
      </c>
      <c r="G332" s="17">
        <v>2</v>
      </c>
      <c r="H332" s="17" t="s">
        <v>3451</v>
      </c>
      <c r="I332" s="17"/>
      <c r="J332" s="17"/>
      <c r="K332" s="17"/>
      <c r="L332" s="17"/>
      <c r="M332" s="17"/>
      <c r="N332" s="17"/>
      <c r="O332" s="17"/>
      <c r="P332" s="17"/>
      <c r="Q332" s="17"/>
    </row>
    <row r="333" spans="1:17">
      <c r="A333" s="556" t="s">
        <v>3540</v>
      </c>
      <c r="B333" s="557" t="s">
        <v>1367</v>
      </c>
      <c r="C333" s="558" t="s">
        <v>1368</v>
      </c>
      <c r="D333" s="556" t="s">
        <v>3734</v>
      </c>
      <c r="E333" s="17" t="s">
        <v>3740</v>
      </c>
      <c r="F333" s="17">
        <v>4</v>
      </c>
      <c r="G333" s="17">
        <v>1</v>
      </c>
      <c r="H333" s="17" t="s">
        <v>3346</v>
      </c>
      <c r="I333" s="17"/>
      <c r="J333" s="17"/>
      <c r="K333" s="17"/>
      <c r="L333" s="17"/>
      <c r="M333" s="17"/>
      <c r="N333" s="17"/>
      <c r="O333" s="17"/>
      <c r="P333" s="17"/>
      <c r="Q333" s="17"/>
    </row>
    <row r="334" spans="1:17">
      <c r="A334" s="556" t="s">
        <v>3540</v>
      </c>
      <c r="B334" s="557" t="s">
        <v>1367</v>
      </c>
      <c r="C334" s="558" t="s">
        <v>1368</v>
      </c>
      <c r="D334" s="556" t="s">
        <v>3736</v>
      </c>
      <c r="E334" s="17" t="s">
        <v>3741</v>
      </c>
      <c r="F334" s="17">
        <v>4</v>
      </c>
      <c r="G334" s="17">
        <v>2</v>
      </c>
      <c r="H334" s="17" t="s">
        <v>3452</v>
      </c>
      <c r="I334" s="17"/>
      <c r="J334" s="17"/>
      <c r="K334" s="17"/>
      <c r="L334" s="17"/>
      <c r="M334" s="17"/>
      <c r="N334" s="17"/>
      <c r="O334" s="17"/>
      <c r="P334" s="17"/>
      <c r="Q334" s="17"/>
    </row>
    <row r="335" spans="1:17">
      <c r="A335" s="556" t="s">
        <v>3540</v>
      </c>
      <c r="B335" s="557" t="s">
        <v>1369</v>
      </c>
      <c r="C335" s="568" t="s">
        <v>1370</v>
      </c>
      <c r="D335" s="556" t="s">
        <v>3734</v>
      </c>
      <c r="E335" s="17" t="s">
        <v>3742</v>
      </c>
      <c r="F335" s="17">
        <v>5</v>
      </c>
      <c r="G335" s="17">
        <v>1</v>
      </c>
      <c r="H335" s="17" t="s">
        <v>3350</v>
      </c>
      <c r="I335" s="17"/>
      <c r="J335" s="17"/>
      <c r="K335" s="17"/>
      <c r="L335" s="17"/>
      <c r="M335" s="17"/>
      <c r="N335" s="17"/>
      <c r="O335" s="17"/>
      <c r="P335" s="17"/>
      <c r="Q335" s="17"/>
    </row>
    <row r="336" spans="1:17">
      <c r="A336" s="556" t="s">
        <v>3540</v>
      </c>
      <c r="B336" s="557" t="s">
        <v>1369</v>
      </c>
      <c r="C336" s="568" t="s">
        <v>1370</v>
      </c>
      <c r="D336" s="556" t="s">
        <v>3736</v>
      </c>
      <c r="E336" s="17" t="s">
        <v>3743</v>
      </c>
      <c r="F336" s="17">
        <v>5</v>
      </c>
      <c r="G336" s="17">
        <v>2</v>
      </c>
      <c r="H336" s="17" t="s">
        <v>3453</v>
      </c>
      <c r="I336" s="17"/>
      <c r="J336" s="17"/>
      <c r="K336" s="17"/>
      <c r="L336" s="17"/>
      <c r="M336" s="17"/>
      <c r="N336" s="17"/>
      <c r="O336" s="17"/>
      <c r="P336" s="17"/>
      <c r="Q336" s="17"/>
    </row>
    <row r="337" spans="1:17">
      <c r="A337" s="556" t="s">
        <v>3540</v>
      </c>
      <c r="B337" s="557" t="s">
        <v>1371</v>
      </c>
      <c r="C337" s="568" t="s">
        <v>9565</v>
      </c>
      <c r="D337" s="556" t="s">
        <v>3734</v>
      </c>
      <c r="E337" s="17" t="s">
        <v>3744</v>
      </c>
      <c r="F337" s="17">
        <v>6</v>
      </c>
      <c r="G337" s="17">
        <v>1</v>
      </c>
      <c r="H337" s="17" t="s">
        <v>3354</v>
      </c>
      <c r="I337" s="17"/>
      <c r="J337" s="17"/>
      <c r="K337" s="17"/>
      <c r="L337" s="17"/>
      <c r="M337" s="17"/>
      <c r="N337" s="17"/>
      <c r="O337" s="17"/>
      <c r="P337" s="17"/>
      <c r="Q337" s="17"/>
    </row>
    <row r="338" spans="1:17">
      <c r="A338" s="556" t="s">
        <v>3540</v>
      </c>
      <c r="B338" s="557" t="s">
        <v>1371</v>
      </c>
      <c r="C338" s="568" t="s">
        <v>9565</v>
      </c>
      <c r="D338" s="556" t="s">
        <v>3736</v>
      </c>
      <c r="E338" s="17" t="s">
        <v>3745</v>
      </c>
      <c r="F338" s="17">
        <v>6</v>
      </c>
      <c r="G338" s="17">
        <v>2</v>
      </c>
      <c r="H338" s="17" t="s">
        <v>3454</v>
      </c>
      <c r="I338" s="17"/>
      <c r="J338" s="17"/>
      <c r="K338" s="17"/>
      <c r="L338" s="17"/>
      <c r="M338" s="17"/>
      <c r="N338" s="17"/>
      <c r="O338" s="17"/>
      <c r="P338" s="17"/>
      <c r="Q338" s="17"/>
    </row>
    <row r="339" spans="1:17">
      <c r="A339" s="556" t="s">
        <v>3540</v>
      </c>
      <c r="B339" s="557" t="s">
        <v>1373</v>
      </c>
      <c r="C339" s="558" t="s">
        <v>1374</v>
      </c>
      <c r="D339" s="556" t="s">
        <v>3734</v>
      </c>
      <c r="E339" s="17" t="s">
        <v>3746</v>
      </c>
      <c r="F339" s="17">
        <v>7</v>
      </c>
      <c r="G339" s="17">
        <v>1</v>
      </c>
      <c r="H339" s="17" t="s">
        <v>3358</v>
      </c>
      <c r="I339" s="17"/>
      <c r="J339" s="17"/>
      <c r="K339" s="17"/>
      <c r="L339" s="17"/>
      <c r="M339" s="17"/>
      <c r="N339" s="17"/>
      <c r="O339" s="17"/>
      <c r="P339" s="17"/>
      <c r="Q339" s="17"/>
    </row>
    <row r="340" spans="1:17">
      <c r="A340" s="556" t="s">
        <v>3540</v>
      </c>
      <c r="B340" s="557" t="s">
        <v>1373</v>
      </c>
      <c r="C340" s="558" t="s">
        <v>1374</v>
      </c>
      <c r="D340" s="556" t="s">
        <v>3736</v>
      </c>
      <c r="E340" s="17" t="s">
        <v>3747</v>
      </c>
      <c r="F340" s="17">
        <v>7</v>
      </c>
      <c r="G340" s="17">
        <v>2</v>
      </c>
      <c r="H340" s="17" t="s">
        <v>3455</v>
      </c>
      <c r="I340" s="17"/>
      <c r="J340" s="17"/>
      <c r="K340" s="17"/>
      <c r="L340" s="17"/>
      <c r="M340" s="17"/>
      <c r="N340" s="17"/>
      <c r="O340" s="17"/>
      <c r="P340" s="17"/>
      <c r="Q340" s="17"/>
    </row>
    <row r="341" spans="1:17">
      <c r="A341" s="556" t="s">
        <v>3540</v>
      </c>
      <c r="B341" s="557"/>
      <c r="C341" s="558" t="s">
        <v>3748</v>
      </c>
      <c r="D341" s="556" t="s">
        <v>3734</v>
      </c>
      <c r="E341" s="17" t="s">
        <v>3749</v>
      </c>
      <c r="F341" s="17">
        <v>8</v>
      </c>
      <c r="G341" s="17">
        <v>1</v>
      </c>
      <c r="H341" s="17" t="s">
        <v>3361</v>
      </c>
      <c r="I341" s="17"/>
      <c r="J341" s="17"/>
      <c r="K341" s="17"/>
      <c r="L341" s="17"/>
      <c r="M341" s="17"/>
      <c r="N341" s="17"/>
      <c r="O341" s="17"/>
      <c r="P341" s="17"/>
      <c r="Q341" s="17"/>
    </row>
    <row r="342" spans="1:17">
      <c r="A342" s="556" t="s">
        <v>3540</v>
      </c>
      <c r="B342" s="557"/>
      <c r="C342" s="558" t="s">
        <v>3748</v>
      </c>
      <c r="D342" s="556" t="s">
        <v>3736</v>
      </c>
      <c r="E342" s="17" t="s">
        <v>3750</v>
      </c>
      <c r="F342" s="17">
        <v>8</v>
      </c>
      <c r="G342" s="17">
        <v>2</v>
      </c>
      <c r="H342" s="17" t="s">
        <v>3456</v>
      </c>
      <c r="I342" s="17"/>
      <c r="J342" s="17"/>
      <c r="K342" s="17"/>
      <c r="L342" s="17"/>
      <c r="M342" s="17"/>
      <c r="N342" s="17"/>
      <c r="O342" s="17"/>
      <c r="P342" s="17"/>
      <c r="Q342" s="17"/>
    </row>
    <row r="343" spans="1:17">
      <c r="A343" s="556" t="s">
        <v>3540</v>
      </c>
      <c r="B343" s="557" t="s">
        <v>1027</v>
      </c>
      <c r="C343" s="558" t="s">
        <v>1377</v>
      </c>
      <c r="D343" s="556" t="s">
        <v>3734</v>
      </c>
      <c r="E343" s="17" t="s">
        <v>3751</v>
      </c>
      <c r="F343" s="17">
        <v>10</v>
      </c>
      <c r="G343" s="17">
        <v>1</v>
      </c>
      <c r="H343" s="17" t="s">
        <v>3369</v>
      </c>
      <c r="I343" s="17"/>
      <c r="J343" s="17"/>
      <c r="K343" s="17"/>
      <c r="L343" s="17"/>
      <c r="M343" s="17"/>
      <c r="N343" s="17"/>
      <c r="O343" s="17"/>
      <c r="P343" s="17"/>
      <c r="Q343" s="17"/>
    </row>
    <row r="344" spans="1:17">
      <c r="A344" s="556" t="s">
        <v>3540</v>
      </c>
      <c r="B344" s="557" t="s">
        <v>1027</v>
      </c>
      <c r="C344" s="558" t="s">
        <v>1377</v>
      </c>
      <c r="D344" s="556" t="s">
        <v>3736</v>
      </c>
      <c r="E344" s="17" t="s">
        <v>3752</v>
      </c>
      <c r="F344" s="17">
        <v>10</v>
      </c>
      <c r="G344" s="17">
        <v>2</v>
      </c>
      <c r="H344" s="17" t="s">
        <v>3458</v>
      </c>
      <c r="I344" s="17"/>
      <c r="J344" s="17"/>
      <c r="K344" s="17"/>
      <c r="L344" s="17"/>
      <c r="M344" s="17"/>
      <c r="N344" s="17"/>
      <c r="O344" s="17"/>
      <c r="P344" s="17"/>
      <c r="Q344" s="17"/>
    </row>
    <row r="345" spans="1:17">
      <c r="A345" s="556" t="s">
        <v>3540</v>
      </c>
      <c r="B345" s="557" t="s">
        <v>1379</v>
      </c>
      <c r="C345" s="558" t="s">
        <v>1380</v>
      </c>
      <c r="D345" s="556" t="s">
        <v>3734</v>
      </c>
      <c r="E345" s="17" t="s">
        <v>3753</v>
      </c>
      <c r="F345" s="17">
        <v>12</v>
      </c>
      <c r="G345" s="17">
        <v>1</v>
      </c>
      <c r="H345" s="17" t="s">
        <v>3377</v>
      </c>
      <c r="I345" s="17"/>
      <c r="J345" s="17"/>
      <c r="K345" s="17"/>
      <c r="L345" s="17"/>
      <c r="M345" s="17"/>
      <c r="N345" s="17"/>
      <c r="O345" s="17"/>
      <c r="P345" s="17"/>
      <c r="Q345" s="17"/>
    </row>
    <row r="346" spans="1:17">
      <c r="A346" s="556" t="s">
        <v>3540</v>
      </c>
      <c r="B346" s="557" t="s">
        <v>1379</v>
      </c>
      <c r="C346" s="558" t="s">
        <v>1380</v>
      </c>
      <c r="D346" s="556" t="s">
        <v>3736</v>
      </c>
      <c r="E346" s="17" t="s">
        <v>3754</v>
      </c>
      <c r="F346" s="17">
        <v>12</v>
      </c>
      <c r="G346" s="17">
        <v>2</v>
      </c>
      <c r="H346" s="17" t="s">
        <v>3460</v>
      </c>
      <c r="I346" s="17"/>
      <c r="J346" s="17"/>
      <c r="K346" s="17"/>
      <c r="L346" s="17"/>
      <c r="M346" s="17"/>
      <c r="N346" s="17"/>
      <c r="O346" s="17"/>
      <c r="P346" s="17"/>
      <c r="Q346" s="17"/>
    </row>
    <row r="347" spans="1:17">
      <c r="A347" s="556" t="s">
        <v>3540</v>
      </c>
      <c r="B347" s="557" t="s">
        <v>1381</v>
      </c>
      <c r="C347" s="558" t="s">
        <v>1382</v>
      </c>
      <c r="D347" s="556" t="s">
        <v>3734</v>
      </c>
      <c r="E347" s="17" t="s">
        <v>3755</v>
      </c>
      <c r="F347" s="17">
        <v>13</v>
      </c>
      <c r="G347" s="17">
        <v>1</v>
      </c>
      <c r="H347" s="17" t="s">
        <v>3381</v>
      </c>
      <c r="I347" s="17"/>
      <c r="J347" s="17"/>
      <c r="K347" s="17"/>
      <c r="L347" s="17"/>
      <c r="M347" s="17"/>
      <c r="N347" s="17"/>
      <c r="O347" s="17"/>
      <c r="P347" s="17"/>
      <c r="Q347" s="17"/>
    </row>
    <row r="348" spans="1:17">
      <c r="A348" s="556" t="s">
        <v>3540</v>
      </c>
      <c r="B348" s="557" t="s">
        <v>1381</v>
      </c>
      <c r="C348" s="558" t="s">
        <v>1382</v>
      </c>
      <c r="D348" s="556" t="s">
        <v>3736</v>
      </c>
      <c r="E348" s="17" t="s">
        <v>3756</v>
      </c>
      <c r="F348" s="17">
        <v>13</v>
      </c>
      <c r="G348" s="17">
        <v>2</v>
      </c>
      <c r="H348" s="17" t="s">
        <v>3461</v>
      </c>
      <c r="I348" s="17"/>
      <c r="J348" s="17"/>
      <c r="K348" s="17"/>
      <c r="L348" s="17"/>
      <c r="M348" s="17"/>
      <c r="N348" s="17"/>
      <c r="O348" s="17"/>
      <c r="P348" s="17"/>
      <c r="Q348" s="17"/>
    </row>
    <row r="349" spans="1:17">
      <c r="A349" s="556" t="s">
        <v>3540</v>
      </c>
      <c r="B349" s="557" t="s">
        <v>1383</v>
      </c>
      <c r="C349" s="558" t="s">
        <v>1384</v>
      </c>
      <c r="D349" s="556" t="s">
        <v>3734</v>
      </c>
      <c r="E349" s="17" t="s">
        <v>3757</v>
      </c>
      <c r="F349" s="17">
        <v>14</v>
      </c>
      <c r="G349" s="17">
        <v>1</v>
      </c>
      <c r="H349" s="17" t="s">
        <v>3385</v>
      </c>
      <c r="I349" s="17"/>
      <c r="J349" s="17"/>
      <c r="K349" s="17"/>
      <c r="L349" s="17"/>
      <c r="M349" s="17"/>
      <c r="N349" s="17"/>
      <c r="O349" s="17"/>
      <c r="P349" s="17"/>
      <c r="Q349" s="17"/>
    </row>
    <row r="350" spans="1:17">
      <c r="A350" s="556" t="s">
        <v>3540</v>
      </c>
      <c r="B350" s="557" t="s">
        <v>1383</v>
      </c>
      <c r="C350" s="558" t="s">
        <v>1384</v>
      </c>
      <c r="D350" s="556" t="s">
        <v>3736</v>
      </c>
      <c r="E350" s="17" t="s">
        <v>3758</v>
      </c>
      <c r="F350" s="17">
        <v>14</v>
      </c>
      <c r="G350" s="17">
        <v>2</v>
      </c>
      <c r="H350" s="17" t="s">
        <v>3462</v>
      </c>
      <c r="I350" s="17"/>
      <c r="J350" s="17"/>
      <c r="K350" s="17"/>
      <c r="L350" s="17"/>
      <c r="M350" s="17"/>
      <c r="N350" s="17"/>
      <c r="O350" s="17"/>
      <c r="P350" s="17"/>
      <c r="Q350" s="17"/>
    </row>
    <row r="351" spans="1:17">
      <c r="A351" s="556" t="s">
        <v>3540</v>
      </c>
      <c r="B351" s="557" t="s">
        <v>1385</v>
      </c>
      <c r="C351" s="558" t="s">
        <v>9320</v>
      </c>
      <c r="D351" s="556" t="s">
        <v>3734</v>
      </c>
      <c r="E351" s="17" t="s">
        <v>3759</v>
      </c>
      <c r="F351" s="17">
        <v>15</v>
      </c>
      <c r="G351" s="17">
        <v>1</v>
      </c>
      <c r="H351" s="17" t="s">
        <v>3389</v>
      </c>
      <c r="I351" s="17"/>
      <c r="J351" s="17"/>
      <c r="K351" s="17"/>
      <c r="L351" s="17"/>
      <c r="M351" s="17"/>
      <c r="N351" s="17"/>
      <c r="O351" s="17"/>
      <c r="P351" s="17"/>
      <c r="Q351" s="17"/>
    </row>
    <row r="352" spans="1:17">
      <c r="A352" s="556" t="s">
        <v>3540</v>
      </c>
      <c r="B352" s="557" t="s">
        <v>1385</v>
      </c>
      <c r="C352" s="558" t="s">
        <v>9320</v>
      </c>
      <c r="D352" s="556" t="s">
        <v>3736</v>
      </c>
      <c r="E352" s="17" t="s">
        <v>3760</v>
      </c>
      <c r="F352" s="17">
        <v>15</v>
      </c>
      <c r="G352" s="17">
        <v>2</v>
      </c>
      <c r="H352" s="17" t="s">
        <v>3463</v>
      </c>
      <c r="I352" s="17"/>
      <c r="J352" s="17"/>
      <c r="K352" s="17"/>
      <c r="L352" s="17"/>
      <c r="M352" s="17"/>
      <c r="N352" s="17"/>
      <c r="O352" s="17"/>
      <c r="P352" s="17"/>
      <c r="Q352" s="17"/>
    </row>
    <row r="353" spans="1:17">
      <c r="A353" s="556" t="s">
        <v>3540</v>
      </c>
      <c r="B353" s="557" t="s">
        <v>1387</v>
      </c>
      <c r="C353" s="558" t="s">
        <v>9321</v>
      </c>
      <c r="D353" s="556" t="s">
        <v>3734</v>
      </c>
      <c r="E353" s="17" t="s">
        <v>3761</v>
      </c>
      <c r="F353" s="17">
        <v>16</v>
      </c>
      <c r="G353" s="17">
        <v>1</v>
      </c>
      <c r="H353" s="17" t="s">
        <v>3393</v>
      </c>
      <c r="I353" s="17"/>
      <c r="J353" s="17"/>
      <c r="K353" s="17"/>
      <c r="L353" s="17"/>
      <c r="M353" s="17"/>
      <c r="N353" s="17"/>
      <c r="O353" s="17"/>
      <c r="P353" s="17"/>
      <c r="Q353" s="17"/>
    </row>
    <row r="354" spans="1:17">
      <c r="A354" s="556" t="s">
        <v>3540</v>
      </c>
      <c r="B354" s="557" t="s">
        <v>1387</v>
      </c>
      <c r="C354" s="558" t="s">
        <v>9321</v>
      </c>
      <c r="D354" s="556" t="s">
        <v>3736</v>
      </c>
      <c r="E354" s="17" t="s">
        <v>3762</v>
      </c>
      <c r="F354" s="17">
        <v>16</v>
      </c>
      <c r="G354" s="17">
        <v>2</v>
      </c>
      <c r="H354" s="17" t="s">
        <v>3464</v>
      </c>
      <c r="I354" s="17"/>
      <c r="J354" s="17"/>
      <c r="K354" s="17"/>
      <c r="L354" s="17"/>
      <c r="M354" s="17"/>
      <c r="N354" s="17"/>
      <c r="O354" s="17"/>
      <c r="P354" s="17"/>
      <c r="Q354" s="17"/>
    </row>
    <row r="355" spans="1:17">
      <c r="A355" s="556" t="s">
        <v>3540</v>
      </c>
      <c r="B355" s="557" t="s">
        <v>1030</v>
      </c>
      <c r="C355" s="558" t="s">
        <v>3763</v>
      </c>
      <c r="D355" s="556" t="s">
        <v>3734</v>
      </c>
      <c r="E355" s="17" t="s">
        <v>3764</v>
      </c>
      <c r="F355" s="17">
        <v>17</v>
      </c>
      <c r="G355" s="17">
        <v>1</v>
      </c>
      <c r="H355" s="17" t="s">
        <v>3397</v>
      </c>
      <c r="I355" s="17"/>
      <c r="J355" s="17"/>
      <c r="K355" s="17"/>
      <c r="L355" s="17"/>
      <c r="M355" s="17"/>
      <c r="N355" s="17"/>
      <c r="O355" s="17"/>
      <c r="P355" s="17"/>
      <c r="Q355" s="17"/>
    </row>
    <row r="356" spans="1:17">
      <c r="A356" s="556" t="s">
        <v>3540</v>
      </c>
      <c r="B356" s="557" t="s">
        <v>1030</v>
      </c>
      <c r="C356" s="558" t="s">
        <v>3763</v>
      </c>
      <c r="D356" s="556" t="s">
        <v>3736</v>
      </c>
      <c r="E356" s="17" t="s">
        <v>3765</v>
      </c>
      <c r="F356" s="17">
        <v>17</v>
      </c>
      <c r="G356" s="17">
        <v>2</v>
      </c>
      <c r="H356" s="17" t="s">
        <v>3465</v>
      </c>
      <c r="I356" s="17"/>
      <c r="J356" s="17"/>
      <c r="K356" s="17"/>
      <c r="L356" s="17"/>
      <c r="M356" s="17"/>
      <c r="N356" s="17"/>
      <c r="O356" s="17"/>
      <c r="P356" s="17"/>
      <c r="Q356" s="17"/>
    </row>
    <row r="357" spans="1:17">
      <c r="A357" s="556" t="s">
        <v>3540</v>
      </c>
      <c r="B357" s="557" t="s">
        <v>1391</v>
      </c>
      <c r="C357" s="568" t="s">
        <v>1392</v>
      </c>
      <c r="D357" s="556" t="s">
        <v>3734</v>
      </c>
      <c r="E357" s="17" t="s">
        <v>3766</v>
      </c>
      <c r="F357" s="17">
        <v>19</v>
      </c>
      <c r="G357" s="17">
        <v>1</v>
      </c>
      <c r="H357" s="17" t="s">
        <v>3405</v>
      </c>
      <c r="I357" s="17"/>
      <c r="J357" s="17"/>
      <c r="K357" s="17"/>
      <c r="L357" s="17"/>
      <c r="M357" s="17"/>
      <c r="N357" s="17"/>
      <c r="O357" s="17"/>
      <c r="P357" s="17"/>
      <c r="Q357" s="17"/>
    </row>
    <row r="358" spans="1:17">
      <c r="A358" s="556" t="s">
        <v>3540</v>
      </c>
      <c r="B358" s="557" t="s">
        <v>1391</v>
      </c>
      <c r="C358" s="568" t="s">
        <v>1392</v>
      </c>
      <c r="D358" s="556" t="s">
        <v>3736</v>
      </c>
      <c r="E358" s="17" t="s">
        <v>3767</v>
      </c>
      <c r="F358" s="17">
        <v>19</v>
      </c>
      <c r="G358" s="17">
        <v>2</v>
      </c>
      <c r="H358" s="17" t="s">
        <v>3467</v>
      </c>
      <c r="I358" s="17"/>
      <c r="J358" s="17"/>
      <c r="K358" s="17"/>
      <c r="L358" s="17"/>
      <c r="M358" s="17"/>
      <c r="N358" s="17"/>
      <c r="O358" s="17"/>
      <c r="P358" s="17"/>
      <c r="Q358" s="17"/>
    </row>
    <row r="359" spans="1:17">
      <c r="A359" s="556" t="s">
        <v>3540</v>
      </c>
      <c r="B359" s="557" t="s">
        <v>1393</v>
      </c>
      <c r="C359" s="558" t="s">
        <v>1394</v>
      </c>
      <c r="D359" s="556" t="s">
        <v>3734</v>
      </c>
      <c r="E359" s="17" t="s">
        <v>3768</v>
      </c>
      <c r="F359" s="17">
        <v>20</v>
      </c>
      <c r="G359" s="17">
        <v>1</v>
      </c>
      <c r="H359" s="17" t="s">
        <v>3409</v>
      </c>
      <c r="I359" s="17"/>
      <c r="J359" s="17"/>
      <c r="K359" s="17"/>
      <c r="L359" s="17"/>
      <c r="M359" s="17"/>
      <c r="N359" s="17"/>
      <c r="O359" s="17"/>
      <c r="P359" s="17"/>
      <c r="Q359" s="17"/>
    </row>
    <row r="360" spans="1:17">
      <c r="A360" s="556" t="s">
        <v>3540</v>
      </c>
      <c r="B360" s="557" t="s">
        <v>1393</v>
      </c>
      <c r="C360" s="558" t="s">
        <v>1394</v>
      </c>
      <c r="D360" s="556" t="s">
        <v>3736</v>
      </c>
      <c r="E360" s="17" t="s">
        <v>3769</v>
      </c>
      <c r="F360" s="17">
        <v>20</v>
      </c>
      <c r="G360" s="17">
        <v>2</v>
      </c>
      <c r="H360" s="17" t="s">
        <v>3468</v>
      </c>
      <c r="I360" s="17"/>
      <c r="J360" s="17"/>
      <c r="K360" s="17"/>
      <c r="L360" s="17"/>
      <c r="M360" s="17"/>
      <c r="N360" s="17"/>
      <c r="O360" s="17"/>
      <c r="P360" s="17"/>
      <c r="Q360" s="17"/>
    </row>
    <row r="361" spans="1:17">
      <c r="A361" s="556" t="s">
        <v>3540</v>
      </c>
      <c r="B361" s="557" t="s">
        <v>1395</v>
      </c>
      <c r="C361" s="568" t="s">
        <v>1396</v>
      </c>
      <c r="D361" s="556" t="s">
        <v>3734</v>
      </c>
      <c r="E361" s="17" t="s">
        <v>3770</v>
      </c>
      <c r="F361" s="17">
        <v>21</v>
      </c>
      <c r="G361" s="17">
        <v>1</v>
      </c>
      <c r="H361" s="17" t="s">
        <v>3413</v>
      </c>
      <c r="I361" s="17"/>
      <c r="J361" s="17"/>
      <c r="K361" s="17"/>
      <c r="L361" s="17"/>
      <c r="M361" s="17"/>
      <c r="N361" s="17"/>
      <c r="O361" s="17"/>
      <c r="P361" s="17"/>
      <c r="Q361" s="17"/>
    </row>
    <row r="362" spans="1:17">
      <c r="A362" s="556" t="s">
        <v>3540</v>
      </c>
      <c r="B362" s="557" t="s">
        <v>1395</v>
      </c>
      <c r="C362" s="568" t="s">
        <v>1396</v>
      </c>
      <c r="D362" s="556" t="s">
        <v>3736</v>
      </c>
      <c r="E362" s="17" t="s">
        <v>3771</v>
      </c>
      <c r="F362" s="17">
        <v>21</v>
      </c>
      <c r="G362" s="17">
        <v>2</v>
      </c>
      <c r="H362" s="17" t="s">
        <v>3469</v>
      </c>
      <c r="I362" s="17"/>
      <c r="J362" s="17"/>
      <c r="K362" s="17"/>
      <c r="L362" s="17"/>
      <c r="M362" s="17"/>
      <c r="N362" s="17"/>
      <c r="O362" s="17"/>
      <c r="P362" s="17"/>
      <c r="Q362" s="17"/>
    </row>
    <row r="363" spans="1:17">
      <c r="A363" s="556" t="s">
        <v>3540</v>
      </c>
      <c r="B363" s="557" t="s">
        <v>1397</v>
      </c>
      <c r="C363" s="568" t="s">
        <v>1398</v>
      </c>
      <c r="D363" s="556" t="s">
        <v>3734</v>
      </c>
      <c r="E363" s="17" t="s">
        <v>3772</v>
      </c>
      <c r="F363" s="17">
        <v>22</v>
      </c>
      <c r="G363" s="17">
        <v>1</v>
      </c>
      <c r="H363" s="17" t="s">
        <v>3417</v>
      </c>
      <c r="I363" s="17"/>
      <c r="J363" s="17"/>
      <c r="K363" s="17"/>
      <c r="L363" s="17"/>
      <c r="M363" s="17"/>
      <c r="N363" s="17"/>
      <c r="O363" s="17"/>
      <c r="P363" s="17"/>
      <c r="Q363" s="17"/>
    </row>
    <row r="364" spans="1:17">
      <c r="A364" s="556" t="s">
        <v>3540</v>
      </c>
      <c r="B364" s="557" t="s">
        <v>1397</v>
      </c>
      <c r="C364" s="568" t="s">
        <v>1398</v>
      </c>
      <c r="D364" s="556" t="s">
        <v>3736</v>
      </c>
      <c r="E364" s="17" t="s">
        <v>3773</v>
      </c>
      <c r="F364" s="17">
        <v>22</v>
      </c>
      <c r="G364" s="17">
        <v>2</v>
      </c>
      <c r="H364" s="17" t="s">
        <v>3470</v>
      </c>
      <c r="I364" s="17"/>
      <c r="J364" s="17"/>
      <c r="K364" s="17"/>
      <c r="L364" s="17"/>
      <c r="M364" s="17"/>
      <c r="N364" s="17"/>
      <c r="O364" s="17"/>
      <c r="P364" s="17"/>
      <c r="Q364" s="17"/>
    </row>
    <row r="365" spans="1:17">
      <c r="A365" s="556" t="s">
        <v>3540</v>
      </c>
      <c r="B365" s="557" t="s">
        <v>1029</v>
      </c>
      <c r="C365" s="558" t="s">
        <v>3774</v>
      </c>
      <c r="D365" s="556" t="s">
        <v>3734</v>
      </c>
      <c r="E365" s="17" t="s">
        <v>3775</v>
      </c>
      <c r="F365" s="17">
        <v>23</v>
      </c>
      <c r="G365" s="17">
        <v>1</v>
      </c>
      <c r="H365" s="17" t="s">
        <v>3421</v>
      </c>
      <c r="I365" s="17"/>
      <c r="J365" s="17"/>
      <c r="K365" s="17"/>
      <c r="L365" s="17"/>
      <c r="M365" s="17"/>
      <c r="N365" s="17"/>
      <c r="O365" s="17"/>
      <c r="P365" s="17"/>
      <c r="Q365" s="17"/>
    </row>
    <row r="366" spans="1:17">
      <c r="A366" s="556" t="s">
        <v>3540</v>
      </c>
      <c r="B366" s="557" t="s">
        <v>1029</v>
      </c>
      <c r="C366" s="558" t="s">
        <v>3774</v>
      </c>
      <c r="D366" s="556" t="s">
        <v>3736</v>
      </c>
      <c r="E366" s="17" t="s">
        <v>3776</v>
      </c>
      <c r="F366" s="17">
        <v>23</v>
      </c>
      <c r="G366" s="17">
        <v>2</v>
      </c>
      <c r="H366" s="17" t="s">
        <v>3471</v>
      </c>
      <c r="I366" s="17"/>
      <c r="J366" s="17"/>
      <c r="K366" s="17"/>
      <c r="L366" s="17"/>
      <c r="M366" s="17"/>
      <c r="N366" s="17"/>
      <c r="O366" s="17"/>
      <c r="P366" s="17"/>
      <c r="Q366" s="17"/>
    </row>
    <row r="367" spans="1:17">
      <c r="A367" s="556" t="s">
        <v>3540</v>
      </c>
      <c r="B367" s="557" t="s">
        <v>1401</v>
      </c>
      <c r="C367" s="558" t="s">
        <v>1402</v>
      </c>
      <c r="D367" s="556" t="s">
        <v>3734</v>
      </c>
      <c r="E367" s="17" t="s">
        <v>3777</v>
      </c>
      <c r="F367" s="17">
        <v>25</v>
      </c>
      <c r="G367" s="17">
        <v>1</v>
      </c>
      <c r="H367" s="17" t="s">
        <v>3429</v>
      </c>
      <c r="I367" s="17"/>
      <c r="J367" s="17"/>
      <c r="K367" s="17"/>
      <c r="L367" s="17"/>
      <c r="M367" s="17"/>
      <c r="N367" s="17"/>
      <c r="O367" s="17"/>
      <c r="P367" s="17"/>
      <c r="Q367" s="17"/>
    </row>
    <row r="368" spans="1:17">
      <c r="A368" s="556" t="s">
        <v>3540</v>
      </c>
      <c r="B368" s="557" t="s">
        <v>1401</v>
      </c>
      <c r="C368" s="558" t="s">
        <v>1402</v>
      </c>
      <c r="D368" s="556" t="s">
        <v>3736</v>
      </c>
      <c r="E368" s="17" t="s">
        <v>3778</v>
      </c>
      <c r="F368" s="17">
        <v>25</v>
      </c>
      <c r="G368" s="17">
        <v>2</v>
      </c>
      <c r="H368" s="17" t="s">
        <v>3473</v>
      </c>
      <c r="I368" s="17"/>
      <c r="J368" s="17"/>
      <c r="K368" s="17"/>
      <c r="L368" s="17"/>
      <c r="M368" s="17"/>
      <c r="N368" s="17"/>
      <c r="O368" s="17"/>
      <c r="P368" s="17"/>
      <c r="Q368" s="17"/>
    </row>
    <row r="369" spans="1:17">
      <c r="A369" s="556" t="s">
        <v>3540</v>
      </c>
      <c r="B369" s="557" t="s">
        <v>1403</v>
      </c>
      <c r="C369" s="558" t="s">
        <v>1404</v>
      </c>
      <c r="D369" s="556" t="s">
        <v>3734</v>
      </c>
      <c r="E369" s="17" t="s">
        <v>3779</v>
      </c>
      <c r="F369" s="17">
        <v>26</v>
      </c>
      <c r="G369" s="17">
        <v>1</v>
      </c>
      <c r="H369" s="17" t="s">
        <v>3433</v>
      </c>
      <c r="I369" s="17"/>
      <c r="J369" s="17"/>
      <c r="K369" s="17"/>
      <c r="L369" s="17"/>
      <c r="M369" s="17"/>
      <c r="N369" s="17"/>
      <c r="O369" s="17"/>
      <c r="P369" s="17"/>
      <c r="Q369" s="17"/>
    </row>
    <row r="370" spans="1:17">
      <c r="A370" s="556" t="s">
        <v>3540</v>
      </c>
      <c r="B370" s="557" t="s">
        <v>1403</v>
      </c>
      <c r="C370" s="558" t="s">
        <v>1404</v>
      </c>
      <c r="D370" s="556" t="s">
        <v>3736</v>
      </c>
      <c r="E370" s="17" t="s">
        <v>3780</v>
      </c>
      <c r="F370" s="17">
        <v>26</v>
      </c>
      <c r="G370" s="17">
        <v>2</v>
      </c>
      <c r="H370" s="17" t="s">
        <v>3474</v>
      </c>
      <c r="I370" s="17"/>
      <c r="J370" s="17"/>
      <c r="K370" s="17"/>
      <c r="L370" s="17"/>
      <c r="M370" s="17"/>
      <c r="N370" s="17"/>
      <c r="O370" s="17"/>
      <c r="P370" s="17"/>
      <c r="Q370" s="17"/>
    </row>
    <row r="371" spans="1:17">
      <c r="A371" s="556" t="s">
        <v>3540</v>
      </c>
      <c r="B371" s="557" t="s">
        <v>1405</v>
      </c>
      <c r="C371" s="568" t="s">
        <v>9566</v>
      </c>
      <c r="D371" s="556" t="s">
        <v>3734</v>
      </c>
      <c r="E371" s="17" t="s">
        <v>3781</v>
      </c>
      <c r="F371" s="17">
        <v>27</v>
      </c>
      <c r="G371" s="17">
        <v>1</v>
      </c>
      <c r="H371" s="17" t="s">
        <v>3437</v>
      </c>
      <c r="I371" s="17"/>
      <c r="J371" s="17"/>
      <c r="K371" s="17"/>
      <c r="L371" s="17"/>
      <c r="M371" s="17"/>
      <c r="N371" s="17"/>
      <c r="O371" s="17"/>
      <c r="P371" s="17"/>
      <c r="Q371" s="17"/>
    </row>
    <row r="372" spans="1:17">
      <c r="A372" s="556" t="s">
        <v>3540</v>
      </c>
      <c r="B372" s="557" t="s">
        <v>1405</v>
      </c>
      <c r="C372" s="568" t="s">
        <v>9566</v>
      </c>
      <c r="D372" s="556" t="s">
        <v>3736</v>
      </c>
      <c r="E372" s="17" t="s">
        <v>3782</v>
      </c>
      <c r="F372" s="17">
        <v>27</v>
      </c>
      <c r="G372" s="17">
        <v>2</v>
      </c>
      <c r="H372" s="17" t="s">
        <v>3475</v>
      </c>
      <c r="I372" s="17"/>
      <c r="J372" s="17"/>
      <c r="K372" s="17"/>
      <c r="L372" s="17"/>
      <c r="M372" s="17"/>
      <c r="N372" s="17"/>
      <c r="O372" s="17"/>
      <c r="P372" s="17"/>
      <c r="Q372" s="17"/>
    </row>
    <row r="373" spans="1:17">
      <c r="A373" s="556" t="s">
        <v>3540</v>
      </c>
      <c r="B373" s="557" t="s">
        <v>1033</v>
      </c>
      <c r="C373" s="558" t="s">
        <v>3783</v>
      </c>
      <c r="D373" s="556" t="s">
        <v>3734</v>
      </c>
      <c r="E373" s="17" t="s">
        <v>3784</v>
      </c>
      <c r="F373" s="17">
        <v>28</v>
      </c>
      <c r="G373" s="17">
        <v>1</v>
      </c>
      <c r="H373" s="17" t="s">
        <v>3441</v>
      </c>
      <c r="I373" s="17"/>
      <c r="J373" s="17"/>
      <c r="K373" s="17"/>
      <c r="L373" s="17"/>
      <c r="M373" s="17"/>
      <c r="N373" s="17"/>
      <c r="O373" s="17"/>
      <c r="P373" s="17"/>
      <c r="Q373" s="17"/>
    </row>
    <row r="374" spans="1:17">
      <c r="A374" s="556" t="s">
        <v>3540</v>
      </c>
      <c r="B374" s="557" t="s">
        <v>1033</v>
      </c>
      <c r="C374" s="558" t="s">
        <v>3783</v>
      </c>
      <c r="D374" s="556" t="s">
        <v>3736</v>
      </c>
      <c r="E374" s="17" t="s">
        <v>3785</v>
      </c>
      <c r="F374" s="17">
        <v>28</v>
      </c>
      <c r="G374" s="17">
        <v>2</v>
      </c>
      <c r="H374" s="17" t="s">
        <v>3476</v>
      </c>
      <c r="I374" s="17"/>
      <c r="J374" s="17"/>
      <c r="K374" s="17"/>
      <c r="L374" s="17"/>
      <c r="M374" s="17"/>
      <c r="N374" s="17"/>
      <c r="O374" s="17"/>
      <c r="P374" s="17"/>
      <c r="Q374" s="17"/>
    </row>
    <row r="375" spans="1:17">
      <c r="A375" s="556" t="s">
        <v>3540</v>
      </c>
      <c r="B375" s="557" t="s">
        <v>1034</v>
      </c>
      <c r="C375" s="558" t="s">
        <v>3786</v>
      </c>
      <c r="D375" s="556" t="s">
        <v>3734</v>
      </c>
      <c r="E375" s="17" t="s">
        <v>3787</v>
      </c>
      <c r="F375" s="17">
        <v>29</v>
      </c>
      <c r="G375" s="17">
        <v>1</v>
      </c>
      <c r="H375" s="17" t="s">
        <v>3445</v>
      </c>
      <c r="I375" s="17"/>
      <c r="J375" s="17"/>
      <c r="K375" s="17"/>
      <c r="L375" s="17"/>
      <c r="M375" s="17"/>
      <c r="N375" s="17"/>
      <c r="O375" s="17"/>
      <c r="P375" s="17"/>
      <c r="Q375" s="17"/>
    </row>
    <row r="376" spans="1:17">
      <c r="A376" s="556" t="s">
        <v>3540</v>
      </c>
      <c r="B376" s="557" t="s">
        <v>1034</v>
      </c>
      <c r="C376" s="558" t="s">
        <v>3786</v>
      </c>
      <c r="D376" s="556" t="s">
        <v>3736</v>
      </c>
      <c r="E376" s="17" t="s">
        <v>3788</v>
      </c>
      <c r="F376" s="17">
        <v>29</v>
      </c>
      <c r="G376" s="17">
        <v>2</v>
      </c>
      <c r="H376" s="17" t="s">
        <v>3477</v>
      </c>
      <c r="I376" s="17"/>
      <c r="J376" s="17"/>
      <c r="K376" s="17"/>
      <c r="L376" s="17"/>
      <c r="M376" s="17"/>
      <c r="N376" s="17"/>
      <c r="O376" s="17"/>
      <c r="P376" s="17"/>
      <c r="Q376" s="17"/>
    </row>
    <row r="377" spans="1:17">
      <c r="A377" s="556" t="s">
        <v>3540</v>
      </c>
      <c r="B377" s="557" t="s">
        <v>1038</v>
      </c>
      <c r="C377" s="558" t="s">
        <v>3789</v>
      </c>
      <c r="D377" s="556" t="s">
        <v>3734</v>
      </c>
      <c r="E377" s="17" t="s">
        <v>3790</v>
      </c>
      <c r="F377" s="17">
        <v>30</v>
      </c>
      <c r="G377" s="17">
        <v>1</v>
      </c>
      <c r="H377" s="17" t="s">
        <v>3449</v>
      </c>
      <c r="I377" s="17"/>
      <c r="J377" s="17"/>
      <c r="K377" s="17"/>
      <c r="L377" s="17"/>
      <c r="M377" s="17"/>
      <c r="N377" s="17"/>
      <c r="O377" s="17"/>
      <c r="P377" s="17"/>
      <c r="Q377" s="17"/>
    </row>
    <row r="378" spans="1:17">
      <c r="A378" s="556" t="s">
        <v>3540</v>
      </c>
      <c r="B378" s="557" t="s">
        <v>1038</v>
      </c>
      <c r="C378" s="558" t="s">
        <v>3789</v>
      </c>
      <c r="D378" s="556" t="s">
        <v>3736</v>
      </c>
      <c r="E378" s="17" t="s">
        <v>3791</v>
      </c>
      <c r="F378" s="17">
        <v>30</v>
      </c>
      <c r="G378" s="17">
        <v>2</v>
      </c>
      <c r="H378" s="17" t="s">
        <v>3478</v>
      </c>
      <c r="I378" s="17"/>
      <c r="J378" s="17"/>
      <c r="K378" s="17"/>
      <c r="L378" s="17"/>
      <c r="M378" s="17"/>
      <c r="N378" s="17"/>
      <c r="O378" s="17"/>
      <c r="P378" s="17"/>
      <c r="Q378" s="17"/>
    </row>
    <row r="379" spans="1:17">
      <c r="A379" s="556" t="s">
        <v>3540</v>
      </c>
      <c r="B379" s="557" t="s">
        <v>1039</v>
      </c>
      <c r="C379" s="558" t="s">
        <v>3792</v>
      </c>
      <c r="D379" s="556" t="s">
        <v>3734</v>
      </c>
      <c r="E379" s="17" t="s">
        <v>3793</v>
      </c>
      <c r="F379" s="17">
        <v>31</v>
      </c>
      <c r="G379" s="17">
        <v>1</v>
      </c>
      <c r="H379" s="17" t="s">
        <v>3479</v>
      </c>
      <c r="I379" s="17"/>
      <c r="J379" s="17"/>
      <c r="K379" s="17"/>
      <c r="L379" s="17"/>
      <c r="M379" s="17"/>
      <c r="N379" s="17"/>
      <c r="O379" s="17"/>
      <c r="P379" s="17"/>
      <c r="Q379" s="17"/>
    </row>
    <row r="380" spans="1:17">
      <c r="A380" s="556" t="s">
        <v>3540</v>
      </c>
      <c r="B380" s="557" t="s">
        <v>1039</v>
      </c>
      <c r="C380" s="558" t="s">
        <v>3792</v>
      </c>
      <c r="D380" s="556" t="s">
        <v>3736</v>
      </c>
      <c r="E380" s="17" t="s">
        <v>3794</v>
      </c>
      <c r="F380" s="17">
        <v>31</v>
      </c>
      <c r="G380" s="17">
        <v>2</v>
      </c>
      <c r="H380" s="17" t="s">
        <v>3480</v>
      </c>
      <c r="I380" s="17"/>
      <c r="J380" s="17"/>
      <c r="K380" s="17"/>
      <c r="L380" s="17"/>
      <c r="M380" s="17"/>
      <c r="N380" s="17"/>
      <c r="O380" s="17"/>
      <c r="P380" s="17"/>
      <c r="Q380" s="17"/>
    </row>
    <row r="381" spans="1:17">
      <c r="A381" s="556" t="s">
        <v>3542</v>
      </c>
      <c r="B381" s="557"/>
      <c r="C381" s="558" t="s">
        <v>1542</v>
      </c>
      <c r="D381" s="556" t="s">
        <v>9322</v>
      </c>
      <c r="E381" s="17" t="s">
        <v>3795</v>
      </c>
      <c r="F381" s="17">
        <v>2</v>
      </c>
      <c r="G381" s="17">
        <v>1</v>
      </c>
      <c r="H381" s="17" t="s">
        <v>2990</v>
      </c>
      <c r="I381" s="17"/>
      <c r="J381" s="17"/>
      <c r="K381" s="17"/>
      <c r="L381" s="17"/>
      <c r="M381" s="17"/>
      <c r="N381" s="17"/>
      <c r="O381" s="17"/>
      <c r="P381" s="17"/>
      <c r="Q381" s="17"/>
    </row>
    <row r="382" spans="1:17">
      <c r="A382" s="556" t="s">
        <v>3542</v>
      </c>
      <c r="B382" s="557"/>
      <c r="C382" s="558" t="s">
        <v>1542</v>
      </c>
      <c r="D382" s="556" t="s">
        <v>9323</v>
      </c>
      <c r="E382" s="17" t="s">
        <v>3796</v>
      </c>
      <c r="F382" s="17">
        <v>2</v>
      </c>
      <c r="G382" s="17">
        <v>2</v>
      </c>
      <c r="H382" s="17" t="s">
        <v>3338</v>
      </c>
      <c r="I382" s="17"/>
      <c r="J382" s="17"/>
      <c r="K382" s="17"/>
      <c r="L382" s="17"/>
      <c r="M382" s="17"/>
      <c r="N382" s="17"/>
      <c r="O382" s="17"/>
      <c r="P382" s="17"/>
      <c r="Q382" s="17"/>
    </row>
    <row r="383" spans="1:17">
      <c r="A383" s="556" t="s">
        <v>3542</v>
      </c>
      <c r="B383" s="557"/>
      <c r="C383" s="558" t="s">
        <v>1542</v>
      </c>
      <c r="D383" s="556" t="s">
        <v>9324</v>
      </c>
      <c r="E383" s="17" t="s">
        <v>3797</v>
      </c>
      <c r="F383" s="17">
        <v>2</v>
      </c>
      <c r="G383" s="17">
        <v>3</v>
      </c>
      <c r="H383" s="17" t="s">
        <v>2991</v>
      </c>
      <c r="I383" s="17"/>
      <c r="J383" s="17"/>
      <c r="K383" s="17"/>
      <c r="L383" s="17"/>
      <c r="M383" s="17"/>
      <c r="N383" s="17"/>
      <c r="O383" s="17"/>
      <c r="P383" s="17"/>
      <c r="Q383" s="17"/>
    </row>
    <row r="384" spans="1:17">
      <c r="A384" s="556" t="s">
        <v>3542</v>
      </c>
      <c r="B384" s="557"/>
      <c r="C384" s="558" t="s">
        <v>1542</v>
      </c>
      <c r="D384" s="556" t="s">
        <v>9325</v>
      </c>
      <c r="E384" s="17" t="s">
        <v>3798</v>
      </c>
      <c r="F384" s="17">
        <v>2</v>
      </c>
      <c r="G384" s="17">
        <v>4</v>
      </c>
      <c r="H384" s="17" t="s">
        <v>2992</v>
      </c>
      <c r="I384" s="17"/>
      <c r="J384" s="17"/>
      <c r="K384" s="17"/>
      <c r="L384" s="17"/>
      <c r="M384" s="17"/>
      <c r="N384" s="17"/>
      <c r="O384" s="17"/>
      <c r="P384" s="17"/>
      <c r="Q384" s="17"/>
    </row>
    <row r="385" spans="1:17">
      <c r="A385" s="556" t="s">
        <v>3542</v>
      </c>
      <c r="B385" s="557"/>
      <c r="C385" s="558" t="s">
        <v>1543</v>
      </c>
      <c r="D385" s="556" t="s">
        <v>9322</v>
      </c>
      <c r="E385" s="17" t="s">
        <v>3799</v>
      </c>
      <c r="F385" s="17">
        <v>3</v>
      </c>
      <c r="G385" s="17">
        <v>1</v>
      </c>
      <c r="H385" s="17" t="s">
        <v>3339</v>
      </c>
      <c r="I385" s="17"/>
      <c r="J385" s="17"/>
      <c r="K385" s="17"/>
      <c r="L385" s="17"/>
      <c r="M385" s="17"/>
      <c r="N385" s="17"/>
      <c r="O385" s="17"/>
      <c r="P385" s="17"/>
      <c r="Q385" s="17"/>
    </row>
    <row r="386" spans="1:17">
      <c r="A386" s="556" t="s">
        <v>3542</v>
      </c>
      <c r="B386" s="557"/>
      <c r="C386" s="558" t="s">
        <v>1543</v>
      </c>
      <c r="D386" s="556" t="s">
        <v>9323</v>
      </c>
      <c r="E386" s="17" t="s">
        <v>3800</v>
      </c>
      <c r="F386" s="17">
        <v>3</v>
      </c>
      <c r="G386" s="17">
        <v>2</v>
      </c>
      <c r="H386" s="17" t="s">
        <v>3340</v>
      </c>
      <c r="I386" s="17"/>
      <c r="J386" s="17"/>
      <c r="K386" s="17"/>
      <c r="L386" s="17"/>
      <c r="M386" s="17"/>
      <c r="N386" s="17"/>
      <c r="O386" s="17"/>
      <c r="P386" s="17"/>
      <c r="Q386" s="17"/>
    </row>
    <row r="387" spans="1:17">
      <c r="A387" s="556" t="s">
        <v>3542</v>
      </c>
      <c r="B387" s="557"/>
      <c r="C387" s="558" t="s">
        <v>1543</v>
      </c>
      <c r="D387" s="556" t="s">
        <v>9324</v>
      </c>
      <c r="E387" s="17" t="s">
        <v>3801</v>
      </c>
      <c r="F387" s="17">
        <v>3</v>
      </c>
      <c r="G387" s="17">
        <v>3</v>
      </c>
      <c r="H387" s="17" t="s">
        <v>3341</v>
      </c>
      <c r="I387" s="17"/>
      <c r="J387" s="17"/>
      <c r="K387" s="17"/>
      <c r="L387" s="17"/>
      <c r="M387" s="17"/>
      <c r="N387" s="17"/>
      <c r="O387" s="17"/>
      <c r="P387" s="17"/>
      <c r="Q387" s="17"/>
    </row>
    <row r="388" spans="1:17">
      <c r="A388" s="556" t="s">
        <v>3542</v>
      </c>
      <c r="B388" s="557"/>
      <c r="C388" s="558" t="s">
        <v>1543</v>
      </c>
      <c r="D388" s="556" t="s">
        <v>9325</v>
      </c>
      <c r="E388" s="17" t="s">
        <v>3802</v>
      </c>
      <c r="F388" s="17">
        <v>3</v>
      </c>
      <c r="G388" s="17">
        <v>4</v>
      </c>
      <c r="H388" s="17" t="s">
        <v>3342</v>
      </c>
      <c r="I388" s="17"/>
      <c r="J388" s="17"/>
      <c r="K388" s="17"/>
      <c r="L388" s="17"/>
      <c r="M388" s="17"/>
      <c r="N388" s="17"/>
      <c r="O388" s="17"/>
      <c r="P388" s="17"/>
      <c r="Q388" s="17"/>
    </row>
    <row r="389" spans="1:17">
      <c r="A389" s="556" t="s">
        <v>3542</v>
      </c>
      <c r="B389" s="557"/>
      <c r="C389" s="558" t="s">
        <v>1544</v>
      </c>
      <c r="D389" s="556" t="s">
        <v>9322</v>
      </c>
      <c r="E389" s="17" t="s">
        <v>3803</v>
      </c>
      <c r="F389" s="17">
        <v>4</v>
      </c>
      <c r="G389" s="17">
        <v>1</v>
      </c>
      <c r="H389" s="17" t="s">
        <v>3343</v>
      </c>
      <c r="I389" s="17"/>
      <c r="J389" s="17"/>
      <c r="K389" s="17"/>
      <c r="L389" s="17"/>
      <c r="M389" s="17"/>
      <c r="N389" s="17"/>
      <c r="O389" s="17"/>
      <c r="P389" s="17"/>
      <c r="Q389" s="17"/>
    </row>
    <row r="390" spans="1:17">
      <c r="A390" s="556" t="s">
        <v>3542</v>
      </c>
      <c r="B390" s="557"/>
      <c r="C390" s="558" t="s">
        <v>1544</v>
      </c>
      <c r="D390" s="556" t="s">
        <v>9323</v>
      </c>
      <c r="E390" s="17" t="s">
        <v>3804</v>
      </c>
      <c r="F390" s="17">
        <v>4</v>
      </c>
      <c r="G390" s="17">
        <v>2</v>
      </c>
      <c r="H390" s="17" t="s">
        <v>3344</v>
      </c>
      <c r="I390" s="17"/>
      <c r="J390" s="17"/>
      <c r="K390" s="17"/>
      <c r="L390" s="17"/>
      <c r="M390" s="17"/>
      <c r="N390" s="17"/>
      <c r="O390" s="17"/>
      <c r="P390" s="17"/>
      <c r="Q390" s="17"/>
    </row>
    <row r="391" spans="1:17">
      <c r="A391" s="556" t="s">
        <v>3542</v>
      </c>
      <c r="B391" s="557"/>
      <c r="C391" s="558" t="s">
        <v>1544</v>
      </c>
      <c r="D391" s="556" t="s">
        <v>9324</v>
      </c>
      <c r="E391" s="17" t="s">
        <v>3805</v>
      </c>
      <c r="F391" s="17">
        <v>4</v>
      </c>
      <c r="G391" s="17">
        <v>3</v>
      </c>
      <c r="H391" s="17" t="s">
        <v>3345</v>
      </c>
      <c r="I391" s="17"/>
      <c r="J391" s="17"/>
      <c r="K391" s="17"/>
      <c r="L391" s="17"/>
      <c r="M391" s="17"/>
      <c r="N391" s="17"/>
      <c r="O391" s="17"/>
      <c r="P391" s="17"/>
      <c r="Q391" s="17"/>
    </row>
    <row r="392" spans="1:17">
      <c r="A392" s="556" t="s">
        <v>3542</v>
      </c>
      <c r="B392" s="557"/>
      <c r="C392" s="558" t="s">
        <v>1544</v>
      </c>
      <c r="D392" s="556" t="s">
        <v>9325</v>
      </c>
      <c r="E392" s="17" t="s">
        <v>3806</v>
      </c>
      <c r="F392" s="17">
        <v>4</v>
      </c>
      <c r="G392" s="17">
        <v>4</v>
      </c>
      <c r="H392" s="17" t="s">
        <v>3346</v>
      </c>
      <c r="I392" s="17"/>
      <c r="J392" s="17"/>
      <c r="K392" s="17"/>
      <c r="L392" s="17"/>
      <c r="M392" s="17"/>
      <c r="N392" s="17"/>
      <c r="O392" s="17"/>
      <c r="P392" s="17"/>
      <c r="Q392" s="17"/>
    </row>
    <row r="393" spans="1:17">
      <c r="A393" s="556" t="s">
        <v>3542</v>
      </c>
      <c r="B393" s="557"/>
      <c r="C393" s="558" t="s">
        <v>1545</v>
      </c>
      <c r="D393" s="556" t="s">
        <v>9322</v>
      </c>
      <c r="E393" s="17" t="s">
        <v>3807</v>
      </c>
      <c r="F393" s="17">
        <v>5</v>
      </c>
      <c r="G393" s="17">
        <v>1</v>
      </c>
      <c r="H393" s="17" t="s">
        <v>3347</v>
      </c>
      <c r="I393" s="17"/>
      <c r="J393" s="17"/>
      <c r="K393" s="17"/>
      <c r="L393" s="17"/>
      <c r="M393" s="17"/>
      <c r="N393" s="17"/>
      <c r="O393" s="17"/>
      <c r="P393" s="17"/>
      <c r="Q393" s="17"/>
    </row>
    <row r="394" spans="1:17">
      <c r="A394" s="556" t="s">
        <v>3542</v>
      </c>
      <c r="B394" s="557"/>
      <c r="C394" s="558" t="s">
        <v>1545</v>
      </c>
      <c r="D394" s="556" t="s">
        <v>9323</v>
      </c>
      <c r="E394" s="17" t="s">
        <v>3808</v>
      </c>
      <c r="F394" s="17">
        <v>5</v>
      </c>
      <c r="G394" s="17">
        <v>2</v>
      </c>
      <c r="H394" s="17" t="s">
        <v>3348</v>
      </c>
      <c r="I394" s="17"/>
      <c r="J394" s="17"/>
      <c r="K394" s="17"/>
      <c r="L394" s="17"/>
      <c r="M394" s="17"/>
      <c r="N394" s="17"/>
      <c r="O394" s="17"/>
      <c r="P394" s="17"/>
      <c r="Q394" s="17"/>
    </row>
    <row r="395" spans="1:17">
      <c r="A395" s="556" t="s">
        <v>3542</v>
      </c>
      <c r="B395" s="557"/>
      <c r="C395" s="558" t="s">
        <v>1545</v>
      </c>
      <c r="D395" s="556" t="s">
        <v>9324</v>
      </c>
      <c r="E395" s="17" t="s">
        <v>3809</v>
      </c>
      <c r="F395" s="17">
        <v>5</v>
      </c>
      <c r="G395" s="17">
        <v>3</v>
      </c>
      <c r="H395" s="17" t="s">
        <v>3349</v>
      </c>
      <c r="I395" s="17"/>
      <c r="J395" s="17"/>
      <c r="K395" s="17"/>
      <c r="L395" s="17"/>
      <c r="M395" s="17"/>
      <c r="N395" s="17"/>
      <c r="O395" s="17"/>
      <c r="P395" s="17"/>
      <c r="Q395" s="17"/>
    </row>
    <row r="396" spans="1:17">
      <c r="A396" s="556" t="s">
        <v>3542</v>
      </c>
      <c r="B396" s="557"/>
      <c r="C396" s="558" t="s">
        <v>1545</v>
      </c>
      <c r="D396" s="556" t="s">
        <v>9325</v>
      </c>
      <c r="E396" s="17" t="s">
        <v>3810</v>
      </c>
      <c r="F396" s="17">
        <v>5</v>
      </c>
      <c r="G396" s="17">
        <v>4</v>
      </c>
      <c r="H396" s="17" t="s">
        <v>3350</v>
      </c>
      <c r="I396" s="17"/>
      <c r="J396" s="17"/>
      <c r="K396" s="17"/>
      <c r="L396" s="17"/>
      <c r="M396" s="17"/>
      <c r="N396" s="17"/>
      <c r="O396" s="17"/>
      <c r="P396" s="17"/>
      <c r="Q396" s="17"/>
    </row>
    <row r="397" spans="1:17">
      <c r="A397" s="556" t="s">
        <v>3542</v>
      </c>
      <c r="B397" s="557"/>
      <c r="C397" s="558" t="s">
        <v>1546</v>
      </c>
      <c r="D397" s="556" t="s">
        <v>9322</v>
      </c>
      <c r="E397" s="17" t="s">
        <v>3811</v>
      </c>
      <c r="F397" s="17">
        <v>6</v>
      </c>
      <c r="G397" s="17">
        <v>1</v>
      </c>
      <c r="H397" s="17" t="s">
        <v>3351</v>
      </c>
      <c r="I397" s="17">
        <v>0</v>
      </c>
      <c r="J397" s="17"/>
      <c r="K397" s="17"/>
      <c r="L397" s="17"/>
      <c r="M397" s="17"/>
      <c r="N397" s="17"/>
      <c r="O397" s="17"/>
      <c r="P397" s="17"/>
      <c r="Q397" s="17"/>
    </row>
    <row r="398" spans="1:17">
      <c r="A398" s="556" t="s">
        <v>3542</v>
      </c>
      <c r="B398" s="557"/>
      <c r="C398" s="558" t="s">
        <v>1548</v>
      </c>
      <c r="D398" s="556" t="s">
        <v>9322</v>
      </c>
      <c r="E398" s="17" t="s">
        <v>3812</v>
      </c>
      <c r="F398" s="17">
        <v>8</v>
      </c>
      <c r="G398" s="17">
        <v>1</v>
      </c>
      <c r="H398" s="17" t="s">
        <v>3359</v>
      </c>
      <c r="I398" s="17"/>
      <c r="J398" s="17"/>
      <c r="K398" s="17"/>
      <c r="L398" s="17"/>
      <c r="M398" s="17"/>
      <c r="N398" s="17"/>
      <c r="O398" s="17"/>
      <c r="P398" s="17"/>
      <c r="Q398" s="17"/>
    </row>
    <row r="399" spans="1:17">
      <c r="A399" s="556" t="s">
        <v>3542</v>
      </c>
      <c r="B399" s="557"/>
      <c r="C399" s="558" t="s">
        <v>1548</v>
      </c>
      <c r="D399" s="556" t="s">
        <v>9323</v>
      </c>
      <c r="E399" s="17" t="s">
        <v>3813</v>
      </c>
      <c r="F399" s="17">
        <v>8</v>
      </c>
      <c r="G399" s="17">
        <v>2</v>
      </c>
      <c r="H399" s="17" t="s">
        <v>3360</v>
      </c>
      <c r="I399" s="17"/>
      <c r="J399" s="17"/>
      <c r="K399" s="17"/>
      <c r="L399" s="17"/>
      <c r="M399" s="17"/>
      <c r="N399" s="17"/>
      <c r="O399" s="17"/>
      <c r="P399" s="17"/>
      <c r="Q399" s="17"/>
    </row>
    <row r="400" spans="1:17">
      <c r="A400" s="556" t="s">
        <v>3542</v>
      </c>
      <c r="B400" s="557"/>
      <c r="C400" s="558" t="s">
        <v>1548</v>
      </c>
      <c r="D400" s="556" t="s">
        <v>9324</v>
      </c>
      <c r="E400" s="17" t="s">
        <v>3814</v>
      </c>
      <c r="F400" s="17">
        <v>8</v>
      </c>
      <c r="G400" s="17">
        <v>3</v>
      </c>
      <c r="H400" s="17" t="s">
        <v>3327</v>
      </c>
      <c r="I400" s="17"/>
      <c r="J400" s="17"/>
      <c r="K400" s="17"/>
      <c r="L400" s="17"/>
      <c r="M400" s="17"/>
      <c r="N400" s="17"/>
      <c r="O400" s="17"/>
      <c r="P400" s="17"/>
      <c r="Q400" s="17"/>
    </row>
    <row r="401" spans="1:17">
      <c r="A401" s="556" t="s">
        <v>3542</v>
      </c>
      <c r="B401" s="557"/>
      <c r="C401" s="558" t="s">
        <v>1548</v>
      </c>
      <c r="D401" s="556" t="s">
        <v>9325</v>
      </c>
      <c r="E401" s="17" t="s">
        <v>3815</v>
      </c>
      <c r="F401" s="17">
        <v>8</v>
      </c>
      <c r="G401" s="17">
        <v>4</v>
      </c>
      <c r="H401" s="17" t="s">
        <v>3361</v>
      </c>
      <c r="I401" s="17"/>
      <c r="J401" s="17"/>
      <c r="K401" s="17"/>
      <c r="L401" s="17"/>
      <c r="M401" s="17"/>
      <c r="N401" s="17"/>
      <c r="O401" s="17"/>
      <c r="P401" s="17"/>
      <c r="Q401" s="17"/>
    </row>
    <row r="402" spans="1:17">
      <c r="A402" s="556" t="s">
        <v>3542</v>
      </c>
      <c r="B402" s="557"/>
      <c r="C402" s="558" t="s">
        <v>1549</v>
      </c>
      <c r="D402" s="556" t="s">
        <v>9322</v>
      </c>
      <c r="E402" s="17" t="s">
        <v>3816</v>
      </c>
      <c r="F402" s="17">
        <v>9</v>
      </c>
      <c r="G402" s="17">
        <v>1</v>
      </c>
      <c r="H402" s="17" t="s">
        <v>3362</v>
      </c>
      <c r="I402" s="17"/>
      <c r="J402" s="17"/>
      <c r="K402" s="17"/>
      <c r="L402" s="17"/>
      <c r="M402" s="17"/>
      <c r="N402" s="17"/>
      <c r="O402" s="17"/>
      <c r="P402" s="17"/>
      <c r="Q402" s="17"/>
    </row>
    <row r="403" spans="1:17">
      <c r="A403" s="556" t="s">
        <v>3542</v>
      </c>
      <c r="B403" s="557"/>
      <c r="C403" s="558" t="s">
        <v>1549</v>
      </c>
      <c r="D403" s="556" t="s">
        <v>9323</v>
      </c>
      <c r="E403" s="17" t="s">
        <v>3817</v>
      </c>
      <c r="F403" s="17">
        <v>9</v>
      </c>
      <c r="G403" s="17">
        <v>2</v>
      </c>
      <c r="H403" s="17" t="s">
        <v>3363</v>
      </c>
      <c r="I403" s="17"/>
      <c r="J403" s="17"/>
      <c r="K403" s="17"/>
      <c r="L403" s="17"/>
      <c r="M403" s="17"/>
      <c r="N403" s="17"/>
      <c r="O403" s="17"/>
      <c r="P403" s="17"/>
      <c r="Q403" s="17"/>
    </row>
    <row r="404" spans="1:17">
      <c r="A404" s="556" t="s">
        <v>3542</v>
      </c>
      <c r="B404" s="557"/>
      <c r="C404" s="558" t="s">
        <v>1549</v>
      </c>
      <c r="D404" s="556" t="s">
        <v>9324</v>
      </c>
      <c r="E404" s="17" t="s">
        <v>3818</v>
      </c>
      <c r="F404" s="17">
        <v>9</v>
      </c>
      <c r="G404" s="17">
        <v>3</v>
      </c>
      <c r="H404" s="17" t="s">
        <v>3364</v>
      </c>
      <c r="I404" s="17"/>
      <c r="J404" s="17"/>
      <c r="K404" s="17"/>
      <c r="L404" s="17"/>
      <c r="M404" s="17"/>
      <c r="N404" s="17"/>
      <c r="O404" s="17"/>
      <c r="P404" s="17"/>
      <c r="Q404" s="17"/>
    </row>
    <row r="405" spans="1:17">
      <c r="A405" s="556" t="s">
        <v>3542</v>
      </c>
      <c r="B405" s="557"/>
      <c r="C405" s="558" t="s">
        <v>1549</v>
      </c>
      <c r="D405" s="556" t="s">
        <v>9325</v>
      </c>
      <c r="E405" s="17" t="s">
        <v>3819</v>
      </c>
      <c r="F405" s="17">
        <v>9</v>
      </c>
      <c r="G405" s="17">
        <v>4</v>
      </c>
      <c r="H405" s="17" t="s">
        <v>3365</v>
      </c>
      <c r="I405" s="17"/>
      <c r="J405" s="17"/>
      <c r="K405" s="17"/>
      <c r="L405" s="17"/>
      <c r="M405" s="17"/>
      <c r="N405" s="17"/>
      <c r="O405" s="17"/>
      <c r="P405" s="17"/>
      <c r="Q405" s="17"/>
    </row>
    <row r="406" spans="1:17">
      <c r="A406" s="556" t="s">
        <v>3542</v>
      </c>
      <c r="B406" s="557"/>
      <c r="C406" s="558" t="s">
        <v>1550</v>
      </c>
      <c r="D406" s="556" t="s">
        <v>9322</v>
      </c>
      <c r="E406" s="17" t="s">
        <v>3820</v>
      </c>
      <c r="F406" s="17">
        <v>10</v>
      </c>
      <c r="G406" s="17">
        <v>1</v>
      </c>
      <c r="H406" s="17" t="s">
        <v>3366</v>
      </c>
      <c r="I406" s="17"/>
      <c r="J406" s="17"/>
      <c r="K406" s="17"/>
      <c r="L406" s="17"/>
      <c r="M406" s="17"/>
      <c r="N406" s="17"/>
      <c r="O406" s="17"/>
      <c r="P406" s="17"/>
      <c r="Q406" s="17"/>
    </row>
    <row r="407" spans="1:17">
      <c r="A407" s="556" t="s">
        <v>3542</v>
      </c>
      <c r="B407" s="557"/>
      <c r="C407" s="558" t="s">
        <v>1550</v>
      </c>
      <c r="D407" s="556" t="s">
        <v>9323</v>
      </c>
      <c r="E407" s="17" t="s">
        <v>3821</v>
      </c>
      <c r="F407" s="17">
        <v>10</v>
      </c>
      <c r="G407" s="17">
        <v>2</v>
      </c>
      <c r="H407" s="17" t="s">
        <v>3367</v>
      </c>
      <c r="I407" s="17"/>
      <c r="J407" s="17"/>
      <c r="K407" s="17"/>
      <c r="L407" s="17"/>
      <c r="M407" s="17"/>
      <c r="N407" s="17"/>
      <c r="O407" s="17"/>
      <c r="P407" s="17"/>
      <c r="Q407" s="17"/>
    </row>
    <row r="408" spans="1:17">
      <c r="A408" s="556" t="s">
        <v>3542</v>
      </c>
      <c r="B408" s="557"/>
      <c r="C408" s="558" t="s">
        <v>1550</v>
      </c>
      <c r="D408" s="556" t="s">
        <v>9324</v>
      </c>
      <c r="E408" s="17" t="s">
        <v>3822</v>
      </c>
      <c r="F408" s="17">
        <v>10</v>
      </c>
      <c r="G408" s="17">
        <v>3</v>
      </c>
      <c r="H408" s="17" t="s">
        <v>3368</v>
      </c>
      <c r="I408" s="17"/>
      <c r="J408" s="17"/>
      <c r="K408" s="17"/>
      <c r="L408" s="17"/>
      <c r="M408" s="17"/>
      <c r="N408" s="17"/>
      <c r="O408" s="17"/>
      <c r="P408" s="17"/>
      <c r="Q408" s="17"/>
    </row>
    <row r="409" spans="1:17">
      <c r="A409" s="556" t="s">
        <v>3542</v>
      </c>
      <c r="B409" s="557"/>
      <c r="C409" s="558" t="s">
        <v>1550</v>
      </c>
      <c r="D409" s="556" t="s">
        <v>9325</v>
      </c>
      <c r="E409" s="17" t="s">
        <v>3823</v>
      </c>
      <c r="F409" s="17">
        <v>10</v>
      </c>
      <c r="G409" s="17">
        <v>4</v>
      </c>
      <c r="H409" s="17" t="s">
        <v>3369</v>
      </c>
      <c r="I409" s="17"/>
      <c r="J409" s="17"/>
      <c r="K409" s="17"/>
      <c r="L409" s="17"/>
      <c r="M409" s="17"/>
      <c r="N409" s="17"/>
      <c r="O409" s="17"/>
      <c r="P409" s="17"/>
      <c r="Q409" s="17"/>
    </row>
    <row r="410" spans="1:17">
      <c r="A410" s="556" t="s">
        <v>3542</v>
      </c>
      <c r="B410" s="557"/>
      <c r="C410" s="558" t="s">
        <v>1551</v>
      </c>
      <c r="D410" s="556" t="s">
        <v>9322</v>
      </c>
      <c r="E410" s="17" t="s">
        <v>3824</v>
      </c>
      <c r="F410" s="17">
        <v>11</v>
      </c>
      <c r="G410" s="17">
        <v>1</v>
      </c>
      <c r="H410" s="17" t="s">
        <v>3370</v>
      </c>
      <c r="I410" s="17"/>
      <c r="J410" s="17"/>
      <c r="K410" s="17"/>
      <c r="L410" s="17"/>
      <c r="M410" s="17"/>
      <c r="N410" s="17"/>
      <c r="O410" s="17"/>
      <c r="P410" s="17"/>
      <c r="Q410" s="17"/>
    </row>
    <row r="411" spans="1:17">
      <c r="A411" s="556" t="s">
        <v>3542</v>
      </c>
      <c r="B411" s="557"/>
      <c r="C411" s="558" t="s">
        <v>1551</v>
      </c>
      <c r="D411" s="556" t="s">
        <v>9323</v>
      </c>
      <c r="E411" s="17" t="s">
        <v>3825</v>
      </c>
      <c r="F411" s="17">
        <v>11</v>
      </c>
      <c r="G411" s="17">
        <v>2</v>
      </c>
      <c r="H411" s="17" t="s">
        <v>3371</v>
      </c>
      <c r="I411" s="17"/>
      <c r="J411" s="17"/>
      <c r="K411" s="17"/>
      <c r="L411" s="17"/>
      <c r="M411" s="17"/>
      <c r="N411" s="17"/>
      <c r="O411" s="17"/>
      <c r="P411" s="17"/>
      <c r="Q411" s="17"/>
    </row>
    <row r="412" spans="1:17">
      <c r="A412" s="556" t="s">
        <v>3542</v>
      </c>
      <c r="B412" s="557"/>
      <c r="C412" s="558" t="s">
        <v>1551</v>
      </c>
      <c r="D412" s="556" t="s">
        <v>9324</v>
      </c>
      <c r="E412" s="17" t="s">
        <v>3826</v>
      </c>
      <c r="F412" s="17">
        <v>11</v>
      </c>
      <c r="G412" s="17">
        <v>3</v>
      </c>
      <c r="H412" s="17" t="s">
        <v>3372</v>
      </c>
      <c r="I412" s="17"/>
      <c r="J412" s="17"/>
      <c r="K412" s="17"/>
      <c r="L412" s="17"/>
      <c r="M412" s="17"/>
      <c r="N412" s="17"/>
      <c r="O412" s="17"/>
      <c r="P412" s="17"/>
      <c r="Q412" s="17"/>
    </row>
    <row r="413" spans="1:17">
      <c r="A413" s="556" t="s">
        <v>3542</v>
      </c>
      <c r="B413" s="557"/>
      <c r="C413" s="558" t="s">
        <v>1551</v>
      </c>
      <c r="D413" s="556" t="s">
        <v>9325</v>
      </c>
      <c r="E413" s="17" t="s">
        <v>3827</v>
      </c>
      <c r="F413" s="17">
        <v>11</v>
      </c>
      <c r="G413" s="17">
        <v>4</v>
      </c>
      <c r="H413" s="17" t="s">
        <v>3373</v>
      </c>
      <c r="I413" s="17"/>
      <c r="J413" s="17"/>
      <c r="K413" s="17"/>
      <c r="L413" s="17"/>
      <c r="M413" s="17"/>
      <c r="N413" s="17"/>
      <c r="O413" s="17"/>
      <c r="P413" s="17"/>
      <c r="Q413" s="17"/>
    </row>
    <row r="414" spans="1:17">
      <c r="A414" s="556" t="s">
        <v>3542</v>
      </c>
      <c r="B414" s="557"/>
      <c r="C414" s="558" t="s">
        <v>1552</v>
      </c>
      <c r="D414" s="556" t="s">
        <v>9322</v>
      </c>
      <c r="E414" s="17" t="s">
        <v>3828</v>
      </c>
      <c r="F414" s="17">
        <v>12</v>
      </c>
      <c r="G414" s="17">
        <v>1</v>
      </c>
      <c r="H414" s="17" t="s">
        <v>3374</v>
      </c>
      <c r="I414" s="17">
        <v>0</v>
      </c>
      <c r="J414" s="17"/>
      <c r="K414" s="17"/>
      <c r="L414" s="17"/>
      <c r="M414" s="17"/>
      <c r="N414" s="17"/>
      <c r="O414" s="17"/>
      <c r="P414" s="17"/>
      <c r="Q414" s="17"/>
    </row>
    <row r="415" spans="1:17">
      <c r="A415" s="556" t="s">
        <v>3542</v>
      </c>
      <c r="B415" s="557"/>
      <c r="C415" s="558" t="s">
        <v>1554</v>
      </c>
      <c r="D415" s="556" t="s">
        <v>9322</v>
      </c>
      <c r="E415" s="17" t="s">
        <v>3829</v>
      </c>
      <c r="F415" s="17">
        <v>14</v>
      </c>
      <c r="G415" s="17">
        <v>1</v>
      </c>
      <c r="H415" s="17" t="s">
        <v>3382</v>
      </c>
      <c r="I415" s="17"/>
      <c r="J415" s="17"/>
      <c r="K415" s="17"/>
      <c r="L415" s="17"/>
      <c r="M415" s="17"/>
      <c r="N415" s="17"/>
      <c r="O415" s="17"/>
      <c r="P415" s="17"/>
      <c r="Q415" s="17"/>
    </row>
    <row r="416" spans="1:17">
      <c r="A416" s="556" t="s">
        <v>3542</v>
      </c>
      <c r="B416" s="557"/>
      <c r="C416" s="558" t="s">
        <v>1554</v>
      </c>
      <c r="D416" s="556" t="s">
        <v>9323</v>
      </c>
      <c r="E416" s="17" t="s">
        <v>3830</v>
      </c>
      <c r="F416" s="17">
        <v>14</v>
      </c>
      <c r="G416" s="17">
        <v>2</v>
      </c>
      <c r="H416" s="17" t="s">
        <v>3383</v>
      </c>
      <c r="I416" s="17"/>
      <c r="J416" s="17"/>
      <c r="K416" s="17"/>
      <c r="L416" s="17"/>
      <c r="M416" s="17"/>
      <c r="N416" s="17"/>
      <c r="O416" s="17"/>
      <c r="P416" s="17"/>
      <c r="Q416" s="17"/>
    </row>
    <row r="417" spans="1:17">
      <c r="A417" s="556" t="s">
        <v>3542</v>
      </c>
      <c r="B417" s="557"/>
      <c r="C417" s="558" t="s">
        <v>1554</v>
      </c>
      <c r="D417" s="556" t="s">
        <v>9324</v>
      </c>
      <c r="E417" s="17" t="s">
        <v>3831</v>
      </c>
      <c r="F417" s="17">
        <v>14</v>
      </c>
      <c r="G417" s="17">
        <v>3</v>
      </c>
      <c r="H417" s="17" t="s">
        <v>3384</v>
      </c>
      <c r="I417" s="17"/>
      <c r="J417" s="17"/>
      <c r="K417" s="17"/>
      <c r="L417" s="17"/>
      <c r="M417" s="17"/>
      <c r="N417" s="17"/>
      <c r="O417" s="17"/>
      <c r="P417" s="17"/>
      <c r="Q417" s="17"/>
    </row>
    <row r="418" spans="1:17">
      <c r="A418" s="556" t="s">
        <v>3542</v>
      </c>
      <c r="B418" s="557"/>
      <c r="C418" s="558" t="s">
        <v>1554</v>
      </c>
      <c r="D418" s="556" t="s">
        <v>9325</v>
      </c>
      <c r="E418" s="17" t="s">
        <v>3832</v>
      </c>
      <c r="F418" s="17">
        <v>14</v>
      </c>
      <c r="G418" s="17">
        <v>4</v>
      </c>
      <c r="H418" s="17" t="s">
        <v>3385</v>
      </c>
      <c r="I418" s="17"/>
      <c r="J418" s="17"/>
      <c r="K418" s="17"/>
      <c r="L418" s="17"/>
      <c r="M418" s="17"/>
      <c r="N418" s="17"/>
      <c r="O418" s="17"/>
      <c r="P418" s="17"/>
      <c r="Q418" s="17"/>
    </row>
    <row r="419" spans="1:17">
      <c r="A419" s="556" t="s">
        <v>3542</v>
      </c>
      <c r="B419" s="557"/>
      <c r="C419" s="558" t="s">
        <v>1202</v>
      </c>
      <c r="D419" s="556" t="s">
        <v>9322</v>
      </c>
      <c r="E419" s="17" t="s">
        <v>3833</v>
      </c>
      <c r="F419" s="17">
        <v>15</v>
      </c>
      <c r="G419" s="17">
        <v>1</v>
      </c>
      <c r="H419" s="17" t="s">
        <v>3386</v>
      </c>
      <c r="I419" s="17"/>
      <c r="J419" s="17"/>
      <c r="K419" s="17"/>
      <c r="L419" s="17"/>
      <c r="M419" s="17"/>
      <c r="N419" s="17"/>
      <c r="O419" s="17"/>
      <c r="P419" s="17"/>
      <c r="Q419" s="17"/>
    </row>
    <row r="420" spans="1:17">
      <c r="A420" s="556" t="s">
        <v>3542</v>
      </c>
      <c r="B420" s="557"/>
      <c r="C420" s="558" t="s">
        <v>1202</v>
      </c>
      <c r="D420" s="556" t="s">
        <v>9323</v>
      </c>
      <c r="E420" s="17" t="s">
        <v>3834</v>
      </c>
      <c r="F420" s="17">
        <v>15</v>
      </c>
      <c r="G420" s="17">
        <v>2</v>
      </c>
      <c r="H420" s="17" t="s">
        <v>3387</v>
      </c>
      <c r="I420" s="17"/>
      <c r="J420" s="17"/>
      <c r="K420" s="17"/>
      <c r="L420" s="17"/>
      <c r="M420" s="17"/>
      <c r="N420" s="17"/>
      <c r="O420" s="17"/>
      <c r="P420" s="17"/>
      <c r="Q420" s="17"/>
    </row>
    <row r="421" spans="1:17">
      <c r="A421" s="556" t="s">
        <v>3542</v>
      </c>
      <c r="B421" s="557"/>
      <c r="C421" s="558" t="s">
        <v>1202</v>
      </c>
      <c r="D421" s="556" t="s">
        <v>9324</v>
      </c>
      <c r="E421" s="17" t="s">
        <v>3835</v>
      </c>
      <c r="F421" s="17">
        <v>15</v>
      </c>
      <c r="G421" s="17">
        <v>3</v>
      </c>
      <c r="H421" s="17" t="s">
        <v>3388</v>
      </c>
      <c r="I421" s="17"/>
      <c r="J421" s="17"/>
      <c r="K421" s="17"/>
      <c r="L421" s="17"/>
      <c r="M421" s="17"/>
      <c r="N421" s="17"/>
      <c r="O421" s="17"/>
      <c r="P421" s="17"/>
      <c r="Q421" s="17"/>
    </row>
    <row r="422" spans="1:17">
      <c r="A422" s="556" t="s">
        <v>3542</v>
      </c>
      <c r="B422" s="557"/>
      <c r="C422" s="558" t="s">
        <v>1202</v>
      </c>
      <c r="D422" s="556" t="s">
        <v>9325</v>
      </c>
      <c r="E422" s="17" t="s">
        <v>3836</v>
      </c>
      <c r="F422" s="17">
        <v>15</v>
      </c>
      <c r="G422" s="17">
        <v>4</v>
      </c>
      <c r="H422" s="17" t="s">
        <v>3389</v>
      </c>
      <c r="I422" s="17"/>
      <c r="J422" s="17"/>
      <c r="K422" s="17"/>
      <c r="L422" s="17"/>
      <c r="M422" s="17"/>
      <c r="N422" s="17"/>
      <c r="O422" s="17"/>
      <c r="P422" s="17"/>
      <c r="Q422" s="17"/>
    </row>
    <row r="423" spans="1:17">
      <c r="A423" s="556" t="s">
        <v>3542</v>
      </c>
      <c r="B423" s="557"/>
      <c r="C423" s="558" t="s">
        <v>1555</v>
      </c>
      <c r="D423" s="556" t="s">
        <v>9322</v>
      </c>
      <c r="E423" s="17" t="s">
        <v>3837</v>
      </c>
      <c r="F423" s="17">
        <v>16</v>
      </c>
      <c r="G423" s="17">
        <v>1</v>
      </c>
      <c r="H423" s="17" t="s">
        <v>3390</v>
      </c>
      <c r="I423" s="17"/>
      <c r="J423" s="17"/>
      <c r="K423" s="17"/>
      <c r="L423" s="17"/>
      <c r="M423" s="17"/>
      <c r="N423" s="17"/>
      <c r="O423" s="17"/>
      <c r="P423" s="17"/>
      <c r="Q423" s="17"/>
    </row>
    <row r="424" spans="1:17">
      <c r="A424" s="556" t="s">
        <v>3542</v>
      </c>
      <c r="B424" s="557"/>
      <c r="C424" s="558" t="s">
        <v>1555</v>
      </c>
      <c r="D424" s="556" t="s">
        <v>9323</v>
      </c>
      <c r="E424" s="17" t="s">
        <v>3838</v>
      </c>
      <c r="F424" s="17">
        <v>16</v>
      </c>
      <c r="G424" s="17">
        <v>2</v>
      </c>
      <c r="H424" s="17" t="s">
        <v>3391</v>
      </c>
      <c r="I424" s="17"/>
      <c r="J424" s="17"/>
      <c r="K424" s="17"/>
      <c r="L424" s="17"/>
      <c r="M424" s="17"/>
      <c r="N424" s="17"/>
      <c r="O424" s="17"/>
      <c r="P424" s="17"/>
      <c r="Q424" s="17"/>
    </row>
    <row r="425" spans="1:17">
      <c r="A425" s="556" t="s">
        <v>3542</v>
      </c>
      <c r="B425" s="557"/>
      <c r="C425" s="558" t="s">
        <v>1555</v>
      </c>
      <c r="D425" s="556" t="s">
        <v>9324</v>
      </c>
      <c r="E425" s="17" t="s">
        <v>3839</v>
      </c>
      <c r="F425" s="17">
        <v>16</v>
      </c>
      <c r="G425" s="17">
        <v>3</v>
      </c>
      <c r="H425" s="17" t="s">
        <v>3392</v>
      </c>
      <c r="I425" s="17"/>
      <c r="J425" s="17"/>
      <c r="K425" s="17"/>
      <c r="L425" s="17"/>
      <c r="M425" s="17"/>
      <c r="N425" s="17"/>
      <c r="O425" s="17"/>
      <c r="P425" s="17"/>
      <c r="Q425" s="17"/>
    </row>
    <row r="426" spans="1:17">
      <c r="A426" s="556" t="s">
        <v>3542</v>
      </c>
      <c r="B426" s="557"/>
      <c r="C426" s="558" t="s">
        <v>1555</v>
      </c>
      <c r="D426" s="556" t="s">
        <v>9325</v>
      </c>
      <c r="E426" s="17" t="s">
        <v>3840</v>
      </c>
      <c r="F426" s="17">
        <v>16</v>
      </c>
      <c r="G426" s="17">
        <v>4</v>
      </c>
      <c r="H426" s="17" t="s">
        <v>3393</v>
      </c>
      <c r="I426" s="17"/>
      <c r="J426" s="17"/>
      <c r="K426" s="17"/>
      <c r="L426" s="17"/>
      <c r="M426" s="17"/>
      <c r="N426" s="17"/>
      <c r="O426" s="17"/>
      <c r="P426" s="17"/>
      <c r="Q426" s="17"/>
    </row>
    <row r="427" spans="1:17">
      <c r="A427" s="556" t="s">
        <v>3542</v>
      </c>
      <c r="B427" s="557"/>
      <c r="C427" s="558" t="s">
        <v>1556</v>
      </c>
      <c r="D427" s="556" t="s">
        <v>9322</v>
      </c>
      <c r="E427" s="17" t="s">
        <v>3841</v>
      </c>
      <c r="F427" s="17">
        <v>17</v>
      </c>
      <c r="G427" s="17">
        <v>1</v>
      </c>
      <c r="H427" s="17" t="s">
        <v>3394</v>
      </c>
      <c r="I427" s="17"/>
      <c r="J427" s="17"/>
      <c r="K427" s="17"/>
      <c r="L427" s="17"/>
      <c r="M427" s="17"/>
      <c r="N427" s="17"/>
      <c r="O427" s="17"/>
      <c r="P427" s="17"/>
      <c r="Q427" s="17"/>
    </row>
    <row r="428" spans="1:17">
      <c r="A428" s="556" t="s">
        <v>3542</v>
      </c>
      <c r="B428" s="557"/>
      <c r="C428" s="558" t="s">
        <v>1556</v>
      </c>
      <c r="D428" s="556" t="s">
        <v>9323</v>
      </c>
      <c r="E428" s="17" t="s">
        <v>3842</v>
      </c>
      <c r="F428" s="17">
        <v>17</v>
      </c>
      <c r="G428" s="17">
        <v>2</v>
      </c>
      <c r="H428" s="17" t="s">
        <v>3395</v>
      </c>
      <c r="I428" s="17"/>
      <c r="J428" s="17"/>
      <c r="K428" s="17"/>
      <c r="L428" s="17"/>
      <c r="M428" s="17"/>
      <c r="N428" s="17"/>
      <c r="O428" s="17"/>
      <c r="P428" s="17"/>
      <c r="Q428" s="17"/>
    </row>
    <row r="429" spans="1:17">
      <c r="A429" s="556" t="s">
        <v>3542</v>
      </c>
      <c r="B429" s="557"/>
      <c r="C429" s="558" t="s">
        <v>1556</v>
      </c>
      <c r="D429" s="556" t="s">
        <v>9324</v>
      </c>
      <c r="E429" s="17" t="s">
        <v>3843</v>
      </c>
      <c r="F429" s="17">
        <v>17</v>
      </c>
      <c r="G429" s="17">
        <v>3</v>
      </c>
      <c r="H429" s="17" t="s">
        <v>3396</v>
      </c>
      <c r="I429" s="17"/>
      <c r="J429" s="17"/>
      <c r="K429" s="17"/>
      <c r="L429" s="17"/>
      <c r="M429" s="17"/>
      <c r="N429" s="17"/>
      <c r="O429" s="17"/>
      <c r="P429" s="17"/>
      <c r="Q429" s="17"/>
    </row>
    <row r="430" spans="1:17">
      <c r="A430" s="556" t="s">
        <v>3542</v>
      </c>
      <c r="B430" s="557"/>
      <c r="C430" s="558" t="s">
        <v>1556</v>
      </c>
      <c r="D430" s="556" t="s">
        <v>9325</v>
      </c>
      <c r="E430" s="17" t="s">
        <v>3844</v>
      </c>
      <c r="F430" s="17">
        <v>17</v>
      </c>
      <c r="G430" s="17">
        <v>4</v>
      </c>
      <c r="H430" s="17" t="s">
        <v>3397</v>
      </c>
      <c r="I430" s="17"/>
      <c r="J430" s="17"/>
      <c r="K430" s="17"/>
      <c r="L430" s="17"/>
      <c r="M430" s="17"/>
      <c r="N430" s="17"/>
      <c r="O430" s="17"/>
      <c r="P430" s="17"/>
      <c r="Q430" s="17"/>
    </row>
    <row r="431" spans="1:17">
      <c r="A431" s="556" t="s">
        <v>3542</v>
      </c>
      <c r="B431" s="557"/>
      <c r="C431" s="558" t="s">
        <v>1557</v>
      </c>
      <c r="D431" s="556" t="s">
        <v>9322</v>
      </c>
      <c r="E431" s="17" t="s">
        <v>3845</v>
      </c>
      <c r="F431" s="17">
        <v>18</v>
      </c>
      <c r="G431" s="17">
        <v>1</v>
      </c>
      <c r="H431" s="17" t="s">
        <v>3398</v>
      </c>
      <c r="I431" s="17"/>
      <c r="J431" s="17"/>
      <c r="K431" s="17"/>
      <c r="L431" s="17"/>
      <c r="M431" s="17"/>
      <c r="N431" s="17"/>
      <c r="O431" s="17"/>
      <c r="P431" s="17"/>
      <c r="Q431" s="17"/>
    </row>
    <row r="432" spans="1:17">
      <c r="A432" s="556" t="s">
        <v>3542</v>
      </c>
      <c r="B432" s="557"/>
      <c r="C432" s="558" t="s">
        <v>1557</v>
      </c>
      <c r="D432" s="556" t="s">
        <v>9323</v>
      </c>
      <c r="E432" s="17" t="s">
        <v>3846</v>
      </c>
      <c r="F432" s="17">
        <v>18</v>
      </c>
      <c r="G432" s="17">
        <v>2</v>
      </c>
      <c r="H432" s="17" t="s">
        <v>3399</v>
      </c>
      <c r="I432" s="17"/>
      <c r="J432" s="17"/>
      <c r="K432" s="17"/>
      <c r="L432" s="17"/>
      <c r="M432" s="17"/>
      <c r="N432" s="17"/>
      <c r="O432" s="17"/>
      <c r="P432" s="17"/>
      <c r="Q432" s="17"/>
    </row>
    <row r="433" spans="1:17">
      <c r="A433" s="556" t="s">
        <v>3542</v>
      </c>
      <c r="B433" s="557"/>
      <c r="C433" s="558" t="s">
        <v>1557</v>
      </c>
      <c r="D433" s="556" t="s">
        <v>9324</v>
      </c>
      <c r="E433" s="17" t="s">
        <v>3847</v>
      </c>
      <c r="F433" s="17">
        <v>18</v>
      </c>
      <c r="G433" s="17">
        <v>3</v>
      </c>
      <c r="H433" s="17" t="s">
        <v>3400</v>
      </c>
      <c r="I433" s="17"/>
      <c r="J433" s="17"/>
      <c r="K433" s="17"/>
      <c r="L433" s="17"/>
      <c r="M433" s="17"/>
      <c r="N433" s="17"/>
      <c r="O433" s="17"/>
      <c r="P433" s="17"/>
      <c r="Q433" s="17"/>
    </row>
    <row r="434" spans="1:17">
      <c r="A434" s="556" t="s">
        <v>3542</v>
      </c>
      <c r="B434" s="557"/>
      <c r="C434" s="558" t="s">
        <v>1557</v>
      </c>
      <c r="D434" s="556" t="s">
        <v>9325</v>
      </c>
      <c r="E434" s="17" t="s">
        <v>3848</v>
      </c>
      <c r="F434" s="17">
        <v>18</v>
      </c>
      <c r="G434" s="17">
        <v>4</v>
      </c>
      <c r="H434" s="17" t="s">
        <v>3401</v>
      </c>
      <c r="I434" s="17"/>
      <c r="J434" s="17"/>
      <c r="K434" s="17"/>
      <c r="L434" s="17"/>
      <c r="M434" s="17"/>
      <c r="N434" s="17"/>
      <c r="O434" s="17"/>
      <c r="P434" s="17"/>
      <c r="Q434" s="17"/>
    </row>
    <row r="435" spans="1:17">
      <c r="A435" s="556" t="s">
        <v>3542</v>
      </c>
      <c r="B435" s="557"/>
      <c r="C435" s="558" t="s">
        <v>1558</v>
      </c>
      <c r="D435" s="556" t="s">
        <v>9322</v>
      </c>
      <c r="E435" s="17" t="s">
        <v>3849</v>
      </c>
      <c r="F435" s="17">
        <v>19</v>
      </c>
      <c r="G435" s="17">
        <v>1</v>
      </c>
      <c r="H435" s="17" t="s">
        <v>3402</v>
      </c>
      <c r="I435" s="17"/>
      <c r="J435" s="17"/>
      <c r="K435" s="17"/>
      <c r="L435" s="17"/>
      <c r="M435" s="17"/>
      <c r="N435" s="17"/>
      <c r="O435" s="17"/>
      <c r="P435" s="17"/>
      <c r="Q435" s="17"/>
    </row>
    <row r="436" spans="1:17">
      <c r="A436" s="556" t="s">
        <v>3542</v>
      </c>
      <c r="B436" s="557"/>
      <c r="C436" s="558" t="s">
        <v>1558</v>
      </c>
      <c r="D436" s="556" t="s">
        <v>9323</v>
      </c>
      <c r="E436" s="17" t="s">
        <v>3850</v>
      </c>
      <c r="F436" s="17">
        <v>19</v>
      </c>
      <c r="G436" s="17">
        <v>2</v>
      </c>
      <c r="H436" s="17" t="s">
        <v>3403</v>
      </c>
      <c r="I436" s="17"/>
      <c r="J436" s="17"/>
      <c r="K436" s="17"/>
      <c r="L436" s="17"/>
      <c r="M436" s="17"/>
      <c r="N436" s="17"/>
      <c r="O436" s="17"/>
      <c r="P436" s="17"/>
      <c r="Q436" s="17"/>
    </row>
    <row r="437" spans="1:17">
      <c r="A437" s="556" t="s">
        <v>3542</v>
      </c>
      <c r="B437" s="557"/>
      <c r="C437" s="558" t="s">
        <v>1558</v>
      </c>
      <c r="D437" s="556" t="s">
        <v>9324</v>
      </c>
      <c r="E437" s="17" t="s">
        <v>3851</v>
      </c>
      <c r="F437" s="17">
        <v>19</v>
      </c>
      <c r="G437" s="17">
        <v>3</v>
      </c>
      <c r="H437" s="17" t="s">
        <v>3404</v>
      </c>
      <c r="I437" s="17"/>
      <c r="J437" s="17"/>
      <c r="K437" s="17"/>
      <c r="L437" s="17"/>
      <c r="M437" s="17"/>
      <c r="N437" s="17"/>
      <c r="O437" s="17"/>
      <c r="P437" s="17"/>
      <c r="Q437" s="17"/>
    </row>
    <row r="438" spans="1:17">
      <c r="A438" s="556" t="s">
        <v>3542</v>
      </c>
      <c r="B438" s="557"/>
      <c r="C438" s="558" t="s">
        <v>1558</v>
      </c>
      <c r="D438" s="556" t="s">
        <v>9325</v>
      </c>
      <c r="E438" s="17" t="s">
        <v>3852</v>
      </c>
      <c r="F438" s="17">
        <v>19</v>
      </c>
      <c r="G438" s="17">
        <v>4</v>
      </c>
      <c r="H438" s="17" t="s">
        <v>3405</v>
      </c>
      <c r="I438" s="17"/>
      <c r="J438" s="17"/>
      <c r="K438" s="17"/>
      <c r="L438" s="17"/>
      <c r="M438" s="17"/>
      <c r="N438" s="17"/>
      <c r="O438" s="17"/>
      <c r="P438" s="17"/>
      <c r="Q438" s="17"/>
    </row>
    <row r="439" spans="1:17">
      <c r="A439" s="556" t="s">
        <v>3542</v>
      </c>
      <c r="B439" s="557"/>
      <c r="C439" s="558" t="s">
        <v>1559</v>
      </c>
      <c r="D439" s="556" t="s">
        <v>9322</v>
      </c>
      <c r="E439" s="17" t="s">
        <v>3853</v>
      </c>
      <c r="F439" s="17">
        <v>20</v>
      </c>
      <c r="G439" s="17">
        <v>1</v>
      </c>
      <c r="H439" s="17" t="s">
        <v>3406</v>
      </c>
      <c r="I439" s="17"/>
      <c r="J439" s="17"/>
      <c r="K439" s="17"/>
      <c r="L439" s="17"/>
      <c r="M439" s="17"/>
      <c r="N439" s="17"/>
      <c r="O439" s="17"/>
      <c r="P439" s="17"/>
      <c r="Q439" s="17"/>
    </row>
    <row r="440" spans="1:17">
      <c r="A440" s="556" t="s">
        <v>3542</v>
      </c>
      <c r="B440" s="557"/>
      <c r="C440" s="558" t="s">
        <v>1559</v>
      </c>
      <c r="D440" s="556" t="s">
        <v>9323</v>
      </c>
      <c r="E440" s="17" t="s">
        <v>3854</v>
      </c>
      <c r="F440" s="17">
        <v>20</v>
      </c>
      <c r="G440" s="17">
        <v>2</v>
      </c>
      <c r="H440" s="17" t="s">
        <v>3407</v>
      </c>
      <c r="I440" s="17"/>
      <c r="J440" s="17"/>
      <c r="K440" s="17"/>
      <c r="L440" s="17"/>
      <c r="M440" s="17"/>
      <c r="N440" s="17"/>
      <c r="O440" s="17"/>
      <c r="P440" s="17"/>
      <c r="Q440" s="17"/>
    </row>
    <row r="441" spans="1:17">
      <c r="A441" s="556" t="s">
        <v>3542</v>
      </c>
      <c r="B441" s="557"/>
      <c r="C441" s="558" t="s">
        <v>1559</v>
      </c>
      <c r="D441" s="556" t="s">
        <v>9324</v>
      </c>
      <c r="E441" s="17" t="s">
        <v>3855</v>
      </c>
      <c r="F441" s="17">
        <v>20</v>
      </c>
      <c r="G441" s="17">
        <v>3</v>
      </c>
      <c r="H441" s="17" t="s">
        <v>3408</v>
      </c>
      <c r="I441" s="17"/>
      <c r="J441" s="17"/>
      <c r="K441" s="17"/>
      <c r="L441" s="17"/>
      <c r="M441" s="17"/>
      <c r="N441" s="17"/>
      <c r="O441" s="17"/>
      <c r="P441" s="17"/>
      <c r="Q441" s="17"/>
    </row>
    <row r="442" spans="1:17">
      <c r="A442" s="556" t="s">
        <v>3542</v>
      </c>
      <c r="B442" s="557"/>
      <c r="C442" s="558" t="s">
        <v>1559</v>
      </c>
      <c r="D442" s="556" t="s">
        <v>9325</v>
      </c>
      <c r="E442" s="17" t="s">
        <v>3856</v>
      </c>
      <c r="F442" s="17">
        <v>20</v>
      </c>
      <c r="G442" s="17">
        <v>4</v>
      </c>
      <c r="H442" s="17" t="s">
        <v>3409</v>
      </c>
      <c r="I442" s="17"/>
      <c r="J442" s="17"/>
      <c r="K442" s="17"/>
      <c r="L442" s="17"/>
      <c r="M442" s="17"/>
      <c r="N442" s="17"/>
      <c r="O442" s="17"/>
      <c r="P442" s="17"/>
      <c r="Q442" s="17"/>
    </row>
    <row r="443" spans="1:17">
      <c r="A443" s="556" t="s">
        <v>3542</v>
      </c>
      <c r="B443" s="557"/>
      <c r="C443" s="558" t="s">
        <v>1560</v>
      </c>
      <c r="D443" s="556" t="s">
        <v>9322</v>
      </c>
      <c r="E443" s="17" t="s">
        <v>3857</v>
      </c>
      <c r="F443" s="17">
        <v>21</v>
      </c>
      <c r="G443" s="17">
        <v>1</v>
      </c>
      <c r="H443" s="17" t="s">
        <v>3410</v>
      </c>
      <c r="I443" s="17"/>
      <c r="J443" s="17"/>
      <c r="K443" s="17"/>
      <c r="L443" s="17"/>
      <c r="M443" s="17"/>
      <c r="N443" s="17"/>
      <c r="O443" s="17"/>
      <c r="P443" s="17"/>
      <c r="Q443" s="17"/>
    </row>
    <row r="444" spans="1:17">
      <c r="A444" s="556" t="s">
        <v>3542</v>
      </c>
      <c r="B444" s="557"/>
      <c r="C444" s="558" t="s">
        <v>1560</v>
      </c>
      <c r="D444" s="556" t="s">
        <v>9323</v>
      </c>
      <c r="E444" s="17" t="s">
        <v>3858</v>
      </c>
      <c r="F444" s="17">
        <v>21</v>
      </c>
      <c r="G444" s="17">
        <v>2</v>
      </c>
      <c r="H444" s="17" t="s">
        <v>3411</v>
      </c>
      <c r="I444" s="17"/>
      <c r="J444" s="17"/>
      <c r="K444" s="17"/>
      <c r="L444" s="17"/>
      <c r="M444" s="17"/>
      <c r="N444" s="17"/>
      <c r="O444" s="17"/>
      <c r="P444" s="17"/>
      <c r="Q444" s="17"/>
    </row>
    <row r="445" spans="1:17">
      <c r="A445" s="556" t="s">
        <v>3542</v>
      </c>
      <c r="B445" s="557"/>
      <c r="C445" s="558" t="s">
        <v>1560</v>
      </c>
      <c r="D445" s="556" t="s">
        <v>9324</v>
      </c>
      <c r="E445" s="17" t="s">
        <v>3859</v>
      </c>
      <c r="F445" s="17">
        <v>21</v>
      </c>
      <c r="G445" s="17">
        <v>3</v>
      </c>
      <c r="H445" s="17" t="s">
        <v>3412</v>
      </c>
      <c r="I445" s="17"/>
      <c r="J445" s="17"/>
      <c r="K445" s="17"/>
      <c r="L445" s="17"/>
      <c r="M445" s="17"/>
      <c r="N445" s="17"/>
      <c r="O445" s="17"/>
      <c r="P445" s="17"/>
      <c r="Q445" s="17"/>
    </row>
    <row r="446" spans="1:17">
      <c r="A446" s="556" t="s">
        <v>3542</v>
      </c>
      <c r="B446" s="557"/>
      <c r="C446" s="558" t="s">
        <v>1560</v>
      </c>
      <c r="D446" s="556" t="s">
        <v>9325</v>
      </c>
      <c r="E446" s="17" t="s">
        <v>3860</v>
      </c>
      <c r="F446" s="17">
        <v>21</v>
      </c>
      <c r="G446" s="17">
        <v>4</v>
      </c>
      <c r="H446" s="17" t="s">
        <v>3413</v>
      </c>
      <c r="I446" s="17"/>
      <c r="J446" s="17"/>
      <c r="K446" s="17"/>
      <c r="L446" s="17"/>
      <c r="M446" s="17"/>
      <c r="N446" s="17"/>
      <c r="O446" s="17"/>
      <c r="P446" s="17"/>
      <c r="Q446" s="17"/>
    </row>
    <row r="447" spans="1:17">
      <c r="A447" s="556" t="s">
        <v>3542</v>
      </c>
      <c r="B447" s="557"/>
      <c r="C447" s="558" t="s">
        <v>1561</v>
      </c>
      <c r="D447" s="556" t="s">
        <v>9322</v>
      </c>
      <c r="E447" s="17" t="s">
        <v>3861</v>
      </c>
      <c r="F447" s="17">
        <v>22</v>
      </c>
      <c r="G447" s="17">
        <v>1</v>
      </c>
      <c r="H447" s="17" t="s">
        <v>3414</v>
      </c>
      <c r="I447" s="17">
        <v>0</v>
      </c>
      <c r="J447" s="17"/>
      <c r="K447" s="17"/>
      <c r="L447" s="17"/>
      <c r="M447" s="17"/>
      <c r="N447" s="17"/>
      <c r="O447" s="17"/>
      <c r="P447" s="17"/>
      <c r="Q447" s="17"/>
    </row>
    <row r="448" spans="1:17">
      <c r="A448" s="556" t="s">
        <v>3542</v>
      </c>
      <c r="B448" s="557"/>
      <c r="C448" s="558" t="s">
        <v>1562</v>
      </c>
      <c r="D448" s="556" t="s">
        <v>9322</v>
      </c>
      <c r="E448" s="17" t="s">
        <v>3862</v>
      </c>
      <c r="F448" s="17">
        <v>23</v>
      </c>
      <c r="G448" s="17">
        <v>1</v>
      </c>
      <c r="H448" s="17" t="s">
        <v>3418</v>
      </c>
      <c r="I448" s="17">
        <v>0</v>
      </c>
      <c r="J448" s="17"/>
      <c r="K448" s="17"/>
      <c r="L448" s="17"/>
      <c r="M448" s="17"/>
      <c r="N448" s="17"/>
      <c r="O448" s="17"/>
      <c r="P448" s="17"/>
      <c r="Q448" s="17"/>
    </row>
    <row r="449" spans="1:17">
      <c r="A449" s="556" t="s">
        <v>3544</v>
      </c>
      <c r="B449" s="557"/>
      <c r="C449" s="558" t="s">
        <v>1567</v>
      </c>
      <c r="D449" s="556" t="s">
        <v>1564</v>
      </c>
      <c r="E449" s="17" t="s">
        <v>3863</v>
      </c>
      <c r="F449" s="17">
        <v>1</v>
      </c>
      <c r="G449" s="17">
        <v>1</v>
      </c>
      <c r="H449" s="17" t="s">
        <v>3427</v>
      </c>
      <c r="I449" s="17"/>
      <c r="J449" s="17"/>
      <c r="K449" s="17"/>
      <c r="L449" s="17"/>
      <c r="M449" s="17"/>
      <c r="N449" s="17"/>
      <c r="O449" s="17"/>
      <c r="P449" s="17"/>
      <c r="Q449" s="17"/>
    </row>
    <row r="450" spans="1:17">
      <c r="A450" s="556" t="s">
        <v>3544</v>
      </c>
      <c r="B450" s="557"/>
      <c r="C450" s="558" t="s">
        <v>1567</v>
      </c>
      <c r="D450" s="556" t="s">
        <v>1565</v>
      </c>
      <c r="E450" s="17" t="s">
        <v>3864</v>
      </c>
      <c r="F450" s="17">
        <v>1</v>
      </c>
      <c r="G450" s="17">
        <v>2</v>
      </c>
      <c r="H450" s="17" t="s">
        <v>3428</v>
      </c>
      <c r="I450" s="17"/>
      <c r="J450" s="17"/>
      <c r="K450" s="17"/>
      <c r="L450" s="17"/>
      <c r="M450" s="17"/>
      <c r="N450" s="17"/>
      <c r="O450" s="17"/>
      <c r="P450" s="17"/>
      <c r="Q450" s="17"/>
    </row>
    <row r="451" spans="1:17">
      <c r="A451" s="556" t="s">
        <v>3544</v>
      </c>
      <c r="B451" s="557"/>
      <c r="C451" s="558" t="s">
        <v>1567</v>
      </c>
      <c r="D451" s="556" t="s">
        <v>1566</v>
      </c>
      <c r="E451" s="17" t="s">
        <v>3865</v>
      </c>
      <c r="F451" s="17">
        <v>1</v>
      </c>
      <c r="G451" s="17">
        <v>3</v>
      </c>
      <c r="H451" s="17" t="s">
        <v>3429</v>
      </c>
      <c r="I451" s="17"/>
      <c r="J451" s="17"/>
      <c r="K451" s="17"/>
      <c r="L451" s="17"/>
      <c r="M451" s="17"/>
      <c r="N451" s="17"/>
      <c r="O451" s="17"/>
      <c r="P451" s="17"/>
      <c r="Q451" s="17"/>
    </row>
    <row r="452" spans="1:17">
      <c r="A452" s="556" t="s">
        <v>3544</v>
      </c>
      <c r="B452" s="557"/>
      <c r="C452" s="558" t="s">
        <v>1568</v>
      </c>
      <c r="D452" s="556" t="s">
        <v>1564</v>
      </c>
      <c r="E452" s="17" t="s">
        <v>3866</v>
      </c>
      <c r="F452" s="17">
        <v>2</v>
      </c>
      <c r="G452" s="17">
        <v>1</v>
      </c>
      <c r="H452" s="17" t="s">
        <v>3431</v>
      </c>
      <c r="I452" s="17"/>
      <c r="J452" s="17"/>
      <c r="K452" s="17"/>
      <c r="L452" s="17"/>
      <c r="M452" s="17"/>
      <c r="N452" s="17"/>
      <c r="O452" s="17"/>
      <c r="P452" s="17"/>
      <c r="Q452" s="17"/>
    </row>
    <row r="453" spans="1:17">
      <c r="A453" s="556" t="s">
        <v>3544</v>
      </c>
      <c r="B453" s="557"/>
      <c r="C453" s="558" t="s">
        <v>1568</v>
      </c>
      <c r="D453" s="556" t="s">
        <v>1565</v>
      </c>
      <c r="E453" s="17" t="s">
        <v>3867</v>
      </c>
      <c r="F453" s="17">
        <v>2</v>
      </c>
      <c r="G453" s="17">
        <v>2</v>
      </c>
      <c r="H453" s="17" t="s">
        <v>3432</v>
      </c>
      <c r="I453" s="17"/>
      <c r="J453" s="17"/>
      <c r="K453" s="17"/>
      <c r="L453" s="17"/>
      <c r="M453" s="17"/>
      <c r="N453" s="17"/>
      <c r="O453" s="17"/>
      <c r="P453" s="17"/>
      <c r="Q453" s="17"/>
    </row>
    <row r="454" spans="1:17">
      <c r="A454" s="556" t="s">
        <v>3544</v>
      </c>
      <c r="B454" s="557"/>
      <c r="C454" s="558" t="s">
        <v>1568</v>
      </c>
      <c r="D454" s="556" t="s">
        <v>1566</v>
      </c>
      <c r="E454" s="17" t="s">
        <v>3868</v>
      </c>
      <c r="F454" s="17">
        <v>2</v>
      </c>
      <c r="G454" s="17">
        <v>3</v>
      </c>
      <c r="H454" s="17" t="s">
        <v>3433</v>
      </c>
      <c r="I454" s="17"/>
      <c r="J454" s="17"/>
      <c r="K454" s="17"/>
      <c r="L454" s="17"/>
      <c r="M454" s="17"/>
      <c r="N454" s="17"/>
      <c r="O454" s="17"/>
      <c r="P454" s="17"/>
      <c r="Q454" s="17"/>
    </row>
    <row r="455" spans="1:17">
      <c r="A455" s="556" t="s">
        <v>3544</v>
      </c>
      <c r="B455" s="557"/>
      <c r="C455" s="558" t="s">
        <v>1569</v>
      </c>
      <c r="D455" s="556" t="s">
        <v>1564</v>
      </c>
      <c r="E455" s="17" t="s">
        <v>3869</v>
      </c>
      <c r="F455" s="17">
        <v>3</v>
      </c>
      <c r="G455" s="17">
        <v>1</v>
      </c>
      <c r="H455" s="17" t="s">
        <v>3435</v>
      </c>
      <c r="I455" s="17"/>
      <c r="J455" s="17"/>
      <c r="K455" s="17"/>
      <c r="L455" s="17"/>
      <c r="M455" s="17"/>
      <c r="N455" s="17"/>
      <c r="O455" s="17"/>
      <c r="P455" s="17"/>
      <c r="Q455" s="17"/>
    </row>
    <row r="456" spans="1:17">
      <c r="A456" s="556" t="s">
        <v>3544</v>
      </c>
      <c r="B456" s="557"/>
      <c r="C456" s="558" t="s">
        <v>1569</v>
      </c>
      <c r="D456" s="556" t="s">
        <v>1565</v>
      </c>
      <c r="E456" s="17" t="s">
        <v>3870</v>
      </c>
      <c r="F456" s="17">
        <v>3</v>
      </c>
      <c r="G456" s="17">
        <v>2</v>
      </c>
      <c r="H456" s="17" t="s">
        <v>3436</v>
      </c>
      <c r="I456" s="17"/>
      <c r="J456" s="17"/>
      <c r="K456" s="17"/>
      <c r="L456" s="17"/>
      <c r="M456" s="17"/>
      <c r="N456" s="17"/>
      <c r="O456" s="17"/>
      <c r="P456" s="17"/>
      <c r="Q456" s="17"/>
    </row>
    <row r="457" spans="1:17">
      <c r="A457" s="556" t="s">
        <v>3544</v>
      </c>
      <c r="B457" s="557"/>
      <c r="C457" s="558" t="s">
        <v>1569</v>
      </c>
      <c r="D457" s="556" t="s">
        <v>1566</v>
      </c>
      <c r="E457" s="17" t="s">
        <v>3871</v>
      </c>
      <c r="F457" s="17">
        <v>3</v>
      </c>
      <c r="G457" s="17">
        <v>3</v>
      </c>
      <c r="H457" s="17" t="s">
        <v>3437</v>
      </c>
      <c r="I457" s="17"/>
      <c r="J457" s="17"/>
      <c r="K457" s="17"/>
      <c r="L457" s="17"/>
      <c r="M457" s="17"/>
      <c r="N457" s="17"/>
      <c r="O457" s="17"/>
      <c r="P457" s="17"/>
      <c r="Q457" s="17"/>
    </row>
    <row r="458" spans="1:17">
      <c r="A458" s="556" t="s">
        <v>3544</v>
      </c>
      <c r="B458" s="557"/>
      <c r="C458" s="558" t="s">
        <v>1570</v>
      </c>
      <c r="D458" s="556" t="s">
        <v>1564</v>
      </c>
      <c r="E458" s="17" t="s">
        <v>3872</v>
      </c>
      <c r="F458" s="17">
        <v>4</v>
      </c>
      <c r="G458" s="17">
        <v>1</v>
      </c>
      <c r="H458" s="17" t="s">
        <v>3439</v>
      </c>
      <c r="I458" s="17"/>
      <c r="J458" s="17"/>
      <c r="K458" s="17"/>
      <c r="L458" s="17"/>
      <c r="M458" s="17"/>
      <c r="N458" s="17"/>
      <c r="O458" s="17"/>
      <c r="P458" s="17"/>
      <c r="Q458" s="17"/>
    </row>
    <row r="459" spans="1:17">
      <c r="A459" s="556" t="s">
        <v>3544</v>
      </c>
      <c r="B459" s="557"/>
      <c r="C459" s="558" t="s">
        <v>1570</v>
      </c>
      <c r="D459" s="556" t="s">
        <v>1565</v>
      </c>
      <c r="E459" s="17" t="s">
        <v>3873</v>
      </c>
      <c r="F459" s="17">
        <v>4</v>
      </c>
      <c r="G459" s="17">
        <v>2</v>
      </c>
      <c r="H459" s="17" t="s">
        <v>3440</v>
      </c>
      <c r="I459" s="17"/>
      <c r="J459" s="17"/>
      <c r="K459" s="17"/>
      <c r="L459" s="17"/>
      <c r="M459" s="17"/>
      <c r="N459" s="17"/>
      <c r="O459" s="17"/>
      <c r="P459" s="17"/>
      <c r="Q459" s="17"/>
    </row>
    <row r="460" spans="1:17">
      <c r="A460" s="556" t="s">
        <v>3544</v>
      </c>
      <c r="B460" s="557"/>
      <c r="C460" s="558" t="s">
        <v>1570</v>
      </c>
      <c r="D460" s="556" t="s">
        <v>1566</v>
      </c>
      <c r="E460" s="17" t="s">
        <v>3874</v>
      </c>
      <c r="F460" s="17">
        <v>4</v>
      </c>
      <c r="G460" s="17">
        <v>3</v>
      </c>
      <c r="H460" s="17" t="s">
        <v>3441</v>
      </c>
      <c r="I460" s="17"/>
      <c r="J460" s="17"/>
      <c r="K460" s="17"/>
      <c r="L460" s="17"/>
      <c r="M460" s="17"/>
      <c r="N460" s="17"/>
      <c r="O460" s="17"/>
      <c r="P460" s="17"/>
      <c r="Q460" s="17"/>
    </row>
    <row r="461" spans="1:17">
      <c r="A461" s="556" t="s">
        <v>3544</v>
      </c>
      <c r="B461" s="557"/>
      <c r="C461" s="558" t="s">
        <v>1571</v>
      </c>
      <c r="D461" s="556" t="s">
        <v>1564</v>
      </c>
      <c r="E461" s="17" t="s">
        <v>3875</v>
      </c>
      <c r="F461" s="17">
        <v>5</v>
      </c>
      <c r="G461" s="17">
        <v>1</v>
      </c>
      <c r="H461" s="17" t="s">
        <v>3443</v>
      </c>
      <c r="I461" s="17"/>
      <c r="J461" s="17"/>
      <c r="K461" s="17"/>
      <c r="L461" s="17"/>
      <c r="M461" s="17"/>
      <c r="N461" s="17"/>
      <c r="O461" s="17"/>
      <c r="P461" s="17"/>
      <c r="Q461" s="17"/>
    </row>
    <row r="462" spans="1:17">
      <c r="A462" s="556" t="s">
        <v>3544</v>
      </c>
      <c r="B462" s="557"/>
      <c r="C462" s="558" t="s">
        <v>1571</v>
      </c>
      <c r="D462" s="556" t="s">
        <v>1565</v>
      </c>
      <c r="E462" s="17" t="s">
        <v>3876</v>
      </c>
      <c r="F462" s="17">
        <v>5</v>
      </c>
      <c r="G462" s="17">
        <v>2</v>
      </c>
      <c r="H462" s="17" t="s">
        <v>3444</v>
      </c>
      <c r="I462" s="17"/>
      <c r="J462" s="17"/>
      <c r="K462" s="17"/>
      <c r="L462" s="17"/>
      <c r="M462" s="17"/>
      <c r="N462" s="17"/>
      <c r="O462" s="17"/>
      <c r="P462" s="17"/>
      <c r="Q462" s="17"/>
    </row>
    <row r="463" spans="1:17">
      <c r="A463" s="556" t="s">
        <v>3544</v>
      </c>
      <c r="B463" s="557"/>
      <c r="C463" s="558" t="s">
        <v>1571</v>
      </c>
      <c r="D463" s="556" t="s">
        <v>1566</v>
      </c>
      <c r="E463" s="17" t="s">
        <v>3877</v>
      </c>
      <c r="F463" s="17">
        <v>5</v>
      </c>
      <c r="G463" s="17">
        <v>3</v>
      </c>
      <c r="H463" s="17" t="s">
        <v>3445</v>
      </c>
      <c r="I463" s="17"/>
      <c r="J463" s="17"/>
      <c r="K463" s="17"/>
      <c r="L463" s="17"/>
      <c r="M463" s="17"/>
      <c r="N463" s="17"/>
      <c r="O463" s="17"/>
      <c r="P463" s="17"/>
      <c r="Q463" s="17"/>
    </row>
    <row r="464" spans="1:17">
      <c r="A464" s="556" t="s">
        <v>3544</v>
      </c>
      <c r="B464" s="557"/>
      <c r="C464" s="558" t="s">
        <v>1572</v>
      </c>
      <c r="D464" s="556" t="s">
        <v>1564</v>
      </c>
      <c r="E464" s="17" t="s">
        <v>3878</v>
      </c>
      <c r="F464" s="17">
        <v>6</v>
      </c>
      <c r="G464" s="17">
        <v>1</v>
      </c>
      <c r="H464" s="17" t="s">
        <v>3447</v>
      </c>
      <c r="I464" s="17"/>
      <c r="J464" s="17"/>
      <c r="K464" s="17"/>
      <c r="L464" s="17"/>
      <c r="M464" s="17"/>
      <c r="N464" s="17"/>
      <c r="O464" s="17"/>
      <c r="P464" s="17"/>
      <c r="Q464" s="17"/>
    </row>
    <row r="465" spans="1:17">
      <c r="A465" s="556" t="s">
        <v>3544</v>
      </c>
      <c r="B465" s="557"/>
      <c r="C465" s="558" t="s">
        <v>1572</v>
      </c>
      <c r="D465" s="556" t="s">
        <v>1565</v>
      </c>
      <c r="E465" s="17" t="s">
        <v>3879</v>
      </c>
      <c r="F465" s="17">
        <v>6</v>
      </c>
      <c r="G465" s="17">
        <v>2</v>
      </c>
      <c r="H465" s="17" t="s">
        <v>3448</v>
      </c>
      <c r="I465" s="17"/>
      <c r="J465" s="17"/>
      <c r="K465" s="17"/>
      <c r="L465" s="17"/>
      <c r="M465" s="17"/>
      <c r="N465" s="17"/>
      <c r="O465" s="17"/>
      <c r="P465" s="17"/>
      <c r="Q465" s="17"/>
    </row>
    <row r="466" spans="1:17">
      <c r="A466" s="556" t="s">
        <v>3544</v>
      </c>
      <c r="B466" s="557"/>
      <c r="C466" s="558" t="s">
        <v>1572</v>
      </c>
      <c r="D466" s="556" t="s">
        <v>1566</v>
      </c>
      <c r="E466" s="17" t="s">
        <v>3880</v>
      </c>
      <c r="F466" s="17">
        <v>6</v>
      </c>
      <c r="G466" s="17">
        <v>3</v>
      </c>
      <c r="H466" s="17" t="s">
        <v>3449</v>
      </c>
      <c r="I466" s="17"/>
      <c r="J466" s="17"/>
      <c r="K466" s="17"/>
      <c r="L466" s="17"/>
      <c r="M466" s="17"/>
      <c r="N466" s="17"/>
      <c r="O466" s="17"/>
      <c r="P466" s="17"/>
      <c r="Q466" s="17"/>
    </row>
    <row r="467" spans="1:17">
      <c r="A467" s="556" t="s">
        <v>3544</v>
      </c>
      <c r="B467" s="557"/>
      <c r="C467" s="558" t="s">
        <v>1573</v>
      </c>
      <c r="D467" s="556" t="s">
        <v>1564</v>
      </c>
      <c r="E467" s="17" t="s">
        <v>3881</v>
      </c>
      <c r="F467" s="17">
        <v>7</v>
      </c>
      <c r="G467" s="17">
        <v>1</v>
      </c>
      <c r="H467" s="17" t="s">
        <v>7759</v>
      </c>
      <c r="I467" s="17"/>
      <c r="J467" s="17"/>
      <c r="K467" s="17"/>
      <c r="L467" s="17"/>
      <c r="M467" s="17"/>
      <c r="N467" s="17"/>
      <c r="O467" s="17"/>
      <c r="P467" s="17"/>
      <c r="Q467" s="17"/>
    </row>
    <row r="468" spans="1:17">
      <c r="A468" s="556" t="s">
        <v>3544</v>
      </c>
      <c r="B468" s="557"/>
      <c r="C468" s="558" t="s">
        <v>1573</v>
      </c>
      <c r="D468" s="556" t="s">
        <v>1565</v>
      </c>
      <c r="E468" s="17" t="s">
        <v>3882</v>
      </c>
      <c r="F468" s="17">
        <v>7</v>
      </c>
      <c r="G468" s="17">
        <v>2</v>
      </c>
      <c r="H468" s="17" t="s">
        <v>7757</v>
      </c>
      <c r="I468" s="17"/>
      <c r="J468" s="17"/>
      <c r="K468" s="17"/>
      <c r="L468" s="17"/>
      <c r="M468" s="17"/>
      <c r="N468" s="17"/>
      <c r="O468" s="17"/>
      <c r="P468" s="17"/>
      <c r="Q468" s="17"/>
    </row>
    <row r="469" spans="1:17">
      <c r="A469" s="556" t="s">
        <v>3544</v>
      </c>
      <c r="B469" s="557"/>
      <c r="C469" s="558" t="s">
        <v>1573</v>
      </c>
      <c r="D469" s="556" t="s">
        <v>1566</v>
      </c>
      <c r="E469" s="17" t="s">
        <v>3883</v>
      </c>
      <c r="F469" s="17">
        <v>7</v>
      </c>
      <c r="G469" s="17">
        <v>3</v>
      </c>
      <c r="H469" s="17" t="s">
        <v>3479</v>
      </c>
      <c r="I469" s="17"/>
      <c r="J469" s="17"/>
      <c r="K469" s="17"/>
      <c r="L469" s="17"/>
      <c r="M469" s="17"/>
      <c r="N469" s="17"/>
      <c r="O469" s="17"/>
      <c r="P469" s="17"/>
      <c r="Q469" s="17"/>
    </row>
    <row r="470" spans="1:17">
      <c r="A470" s="556" t="s">
        <v>3544</v>
      </c>
      <c r="B470" s="557"/>
      <c r="C470" s="558" t="s">
        <v>1574</v>
      </c>
      <c r="D470" s="556" t="s">
        <v>1564</v>
      </c>
      <c r="E470" s="17" t="s">
        <v>3884</v>
      </c>
      <c r="F470" s="17">
        <v>8</v>
      </c>
      <c r="G470" s="17">
        <v>1</v>
      </c>
      <c r="H470" s="17" t="s">
        <v>7760</v>
      </c>
      <c r="I470" s="17"/>
      <c r="J470" s="17"/>
      <c r="K470" s="17"/>
      <c r="L470" s="17"/>
      <c r="M470" s="17"/>
      <c r="N470" s="17"/>
      <c r="O470" s="17"/>
      <c r="P470" s="17"/>
      <c r="Q470" s="17"/>
    </row>
    <row r="471" spans="1:17">
      <c r="A471" s="556" t="s">
        <v>3544</v>
      </c>
      <c r="B471" s="557"/>
      <c r="C471" s="558" t="s">
        <v>1574</v>
      </c>
      <c r="D471" s="556" t="s">
        <v>1565</v>
      </c>
      <c r="E471" s="17" t="s">
        <v>3885</v>
      </c>
      <c r="F471" s="17">
        <v>8</v>
      </c>
      <c r="G471" s="17">
        <v>2</v>
      </c>
      <c r="H471" s="17" t="s">
        <v>7758</v>
      </c>
      <c r="I471" s="17"/>
      <c r="J471" s="17"/>
      <c r="K471" s="17"/>
      <c r="L471" s="17"/>
      <c r="M471" s="17"/>
      <c r="N471" s="17"/>
      <c r="O471" s="17"/>
      <c r="P471" s="17"/>
      <c r="Q471" s="17"/>
    </row>
    <row r="472" spans="1:17">
      <c r="A472" s="556" t="s">
        <v>3544</v>
      </c>
      <c r="B472" s="557"/>
      <c r="C472" s="558" t="s">
        <v>1574</v>
      </c>
      <c r="D472" s="556" t="s">
        <v>1566</v>
      </c>
      <c r="E472" s="17" t="s">
        <v>3886</v>
      </c>
      <c r="F472" s="17">
        <v>8</v>
      </c>
      <c r="G472" s="17">
        <v>3</v>
      </c>
      <c r="H472" s="17" t="s">
        <v>3481</v>
      </c>
      <c r="I472" s="17"/>
      <c r="J472" s="17"/>
      <c r="K472" s="17"/>
      <c r="L472" s="17"/>
      <c r="M472" s="17"/>
      <c r="N472" s="17"/>
      <c r="O472" s="17"/>
      <c r="P472" s="17"/>
      <c r="Q472" s="17"/>
    </row>
    <row r="473" spans="1:17">
      <c r="A473" s="556" t="s">
        <v>3544</v>
      </c>
      <c r="B473" s="557"/>
      <c r="C473" s="558" t="s">
        <v>1575</v>
      </c>
      <c r="D473" s="556" t="s">
        <v>1564</v>
      </c>
      <c r="E473" s="17" t="s">
        <v>3887</v>
      </c>
      <c r="F473" s="17">
        <v>9</v>
      </c>
      <c r="G473" s="17">
        <v>1</v>
      </c>
      <c r="H473" s="17" t="s">
        <v>7761</v>
      </c>
      <c r="I473" s="17"/>
      <c r="J473" s="17"/>
      <c r="K473" s="17"/>
      <c r="L473" s="17"/>
      <c r="M473" s="17"/>
      <c r="N473" s="17"/>
      <c r="O473" s="17"/>
      <c r="P473" s="17"/>
      <c r="Q473" s="17"/>
    </row>
    <row r="474" spans="1:17">
      <c r="A474" s="556" t="s">
        <v>3544</v>
      </c>
      <c r="B474" s="557"/>
      <c r="C474" s="558" t="s">
        <v>1575</v>
      </c>
      <c r="D474" s="556" t="s">
        <v>1565</v>
      </c>
      <c r="E474" s="17" t="s">
        <v>3888</v>
      </c>
      <c r="F474" s="17">
        <v>9</v>
      </c>
      <c r="G474" s="17">
        <v>2</v>
      </c>
      <c r="H474" s="17" t="s">
        <v>7762</v>
      </c>
      <c r="I474" s="17"/>
      <c r="J474" s="17"/>
      <c r="K474" s="17"/>
      <c r="L474" s="17"/>
      <c r="M474" s="17"/>
      <c r="N474" s="17"/>
      <c r="O474" s="17"/>
      <c r="P474" s="17"/>
      <c r="Q474" s="17"/>
    </row>
    <row r="475" spans="1:17">
      <c r="A475" s="556" t="s">
        <v>3544</v>
      </c>
      <c r="B475" s="557"/>
      <c r="C475" s="558" t="s">
        <v>1575</v>
      </c>
      <c r="D475" s="556" t="s">
        <v>1566</v>
      </c>
      <c r="E475" s="17" t="s">
        <v>3889</v>
      </c>
      <c r="F475" s="17">
        <v>9</v>
      </c>
      <c r="G475" s="17">
        <v>3</v>
      </c>
      <c r="H475" s="17" t="s">
        <v>3483</v>
      </c>
      <c r="I475" s="17"/>
      <c r="J475" s="17"/>
      <c r="K475" s="17"/>
      <c r="L475" s="17"/>
      <c r="M475" s="17"/>
      <c r="N475" s="17"/>
      <c r="O475" s="17"/>
      <c r="P475" s="17"/>
      <c r="Q475" s="17"/>
    </row>
    <row r="476" spans="1:17">
      <c r="A476" s="556" t="s">
        <v>3544</v>
      </c>
      <c r="B476" s="557"/>
      <c r="C476" s="558" t="s">
        <v>1576</v>
      </c>
      <c r="D476" s="556" t="s">
        <v>1564</v>
      </c>
      <c r="E476" s="17" t="s">
        <v>3890</v>
      </c>
      <c r="F476" s="17">
        <v>10</v>
      </c>
      <c r="G476" s="17">
        <v>1</v>
      </c>
      <c r="H476" s="17" t="s">
        <v>7763</v>
      </c>
      <c r="I476" s="17"/>
      <c r="J476" s="17"/>
      <c r="K476" s="17"/>
      <c r="L476" s="17"/>
      <c r="M476" s="17"/>
      <c r="N476" s="17"/>
      <c r="O476" s="17"/>
      <c r="P476" s="17"/>
      <c r="Q476" s="17"/>
    </row>
    <row r="477" spans="1:17">
      <c r="A477" s="556" t="s">
        <v>3544</v>
      </c>
      <c r="B477" s="557"/>
      <c r="C477" s="558" t="s">
        <v>1576</v>
      </c>
      <c r="D477" s="556" t="s">
        <v>1565</v>
      </c>
      <c r="E477" s="17" t="s">
        <v>3891</v>
      </c>
      <c r="F477" s="17">
        <v>10</v>
      </c>
      <c r="G477" s="17">
        <v>2</v>
      </c>
      <c r="H477" s="17" t="s">
        <v>7764</v>
      </c>
      <c r="I477" s="17"/>
      <c r="J477" s="17"/>
      <c r="K477" s="17"/>
      <c r="L477" s="17"/>
      <c r="M477" s="17"/>
      <c r="N477" s="17"/>
      <c r="O477" s="17"/>
      <c r="P477" s="17"/>
      <c r="Q477" s="17"/>
    </row>
    <row r="478" spans="1:17">
      <c r="A478" s="556" t="s">
        <v>3544</v>
      </c>
      <c r="B478" s="557"/>
      <c r="C478" s="558" t="s">
        <v>1576</v>
      </c>
      <c r="D478" s="556" t="s">
        <v>1566</v>
      </c>
      <c r="E478" s="17" t="s">
        <v>3892</v>
      </c>
      <c r="F478" s="17">
        <v>10</v>
      </c>
      <c r="G478" s="17">
        <v>3</v>
      </c>
      <c r="H478" s="17" t="s">
        <v>3485</v>
      </c>
      <c r="I478" s="17"/>
      <c r="J478" s="17"/>
      <c r="K478" s="17"/>
      <c r="L478" s="17"/>
      <c r="M478" s="17"/>
      <c r="N478" s="17"/>
      <c r="O478" s="17"/>
      <c r="P478" s="17"/>
      <c r="Q478" s="17"/>
    </row>
    <row r="479" spans="1:17">
      <c r="A479" s="556" t="s">
        <v>3544</v>
      </c>
      <c r="B479" s="557"/>
      <c r="C479" s="558" t="s">
        <v>1577</v>
      </c>
      <c r="D479" s="556" t="s">
        <v>1564</v>
      </c>
      <c r="E479" s="17" t="s">
        <v>3893</v>
      </c>
      <c r="F479" s="17">
        <v>11</v>
      </c>
      <c r="G479" s="17">
        <v>1</v>
      </c>
      <c r="H479" s="17" t="s">
        <v>7765</v>
      </c>
      <c r="I479" s="17"/>
      <c r="J479" s="17"/>
      <c r="K479" s="17"/>
      <c r="L479" s="17"/>
      <c r="M479" s="17"/>
      <c r="N479" s="17"/>
      <c r="O479" s="17"/>
      <c r="P479" s="17"/>
      <c r="Q479" s="17"/>
    </row>
    <row r="480" spans="1:17">
      <c r="A480" s="556" t="s">
        <v>3544</v>
      </c>
      <c r="B480" s="557"/>
      <c r="C480" s="558" t="s">
        <v>1577</v>
      </c>
      <c r="D480" s="556" t="s">
        <v>1565</v>
      </c>
      <c r="E480" s="17" t="s">
        <v>3894</v>
      </c>
      <c r="F480" s="17">
        <v>11</v>
      </c>
      <c r="G480" s="17">
        <v>2</v>
      </c>
      <c r="H480" s="17" t="s">
        <v>7766</v>
      </c>
      <c r="I480" s="17"/>
      <c r="J480" s="17"/>
      <c r="K480" s="17"/>
      <c r="L480" s="17"/>
      <c r="M480" s="17"/>
      <c r="N480" s="17"/>
      <c r="O480" s="17"/>
      <c r="P480" s="17"/>
      <c r="Q480" s="17"/>
    </row>
    <row r="481" spans="1:17">
      <c r="A481" s="556" t="s">
        <v>3544</v>
      </c>
      <c r="B481" s="557"/>
      <c r="C481" s="558" t="s">
        <v>1577</v>
      </c>
      <c r="D481" s="556" t="s">
        <v>1566</v>
      </c>
      <c r="E481" s="17" t="s">
        <v>3895</v>
      </c>
      <c r="F481" s="17">
        <v>11</v>
      </c>
      <c r="G481" s="17">
        <v>3</v>
      </c>
      <c r="H481" s="17" t="s">
        <v>3487</v>
      </c>
      <c r="I481" s="17"/>
      <c r="J481" s="17"/>
      <c r="K481" s="17"/>
      <c r="L481" s="17"/>
      <c r="M481" s="17"/>
      <c r="N481" s="17"/>
      <c r="O481" s="17"/>
      <c r="P481" s="17"/>
      <c r="Q481" s="17"/>
    </row>
    <row r="482" spans="1:17">
      <c r="A482" s="556" t="s">
        <v>3544</v>
      </c>
      <c r="B482" s="557"/>
      <c r="C482" s="558" t="s">
        <v>1578</v>
      </c>
      <c r="D482" s="556" t="s">
        <v>1564</v>
      </c>
      <c r="E482" s="17" t="s">
        <v>3896</v>
      </c>
      <c r="F482" s="17">
        <v>12</v>
      </c>
      <c r="G482" s="17">
        <v>1</v>
      </c>
      <c r="H482" s="17" t="s">
        <v>7767</v>
      </c>
      <c r="I482" s="17">
        <v>0</v>
      </c>
      <c r="J482" s="17"/>
      <c r="K482" s="17"/>
      <c r="L482" s="17"/>
      <c r="M482" s="17"/>
      <c r="N482" s="17"/>
      <c r="O482" s="17"/>
      <c r="P482" s="17"/>
      <c r="Q482" s="17"/>
    </row>
    <row r="483" spans="1:17">
      <c r="A483" s="556" t="s">
        <v>3544</v>
      </c>
      <c r="B483" s="557"/>
      <c r="C483" s="558" t="s">
        <v>1578</v>
      </c>
      <c r="D483" s="556" t="s">
        <v>1565</v>
      </c>
      <c r="E483" s="17" t="s">
        <v>3897</v>
      </c>
      <c r="F483" s="17">
        <v>12</v>
      </c>
      <c r="G483" s="17">
        <v>2</v>
      </c>
      <c r="H483" s="17" t="s">
        <v>7768</v>
      </c>
      <c r="I483" s="17">
        <v>0</v>
      </c>
      <c r="J483" s="17"/>
      <c r="K483" s="17"/>
      <c r="L483" s="17"/>
      <c r="M483" s="17"/>
      <c r="N483" s="17"/>
      <c r="O483" s="17"/>
      <c r="P483" s="17"/>
      <c r="Q483" s="17"/>
    </row>
    <row r="484" spans="1:17">
      <c r="A484" s="556" t="s">
        <v>3544</v>
      </c>
      <c r="B484" s="557"/>
      <c r="C484" s="558" t="s">
        <v>1578</v>
      </c>
      <c r="D484" s="556" t="s">
        <v>1566</v>
      </c>
      <c r="E484" s="17" t="s">
        <v>3898</v>
      </c>
      <c r="F484" s="17">
        <v>12</v>
      </c>
      <c r="G484" s="17">
        <v>3</v>
      </c>
      <c r="H484" s="17" t="s">
        <v>3489</v>
      </c>
      <c r="I484" s="17">
        <v>0</v>
      </c>
      <c r="J484" s="17"/>
      <c r="K484" s="17"/>
      <c r="L484" s="17"/>
      <c r="M484" s="17"/>
      <c r="N484" s="17"/>
      <c r="O484" s="17"/>
      <c r="P484" s="17"/>
      <c r="Q484" s="17"/>
    </row>
    <row r="485" spans="1:17">
      <c r="A485" s="556" t="s">
        <v>3546</v>
      </c>
      <c r="B485" s="557"/>
      <c r="C485" s="558" t="s">
        <v>1589</v>
      </c>
      <c r="D485" s="556" t="s">
        <v>3683</v>
      </c>
      <c r="E485" s="17" t="s">
        <v>3899</v>
      </c>
      <c r="F485" s="17">
        <v>1</v>
      </c>
      <c r="G485" s="17">
        <v>1</v>
      </c>
      <c r="H485" s="17" t="s">
        <v>2995</v>
      </c>
      <c r="I485" s="17"/>
      <c r="J485" s="17"/>
      <c r="K485" s="17"/>
      <c r="L485" s="17"/>
      <c r="M485" s="17"/>
      <c r="N485" s="17"/>
      <c r="O485" s="17"/>
      <c r="P485" s="17"/>
      <c r="Q485" s="17"/>
    </row>
    <row r="486" spans="1:17">
      <c r="A486" s="556" t="s">
        <v>3546</v>
      </c>
      <c r="B486" s="557"/>
      <c r="C486" s="558" t="s">
        <v>1590</v>
      </c>
      <c r="D486" s="556" t="s">
        <v>3683</v>
      </c>
      <c r="E486" s="17" t="s">
        <v>3900</v>
      </c>
      <c r="F486" s="17">
        <v>3</v>
      </c>
      <c r="G486" s="17">
        <v>1</v>
      </c>
      <c r="H486" s="17" t="s">
        <v>2993</v>
      </c>
      <c r="I486" s="17"/>
      <c r="J486" s="17"/>
      <c r="K486" s="17"/>
      <c r="L486" s="17"/>
      <c r="M486" s="17"/>
      <c r="N486" s="17"/>
      <c r="O486" s="17"/>
      <c r="P486" s="17"/>
      <c r="Q486" s="17"/>
    </row>
    <row r="487" spans="1:17">
      <c r="A487" s="556" t="s">
        <v>3546</v>
      </c>
      <c r="B487" s="557"/>
      <c r="C487" s="558" t="s">
        <v>1591</v>
      </c>
      <c r="D487" s="556" t="s">
        <v>3683</v>
      </c>
      <c r="E487" s="17" t="s">
        <v>3901</v>
      </c>
      <c r="F487" s="17">
        <v>5</v>
      </c>
      <c r="G487" s="17">
        <v>1</v>
      </c>
      <c r="H487" s="17" t="s">
        <v>3699</v>
      </c>
      <c r="I487" s="17"/>
      <c r="J487" s="17"/>
      <c r="K487" s="17"/>
      <c r="L487" s="17"/>
      <c r="M487" s="17"/>
      <c r="N487" s="17"/>
      <c r="O487" s="17"/>
      <c r="P487" s="17"/>
      <c r="Q487" s="17"/>
    </row>
    <row r="488" spans="1:17">
      <c r="A488" s="556" t="s">
        <v>3546</v>
      </c>
      <c r="B488" s="557"/>
      <c r="C488" s="558" t="s">
        <v>3902</v>
      </c>
      <c r="D488" s="556" t="s">
        <v>3683</v>
      </c>
      <c r="E488" s="17" t="s">
        <v>3903</v>
      </c>
      <c r="F488" s="17">
        <v>7</v>
      </c>
      <c r="G488" s="17">
        <v>1</v>
      </c>
      <c r="H488" s="17" t="s">
        <v>7811</v>
      </c>
      <c r="I488" s="17"/>
      <c r="J488" s="17"/>
      <c r="K488" s="17"/>
      <c r="L488" s="17"/>
      <c r="M488" s="17"/>
      <c r="N488" s="17"/>
      <c r="O488" s="17"/>
      <c r="P488" s="17"/>
      <c r="Q488" s="17"/>
    </row>
    <row r="489" spans="1:17">
      <c r="A489" s="556" t="s">
        <v>3548</v>
      </c>
      <c r="B489" s="557"/>
      <c r="C489" s="558" t="s">
        <v>1236</v>
      </c>
      <c r="D489" s="556" t="s">
        <v>3904</v>
      </c>
      <c r="E489" s="17" t="s">
        <v>3905</v>
      </c>
      <c r="F489" s="17">
        <v>1</v>
      </c>
      <c r="G489" s="17">
        <v>1</v>
      </c>
      <c r="H489" s="17" t="s">
        <v>3691</v>
      </c>
      <c r="I489" s="17">
        <v>0</v>
      </c>
      <c r="J489" s="17"/>
      <c r="K489" s="17"/>
      <c r="L489" s="17"/>
      <c r="M489" s="17"/>
      <c r="N489" s="17"/>
      <c r="O489" s="17"/>
      <c r="P489" s="17"/>
      <c r="Q489" s="17"/>
    </row>
    <row r="490" spans="1:17">
      <c r="A490" s="556" t="s">
        <v>3548</v>
      </c>
      <c r="B490" s="557"/>
      <c r="C490" s="558" t="s">
        <v>1236</v>
      </c>
      <c r="D490" s="556" t="s">
        <v>3906</v>
      </c>
      <c r="E490" s="17" t="s">
        <v>3907</v>
      </c>
      <c r="F490" s="17">
        <v>1</v>
      </c>
      <c r="G490" s="17">
        <v>2</v>
      </c>
      <c r="H490" s="17" t="s">
        <v>3326</v>
      </c>
      <c r="I490" s="17">
        <v>0</v>
      </c>
      <c r="J490" s="17"/>
      <c r="K490" s="17"/>
      <c r="L490" s="17"/>
      <c r="M490" s="17"/>
      <c r="N490" s="17"/>
      <c r="O490" s="17"/>
      <c r="P490" s="17"/>
      <c r="Q490" s="17"/>
    </row>
    <row r="491" spans="1:17">
      <c r="A491" s="556" t="s">
        <v>3548</v>
      </c>
      <c r="B491" s="557"/>
      <c r="C491" s="558" t="s">
        <v>1236</v>
      </c>
      <c r="D491" s="556" t="s">
        <v>3908</v>
      </c>
      <c r="E491" s="17" t="s">
        <v>3909</v>
      </c>
      <c r="F491" s="17">
        <v>1</v>
      </c>
      <c r="G491" s="17">
        <v>3</v>
      </c>
      <c r="H491" s="17" t="s">
        <v>2990</v>
      </c>
      <c r="I491" s="17">
        <v>0</v>
      </c>
      <c r="J491" s="17"/>
      <c r="K491" s="17"/>
      <c r="L491" s="17"/>
      <c r="M491" s="17"/>
      <c r="N491" s="17"/>
      <c r="O491" s="17"/>
      <c r="P491" s="17"/>
      <c r="Q491" s="17"/>
    </row>
    <row r="492" spans="1:17">
      <c r="A492" s="556" t="s">
        <v>3548</v>
      </c>
      <c r="B492" s="557"/>
      <c r="C492" s="558" t="s">
        <v>1236</v>
      </c>
      <c r="D492" s="556" t="s">
        <v>3910</v>
      </c>
      <c r="E492" s="17" t="s">
        <v>3911</v>
      </c>
      <c r="F492" s="17">
        <v>1</v>
      </c>
      <c r="G492" s="17">
        <v>4</v>
      </c>
      <c r="H492" s="17" t="s">
        <v>3338</v>
      </c>
      <c r="I492" s="17">
        <v>0</v>
      </c>
      <c r="J492" s="17"/>
      <c r="K492" s="17"/>
      <c r="L492" s="17"/>
      <c r="M492" s="17"/>
      <c r="N492" s="17"/>
      <c r="O492" s="17"/>
      <c r="P492" s="17"/>
      <c r="Q492" s="17"/>
    </row>
    <row r="493" spans="1:17">
      <c r="A493" s="556" t="s">
        <v>3548</v>
      </c>
      <c r="B493" s="557"/>
      <c r="C493" s="558" t="s">
        <v>1236</v>
      </c>
      <c r="D493" s="556" t="s">
        <v>3912</v>
      </c>
      <c r="E493" s="17" t="s">
        <v>3913</v>
      </c>
      <c r="F493" s="17">
        <v>1</v>
      </c>
      <c r="G493" s="17">
        <v>5</v>
      </c>
      <c r="H493" s="17" t="s">
        <v>2991</v>
      </c>
      <c r="I493" s="17">
        <v>0</v>
      </c>
      <c r="J493" s="17"/>
      <c r="K493" s="17"/>
      <c r="L493" s="17"/>
      <c r="M493" s="17"/>
      <c r="N493" s="17"/>
      <c r="O493" s="17"/>
      <c r="P493" s="17"/>
      <c r="Q493" s="17"/>
    </row>
    <row r="494" spans="1:17">
      <c r="A494" s="556" t="s">
        <v>3548</v>
      </c>
      <c r="B494" s="557"/>
      <c r="C494" s="558" t="s">
        <v>1236</v>
      </c>
      <c r="D494" s="556" t="s">
        <v>3914</v>
      </c>
      <c r="E494" s="17" t="s">
        <v>3915</v>
      </c>
      <c r="F494" s="17">
        <v>1</v>
      </c>
      <c r="G494" s="17">
        <v>6</v>
      </c>
      <c r="H494" s="17" t="s">
        <v>2992</v>
      </c>
      <c r="I494" s="17">
        <v>0</v>
      </c>
      <c r="J494" s="17"/>
      <c r="K494" s="17"/>
      <c r="L494" s="17"/>
      <c r="M494" s="17"/>
      <c r="N494" s="17"/>
      <c r="O494" s="17"/>
      <c r="P494" s="17"/>
      <c r="Q494" s="17"/>
    </row>
    <row r="495" spans="1:17">
      <c r="A495" s="556" t="s">
        <v>3548</v>
      </c>
      <c r="B495" s="557"/>
      <c r="C495" s="558" t="s">
        <v>1236</v>
      </c>
      <c r="D495" s="556" t="s">
        <v>3916</v>
      </c>
      <c r="E495" s="17" t="s">
        <v>3917</v>
      </c>
      <c r="F495" s="17">
        <v>1</v>
      </c>
      <c r="G495" s="17">
        <v>7</v>
      </c>
      <c r="H495" s="17" t="s">
        <v>3450</v>
      </c>
      <c r="I495" s="17">
        <v>0</v>
      </c>
      <c r="J495" s="17"/>
      <c r="K495" s="17"/>
      <c r="L495" s="17"/>
      <c r="M495" s="17"/>
      <c r="N495" s="17"/>
      <c r="O495" s="17"/>
      <c r="P495" s="17"/>
      <c r="Q495" s="17"/>
    </row>
    <row r="496" spans="1:17">
      <c r="A496" s="556" t="s">
        <v>3548</v>
      </c>
      <c r="B496" s="557"/>
      <c r="C496" s="558" t="s">
        <v>1610</v>
      </c>
      <c r="D496" s="556" t="s">
        <v>3904</v>
      </c>
      <c r="E496" s="17" t="s">
        <v>3918</v>
      </c>
      <c r="F496" s="17">
        <v>2</v>
      </c>
      <c r="G496" s="17">
        <v>1</v>
      </c>
      <c r="H496" s="17" t="s">
        <v>7769</v>
      </c>
      <c r="I496" s="17"/>
      <c r="J496" s="17"/>
      <c r="K496" s="17"/>
      <c r="L496" s="17"/>
      <c r="M496" s="17"/>
      <c r="N496" s="17"/>
      <c r="O496" s="17"/>
      <c r="P496" s="17"/>
      <c r="Q496" s="17"/>
    </row>
    <row r="497" spans="1:17">
      <c r="A497" s="556" t="s">
        <v>3548</v>
      </c>
      <c r="B497" s="557"/>
      <c r="C497" s="558" t="s">
        <v>1610</v>
      </c>
      <c r="D497" s="556" t="s">
        <v>3906</v>
      </c>
      <c r="E497" s="17" t="s">
        <v>3919</v>
      </c>
      <c r="F497" s="17">
        <v>2</v>
      </c>
      <c r="G497" s="17">
        <v>2</v>
      </c>
      <c r="H497" s="17" t="s">
        <v>3525</v>
      </c>
      <c r="I497" s="17"/>
      <c r="J497" s="17"/>
      <c r="K497" s="17"/>
      <c r="L497" s="17"/>
      <c r="M497" s="17"/>
      <c r="N497" s="17"/>
      <c r="O497" s="17"/>
      <c r="P497" s="17"/>
      <c r="Q497" s="17"/>
    </row>
    <row r="498" spans="1:17">
      <c r="A498" s="556" t="s">
        <v>3548</v>
      </c>
      <c r="B498" s="557"/>
      <c r="C498" s="558" t="s">
        <v>1610</v>
      </c>
      <c r="D498" s="556" t="s">
        <v>3908</v>
      </c>
      <c r="E498" s="17" t="s">
        <v>3920</v>
      </c>
      <c r="F498" s="17">
        <v>2</v>
      </c>
      <c r="G498" s="17">
        <v>3</v>
      </c>
      <c r="H498" s="17" t="s">
        <v>3339</v>
      </c>
      <c r="I498" s="17"/>
      <c r="J498" s="17"/>
      <c r="K498" s="17"/>
      <c r="L498" s="17"/>
      <c r="M498" s="17"/>
      <c r="N498" s="17"/>
      <c r="O498" s="17"/>
      <c r="P498" s="17"/>
      <c r="Q498" s="17"/>
    </row>
    <row r="499" spans="1:17">
      <c r="A499" s="556" t="s">
        <v>3548</v>
      </c>
      <c r="B499" s="557"/>
      <c r="C499" s="558" t="s">
        <v>1610</v>
      </c>
      <c r="D499" s="556" t="s">
        <v>3910</v>
      </c>
      <c r="E499" s="17" t="s">
        <v>3921</v>
      </c>
      <c r="F499" s="17">
        <v>2</v>
      </c>
      <c r="G499" s="17">
        <v>4</v>
      </c>
      <c r="H499" s="17" t="s">
        <v>3340</v>
      </c>
      <c r="I499" s="17"/>
      <c r="J499" s="17"/>
      <c r="K499" s="17"/>
      <c r="L499" s="17"/>
      <c r="M499" s="17"/>
      <c r="N499" s="17"/>
      <c r="O499" s="17"/>
      <c r="P499" s="17"/>
      <c r="Q499" s="17"/>
    </row>
    <row r="500" spans="1:17">
      <c r="A500" s="556" t="s">
        <v>3548</v>
      </c>
      <c r="B500" s="557"/>
      <c r="C500" s="558" t="s">
        <v>1610</v>
      </c>
      <c r="D500" s="556" t="s">
        <v>3912</v>
      </c>
      <c r="E500" s="17" t="s">
        <v>3922</v>
      </c>
      <c r="F500" s="17">
        <v>2</v>
      </c>
      <c r="G500" s="17">
        <v>5</v>
      </c>
      <c r="H500" s="17" t="s">
        <v>3341</v>
      </c>
      <c r="I500" s="17"/>
      <c r="J500" s="17"/>
      <c r="K500" s="17"/>
      <c r="L500" s="17"/>
      <c r="M500" s="17"/>
      <c r="N500" s="17"/>
      <c r="O500" s="17"/>
      <c r="P500" s="17"/>
      <c r="Q500" s="17"/>
    </row>
    <row r="501" spans="1:17">
      <c r="A501" s="556" t="s">
        <v>3548</v>
      </c>
      <c r="B501" s="557"/>
      <c r="C501" s="558" t="s">
        <v>1610</v>
      </c>
      <c r="D501" s="556" t="s">
        <v>3914</v>
      </c>
      <c r="E501" s="17" t="s">
        <v>3923</v>
      </c>
      <c r="F501" s="17">
        <v>2</v>
      </c>
      <c r="G501" s="17">
        <v>6</v>
      </c>
      <c r="H501" s="17" t="s">
        <v>3342</v>
      </c>
      <c r="I501" s="17"/>
      <c r="J501" s="17"/>
      <c r="K501" s="17"/>
      <c r="L501" s="17"/>
      <c r="M501" s="17"/>
      <c r="N501" s="17"/>
      <c r="O501" s="17"/>
      <c r="P501" s="17"/>
      <c r="Q501" s="17"/>
    </row>
    <row r="502" spans="1:17">
      <c r="A502" s="556" t="s">
        <v>3548</v>
      </c>
      <c r="B502" s="557"/>
      <c r="C502" s="558" t="s">
        <v>1610</v>
      </c>
      <c r="D502" s="556" t="s">
        <v>3916</v>
      </c>
      <c r="E502" s="17" t="s">
        <v>3924</v>
      </c>
      <c r="F502" s="17">
        <v>2</v>
      </c>
      <c r="G502" s="17">
        <v>7</v>
      </c>
      <c r="H502" s="17" t="s">
        <v>3451</v>
      </c>
      <c r="I502" s="17">
        <v>0</v>
      </c>
      <c r="J502" s="17"/>
      <c r="K502" s="17"/>
      <c r="L502" s="17"/>
      <c r="M502" s="17"/>
      <c r="N502" s="17"/>
      <c r="O502" s="17"/>
      <c r="P502" s="17"/>
      <c r="Q502" s="17"/>
    </row>
    <row r="503" spans="1:17">
      <c r="A503" s="556" t="s">
        <v>3548</v>
      </c>
      <c r="B503" s="557"/>
      <c r="C503" s="558" t="s">
        <v>1611</v>
      </c>
      <c r="D503" s="556" t="s">
        <v>3904</v>
      </c>
      <c r="E503" s="17" t="s">
        <v>3925</v>
      </c>
      <c r="F503" s="17">
        <v>3</v>
      </c>
      <c r="G503" s="17">
        <v>1</v>
      </c>
      <c r="H503" s="17" t="s">
        <v>7770</v>
      </c>
      <c r="I503" s="17"/>
      <c r="J503" s="17"/>
      <c r="K503" s="17"/>
      <c r="L503" s="17"/>
      <c r="M503" s="17"/>
      <c r="N503" s="17"/>
      <c r="O503" s="17"/>
      <c r="P503" s="17"/>
      <c r="Q503" s="17"/>
    </row>
    <row r="504" spans="1:17">
      <c r="A504" s="556" t="s">
        <v>3548</v>
      </c>
      <c r="B504" s="557"/>
      <c r="C504" s="558" t="s">
        <v>1611</v>
      </c>
      <c r="D504" s="556" t="s">
        <v>3906</v>
      </c>
      <c r="E504" s="17" t="s">
        <v>3926</v>
      </c>
      <c r="F504" s="17">
        <v>3</v>
      </c>
      <c r="G504" s="17">
        <v>2</v>
      </c>
      <c r="H504" s="17" t="s">
        <v>3697</v>
      </c>
      <c r="I504" s="17"/>
      <c r="J504" s="17"/>
      <c r="K504" s="17"/>
      <c r="L504" s="17"/>
      <c r="M504" s="17"/>
      <c r="N504" s="17"/>
      <c r="O504" s="17"/>
      <c r="P504" s="17"/>
      <c r="Q504" s="17"/>
    </row>
    <row r="505" spans="1:17">
      <c r="A505" s="556" t="s">
        <v>3548</v>
      </c>
      <c r="B505" s="557"/>
      <c r="C505" s="558" t="s">
        <v>1611</v>
      </c>
      <c r="D505" s="556" t="s">
        <v>3908</v>
      </c>
      <c r="E505" s="17" t="s">
        <v>3927</v>
      </c>
      <c r="F505" s="17">
        <v>3</v>
      </c>
      <c r="G505" s="17">
        <v>3</v>
      </c>
      <c r="H505" s="17" t="s">
        <v>3343</v>
      </c>
      <c r="I505" s="17"/>
      <c r="J505" s="17"/>
      <c r="K505" s="17"/>
      <c r="L505" s="17"/>
      <c r="M505" s="17"/>
      <c r="N505" s="17"/>
      <c r="O505" s="17"/>
      <c r="P505" s="17"/>
      <c r="Q505" s="17"/>
    </row>
    <row r="506" spans="1:17">
      <c r="A506" s="556" t="s">
        <v>3548</v>
      </c>
      <c r="B506" s="557"/>
      <c r="C506" s="558" t="s">
        <v>1611</v>
      </c>
      <c r="D506" s="556" t="s">
        <v>3910</v>
      </c>
      <c r="E506" s="17" t="s">
        <v>3928</v>
      </c>
      <c r="F506" s="17">
        <v>3</v>
      </c>
      <c r="G506" s="17">
        <v>4</v>
      </c>
      <c r="H506" s="17" t="s">
        <v>3344</v>
      </c>
      <c r="I506" s="17"/>
      <c r="J506" s="17"/>
      <c r="K506" s="17"/>
      <c r="L506" s="17"/>
      <c r="M506" s="17"/>
      <c r="N506" s="17"/>
      <c r="O506" s="17"/>
      <c r="P506" s="17"/>
      <c r="Q506" s="17"/>
    </row>
    <row r="507" spans="1:17">
      <c r="A507" s="556" t="s">
        <v>3548</v>
      </c>
      <c r="B507" s="557"/>
      <c r="C507" s="558" t="s">
        <v>1611</v>
      </c>
      <c r="D507" s="556" t="s">
        <v>3912</v>
      </c>
      <c r="E507" s="17" t="s">
        <v>3929</v>
      </c>
      <c r="F507" s="17">
        <v>3</v>
      </c>
      <c r="G507" s="17">
        <v>5</v>
      </c>
      <c r="H507" s="17" t="s">
        <v>3345</v>
      </c>
      <c r="I507" s="17"/>
      <c r="J507" s="17"/>
      <c r="K507" s="17"/>
      <c r="L507" s="17"/>
      <c r="M507" s="17"/>
      <c r="N507" s="17"/>
      <c r="O507" s="17"/>
      <c r="P507" s="17"/>
      <c r="Q507" s="17"/>
    </row>
    <row r="508" spans="1:17">
      <c r="A508" s="556" t="s">
        <v>3548</v>
      </c>
      <c r="B508" s="557"/>
      <c r="C508" s="558" t="s">
        <v>1611</v>
      </c>
      <c r="D508" s="556" t="s">
        <v>3914</v>
      </c>
      <c r="E508" s="17" t="s">
        <v>3930</v>
      </c>
      <c r="F508" s="17">
        <v>3</v>
      </c>
      <c r="G508" s="17">
        <v>6</v>
      </c>
      <c r="H508" s="17" t="s">
        <v>3346</v>
      </c>
      <c r="I508" s="17"/>
      <c r="J508" s="17"/>
      <c r="K508" s="17"/>
      <c r="L508" s="17"/>
      <c r="M508" s="17"/>
      <c r="N508" s="17"/>
      <c r="O508" s="17"/>
      <c r="P508" s="17"/>
      <c r="Q508" s="17"/>
    </row>
    <row r="509" spans="1:17">
      <c r="A509" s="556" t="s">
        <v>3548</v>
      </c>
      <c r="B509" s="557"/>
      <c r="C509" s="558" t="s">
        <v>1611</v>
      </c>
      <c r="D509" s="556" t="s">
        <v>3916</v>
      </c>
      <c r="E509" s="17" t="s">
        <v>3931</v>
      </c>
      <c r="F509" s="17">
        <v>3</v>
      </c>
      <c r="G509" s="17">
        <v>7</v>
      </c>
      <c r="H509" s="17" t="s">
        <v>3452</v>
      </c>
      <c r="I509" s="17">
        <v>0</v>
      </c>
      <c r="J509" s="17"/>
      <c r="K509" s="17"/>
      <c r="L509" s="17"/>
      <c r="M509" s="17"/>
      <c r="N509" s="17"/>
      <c r="O509" s="17"/>
      <c r="P509" s="17"/>
      <c r="Q509" s="17"/>
    </row>
    <row r="510" spans="1:17">
      <c r="A510" s="556" t="s">
        <v>3548</v>
      </c>
      <c r="B510" s="557"/>
      <c r="C510" s="558" t="s">
        <v>1135</v>
      </c>
      <c r="D510" s="556" t="s">
        <v>3904</v>
      </c>
      <c r="E510" s="17" t="s">
        <v>3932</v>
      </c>
      <c r="F510" s="17">
        <v>4</v>
      </c>
      <c r="G510" s="17">
        <v>1</v>
      </c>
      <c r="H510" s="17" t="s">
        <v>7771</v>
      </c>
      <c r="I510" s="17"/>
      <c r="J510" s="17"/>
      <c r="K510" s="17"/>
      <c r="L510" s="17"/>
      <c r="M510" s="17"/>
      <c r="N510" s="17"/>
      <c r="O510" s="17"/>
      <c r="P510" s="17"/>
      <c r="Q510" s="17"/>
    </row>
    <row r="511" spans="1:17">
      <c r="A511" s="556" t="s">
        <v>3548</v>
      </c>
      <c r="B511" s="557"/>
      <c r="C511" s="558" t="s">
        <v>1135</v>
      </c>
      <c r="D511" s="556" t="s">
        <v>3906</v>
      </c>
      <c r="E511" s="17" t="s">
        <v>3933</v>
      </c>
      <c r="F511" s="17">
        <v>4</v>
      </c>
      <c r="G511" s="17">
        <v>2</v>
      </c>
      <c r="H511" s="17" t="s">
        <v>7772</v>
      </c>
      <c r="I511" s="17"/>
      <c r="J511" s="17"/>
      <c r="K511" s="17"/>
      <c r="L511" s="17"/>
      <c r="M511" s="17"/>
      <c r="N511" s="17"/>
      <c r="O511" s="17"/>
      <c r="P511" s="17"/>
      <c r="Q511" s="17"/>
    </row>
    <row r="512" spans="1:17">
      <c r="A512" s="556" t="s">
        <v>3548</v>
      </c>
      <c r="B512" s="557"/>
      <c r="C512" s="558" t="s">
        <v>1135</v>
      </c>
      <c r="D512" s="556" t="s">
        <v>3908</v>
      </c>
      <c r="E512" s="17" t="s">
        <v>3934</v>
      </c>
      <c r="F512" s="17">
        <v>4</v>
      </c>
      <c r="G512" s="17">
        <v>3</v>
      </c>
      <c r="H512" s="17" t="s">
        <v>3347</v>
      </c>
      <c r="I512" s="17"/>
      <c r="J512" s="17"/>
      <c r="K512" s="17"/>
      <c r="L512" s="17"/>
      <c r="M512" s="17"/>
      <c r="N512" s="17"/>
      <c r="O512" s="17"/>
      <c r="P512" s="17"/>
      <c r="Q512" s="17"/>
    </row>
    <row r="513" spans="1:17">
      <c r="A513" s="556" t="s">
        <v>3548</v>
      </c>
      <c r="B513" s="557"/>
      <c r="C513" s="558" t="s">
        <v>1135</v>
      </c>
      <c r="D513" s="556" t="s">
        <v>3910</v>
      </c>
      <c r="E513" s="17" t="s">
        <v>3935</v>
      </c>
      <c r="F513" s="17">
        <v>4</v>
      </c>
      <c r="G513" s="17">
        <v>4</v>
      </c>
      <c r="H513" s="17" t="s">
        <v>3348</v>
      </c>
      <c r="I513" s="17"/>
      <c r="J513" s="17"/>
      <c r="K513" s="17"/>
      <c r="L513" s="17"/>
      <c r="M513" s="17"/>
      <c r="N513" s="17"/>
      <c r="O513" s="17"/>
      <c r="P513" s="17"/>
      <c r="Q513" s="17"/>
    </row>
    <row r="514" spans="1:17">
      <c r="A514" s="556" t="s">
        <v>3548</v>
      </c>
      <c r="B514" s="557"/>
      <c r="C514" s="558" t="s">
        <v>1135</v>
      </c>
      <c r="D514" s="556" t="s">
        <v>3912</v>
      </c>
      <c r="E514" s="17" t="s">
        <v>3936</v>
      </c>
      <c r="F514" s="17">
        <v>4</v>
      </c>
      <c r="G514" s="17">
        <v>5</v>
      </c>
      <c r="H514" s="17" t="s">
        <v>3349</v>
      </c>
      <c r="I514" s="17"/>
      <c r="J514" s="17"/>
      <c r="K514" s="17"/>
      <c r="L514" s="17"/>
      <c r="M514" s="17"/>
      <c r="N514" s="17"/>
      <c r="O514" s="17"/>
      <c r="P514" s="17"/>
      <c r="Q514" s="17"/>
    </row>
    <row r="515" spans="1:17">
      <c r="A515" s="556" t="s">
        <v>3548</v>
      </c>
      <c r="B515" s="557"/>
      <c r="C515" s="558" t="s">
        <v>1135</v>
      </c>
      <c r="D515" s="556" t="s">
        <v>3914</v>
      </c>
      <c r="E515" s="17" t="s">
        <v>3937</v>
      </c>
      <c r="F515" s="17">
        <v>4</v>
      </c>
      <c r="G515" s="17">
        <v>6</v>
      </c>
      <c r="H515" s="17" t="s">
        <v>3350</v>
      </c>
      <c r="I515" s="17"/>
      <c r="J515" s="17"/>
      <c r="K515" s="17"/>
      <c r="L515" s="17"/>
      <c r="M515" s="17"/>
      <c r="N515" s="17"/>
      <c r="O515" s="17"/>
      <c r="P515" s="17"/>
      <c r="Q515" s="17"/>
    </row>
    <row r="516" spans="1:17">
      <c r="A516" s="556" t="s">
        <v>3548</v>
      </c>
      <c r="B516" s="557"/>
      <c r="C516" s="558" t="s">
        <v>1135</v>
      </c>
      <c r="D516" s="556" t="s">
        <v>3916</v>
      </c>
      <c r="E516" s="17" t="s">
        <v>3938</v>
      </c>
      <c r="F516" s="17">
        <v>4</v>
      </c>
      <c r="G516" s="17">
        <v>7</v>
      </c>
      <c r="H516" s="17" t="s">
        <v>3453</v>
      </c>
      <c r="I516" s="17">
        <v>0</v>
      </c>
      <c r="J516" s="17"/>
      <c r="K516" s="17"/>
      <c r="L516" s="17"/>
      <c r="M516" s="17"/>
      <c r="N516" s="17"/>
      <c r="O516" s="17"/>
      <c r="P516" s="17"/>
      <c r="Q516" s="17"/>
    </row>
    <row r="517" spans="1:17">
      <c r="A517" s="556" t="s">
        <v>3548</v>
      </c>
      <c r="B517" s="557"/>
      <c r="C517" s="558" t="s">
        <v>1238</v>
      </c>
      <c r="D517" s="556" t="s">
        <v>3904</v>
      </c>
      <c r="E517" s="17" t="s">
        <v>3939</v>
      </c>
      <c r="F517" s="17">
        <v>5</v>
      </c>
      <c r="G517" s="17">
        <v>1</v>
      </c>
      <c r="H517" s="17" t="s">
        <v>7773</v>
      </c>
      <c r="I517" s="17"/>
      <c r="J517" s="17"/>
      <c r="K517" s="17"/>
      <c r="L517" s="17"/>
      <c r="M517" s="17"/>
      <c r="N517" s="17"/>
      <c r="O517" s="17"/>
      <c r="P517" s="17"/>
      <c r="Q517" s="17"/>
    </row>
    <row r="518" spans="1:17">
      <c r="A518" s="556" t="s">
        <v>3548</v>
      </c>
      <c r="B518" s="557"/>
      <c r="C518" s="558" t="s">
        <v>1238</v>
      </c>
      <c r="D518" s="556" t="s">
        <v>3906</v>
      </c>
      <c r="E518" s="17" t="s">
        <v>3940</v>
      </c>
      <c r="F518" s="17">
        <v>5</v>
      </c>
      <c r="G518" s="17">
        <v>2</v>
      </c>
      <c r="H518" s="17" t="s">
        <v>7774</v>
      </c>
      <c r="I518" s="17"/>
      <c r="J518" s="17"/>
      <c r="K518" s="17"/>
      <c r="L518" s="17"/>
      <c r="M518" s="17"/>
      <c r="N518" s="17"/>
      <c r="O518" s="17"/>
      <c r="P518" s="17"/>
      <c r="Q518" s="17"/>
    </row>
    <row r="519" spans="1:17">
      <c r="A519" s="556" t="s">
        <v>3548</v>
      </c>
      <c r="B519" s="557"/>
      <c r="C519" s="558" t="s">
        <v>1238</v>
      </c>
      <c r="D519" s="556" t="s">
        <v>3908</v>
      </c>
      <c r="E519" s="17" t="s">
        <v>3941</v>
      </c>
      <c r="F519" s="17">
        <v>5</v>
      </c>
      <c r="G519" s="17">
        <v>3</v>
      </c>
      <c r="H519" s="17" t="s">
        <v>3351</v>
      </c>
      <c r="I519" s="17"/>
      <c r="J519" s="17"/>
      <c r="K519" s="17"/>
      <c r="L519" s="17"/>
      <c r="M519" s="17"/>
      <c r="N519" s="17"/>
      <c r="O519" s="17"/>
      <c r="P519" s="17"/>
      <c r="Q519" s="17"/>
    </row>
    <row r="520" spans="1:17">
      <c r="A520" s="556" t="s">
        <v>3548</v>
      </c>
      <c r="B520" s="557"/>
      <c r="C520" s="558" t="s">
        <v>1238</v>
      </c>
      <c r="D520" s="556" t="s">
        <v>3910</v>
      </c>
      <c r="E520" s="17" t="s">
        <v>3942</v>
      </c>
      <c r="F520" s="17">
        <v>5</v>
      </c>
      <c r="G520" s="17">
        <v>4</v>
      </c>
      <c r="H520" s="17" t="s">
        <v>3352</v>
      </c>
      <c r="I520" s="17"/>
      <c r="J520" s="17"/>
      <c r="K520" s="17"/>
      <c r="L520" s="17"/>
      <c r="M520" s="17"/>
      <c r="N520" s="17"/>
      <c r="O520" s="17"/>
      <c r="P520" s="17"/>
      <c r="Q520" s="17"/>
    </row>
    <row r="521" spans="1:17">
      <c r="A521" s="556" t="s">
        <v>3548</v>
      </c>
      <c r="B521" s="557"/>
      <c r="C521" s="558" t="s">
        <v>1238</v>
      </c>
      <c r="D521" s="556" t="s">
        <v>3912</v>
      </c>
      <c r="E521" s="17" t="s">
        <v>3943</v>
      </c>
      <c r="F521" s="17">
        <v>5</v>
      </c>
      <c r="G521" s="17">
        <v>5</v>
      </c>
      <c r="H521" s="17" t="s">
        <v>3353</v>
      </c>
      <c r="I521" s="17"/>
      <c r="J521" s="17"/>
      <c r="K521" s="17"/>
      <c r="L521" s="17"/>
      <c r="M521" s="17"/>
      <c r="N521" s="17"/>
      <c r="O521" s="17"/>
      <c r="P521" s="17"/>
      <c r="Q521" s="17"/>
    </row>
    <row r="522" spans="1:17">
      <c r="A522" s="556" t="s">
        <v>3548</v>
      </c>
      <c r="B522" s="557"/>
      <c r="C522" s="558" t="s">
        <v>1238</v>
      </c>
      <c r="D522" s="556" t="s">
        <v>3914</v>
      </c>
      <c r="E522" s="17" t="s">
        <v>3944</v>
      </c>
      <c r="F522" s="17">
        <v>5</v>
      </c>
      <c r="G522" s="17">
        <v>6</v>
      </c>
      <c r="H522" s="17" t="s">
        <v>3354</v>
      </c>
      <c r="I522" s="17"/>
      <c r="J522" s="17"/>
      <c r="K522" s="17"/>
      <c r="L522" s="17"/>
      <c r="M522" s="17"/>
      <c r="N522" s="17"/>
      <c r="O522" s="17"/>
      <c r="P522" s="17"/>
      <c r="Q522" s="17"/>
    </row>
    <row r="523" spans="1:17">
      <c r="A523" s="556" t="s">
        <v>3548</v>
      </c>
      <c r="B523" s="557"/>
      <c r="C523" s="558" t="s">
        <v>1238</v>
      </c>
      <c r="D523" s="556" t="s">
        <v>3916</v>
      </c>
      <c r="E523" s="17" t="s">
        <v>3945</v>
      </c>
      <c r="F523" s="17">
        <v>5</v>
      </c>
      <c r="G523" s="17">
        <v>7</v>
      </c>
      <c r="H523" s="17" t="s">
        <v>3454</v>
      </c>
      <c r="I523" s="17">
        <v>0</v>
      </c>
      <c r="J523" s="17"/>
      <c r="K523" s="17"/>
      <c r="L523" s="17"/>
      <c r="M523" s="17"/>
      <c r="N523" s="17"/>
      <c r="O523" s="17"/>
      <c r="P523" s="17"/>
      <c r="Q523" s="17"/>
    </row>
    <row r="524" spans="1:17">
      <c r="A524" s="556" t="s">
        <v>3548</v>
      </c>
      <c r="B524" s="557"/>
      <c r="C524" s="558" t="s">
        <v>1239</v>
      </c>
      <c r="D524" s="556" t="s">
        <v>3904</v>
      </c>
      <c r="E524" s="17" t="s">
        <v>3946</v>
      </c>
      <c r="F524" s="17">
        <v>6</v>
      </c>
      <c r="G524" s="17">
        <v>1</v>
      </c>
      <c r="H524" s="17" t="s">
        <v>7775</v>
      </c>
      <c r="I524" s="17">
        <v>0</v>
      </c>
      <c r="J524" s="17"/>
      <c r="K524" s="17"/>
      <c r="L524" s="17"/>
      <c r="M524" s="17"/>
      <c r="N524" s="17"/>
      <c r="O524" s="17"/>
      <c r="P524" s="17"/>
      <c r="Q524" s="17"/>
    </row>
    <row r="525" spans="1:17">
      <c r="A525" s="556" t="s">
        <v>3548</v>
      </c>
      <c r="B525" s="557"/>
      <c r="C525" s="558" t="s">
        <v>1239</v>
      </c>
      <c r="D525" s="556" t="s">
        <v>3906</v>
      </c>
      <c r="E525" s="17" t="s">
        <v>3947</v>
      </c>
      <c r="F525" s="17">
        <v>6</v>
      </c>
      <c r="G525" s="17">
        <v>2</v>
      </c>
      <c r="H525" s="17" t="s">
        <v>7776</v>
      </c>
      <c r="I525" s="17">
        <v>0</v>
      </c>
      <c r="J525" s="17"/>
      <c r="K525" s="17"/>
      <c r="L525" s="17"/>
      <c r="M525" s="17"/>
      <c r="N525" s="17"/>
      <c r="O525" s="17"/>
      <c r="P525" s="17"/>
      <c r="Q525" s="17"/>
    </row>
    <row r="526" spans="1:17">
      <c r="A526" s="556" t="s">
        <v>3548</v>
      </c>
      <c r="B526" s="557"/>
      <c r="C526" s="558" t="s">
        <v>1239</v>
      </c>
      <c r="D526" s="556" t="s">
        <v>3908</v>
      </c>
      <c r="E526" s="17" t="s">
        <v>3948</v>
      </c>
      <c r="F526" s="17">
        <v>6</v>
      </c>
      <c r="G526" s="17">
        <v>3</v>
      </c>
      <c r="H526" s="17" t="s">
        <v>3355</v>
      </c>
      <c r="I526" s="17">
        <v>0</v>
      </c>
      <c r="J526" s="17"/>
      <c r="K526" s="17"/>
      <c r="L526" s="17"/>
      <c r="M526" s="17"/>
      <c r="N526" s="17"/>
      <c r="O526" s="17"/>
      <c r="P526" s="17"/>
      <c r="Q526" s="17"/>
    </row>
    <row r="527" spans="1:17">
      <c r="A527" s="556" t="s">
        <v>3548</v>
      </c>
      <c r="B527" s="557"/>
      <c r="C527" s="558" t="s">
        <v>1239</v>
      </c>
      <c r="D527" s="556" t="s">
        <v>3910</v>
      </c>
      <c r="E527" s="17" t="s">
        <v>3949</v>
      </c>
      <c r="F527" s="17">
        <v>6</v>
      </c>
      <c r="G527" s="17">
        <v>4</v>
      </c>
      <c r="H527" s="17" t="s">
        <v>3356</v>
      </c>
      <c r="I527" s="17">
        <v>0</v>
      </c>
      <c r="J527" s="17"/>
      <c r="K527" s="17"/>
      <c r="L527" s="17"/>
      <c r="M527" s="17"/>
      <c r="N527" s="17"/>
      <c r="O527" s="17"/>
      <c r="P527" s="17"/>
      <c r="Q527" s="17"/>
    </row>
    <row r="528" spans="1:17">
      <c r="A528" s="556" t="s">
        <v>3548</v>
      </c>
      <c r="B528" s="557"/>
      <c r="C528" s="558" t="s">
        <v>1239</v>
      </c>
      <c r="D528" s="556" t="s">
        <v>3912</v>
      </c>
      <c r="E528" s="17" t="s">
        <v>3950</v>
      </c>
      <c r="F528" s="17">
        <v>6</v>
      </c>
      <c r="G528" s="17">
        <v>5</v>
      </c>
      <c r="H528" s="17" t="s">
        <v>3357</v>
      </c>
      <c r="I528" s="17">
        <v>0</v>
      </c>
      <c r="J528" s="17"/>
      <c r="K528" s="17"/>
      <c r="L528" s="17"/>
      <c r="M528" s="17"/>
      <c r="N528" s="17"/>
      <c r="O528" s="17"/>
      <c r="P528" s="17"/>
      <c r="Q528" s="17"/>
    </row>
    <row r="529" spans="1:17">
      <c r="A529" s="556" t="s">
        <v>3548</v>
      </c>
      <c r="B529" s="557"/>
      <c r="C529" s="558" t="s">
        <v>1239</v>
      </c>
      <c r="D529" s="556" t="s">
        <v>3914</v>
      </c>
      <c r="E529" s="17" t="s">
        <v>3951</v>
      </c>
      <c r="F529" s="17">
        <v>6</v>
      </c>
      <c r="G529" s="17">
        <v>6</v>
      </c>
      <c r="H529" s="17" t="s">
        <v>3358</v>
      </c>
      <c r="I529" s="17">
        <v>0</v>
      </c>
      <c r="J529" s="17"/>
      <c r="K529" s="17"/>
      <c r="L529" s="17"/>
      <c r="M529" s="17"/>
      <c r="N529" s="17"/>
      <c r="O529" s="17"/>
      <c r="P529" s="17"/>
      <c r="Q529" s="17"/>
    </row>
    <row r="530" spans="1:17">
      <c r="A530" s="556" t="s">
        <v>3548</v>
      </c>
      <c r="B530" s="557"/>
      <c r="C530" s="558" t="s">
        <v>1239</v>
      </c>
      <c r="D530" s="556" t="s">
        <v>3916</v>
      </c>
      <c r="E530" s="17" t="s">
        <v>3952</v>
      </c>
      <c r="F530" s="17">
        <v>6</v>
      </c>
      <c r="G530" s="17">
        <v>7</v>
      </c>
      <c r="H530" s="17" t="s">
        <v>3455</v>
      </c>
      <c r="I530" s="17">
        <v>0</v>
      </c>
      <c r="J530" s="17"/>
      <c r="K530" s="17"/>
      <c r="L530" s="17"/>
      <c r="M530" s="17"/>
      <c r="N530" s="17"/>
      <c r="O530" s="17"/>
      <c r="P530" s="17"/>
      <c r="Q530" s="17"/>
    </row>
    <row r="531" spans="1:17">
      <c r="A531" s="556" t="s">
        <v>3548</v>
      </c>
      <c r="B531" s="557"/>
      <c r="C531" s="558" t="s">
        <v>1612</v>
      </c>
      <c r="D531" s="556" t="s">
        <v>3904</v>
      </c>
      <c r="E531" s="17" t="s">
        <v>3953</v>
      </c>
      <c r="F531" s="17">
        <v>7</v>
      </c>
      <c r="G531" s="17">
        <v>1</v>
      </c>
      <c r="H531" s="17" t="s">
        <v>7777</v>
      </c>
      <c r="I531" s="17"/>
      <c r="J531" s="17"/>
      <c r="K531" s="17"/>
      <c r="L531" s="17"/>
      <c r="M531" s="17"/>
      <c r="N531" s="17"/>
      <c r="O531" s="17"/>
      <c r="P531" s="17"/>
      <c r="Q531" s="17"/>
    </row>
    <row r="532" spans="1:17">
      <c r="A532" s="556" t="s">
        <v>3548</v>
      </c>
      <c r="B532" s="557"/>
      <c r="C532" s="558" t="s">
        <v>1612</v>
      </c>
      <c r="D532" s="556" t="s">
        <v>3906</v>
      </c>
      <c r="E532" s="17" t="s">
        <v>3954</v>
      </c>
      <c r="F532" s="17">
        <v>7</v>
      </c>
      <c r="G532" s="17">
        <v>2</v>
      </c>
      <c r="H532" s="17" t="s">
        <v>7778</v>
      </c>
      <c r="I532" s="17"/>
      <c r="J532" s="17"/>
      <c r="K532" s="17"/>
      <c r="L532" s="17"/>
      <c r="M532" s="17"/>
      <c r="N532" s="17"/>
      <c r="O532" s="17"/>
      <c r="P532" s="17"/>
      <c r="Q532" s="17"/>
    </row>
    <row r="533" spans="1:17">
      <c r="A533" s="556" t="s">
        <v>3548</v>
      </c>
      <c r="B533" s="557"/>
      <c r="C533" s="558" t="s">
        <v>1612</v>
      </c>
      <c r="D533" s="556" t="s">
        <v>3908</v>
      </c>
      <c r="E533" s="17" t="s">
        <v>3955</v>
      </c>
      <c r="F533" s="17">
        <v>7</v>
      </c>
      <c r="G533" s="17">
        <v>3</v>
      </c>
      <c r="H533" s="17" t="s">
        <v>3359</v>
      </c>
      <c r="I533" s="17"/>
      <c r="J533" s="17"/>
      <c r="K533" s="17"/>
      <c r="L533" s="17"/>
      <c r="M533" s="17"/>
      <c r="N533" s="17"/>
      <c r="O533" s="17"/>
      <c r="P533" s="17"/>
      <c r="Q533" s="17"/>
    </row>
    <row r="534" spans="1:17">
      <c r="A534" s="556" t="s">
        <v>3548</v>
      </c>
      <c r="B534" s="557"/>
      <c r="C534" s="558" t="s">
        <v>1612</v>
      </c>
      <c r="D534" s="556" t="s">
        <v>3910</v>
      </c>
      <c r="E534" s="17" t="s">
        <v>3956</v>
      </c>
      <c r="F534" s="17">
        <v>7</v>
      </c>
      <c r="G534" s="17">
        <v>4</v>
      </c>
      <c r="H534" s="17" t="s">
        <v>3360</v>
      </c>
      <c r="I534" s="17"/>
      <c r="J534" s="17"/>
      <c r="K534" s="17"/>
      <c r="L534" s="17"/>
      <c r="M534" s="17"/>
      <c r="N534" s="17"/>
      <c r="O534" s="17"/>
      <c r="P534" s="17"/>
      <c r="Q534" s="17"/>
    </row>
    <row r="535" spans="1:17">
      <c r="A535" s="556" t="s">
        <v>3548</v>
      </c>
      <c r="B535" s="557"/>
      <c r="C535" s="558" t="s">
        <v>1612</v>
      </c>
      <c r="D535" s="556" t="s">
        <v>3912</v>
      </c>
      <c r="E535" s="17" t="s">
        <v>3957</v>
      </c>
      <c r="F535" s="17">
        <v>7</v>
      </c>
      <c r="G535" s="17">
        <v>5</v>
      </c>
      <c r="H535" s="17" t="s">
        <v>3327</v>
      </c>
      <c r="I535" s="17"/>
      <c r="J535" s="17"/>
      <c r="K535" s="17"/>
      <c r="L535" s="17"/>
      <c r="M535" s="17"/>
      <c r="N535" s="17"/>
      <c r="O535" s="17"/>
      <c r="P535" s="17"/>
      <c r="Q535" s="17"/>
    </row>
    <row r="536" spans="1:17">
      <c r="A536" s="556" t="s">
        <v>3548</v>
      </c>
      <c r="B536" s="557"/>
      <c r="C536" s="558" t="s">
        <v>1612</v>
      </c>
      <c r="D536" s="556" t="s">
        <v>3914</v>
      </c>
      <c r="E536" s="17" t="s">
        <v>3958</v>
      </c>
      <c r="F536" s="17">
        <v>7</v>
      </c>
      <c r="G536" s="17">
        <v>6</v>
      </c>
      <c r="H536" s="17" t="s">
        <v>3361</v>
      </c>
      <c r="I536" s="17"/>
      <c r="J536" s="17"/>
      <c r="K536" s="17"/>
      <c r="L536" s="17"/>
      <c r="M536" s="17"/>
      <c r="N536" s="17"/>
      <c r="O536" s="17"/>
      <c r="P536" s="17"/>
      <c r="Q536" s="17"/>
    </row>
    <row r="537" spans="1:17">
      <c r="A537" s="556" t="s">
        <v>3548</v>
      </c>
      <c r="B537" s="557"/>
      <c r="C537" s="558" t="s">
        <v>1612</v>
      </c>
      <c r="D537" s="556" t="s">
        <v>3916</v>
      </c>
      <c r="E537" s="17" t="s">
        <v>3959</v>
      </c>
      <c r="F537" s="17">
        <v>7</v>
      </c>
      <c r="G537" s="17">
        <v>7</v>
      </c>
      <c r="H537" s="17" t="s">
        <v>3456</v>
      </c>
      <c r="I537" s="17">
        <v>0</v>
      </c>
      <c r="J537" s="17"/>
      <c r="K537" s="17"/>
      <c r="L537" s="17"/>
      <c r="M537" s="17"/>
      <c r="N537" s="17"/>
      <c r="O537" s="17"/>
      <c r="P537" s="17"/>
      <c r="Q537" s="17"/>
    </row>
    <row r="538" spans="1:17">
      <c r="A538" s="556" t="s">
        <v>3548</v>
      </c>
      <c r="B538" s="557"/>
      <c r="C538" s="558" t="s">
        <v>1613</v>
      </c>
      <c r="D538" s="556" t="s">
        <v>3904</v>
      </c>
      <c r="E538" s="17" t="s">
        <v>3960</v>
      </c>
      <c r="F538" s="17">
        <v>8</v>
      </c>
      <c r="G538" s="17">
        <v>1</v>
      </c>
      <c r="H538" s="17" t="s">
        <v>3717</v>
      </c>
      <c r="I538" s="17"/>
      <c r="J538" s="17"/>
      <c r="K538" s="17"/>
      <c r="L538" s="17"/>
      <c r="M538" s="17"/>
      <c r="N538" s="17"/>
      <c r="O538" s="17"/>
      <c r="P538" s="17"/>
      <c r="Q538" s="17"/>
    </row>
    <row r="539" spans="1:17">
      <c r="A539" s="556" t="s">
        <v>3548</v>
      </c>
      <c r="B539" s="557"/>
      <c r="C539" s="558" t="s">
        <v>1613</v>
      </c>
      <c r="D539" s="556" t="s">
        <v>3906</v>
      </c>
      <c r="E539" s="17" t="s">
        <v>3961</v>
      </c>
      <c r="F539" s="17">
        <v>8</v>
      </c>
      <c r="G539" s="17">
        <v>2</v>
      </c>
      <c r="H539" s="17" t="s">
        <v>7779</v>
      </c>
      <c r="I539" s="17"/>
      <c r="J539" s="17"/>
      <c r="K539" s="17"/>
      <c r="L539" s="17"/>
      <c r="M539" s="17"/>
      <c r="N539" s="17"/>
      <c r="O539" s="17"/>
      <c r="P539" s="17"/>
      <c r="Q539" s="17"/>
    </row>
    <row r="540" spans="1:17">
      <c r="A540" s="556" t="s">
        <v>3548</v>
      </c>
      <c r="B540" s="557"/>
      <c r="C540" s="558" t="s">
        <v>1613</v>
      </c>
      <c r="D540" s="556" t="s">
        <v>3908</v>
      </c>
      <c r="E540" s="17" t="s">
        <v>3962</v>
      </c>
      <c r="F540" s="17">
        <v>8</v>
      </c>
      <c r="G540" s="17">
        <v>3</v>
      </c>
      <c r="H540" s="17" t="s">
        <v>3362</v>
      </c>
      <c r="I540" s="17"/>
      <c r="J540" s="17"/>
      <c r="K540" s="17"/>
      <c r="L540" s="17"/>
      <c r="M540" s="17"/>
      <c r="N540" s="17"/>
      <c r="O540" s="17"/>
      <c r="P540" s="17"/>
      <c r="Q540" s="17"/>
    </row>
    <row r="541" spans="1:17">
      <c r="A541" s="556" t="s">
        <v>3548</v>
      </c>
      <c r="B541" s="557"/>
      <c r="C541" s="558" t="s">
        <v>1613</v>
      </c>
      <c r="D541" s="556" t="s">
        <v>3910</v>
      </c>
      <c r="E541" s="17" t="s">
        <v>3963</v>
      </c>
      <c r="F541" s="17">
        <v>8</v>
      </c>
      <c r="G541" s="17">
        <v>4</v>
      </c>
      <c r="H541" s="17" t="s">
        <v>3363</v>
      </c>
      <c r="I541" s="17"/>
      <c r="J541" s="17"/>
      <c r="K541" s="17"/>
      <c r="L541" s="17"/>
      <c r="M541" s="17"/>
      <c r="N541" s="17"/>
      <c r="O541" s="17"/>
      <c r="P541" s="17"/>
      <c r="Q541" s="17"/>
    </row>
    <row r="542" spans="1:17">
      <c r="A542" s="556" t="s">
        <v>3548</v>
      </c>
      <c r="B542" s="557"/>
      <c r="C542" s="558" t="s">
        <v>1613</v>
      </c>
      <c r="D542" s="556" t="s">
        <v>3912</v>
      </c>
      <c r="E542" s="17" t="s">
        <v>3964</v>
      </c>
      <c r="F542" s="17">
        <v>8</v>
      </c>
      <c r="G542" s="17">
        <v>5</v>
      </c>
      <c r="H542" s="17" t="s">
        <v>3364</v>
      </c>
      <c r="I542" s="17"/>
      <c r="J542" s="17"/>
      <c r="K542" s="17"/>
      <c r="L542" s="17"/>
      <c r="M542" s="17"/>
      <c r="N542" s="17"/>
      <c r="O542" s="17"/>
      <c r="P542" s="17"/>
      <c r="Q542" s="17"/>
    </row>
    <row r="543" spans="1:17">
      <c r="A543" s="556" t="s">
        <v>3548</v>
      </c>
      <c r="B543" s="557"/>
      <c r="C543" s="558" t="s">
        <v>1613</v>
      </c>
      <c r="D543" s="556" t="s">
        <v>3914</v>
      </c>
      <c r="E543" s="17" t="s">
        <v>3965</v>
      </c>
      <c r="F543" s="17">
        <v>8</v>
      </c>
      <c r="G543" s="17">
        <v>6</v>
      </c>
      <c r="H543" s="17" t="s">
        <v>3365</v>
      </c>
      <c r="I543" s="17"/>
      <c r="J543" s="17"/>
      <c r="K543" s="17"/>
      <c r="L543" s="17"/>
      <c r="M543" s="17"/>
      <c r="N543" s="17"/>
      <c r="O543" s="17"/>
      <c r="P543" s="17"/>
      <c r="Q543" s="17"/>
    </row>
    <row r="544" spans="1:17">
      <c r="A544" s="556" t="s">
        <v>3548</v>
      </c>
      <c r="B544" s="557"/>
      <c r="C544" s="558" t="s">
        <v>1613</v>
      </c>
      <c r="D544" s="556" t="s">
        <v>3916</v>
      </c>
      <c r="E544" s="17" t="s">
        <v>3966</v>
      </c>
      <c r="F544" s="17">
        <v>8</v>
      </c>
      <c r="G544" s="17">
        <v>7</v>
      </c>
      <c r="H544" s="17" t="s">
        <v>3457</v>
      </c>
      <c r="I544" s="17">
        <v>0</v>
      </c>
      <c r="J544" s="17"/>
      <c r="K544" s="17"/>
      <c r="L544" s="17"/>
      <c r="M544" s="17"/>
      <c r="N544" s="17"/>
      <c r="O544" s="17"/>
      <c r="P544" s="17"/>
      <c r="Q544" s="17"/>
    </row>
    <row r="545" spans="1:17">
      <c r="A545" s="556" t="s">
        <v>3548</v>
      </c>
      <c r="B545" s="557"/>
      <c r="C545" s="558" t="s">
        <v>1614</v>
      </c>
      <c r="D545" s="556" t="s">
        <v>3904</v>
      </c>
      <c r="E545" s="17" t="s">
        <v>3967</v>
      </c>
      <c r="F545" s="17">
        <v>9</v>
      </c>
      <c r="G545" s="17">
        <v>1</v>
      </c>
      <c r="H545" s="17" t="s">
        <v>7780</v>
      </c>
      <c r="I545" s="17"/>
      <c r="J545" s="17"/>
      <c r="K545" s="17"/>
      <c r="L545" s="17"/>
      <c r="M545" s="17"/>
      <c r="N545" s="17"/>
      <c r="O545" s="17"/>
      <c r="P545" s="17"/>
      <c r="Q545" s="17"/>
    </row>
    <row r="546" spans="1:17">
      <c r="A546" s="556" t="s">
        <v>3548</v>
      </c>
      <c r="B546" s="557"/>
      <c r="C546" s="558" t="s">
        <v>1614</v>
      </c>
      <c r="D546" s="556" t="s">
        <v>3906</v>
      </c>
      <c r="E546" s="17" t="s">
        <v>3968</v>
      </c>
      <c r="F546" s="17">
        <v>9</v>
      </c>
      <c r="G546" s="17">
        <v>2</v>
      </c>
      <c r="H546" s="17" t="s">
        <v>7781</v>
      </c>
      <c r="I546" s="17"/>
      <c r="J546" s="17"/>
      <c r="K546" s="17"/>
      <c r="L546" s="17"/>
      <c r="M546" s="17"/>
      <c r="N546" s="17"/>
      <c r="O546" s="17"/>
      <c r="P546" s="17"/>
      <c r="Q546" s="17"/>
    </row>
    <row r="547" spans="1:17">
      <c r="A547" s="556" t="s">
        <v>3548</v>
      </c>
      <c r="B547" s="557"/>
      <c r="C547" s="558" t="s">
        <v>1614</v>
      </c>
      <c r="D547" s="556" t="s">
        <v>3908</v>
      </c>
      <c r="E547" s="17" t="s">
        <v>3969</v>
      </c>
      <c r="F547" s="17">
        <v>9</v>
      </c>
      <c r="G547" s="17">
        <v>3</v>
      </c>
      <c r="H547" s="17" t="s">
        <v>3366</v>
      </c>
      <c r="I547" s="17"/>
      <c r="J547" s="17"/>
      <c r="K547" s="17"/>
      <c r="L547" s="17"/>
      <c r="M547" s="17"/>
      <c r="N547" s="17"/>
      <c r="O547" s="17"/>
      <c r="P547" s="17"/>
      <c r="Q547" s="17"/>
    </row>
    <row r="548" spans="1:17">
      <c r="A548" s="556" t="s">
        <v>3548</v>
      </c>
      <c r="B548" s="557"/>
      <c r="C548" s="558" t="s">
        <v>1614</v>
      </c>
      <c r="D548" s="556" t="s">
        <v>3910</v>
      </c>
      <c r="E548" s="17" t="s">
        <v>3970</v>
      </c>
      <c r="F548" s="17">
        <v>9</v>
      </c>
      <c r="G548" s="17">
        <v>4</v>
      </c>
      <c r="H548" s="17" t="s">
        <v>3367</v>
      </c>
      <c r="I548" s="17"/>
      <c r="J548" s="17"/>
      <c r="K548" s="17"/>
      <c r="L548" s="17"/>
      <c r="M548" s="17"/>
      <c r="N548" s="17"/>
      <c r="O548" s="17"/>
      <c r="P548" s="17"/>
      <c r="Q548" s="17"/>
    </row>
    <row r="549" spans="1:17">
      <c r="A549" s="556" t="s">
        <v>3548</v>
      </c>
      <c r="B549" s="557"/>
      <c r="C549" s="558" t="s">
        <v>1614</v>
      </c>
      <c r="D549" s="556" t="s">
        <v>3912</v>
      </c>
      <c r="E549" s="17" t="s">
        <v>3971</v>
      </c>
      <c r="F549" s="17">
        <v>9</v>
      </c>
      <c r="G549" s="17">
        <v>5</v>
      </c>
      <c r="H549" s="17" t="s">
        <v>3368</v>
      </c>
      <c r="I549" s="17"/>
      <c r="J549" s="17"/>
      <c r="K549" s="17"/>
      <c r="L549" s="17"/>
      <c r="M549" s="17"/>
      <c r="N549" s="17"/>
      <c r="O549" s="17"/>
      <c r="P549" s="17"/>
      <c r="Q549" s="17"/>
    </row>
    <row r="550" spans="1:17">
      <c r="A550" s="556" t="s">
        <v>3548</v>
      </c>
      <c r="B550" s="557"/>
      <c r="C550" s="558" t="s">
        <v>1614</v>
      </c>
      <c r="D550" s="556" t="s">
        <v>3914</v>
      </c>
      <c r="E550" s="17" t="s">
        <v>3972</v>
      </c>
      <c r="F550" s="17">
        <v>9</v>
      </c>
      <c r="G550" s="17">
        <v>6</v>
      </c>
      <c r="H550" s="17" t="s">
        <v>3369</v>
      </c>
      <c r="I550" s="17"/>
      <c r="J550" s="17"/>
      <c r="K550" s="17"/>
      <c r="L550" s="17"/>
      <c r="M550" s="17"/>
      <c r="N550" s="17"/>
      <c r="O550" s="17"/>
      <c r="P550" s="17"/>
      <c r="Q550" s="17"/>
    </row>
    <row r="551" spans="1:17">
      <c r="A551" s="556" t="s">
        <v>3548</v>
      </c>
      <c r="B551" s="557"/>
      <c r="C551" s="558" t="s">
        <v>1614</v>
      </c>
      <c r="D551" s="556" t="s">
        <v>3916</v>
      </c>
      <c r="E551" s="17" t="s">
        <v>3973</v>
      </c>
      <c r="F551" s="17">
        <v>9</v>
      </c>
      <c r="G551" s="17">
        <v>7</v>
      </c>
      <c r="H551" s="17" t="s">
        <v>3458</v>
      </c>
      <c r="I551" s="17">
        <v>0</v>
      </c>
      <c r="J551" s="17"/>
      <c r="K551" s="17"/>
      <c r="L551" s="17"/>
      <c r="M551" s="17"/>
      <c r="N551" s="17"/>
      <c r="O551" s="17"/>
      <c r="P551" s="17"/>
      <c r="Q551" s="17"/>
    </row>
    <row r="552" spans="1:17">
      <c r="A552" s="556" t="s">
        <v>3548</v>
      </c>
      <c r="B552" s="557"/>
      <c r="C552" s="558" t="s">
        <v>1615</v>
      </c>
      <c r="D552" s="556" t="s">
        <v>3904</v>
      </c>
      <c r="E552" s="17" t="s">
        <v>3974</v>
      </c>
      <c r="F552" s="17">
        <v>10</v>
      </c>
      <c r="G552" s="17">
        <v>1</v>
      </c>
      <c r="H552" s="17" t="s">
        <v>7782</v>
      </c>
      <c r="I552" s="17"/>
      <c r="J552" s="17"/>
      <c r="K552" s="17"/>
      <c r="L552" s="17"/>
      <c r="M552" s="17"/>
      <c r="N552" s="17"/>
      <c r="O552" s="17"/>
      <c r="P552" s="17"/>
      <c r="Q552" s="17"/>
    </row>
    <row r="553" spans="1:17">
      <c r="A553" s="556" t="s">
        <v>3548</v>
      </c>
      <c r="B553" s="557"/>
      <c r="C553" s="558" t="s">
        <v>1615</v>
      </c>
      <c r="D553" s="556" t="s">
        <v>3906</v>
      </c>
      <c r="E553" s="17" t="s">
        <v>3975</v>
      </c>
      <c r="F553" s="17">
        <v>10</v>
      </c>
      <c r="G553" s="17">
        <v>2</v>
      </c>
      <c r="H553" s="17" t="s">
        <v>7783</v>
      </c>
      <c r="I553" s="17"/>
      <c r="J553" s="17"/>
      <c r="K553" s="17"/>
      <c r="L553" s="17"/>
      <c r="M553" s="17"/>
      <c r="N553" s="17"/>
      <c r="O553" s="17"/>
      <c r="P553" s="17"/>
      <c r="Q553" s="17"/>
    </row>
    <row r="554" spans="1:17">
      <c r="A554" s="556" t="s">
        <v>3548</v>
      </c>
      <c r="B554" s="557"/>
      <c r="C554" s="558" t="s">
        <v>1615</v>
      </c>
      <c r="D554" s="556" t="s">
        <v>3908</v>
      </c>
      <c r="E554" s="17" t="s">
        <v>3976</v>
      </c>
      <c r="F554" s="17">
        <v>10</v>
      </c>
      <c r="G554" s="17">
        <v>3</v>
      </c>
      <c r="H554" s="17" t="s">
        <v>3370</v>
      </c>
      <c r="I554" s="17"/>
      <c r="J554" s="17"/>
      <c r="K554" s="17"/>
      <c r="L554" s="17"/>
      <c r="M554" s="17"/>
      <c r="N554" s="17"/>
      <c r="O554" s="17"/>
      <c r="P554" s="17"/>
      <c r="Q554" s="17"/>
    </row>
    <row r="555" spans="1:17">
      <c r="A555" s="556" t="s">
        <v>3548</v>
      </c>
      <c r="B555" s="557"/>
      <c r="C555" s="558" t="s">
        <v>1615</v>
      </c>
      <c r="D555" s="556" t="s">
        <v>3910</v>
      </c>
      <c r="E555" s="17" t="s">
        <v>3977</v>
      </c>
      <c r="F555" s="17">
        <v>10</v>
      </c>
      <c r="G555" s="17">
        <v>4</v>
      </c>
      <c r="H555" s="17" t="s">
        <v>3371</v>
      </c>
      <c r="I555" s="17"/>
      <c r="J555" s="17"/>
      <c r="K555" s="17"/>
      <c r="L555" s="17"/>
      <c r="M555" s="17"/>
      <c r="N555" s="17"/>
      <c r="O555" s="17"/>
      <c r="P555" s="17"/>
      <c r="Q555" s="17"/>
    </row>
    <row r="556" spans="1:17">
      <c r="A556" s="556" t="s">
        <v>3548</v>
      </c>
      <c r="B556" s="557"/>
      <c r="C556" s="558" t="s">
        <v>1615</v>
      </c>
      <c r="D556" s="556" t="s">
        <v>3912</v>
      </c>
      <c r="E556" s="17" t="s">
        <v>3978</v>
      </c>
      <c r="F556" s="17">
        <v>10</v>
      </c>
      <c r="G556" s="17">
        <v>5</v>
      </c>
      <c r="H556" s="17" t="s">
        <v>3372</v>
      </c>
      <c r="I556" s="17"/>
      <c r="J556" s="17"/>
      <c r="K556" s="17"/>
      <c r="L556" s="17"/>
      <c r="M556" s="17"/>
      <c r="N556" s="17"/>
      <c r="O556" s="17"/>
      <c r="P556" s="17"/>
      <c r="Q556" s="17"/>
    </row>
    <row r="557" spans="1:17">
      <c r="A557" s="556" t="s">
        <v>3548</v>
      </c>
      <c r="B557" s="557"/>
      <c r="C557" s="558" t="s">
        <v>1615</v>
      </c>
      <c r="D557" s="556" t="s">
        <v>3914</v>
      </c>
      <c r="E557" s="17" t="s">
        <v>3979</v>
      </c>
      <c r="F557" s="17">
        <v>10</v>
      </c>
      <c r="G557" s="17">
        <v>6</v>
      </c>
      <c r="H557" s="17" t="s">
        <v>3373</v>
      </c>
      <c r="I557" s="17"/>
      <c r="J557" s="17"/>
      <c r="K557" s="17"/>
      <c r="L557" s="17"/>
      <c r="M557" s="17"/>
      <c r="N557" s="17"/>
      <c r="O557" s="17"/>
      <c r="P557" s="17"/>
      <c r="Q557" s="17"/>
    </row>
    <row r="558" spans="1:17">
      <c r="A558" s="556" t="s">
        <v>3548</v>
      </c>
      <c r="B558" s="557"/>
      <c r="C558" s="558" t="s">
        <v>1615</v>
      </c>
      <c r="D558" s="556" t="s">
        <v>3916</v>
      </c>
      <c r="E558" s="17" t="s">
        <v>3980</v>
      </c>
      <c r="F558" s="17">
        <v>10</v>
      </c>
      <c r="G558" s="17">
        <v>7</v>
      </c>
      <c r="H558" s="17" t="s">
        <v>3459</v>
      </c>
      <c r="I558" s="17">
        <v>0</v>
      </c>
      <c r="J558" s="17"/>
      <c r="K558" s="17"/>
      <c r="L558" s="17"/>
      <c r="M558" s="17"/>
      <c r="N558" s="17"/>
      <c r="O558" s="17"/>
      <c r="P558" s="17"/>
      <c r="Q558" s="17"/>
    </row>
    <row r="559" spans="1:17">
      <c r="A559" s="556" t="s">
        <v>3548</v>
      </c>
      <c r="B559" s="557"/>
      <c r="C559" s="558" t="s">
        <v>1240</v>
      </c>
      <c r="D559" s="556" t="s">
        <v>3904</v>
      </c>
      <c r="E559" s="17" t="s">
        <v>3981</v>
      </c>
      <c r="F559" s="17">
        <v>11</v>
      </c>
      <c r="G559" s="17">
        <v>1</v>
      </c>
      <c r="H559" s="17" t="s">
        <v>7784</v>
      </c>
      <c r="I559" s="17"/>
      <c r="J559" s="17"/>
      <c r="K559" s="17"/>
      <c r="L559" s="17"/>
      <c r="M559" s="17"/>
      <c r="N559" s="17"/>
      <c r="O559" s="17"/>
      <c r="P559" s="17"/>
      <c r="Q559" s="17"/>
    </row>
    <row r="560" spans="1:17">
      <c r="A560" s="556" t="s">
        <v>3548</v>
      </c>
      <c r="B560" s="557"/>
      <c r="C560" s="558" t="s">
        <v>1240</v>
      </c>
      <c r="D560" s="556" t="s">
        <v>3906</v>
      </c>
      <c r="E560" s="17" t="s">
        <v>3982</v>
      </c>
      <c r="F560" s="17">
        <v>11</v>
      </c>
      <c r="G560" s="17">
        <v>2</v>
      </c>
      <c r="H560" s="17" t="s">
        <v>7785</v>
      </c>
      <c r="I560" s="17"/>
      <c r="J560" s="17"/>
      <c r="K560" s="17"/>
      <c r="L560" s="17"/>
      <c r="M560" s="17"/>
      <c r="N560" s="17"/>
      <c r="O560" s="17"/>
      <c r="P560" s="17"/>
      <c r="Q560" s="17"/>
    </row>
    <row r="561" spans="1:17">
      <c r="A561" s="556" t="s">
        <v>3548</v>
      </c>
      <c r="B561" s="557"/>
      <c r="C561" s="558" t="s">
        <v>1240</v>
      </c>
      <c r="D561" s="556" t="s">
        <v>3908</v>
      </c>
      <c r="E561" s="17" t="s">
        <v>3983</v>
      </c>
      <c r="F561" s="17">
        <v>11</v>
      </c>
      <c r="G561" s="17">
        <v>3</v>
      </c>
      <c r="H561" s="17" t="s">
        <v>3374</v>
      </c>
      <c r="I561" s="17"/>
      <c r="J561" s="17"/>
      <c r="K561" s="17"/>
      <c r="L561" s="17"/>
      <c r="M561" s="17"/>
      <c r="N561" s="17"/>
      <c r="O561" s="17"/>
      <c r="P561" s="17"/>
      <c r="Q561" s="17"/>
    </row>
    <row r="562" spans="1:17">
      <c r="A562" s="556" t="s">
        <v>3548</v>
      </c>
      <c r="B562" s="557"/>
      <c r="C562" s="558" t="s">
        <v>1240</v>
      </c>
      <c r="D562" s="556" t="s">
        <v>3910</v>
      </c>
      <c r="E562" s="17" t="s">
        <v>3984</v>
      </c>
      <c r="F562" s="17">
        <v>11</v>
      </c>
      <c r="G562" s="17">
        <v>4</v>
      </c>
      <c r="H562" s="17" t="s">
        <v>3375</v>
      </c>
      <c r="I562" s="17"/>
      <c r="J562" s="17"/>
      <c r="K562" s="17"/>
      <c r="L562" s="17"/>
      <c r="M562" s="17"/>
      <c r="N562" s="17"/>
      <c r="O562" s="17"/>
      <c r="P562" s="17"/>
      <c r="Q562" s="17"/>
    </row>
    <row r="563" spans="1:17">
      <c r="A563" s="556" t="s">
        <v>3548</v>
      </c>
      <c r="B563" s="557"/>
      <c r="C563" s="558" t="s">
        <v>1240</v>
      </c>
      <c r="D563" s="556" t="s">
        <v>3912</v>
      </c>
      <c r="E563" s="17" t="s">
        <v>3985</v>
      </c>
      <c r="F563" s="17">
        <v>11</v>
      </c>
      <c r="G563" s="17">
        <v>5</v>
      </c>
      <c r="H563" s="17" t="s">
        <v>3376</v>
      </c>
      <c r="I563" s="17"/>
      <c r="J563" s="17"/>
      <c r="K563" s="17"/>
      <c r="L563" s="17"/>
      <c r="M563" s="17"/>
      <c r="N563" s="17"/>
      <c r="O563" s="17"/>
      <c r="P563" s="17"/>
      <c r="Q563" s="17"/>
    </row>
    <row r="564" spans="1:17">
      <c r="A564" s="556" t="s">
        <v>3548</v>
      </c>
      <c r="B564" s="557"/>
      <c r="C564" s="558" t="s">
        <v>1240</v>
      </c>
      <c r="D564" s="556" t="s">
        <v>3914</v>
      </c>
      <c r="E564" s="17" t="s">
        <v>3986</v>
      </c>
      <c r="F564" s="17">
        <v>11</v>
      </c>
      <c r="G564" s="17">
        <v>6</v>
      </c>
      <c r="H564" s="17" t="s">
        <v>3377</v>
      </c>
      <c r="I564" s="17"/>
      <c r="J564" s="17"/>
      <c r="K564" s="17"/>
      <c r="L564" s="17"/>
      <c r="M564" s="17"/>
      <c r="N564" s="17"/>
      <c r="O564" s="17"/>
      <c r="P564" s="17"/>
      <c r="Q564" s="17"/>
    </row>
    <row r="565" spans="1:17">
      <c r="A565" s="556" t="s">
        <v>3548</v>
      </c>
      <c r="B565" s="557"/>
      <c r="C565" s="558" t="s">
        <v>1240</v>
      </c>
      <c r="D565" s="556" t="s">
        <v>3916</v>
      </c>
      <c r="E565" s="17" t="s">
        <v>3987</v>
      </c>
      <c r="F565" s="17">
        <v>11</v>
      </c>
      <c r="G565" s="17">
        <v>7</v>
      </c>
      <c r="H565" s="17" t="s">
        <v>3460</v>
      </c>
      <c r="I565" s="17">
        <v>0</v>
      </c>
      <c r="J565" s="17"/>
      <c r="K565" s="17"/>
      <c r="L565" s="17"/>
      <c r="M565" s="17"/>
      <c r="N565" s="17"/>
      <c r="O565" s="17"/>
      <c r="P565" s="17"/>
      <c r="Q565" s="17"/>
    </row>
    <row r="566" spans="1:17">
      <c r="A566" s="556" t="s">
        <v>3548</v>
      </c>
      <c r="B566" s="557"/>
      <c r="C566" s="558" t="s">
        <v>1158</v>
      </c>
      <c r="D566" s="556" t="s">
        <v>3904</v>
      </c>
      <c r="E566" s="17" t="s">
        <v>3988</v>
      </c>
      <c r="F566" s="17">
        <v>12</v>
      </c>
      <c r="G566" s="17">
        <v>1</v>
      </c>
      <c r="H566" s="17" t="s">
        <v>7786</v>
      </c>
      <c r="I566" s="17"/>
      <c r="J566" s="17"/>
      <c r="K566" s="17"/>
      <c r="L566" s="17"/>
      <c r="M566" s="17"/>
      <c r="N566" s="17"/>
      <c r="O566" s="17"/>
      <c r="P566" s="17"/>
      <c r="Q566" s="17"/>
    </row>
    <row r="567" spans="1:17">
      <c r="A567" s="556" t="s">
        <v>3548</v>
      </c>
      <c r="B567" s="557"/>
      <c r="C567" s="558" t="s">
        <v>1158</v>
      </c>
      <c r="D567" s="556" t="s">
        <v>3906</v>
      </c>
      <c r="E567" s="17" t="s">
        <v>3989</v>
      </c>
      <c r="F567" s="17">
        <v>12</v>
      </c>
      <c r="G567" s="17">
        <v>2</v>
      </c>
      <c r="H567" s="17" t="s">
        <v>3695</v>
      </c>
      <c r="I567" s="17"/>
      <c r="J567" s="17"/>
      <c r="K567" s="17"/>
      <c r="L567" s="17"/>
      <c r="M567" s="17"/>
      <c r="N567" s="17"/>
      <c r="O567" s="17"/>
      <c r="P567" s="17"/>
      <c r="Q567" s="17"/>
    </row>
    <row r="568" spans="1:17">
      <c r="A568" s="556" t="s">
        <v>3548</v>
      </c>
      <c r="B568" s="557"/>
      <c r="C568" s="558" t="s">
        <v>1158</v>
      </c>
      <c r="D568" s="556" t="s">
        <v>3908</v>
      </c>
      <c r="E568" s="17" t="s">
        <v>3990</v>
      </c>
      <c r="F568" s="17">
        <v>12</v>
      </c>
      <c r="G568" s="17">
        <v>3</v>
      </c>
      <c r="H568" s="17" t="s">
        <v>3378</v>
      </c>
      <c r="I568" s="17"/>
      <c r="J568" s="17"/>
      <c r="K568" s="17"/>
      <c r="L568" s="17"/>
      <c r="M568" s="17"/>
      <c r="N568" s="17"/>
      <c r="O568" s="17"/>
      <c r="P568" s="17"/>
      <c r="Q568" s="17"/>
    </row>
    <row r="569" spans="1:17">
      <c r="A569" s="556" t="s">
        <v>3548</v>
      </c>
      <c r="B569" s="557"/>
      <c r="C569" s="558" t="s">
        <v>1158</v>
      </c>
      <c r="D569" s="556" t="s">
        <v>3910</v>
      </c>
      <c r="E569" s="17" t="s">
        <v>3991</v>
      </c>
      <c r="F569" s="17">
        <v>12</v>
      </c>
      <c r="G569" s="17">
        <v>4</v>
      </c>
      <c r="H569" s="17" t="s">
        <v>3379</v>
      </c>
      <c r="I569" s="17"/>
      <c r="J569" s="17"/>
      <c r="K569" s="17"/>
      <c r="L569" s="17"/>
      <c r="M569" s="17"/>
      <c r="N569" s="17"/>
      <c r="O569" s="17"/>
      <c r="P569" s="17"/>
      <c r="Q569" s="17"/>
    </row>
    <row r="570" spans="1:17">
      <c r="A570" s="556" t="s">
        <v>3548</v>
      </c>
      <c r="B570" s="557"/>
      <c r="C570" s="558" t="s">
        <v>1158</v>
      </c>
      <c r="D570" s="556" t="s">
        <v>3912</v>
      </c>
      <c r="E570" s="17" t="s">
        <v>3992</v>
      </c>
      <c r="F570" s="17">
        <v>12</v>
      </c>
      <c r="G570" s="17">
        <v>5</v>
      </c>
      <c r="H570" s="17" t="s">
        <v>3380</v>
      </c>
      <c r="I570" s="17"/>
      <c r="J570" s="17"/>
      <c r="K570" s="17"/>
      <c r="L570" s="17"/>
      <c r="M570" s="17"/>
      <c r="N570" s="17"/>
      <c r="O570" s="17"/>
      <c r="P570" s="17"/>
      <c r="Q570" s="17"/>
    </row>
    <row r="571" spans="1:17">
      <c r="A571" s="556" t="s">
        <v>3548</v>
      </c>
      <c r="B571" s="557"/>
      <c r="C571" s="558" t="s">
        <v>1158</v>
      </c>
      <c r="D571" s="556" t="s">
        <v>3914</v>
      </c>
      <c r="E571" s="17" t="s">
        <v>3993</v>
      </c>
      <c r="F571" s="17">
        <v>12</v>
      </c>
      <c r="G571" s="17">
        <v>6</v>
      </c>
      <c r="H571" s="17" t="s">
        <v>3381</v>
      </c>
      <c r="I571" s="17"/>
      <c r="J571" s="17"/>
      <c r="K571" s="17"/>
      <c r="L571" s="17"/>
      <c r="M571" s="17"/>
      <c r="N571" s="17"/>
      <c r="O571" s="17"/>
      <c r="P571" s="17"/>
      <c r="Q571" s="17"/>
    </row>
    <row r="572" spans="1:17">
      <c r="A572" s="556" t="s">
        <v>3548</v>
      </c>
      <c r="B572" s="557"/>
      <c r="C572" s="558" t="s">
        <v>1158</v>
      </c>
      <c r="D572" s="556" t="s">
        <v>3916</v>
      </c>
      <c r="E572" s="17" t="s">
        <v>3994</v>
      </c>
      <c r="F572" s="17">
        <v>12</v>
      </c>
      <c r="G572" s="17">
        <v>7</v>
      </c>
      <c r="H572" s="17" t="s">
        <v>3461</v>
      </c>
      <c r="I572" s="17">
        <v>0</v>
      </c>
      <c r="J572" s="17"/>
      <c r="K572" s="17"/>
      <c r="L572" s="17"/>
      <c r="M572" s="17"/>
      <c r="N572" s="17"/>
      <c r="O572" s="17"/>
      <c r="P572" s="17"/>
      <c r="Q572" s="17"/>
    </row>
    <row r="573" spans="1:17">
      <c r="A573" s="556" t="s">
        <v>3548</v>
      </c>
      <c r="B573" s="557"/>
      <c r="C573" s="558" t="s">
        <v>1162</v>
      </c>
      <c r="D573" s="556" t="s">
        <v>3904</v>
      </c>
      <c r="E573" s="17" t="s">
        <v>3995</v>
      </c>
      <c r="F573" s="17">
        <v>13</v>
      </c>
      <c r="G573" s="17">
        <v>1</v>
      </c>
      <c r="H573" s="17" t="s">
        <v>7787</v>
      </c>
      <c r="I573" s="17"/>
      <c r="J573" s="17"/>
      <c r="K573" s="17"/>
      <c r="L573" s="17"/>
      <c r="M573" s="17"/>
      <c r="N573" s="17"/>
      <c r="O573" s="17"/>
      <c r="P573" s="17"/>
      <c r="Q573" s="17"/>
    </row>
    <row r="574" spans="1:17">
      <c r="A574" s="556" t="s">
        <v>3548</v>
      </c>
      <c r="B574" s="557"/>
      <c r="C574" s="558" t="s">
        <v>1162</v>
      </c>
      <c r="D574" s="556" t="s">
        <v>3906</v>
      </c>
      <c r="E574" s="17" t="s">
        <v>3996</v>
      </c>
      <c r="F574" s="17">
        <v>13</v>
      </c>
      <c r="G574" s="17">
        <v>2</v>
      </c>
      <c r="H574" s="17" t="s">
        <v>7788</v>
      </c>
      <c r="I574" s="17"/>
      <c r="J574" s="17"/>
      <c r="K574" s="17"/>
      <c r="L574" s="17"/>
      <c r="M574" s="17"/>
      <c r="N574" s="17"/>
      <c r="O574" s="17"/>
      <c r="P574" s="17"/>
      <c r="Q574" s="17"/>
    </row>
    <row r="575" spans="1:17">
      <c r="A575" s="556" t="s">
        <v>3548</v>
      </c>
      <c r="B575" s="557"/>
      <c r="C575" s="558" t="s">
        <v>1162</v>
      </c>
      <c r="D575" s="556" t="s">
        <v>3908</v>
      </c>
      <c r="E575" s="17" t="s">
        <v>3997</v>
      </c>
      <c r="F575" s="17">
        <v>13</v>
      </c>
      <c r="G575" s="17">
        <v>3</v>
      </c>
      <c r="H575" s="17" t="s">
        <v>3382</v>
      </c>
      <c r="I575" s="17"/>
      <c r="J575" s="17"/>
      <c r="K575" s="17"/>
      <c r="L575" s="17"/>
      <c r="M575" s="17"/>
      <c r="N575" s="17"/>
      <c r="O575" s="17"/>
      <c r="P575" s="17"/>
      <c r="Q575" s="17"/>
    </row>
    <row r="576" spans="1:17">
      <c r="A576" s="556" t="s">
        <v>3548</v>
      </c>
      <c r="B576" s="557"/>
      <c r="C576" s="558" t="s">
        <v>1162</v>
      </c>
      <c r="D576" s="556" t="s">
        <v>3910</v>
      </c>
      <c r="E576" s="17" t="s">
        <v>3998</v>
      </c>
      <c r="F576" s="17">
        <v>13</v>
      </c>
      <c r="G576" s="17">
        <v>4</v>
      </c>
      <c r="H576" s="17" t="s">
        <v>3383</v>
      </c>
      <c r="I576" s="17"/>
      <c r="J576" s="17"/>
      <c r="K576" s="17"/>
      <c r="L576" s="17"/>
      <c r="M576" s="17"/>
      <c r="N576" s="17"/>
      <c r="O576" s="17"/>
      <c r="P576" s="17"/>
      <c r="Q576" s="17"/>
    </row>
    <row r="577" spans="1:17">
      <c r="A577" s="556" t="s">
        <v>3548</v>
      </c>
      <c r="B577" s="557"/>
      <c r="C577" s="558" t="s">
        <v>1162</v>
      </c>
      <c r="D577" s="556" t="s">
        <v>3912</v>
      </c>
      <c r="E577" s="17" t="s">
        <v>3999</v>
      </c>
      <c r="F577" s="17">
        <v>13</v>
      </c>
      <c r="G577" s="17">
        <v>5</v>
      </c>
      <c r="H577" s="17" t="s">
        <v>3384</v>
      </c>
      <c r="I577" s="17"/>
      <c r="J577" s="17"/>
      <c r="K577" s="17"/>
      <c r="L577" s="17"/>
      <c r="M577" s="17"/>
      <c r="N577" s="17"/>
      <c r="O577" s="17"/>
      <c r="P577" s="17"/>
      <c r="Q577" s="17"/>
    </row>
    <row r="578" spans="1:17">
      <c r="A578" s="556" t="s">
        <v>3548</v>
      </c>
      <c r="B578" s="557"/>
      <c r="C578" s="558" t="s">
        <v>1162</v>
      </c>
      <c r="D578" s="556" t="s">
        <v>3914</v>
      </c>
      <c r="E578" s="17" t="s">
        <v>4000</v>
      </c>
      <c r="F578" s="17">
        <v>13</v>
      </c>
      <c r="G578" s="17">
        <v>6</v>
      </c>
      <c r="H578" s="17" t="s">
        <v>3385</v>
      </c>
      <c r="I578" s="17"/>
      <c r="J578" s="17"/>
      <c r="K578" s="17"/>
      <c r="L578" s="17"/>
      <c r="M578" s="17"/>
      <c r="N578" s="17"/>
      <c r="O578" s="17"/>
      <c r="P578" s="17"/>
      <c r="Q578" s="17"/>
    </row>
    <row r="579" spans="1:17">
      <c r="A579" s="556" t="s">
        <v>3548</v>
      </c>
      <c r="B579" s="557"/>
      <c r="C579" s="558" t="s">
        <v>1162</v>
      </c>
      <c r="D579" s="556" t="s">
        <v>3916</v>
      </c>
      <c r="E579" s="17" t="s">
        <v>4001</v>
      </c>
      <c r="F579" s="17">
        <v>13</v>
      </c>
      <c r="G579" s="17">
        <v>7</v>
      </c>
      <c r="H579" s="17" t="s">
        <v>3462</v>
      </c>
      <c r="I579" s="17">
        <v>0</v>
      </c>
      <c r="J579" s="17"/>
      <c r="K579" s="17"/>
      <c r="L579" s="17"/>
      <c r="M579" s="17"/>
      <c r="N579" s="17"/>
      <c r="O579" s="17"/>
      <c r="P579" s="17"/>
      <c r="Q579" s="17"/>
    </row>
    <row r="580" spans="1:17">
      <c r="A580" s="556" t="s">
        <v>3548</v>
      </c>
      <c r="B580" s="557"/>
      <c r="C580" s="558" t="s">
        <v>1166</v>
      </c>
      <c r="D580" s="556" t="s">
        <v>3904</v>
      </c>
      <c r="E580" s="17" t="s">
        <v>4002</v>
      </c>
      <c r="F580" s="17">
        <v>14</v>
      </c>
      <c r="G580" s="17">
        <v>1</v>
      </c>
      <c r="H580" s="17" t="s">
        <v>7789</v>
      </c>
      <c r="I580" s="17">
        <v>0</v>
      </c>
      <c r="J580" s="17"/>
      <c r="K580" s="17"/>
      <c r="L580" s="17"/>
      <c r="M580" s="17"/>
      <c r="N580" s="17"/>
      <c r="O580" s="17"/>
      <c r="P580" s="17"/>
      <c r="Q580" s="17"/>
    </row>
    <row r="581" spans="1:17">
      <c r="A581" s="556" t="s">
        <v>3548</v>
      </c>
      <c r="B581" s="557"/>
      <c r="C581" s="558" t="s">
        <v>1166</v>
      </c>
      <c r="D581" s="556" t="s">
        <v>3906</v>
      </c>
      <c r="E581" s="17" t="s">
        <v>4003</v>
      </c>
      <c r="F581" s="17">
        <v>14</v>
      </c>
      <c r="G581" s="17">
        <v>2</v>
      </c>
      <c r="H581" s="17" t="s">
        <v>7790</v>
      </c>
      <c r="I581" s="17">
        <v>0</v>
      </c>
      <c r="J581" s="17"/>
      <c r="K581" s="17"/>
      <c r="L581" s="17"/>
      <c r="M581" s="17"/>
      <c r="N581" s="17"/>
      <c r="O581" s="17"/>
      <c r="P581" s="17"/>
      <c r="Q581" s="17"/>
    </row>
    <row r="582" spans="1:17">
      <c r="A582" s="556" t="s">
        <v>3548</v>
      </c>
      <c r="B582" s="557"/>
      <c r="C582" s="558" t="s">
        <v>1166</v>
      </c>
      <c r="D582" s="556" t="s">
        <v>3908</v>
      </c>
      <c r="E582" s="17" t="s">
        <v>4004</v>
      </c>
      <c r="F582" s="17">
        <v>14</v>
      </c>
      <c r="G582" s="17">
        <v>3</v>
      </c>
      <c r="H582" s="17" t="s">
        <v>3386</v>
      </c>
      <c r="I582" s="17">
        <v>0</v>
      </c>
      <c r="J582" s="17"/>
      <c r="K582" s="17"/>
      <c r="L582" s="17"/>
      <c r="M582" s="17"/>
      <c r="N582" s="17"/>
      <c r="O582" s="17"/>
      <c r="P582" s="17"/>
      <c r="Q582" s="17"/>
    </row>
    <row r="583" spans="1:17">
      <c r="A583" s="556" t="s">
        <v>3548</v>
      </c>
      <c r="B583" s="557"/>
      <c r="C583" s="558" t="s">
        <v>1166</v>
      </c>
      <c r="D583" s="556" t="s">
        <v>3910</v>
      </c>
      <c r="E583" s="17" t="s">
        <v>4005</v>
      </c>
      <c r="F583" s="17">
        <v>14</v>
      </c>
      <c r="G583" s="17">
        <v>4</v>
      </c>
      <c r="H583" s="17" t="s">
        <v>3387</v>
      </c>
      <c r="I583" s="17">
        <v>0</v>
      </c>
      <c r="J583" s="17"/>
      <c r="K583" s="17"/>
      <c r="L583" s="17"/>
      <c r="M583" s="17"/>
      <c r="N583" s="17"/>
      <c r="O583" s="17"/>
      <c r="P583" s="17"/>
      <c r="Q583" s="17"/>
    </row>
    <row r="584" spans="1:17">
      <c r="A584" s="556" t="s">
        <v>3548</v>
      </c>
      <c r="B584" s="557"/>
      <c r="C584" s="558" t="s">
        <v>1166</v>
      </c>
      <c r="D584" s="556" t="s">
        <v>3912</v>
      </c>
      <c r="E584" s="17" t="s">
        <v>4006</v>
      </c>
      <c r="F584" s="17">
        <v>14</v>
      </c>
      <c r="G584" s="17">
        <v>5</v>
      </c>
      <c r="H584" s="17" t="s">
        <v>3388</v>
      </c>
      <c r="I584" s="17">
        <v>0</v>
      </c>
      <c r="J584" s="17"/>
      <c r="K584" s="17"/>
      <c r="L584" s="17"/>
      <c r="M584" s="17"/>
      <c r="N584" s="17"/>
      <c r="O584" s="17"/>
      <c r="P584" s="17"/>
      <c r="Q584" s="17"/>
    </row>
    <row r="585" spans="1:17">
      <c r="A585" s="556" t="s">
        <v>3548</v>
      </c>
      <c r="B585" s="557"/>
      <c r="C585" s="558" t="s">
        <v>1166</v>
      </c>
      <c r="D585" s="556" t="s">
        <v>3914</v>
      </c>
      <c r="E585" s="17" t="s">
        <v>4007</v>
      </c>
      <c r="F585" s="17">
        <v>14</v>
      </c>
      <c r="G585" s="17">
        <v>6</v>
      </c>
      <c r="H585" s="17" t="s">
        <v>3389</v>
      </c>
      <c r="I585" s="17">
        <v>0</v>
      </c>
      <c r="J585" s="17"/>
      <c r="K585" s="17"/>
      <c r="L585" s="17"/>
      <c r="M585" s="17"/>
      <c r="N585" s="17"/>
      <c r="O585" s="17"/>
      <c r="P585" s="17"/>
      <c r="Q585" s="17"/>
    </row>
    <row r="586" spans="1:17">
      <c r="A586" s="556" t="s">
        <v>3548</v>
      </c>
      <c r="B586" s="557"/>
      <c r="C586" s="558" t="s">
        <v>1166</v>
      </c>
      <c r="D586" s="556" t="s">
        <v>3916</v>
      </c>
      <c r="E586" s="17" t="s">
        <v>4008</v>
      </c>
      <c r="F586" s="17">
        <v>14</v>
      </c>
      <c r="G586" s="17">
        <v>7</v>
      </c>
      <c r="H586" s="17" t="s">
        <v>3463</v>
      </c>
      <c r="I586" s="17">
        <v>0</v>
      </c>
      <c r="J586" s="17"/>
      <c r="K586" s="17"/>
      <c r="L586" s="17"/>
      <c r="M586" s="17"/>
      <c r="N586" s="17"/>
      <c r="O586" s="17"/>
      <c r="P586" s="17"/>
      <c r="Q586" s="17"/>
    </row>
    <row r="587" spans="1:17">
      <c r="A587" s="556" t="s">
        <v>3548</v>
      </c>
      <c r="B587" s="557"/>
      <c r="C587" s="558" t="s">
        <v>1616</v>
      </c>
      <c r="D587" s="556" t="s">
        <v>3904</v>
      </c>
      <c r="E587" s="17" t="s">
        <v>4009</v>
      </c>
      <c r="F587" s="17">
        <v>15</v>
      </c>
      <c r="G587" s="17">
        <v>1</v>
      </c>
      <c r="H587" s="17" t="s">
        <v>7791</v>
      </c>
      <c r="I587" s="17"/>
      <c r="J587" s="17"/>
      <c r="K587" s="17"/>
      <c r="L587" s="17"/>
      <c r="M587" s="17"/>
      <c r="N587" s="17"/>
      <c r="O587" s="17"/>
      <c r="P587" s="17"/>
      <c r="Q587" s="17"/>
    </row>
    <row r="588" spans="1:17">
      <c r="A588" s="556" t="s">
        <v>3548</v>
      </c>
      <c r="B588" s="557"/>
      <c r="C588" s="558" t="s">
        <v>1616</v>
      </c>
      <c r="D588" s="556" t="s">
        <v>3906</v>
      </c>
      <c r="E588" s="17" t="s">
        <v>4010</v>
      </c>
      <c r="F588" s="17">
        <v>15</v>
      </c>
      <c r="G588" s="17">
        <v>2</v>
      </c>
      <c r="H588" s="17" t="s">
        <v>7792</v>
      </c>
      <c r="I588" s="17"/>
      <c r="J588" s="17"/>
      <c r="K588" s="17"/>
      <c r="L588" s="17"/>
      <c r="M588" s="17"/>
      <c r="N588" s="17"/>
      <c r="O588" s="17"/>
      <c r="P588" s="17"/>
      <c r="Q588" s="17"/>
    </row>
    <row r="589" spans="1:17">
      <c r="A589" s="556" t="s">
        <v>3548</v>
      </c>
      <c r="B589" s="557"/>
      <c r="C589" s="558" t="s">
        <v>1616</v>
      </c>
      <c r="D589" s="556" t="s">
        <v>3908</v>
      </c>
      <c r="E589" s="17" t="s">
        <v>4011</v>
      </c>
      <c r="F589" s="17">
        <v>15</v>
      </c>
      <c r="G589" s="17">
        <v>3</v>
      </c>
      <c r="H589" s="17" t="s">
        <v>3390</v>
      </c>
      <c r="I589" s="17"/>
      <c r="J589" s="17"/>
      <c r="K589" s="17"/>
      <c r="L589" s="17"/>
      <c r="M589" s="17"/>
      <c r="N589" s="17"/>
      <c r="O589" s="17"/>
      <c r="P589" s="17"/>
      <c r="Q589" s="17"/>
    </row>
    <row r="590" spans="1:17">
      <c r="A590" s="556" t="s">
        <v>3548</v>
      </c>
      <c r="B590" s="557"/>
      <c r="C590" s="558" t="s">
        <v>1616</v>
      </c>
      <c r="D590" s="556" t="s">
        <v>3910</v>
      </c>
      <c r="E590" s="17" t="s">
        <v>4012</v>
      </c>
      <c r="F590" s="17">
        <v>15</v>
      </c>
      <c r="G590" s="17">
        <v>4</v>
      </c>
      <c r="H590" s="17" t="s">
        <v>3391</v>
      </c>
      <c r="I590" s="17"/>
      <c r="J590" s="17"/>
      <c r="K590" s="17"/>
      <c r="L590" s="17"/>
      <c r="M590" s="17"/>
      <c r="N590" s="17"/>
      <c r="O590" s="17"/>
      <c r="P590" s="17"/>
      <c r="Q590" s="17"/>
    </row>
    <row r="591" spans="1:17">
      <c r="A591" s="556" t="s">
        <v>3548</v>
      </c>
      <c r="B591" s="557"/>
      <c r="C591" s="558" t="s">
        <v>1616</v>
      </c>
      <c r="D591" s="556" t="s">
        <v>3912</v>
      </c>
      <c r="E591" s="17" t="s">
        <v>4013</v>
      </c>
      <c r="F591" s="17">
        <v>15</v>
      </c>
      <c r="G591" s="17">
        <v>5</v>
      </c>
      <c r="H591" s="17" t="s">
        <v>3392</v>
      </c>
      <c r="I591" s="17"/>
      <c r="J591" s="17"/>
      <c r="K591" s="17"/>
      <c r="L591" s="17"/>
      <c r="M591" s="17"/>
      <c r="N591" s="17"/>
      <c r="O591" s="17"/>
      <c r="P591" s="17"/>
      <c r="Q591" s="17"/>
    </row>
    <row r="592" spans="1:17">
      <c r="A592" s="556" t="s">
        <v>3548</v>
      </c>
      <c r="B592" s="557"/>
      <c r="C592" s="558" t="s">
        <v>1616</v>
      </c>
      <c r="D592" s="556" t="s">
        <v>3914</v>
      </c>
      <c r="E592" s="17" t="s">
        <v>4014</v>
      </c>
      <c r="F592" s="17">
        <v>15</v>
      </c>
      <c r="G592" s="17">
        <v>6</v>
      </c>
      <c r="H592" s="17" t="s">
        <v>3393</v>
      </c>
      <c r="I592" s="17"/>
      <c r="J592" s="17"/>
      <c r="K592" s="17"/>
      <c r="L592" s="17"/>
      <c r="M592" s="17"/>
      <c r="N592" s="17"/>
      <c r="O592" s="17"/>
      <c r="P592" s="17"/>
      <c r="Q592" s="17"/>
    </row>
    <row r="593" spans="1:17">
      <c r="A593" s="556" t="s">
        <v>3548</v>
      </c>
      <c r="B593" s="557"/>
      <c r="C593" s="558" t="s">
        <v>1616</v>
      </c>
      <c r="D593" s="556" t="s">
        <v>3916</v>
      </c>
      <c r="E593" s="17" t="s">
        <v>4015</v>
      </c>
      <c r="F593" s="17">
        <v>15</v>
      </c>
      <c r="G593" s="17">
        <v>7</v>
      </c>
      <c r="H593" s="17" t="s">
        <v>3464</v>
      </c>
      <c r="I593" s="17">
        <v>0</v>
      </c>
      <c r="J593" s="17"/>
      <c r="K593" s="17"/>
      <c r="L593" s="17"/>
      <c r="M593" s="17"/>
      <c r="N593" s="17"/>
      <c r="O593" s="17"/>
      <c r="P593" s="17"/>
      <c r="Q593" s="17"/>
    </row>
    <row r="594" spans="1:17">
      <c r="A594" s="556" t="s">
        <v>3548</v>
      </c>
      <c r="B594" s="557"/>
      <c r="C594" s="558" t="s">
        <v>1617</v>
      </c>
      <c r="D594" s="556" t="s">
        <v>3904</v>
      </c>
      <c r="E594" s="17" t="s">
        <v>4016</v>
      </c>
      <c r="F594" s="17">
        <v>16</v>
      </c>
      <c r="G594" s="17">
        <v>1</v>
      </c>
      <c r="H594" s="17" t="s">
        <v>7793</v>
      </c>
      <c r="I594" s="17"/>
      <c r="J594" s="17"/>
      <c r="K594" s="17"/>
      <c r="L594" s="17"/>
      <c r="M594" s="17"/>
      <c r="N594" s="17"/>
      <c r="O594" s="17"/>
      <c r="P594" s="17"/>
      <c r="Q594" s="17"/>
    </row>
    <row r="595" spans="1:17">
      <c r="A595" s="556" t="s">
        <v>3548</v>
      </c>
      <c r="B595" s="557"/>
      <c r="C595" s="558" t="s">
        <v>1617</v>
      </c>
      <c r="D595" s="556" t="s">
        <v>3906</v>
      </c>
      <c r="E595" s="17" t="s">
        <v>4017</v>
      </c>
      <c r="F595" s="17">
        <v>16</v>
      </c>
      <c r="G595" s="17">
        <v>2</v>
      </c>
      <c r="H595" s="17" t="s">
        <v>7794</v>
      </c>
      <c r="I595" s="17"/>
      <c r="J595" s="17"/>
      <c r="K595" s="17"/>
      <c r="L595" s="17"/>
      <c r="M595" s="17"/>
      <c r="N595" s="17"/>
      <c r="O595" s="17"/>
      <c r="P595" s="17"/>
      <c r="Q595" s="17"/>
    </row>
    <row r="596" spans="1:17">
      <c r="A596" s="556" t="s">
        <v>3548</v>
      </c>
      <c r="B596" s="557"/>
      <c r="C596" s="558" t="s">
        <v>1617</v>
      </c>
      <c r="D596" s="556" t="s">
        <v>3908</v>
      </c>
      <c r="E596" s="17" t="s">
        <v>4018</v>
      </c>
      <c r="F596" s="17">
        <v>16</v>
      </c>
      <c r="G596" s="17">
        <v>3</v>
      </c>
      <c r="H596" s="17" t="s">
        <v>3394</v>
      </c>
      <c r="I596" s="17"/>
      <c r="J596" s="17"/>
      <c r="K596" s="17"/>
      <c r="L596" s="17"/>
      <c r="M596" s="17"/>
      <c r="N596" s="17"/>
      <c r="O596" s="17"/>
      <c r="P596" s="17"/>
      <c r="Q596" s="17"/>
    </row>
    <row r="597" spans="1:17">
      <c r="A597" s="556" t="s">
        <v>3548</v>
      </c>
      <c r="B597" s="557"/>
      <c r="C597" s="558" t="s">
        <v>1617</v>
      </c>
      <c r="D597" s="556" t="s">
        <v>3910</v>
      </c>
      <c r="E597" s="17" t="s">
        <v>4019</v>
      </c>
      <c r="F597" s="17">
        <v>16</v>
      </c>
      <c r="G597" s="17">
        <v>4</v>
      </c>
      <c r="H597" s="17" t="s">
        <v>3395</v>
      </c>
      <c r="I597" s="17"/>
      <c r="J597" s="17"/>
      <c r="K597" s="17"/>
      <c r="L597" s="17"/>
      <c r="M597" s="17"/>
      <c r="N597" s="17"/>
      <c r="O597" s="17"/>
      <c r="P597" s="17"/>
      <c r="Q597" s="17"/>
    </row>
    <row r="598" spans="1:17">
      <c r="A598" s="556" t="s">
        <v>3548</v>
      </c>
      <c r="B598" s="557"/>
      <c r="C598" s="558" t="s">
        <v>1617</v>
      </c>
      <c r="D598" s="556" t="s">
        <v>3912</v>
      </c>
      <c r="E598" s="17" t="s">
        <v>4020</v>
      </c>
      <c r="F598" s="17">
        <v>16</v>
      </c>
      <c r="G598" s="17">
        <v>5</v>
      </c>
      <c r="H598" s="17" t="s">
        <v>3396</v>
      </c>
      <c r="I598" s="17"/>
      <c r="J598" s="17"/>
      <c r="K598" s="17"/>
      <c r="L598" s="17"/>
      <c r="M598" s="17"/>
      <c r="N598" s="17"/>
      <c r="O598" s="17"/>
      <c r="P598" s="17"/>
      <c r="Q598" s="17"/>
    </row>
    <row r="599" spans="1:17">
      <c r="A599" s="556" t="s">
        <v>3548</v>
      </c>
      <c r="B599" s="557"/>
      <c r="C599" s="558" t="s">
        <v>1617</v>
      </c>
      <c r="D599" s="556" t="s">
        <v>3914</v>
      </c>
      <c r="E599" s="17" t="s">
        <v>4021</v>
      </c>
      <c r="F599" s="17">
        <v>16</v>
      </c>
      <c r="G599" s="17">
        <v>6</v>
      </c>
      <c r="H599" s="17" t="s">
        <v>3397</v>
      </c>
      <c r="I599" s="17"/>
      <c r="J599" s="17"/>
      <c r="K599" s="17"/>
      <c r="L599" s="17"/>
      <c r="M599" s="17"/>
      <c r="N599" s="17"/>
      <c r="O599" s="17"/>
      <c r="P599" s="17"/>
      <c r="Q599" s="17"/>
    </row>
    <row r="600" spans="1:17">
      <c r="A600" s="556" t="s">
        <v>3548</v>
      </c>
      <c r="B600" s="557"/>
      <c r="C600" s="558" t="s">
        <v>1617</v>
      </c>
      <c r="D600" s="556" t="s">
        <v>3916</v>
      </c>
      <c r="E600" s="17" t="s">
        <v>4022</v>
      </c>
      <c r="F600" s="17">
        <v>16</v>
      </c>
      <c r="G600" s="17">
        <v>7</v>
      </c>
      <c r="H600" s="17" t="s">
        <v>3465</v>
      </c>
      <c r="I600" s="17">
        <v>0</v>
      </c>
      <c r="J600" s="17"/>
      <c r="K600" s="17"/>
      <c r="L600" s="17"/>
      <c r="M600" s="17"/>
      <c r="N600" s="17"/>
      <c r="O600" s="17"/>
      <c r="P600" s="17"/>
      <c r="Q600" s="17"/>
    </row>
    <row r="601" spans="1:17">
      <c r="A601" s="556" t="s">
        <v>3548</v>
      </c>
      <c r="B601" s="557"/>
      <c r="C601" s="558" t="s">
        <v>1241</v>
      </c>
      <c r="D601" s="556" t="s">
        <v>3904</v>
      </c>
      <c r="E601" s="17" t="s">
        <v>4023</v>
      </c>
      <c r="F601" s="17">
        <v>17</v>
      </c>
      <c r="G601" s="17">
        <v>1</v>
      </c>
      <c r="H601" s="17" t="s">
        <v>7795</v>
      </c>
      <c r="I601" s="17">
        <v>0</v>
      </c>
      <c r="J601" s="17"/>
      <c r="K601" s="17"/>
      <c r="L601" s="17"/>
      <c r="M601" s="17"/>
      <c r="N601" s="17"/>
      <c r="O601" s="17"/>
      <c r="P601" s="17"/>
      <c r="Q601" s="17"/>
    </row>
    <row r="602" spans="1:17">
      <c r="A602" s="556" t="s">
        <v>3548</v>
      </c>
      <c r="B602" s="557"/>
      <c r="C602" s="558" t="s">
        <v>1241</v>
      </c>
      <c r="D602" s="556" t="s">
        <v>3906</v>
      </c>
      <c r="E602" s="17" t="s">
        <v>4024</v>
      </c>
      <c r="F602" s="17">
        <v>17</v>
      </c>
      <c r="G602" s="17">
        <v>2</v>
      </c>
      <c r="H602" s="17" t="s">
        <v>7796</v>
      </c>
      <c r="I602" s="17">
        <v>0</v>
      </c>
      <c r="J602" s="17"/>
      <c r="K602" s="17"/>
      <c r="L602" s="17"/>
      <c r="M602" s="17"/>
      <c r="N602" s="17"/>
      <c r="O602" s="17"/>
      <c r="P602" s="17"/>
      <c r="Q602" s="17"/>
    </row>
    <row r="603" spans="1:17">
      <c r="A603" s="556" t="s">
        <v>3548</v>
      </c>
      <c r="B603" s="557"/>
      <c r="C603" s="558" t="s">
        <v>1241</v>
      </c>
      <c r="D603" s="556" t="s">
        <v>3908</v>
      </c>
      <c r="E603" s="17" t="s">
        <v>4025</v>
      </c>
      <c r="F603" s="17">
        <v>17</v>
      </c>
      <c r="G603" s="17">
        <v>3</v>
      </c>
      <c r="H603" s="17" t="s">
        <v>3398</v>
      </c>
      <c r="I603" s="17">
        <v>0</v>
      </c>
      <c r="J603" s="17"/>
      <c r="K603" s="17"/>
      <c r="L603" s="17"/>
      <c r="M603" s="17"/>
      <c r="N603" s="17"/>
      <c r="O603" s="17"/>
      <c r="P603" s="17"/>
      <c r="Q603" s="17"/>
    </row>
    <row r="604" spans="1:17">
      <c r="A604" s="556" t="s">
        <v>3548</v>
      </c>
      <c r="B604" s="557"/>
      <c r="C604" s="558" t="s">
        <v>1241</v>
      </c>
      <c r="D604" s="556" t="s">
        <v>3910</v>
      </c>
      <c r="E604" s="17" t="s">
        <v>4026</v>
      </c>
      <c r="F604" s="17">
        <v>17</v>
      </c>
      <c r="G604" s="17">
        <v>4</v>
      </c>
      <c r="H604" s="17" t="s">
        <v>3399</v>
      </c>
      <c r="I604" s="17">
        <v>0</v>
      </c>
      <c r="J604" s="17"/>
      <c r="K604" s="17"/>
      <c r="L604" s="17"/>
      <c r="M604" s="17"/>
      <c r="N604" s="17"/>
      <c r="O604" s="17"/>
      <c r="P604" s="17"/>
      <c r="Q604" s="17"/>
    </row>
    <row r="605" spans="1:17">
      <c r="A605" s="556" t="s">
        <v>3548</v>
      </c>
      <c r="B605" s="557"/>
      <c r="C605" s="558" t="s">
        <v>1241</v>
      </c>
      <c r="D605" s="556" t="s">
        <v>3912</v>
      </c>
      <c r="E605" s="17" t="s">
        <v>4027</v>
      </c>
      <c r="F605" s="17">
        <v>17</v>
      </c>
      <c r="G605" s="17">
        <v>5</v>
      </c>
      <c r="H605" s="17" t="s">
        <v>3400</v>
      </c>
      <c r="I605" s="17">
        <v>0</v>
      </c>
      <c r="J605" s="17"/>
      <c r="K605" s="17"/>
      <c r="L605" s="17"/>
      <c r="M605" s="17"/>
      <c r="N605" s="17"/>
      <c r="O605" s="17"/>
      <c r="P605" s="17"/>
      <c r="Q605" s="17"/>
    </row>
    <row r="606" spans="1:17">
      <c r="A606" s="556" t="s">
        <v>3548</v>
      </c>
      <c r="B606" s="557"/>
      <c r="C606" s="558" t="s">
        <v>1241</v>
      </c>
      <c r="D606" s="556" t="s">
        <v>3914</v>
      </c>
      <c r="E606" s="17" t="s">
        <v>4028</v>
      </c>
      <c r="F606" s="17">
        <v>17</v>
      </c>
      <c r="G606" s="17">
        <v>6</v>
      </c>
      <c r="H606" s="17" t="s">
        <v>3401</v>
      </c>
      <c r="I606" s="17">
        <v>0</v>
      </c>
      <c r="J606" s="17"/>
      <c r="K606" s="17"/>
      <c r="L606" s="17"/>
      <c r="M606" s="17"/>
      <c r="N606" s="17"/>
      <c r="O606" s="17"/>
      <c r="P606" s="17"/>
      <c r="Q606" s="17"/>
    </row>
    <row r="607" spans="1:17">
      <c r="A607" s="556" t="s">
        <v>3548</v>
      </c>
      <c r="B607" s="557"/>
      <c r="C607" s="558" t="s">
        <v>1241</v>
      </c>
      <c r="D607" s="556" t="s">
        <v>3916</v>
      </c>
      <c r="E607" s="17" t="s">
        <v>4029</v>
      </c>
      <c r="F607" s="17">
        <v>17</v>
      </c>
      <c r="G607" s="17">
        <v>7</v>
      </c>
      <c r="H607" s="17" t="s">
        <v>3466</v>
      </c>
      <c r="I607" s="17">
        <v>0</v>
      </c>
      <c r="J607" s="17"/>
      <c r="K607" s="17"/>
      <c r="L607" s="17"/>
      <c r="M607" s="17"/>
      <c r="N607" s="17"/>
      <c r="O607" s="17"/>
      <c r="P607" s="17"/>
      <c r="Q607" s="17"/>
    </row>
    <row r="608" spans="1:17">
      <c r="A608" s="556" t="s">
        <v>3548</v>
      </c>
      <c r="B608" s="557"/>
      <c r="C608" s="558" t="s">
        <v>1174</v>
      </c>
      <c r="D608" s="556" t="s">
        <v>3904</v>
      </c>
      <c r="E608" s="17" t="s">
        <v>4030</v>
      </c>
      <c r="F608" s="17">
        <v>18</v>
      </c>
      <c r="G608" s="17">
        <v>1</v>
      </c>
      <c r="H608" s="17" t="s">
        <v>7797</v>
      </c>
      <c r="I608" s="17"/>
      <c r="J608" s="17"/>
      <c r="K608" s="17"/>
      <c r="L608" s="17"/>
      <c r="M608" s="17"/>
      <c r="N608" s="17"/>
      <c r="O608" s="17"/>
      <c r="P608" s="17"/>
      <c r="Q608" s="17"/>
    </row>
    <row r="609" spans="1:17">
      <c r="A609" s="556" t="s">
        <v>3548</v>
      </c>
      <c r="B609" s="557"/>
      <c r="C609" s="558" t="s">
        <v>1174</v>
      </c>
      <c r="D609" s="556" t="s">
        <v>3906</v>
      </c>
      <c r="E609" s="17" t="s">
        <v>4031</v>
      </c>
      <c r="F609" s="17">
        <v>18</v>
      </c>
      <c r="G609" s="17">
        <v>2</v>
      </c>
      <c r="H609" s="17" t="s">
        <v>7798</v>
      </c>
      <c r="I609" s="17"/>
      <c r="J609" s="17"/>
      <c r="K609" s="17"/>
      <c r="L609" s="17"/>
      <c r="M609" s="17"/>
      <c r="N609" s="17"/>
      <c r="O609" s="17"/>
      <c r="P609" s="17"/>
      <c r="Q609" s="17"/>
    </row>
    <row r="610" spans="1:17">
      <c r="A610" s="556" t="s">
        <v>3548</v>
      </c>
      <c r="B610" s="557"/>
      <c r="C610" s="558" t="s">
        <v>1174</v>
      </c>
      <c r="D610" s="556" t="s">
        <v>3908</v>
      </c>
      <c r="E610" s="17" t="s">
        <v>4032</v>
      </c>
      <c r="F610" s="17">
        <v>18</v>
      </c>
      <c r="G610" s="17">
        <v>3</v>
      </c>
      <c r="H610" s="17" t="s">
        <v>3402</v>
      </c>
      <c r="I610" s="17"/>
      <c r="J610" s="17"/>
      <c r="K610" s="17"/>
      <c r="L610" s="17"/>
      <c r="M610" s="17"/>
      <c r="N610" s="17"/>
      <c r="O610" s="17"/>
      <c r="P610" s="17"/>
      <c r="Q610" s="17"/>
    </row>
    <row r="611" spans="1:17">
      <c r="A611" s="556" t="s">
        <v>3548</v>
      </c>
      <c r="B611" s="557"/>
      <c r="C611" s="558" t="s">
        <v>1174</v>
      </c>
      <c r="D611" s="556" t="s">
        <v>3910</v>
      </c>
      <c r="E611" s="17" t="s">
        <v>4033</v>
      </c>
      <c r="F611" s="17">
        <v>18</v>
      </c>
      <c r="G611" s="17">
        <v>4</v>
      </c>
      <c r="H611" s="17" t="s">
        <v>3403</v>
      </c>
      <c r="I611" s="17"/>
      <c r="J611" s="17"/>
      <c r="K611" s="17"/>
      <c r="L611" s="17"/>
      <c r="M611" s="17"/>
      <c r="N611" s="17"/>
      <c r="O611" s="17"/>
      <c r="P611" s="17"/>
      <c r="Q611" s="17"/>
    </row>
    <row r="612" spans="1:17">
      <c r="A612" s="556" t="s">
        <v>3548</v>
      </c>
      <c r="B612" s="557"/>
      <c r="C612" s="558" t="s">
        <v>1174</v>
      </c>
      <c r="D612" s="556" t="s">
        <v>3912</v>
      </c>
      <c r="E612" s="17" t="s">
        <v>4034</v>
      </c>
      <c r="F612" s="17">
        <v>18</v>
      </c>
      <c r="G612" s="17">
        <v>5</v>
      </c>
      <c r="H612" s="17" t="s">
        <v>3404</v>
      </c>
      <c r="I612" s="17"/>
      <c r="J612" s="17"/>
      <c r="K612" s="17"/>
      <c r="L612" s="17"/>
      <c r="M612" s="17"/>
      <c r="N612" s="17"/>
      <c r="O612" s="17"/>
      <c r="P612" s="17"/>
      <c r="Q612" s="17"/>
    </row>
    <row r="613" spans="1:17">
      <c r="A613" s="556" t="s">
        <v>3548</v>
      </c>
      <c r="B613" s="557"/>
      <c r="C613" s="558" t="s">
        <v>1174</v>
      </c>
      <c r="D613" s="556" t="s">
        <v>3914</v>
      </c>
      <c r="E613" s="17" t="s">
        <v>4035</v>
      </c>
      <c r="F613" s="17">
        <v>18</v>
      </c>
      <c r="G613" s="17">
        <v>6</v>
      </c>
      <c r="H613" s="17" t="s">
        <v>3405</v>
      </c>
      <c r="I613" s="17"/>
      <c r="J613" s="17"/>
      <c r="K613" s="17"/>
      <c r="L613" s="17"/>
      <c r="M613" s="17"/>
      <c r="N613" s="17"/>
      <c r="O613" s="17"/>
      <c r="P613" s="17"/>
      <c r="Q613" s="17"/>
    </row>
    <row r="614" spans="1:17">
      <c r="A614" s="556" t="s">
        <v>3548</v>
      </c>
      <c r="B614" s="557"/>
      <c r="C614" s="558" t="s">
        <v>1174</v>
      </c>
      <c r="D614" s="556" t="s">
        <v>3916</v>
      </c>
      <c r="E614" s="17" t="s">
        <v>4036</v>
      </c>
      <c r="F614" s="17">
        <v>18</v>
      </c>
      <c r="G614" s="17">
        <v>7</v>
      </c>
      <c r="H614" s="17" t="s">
        <v>3467</v>
      </c>
      <c r="I614" s="17">
        <v>0</v>
      </c>
      <c r="J614" s="17"/>
      <c r="K614" s="17"/>
      <c r="L614" s="17"/>
      <c r="M614" s="17"/>
      <c r="N614" s="17"/>
      <c r="O614" s="17"/>
      <c r="P614" s="17"/>
      <c r="Q614" s="17"/>
    </row>
    <row r="615" spans="1:17">
      <c r="A615" s="556" t="s">
        <v>3548</v>
      </c>
      <c r="B615" s="557"/>
      <c r="C615" s="558" t="s">
        <v>1242</v>
      </c>
      <c r="D615" s="556" t="s">
        <v>3904</v>
      </c>
      <c r="E615" s="17" t="s">
        <v>4037</v>
      </c>
      <c r="F615" s="17">
        <v>19</v>
      </c>
      <c r="G615" s="17">
        <v>1</v>
      </c>
      <c r="H615" s="17" t="s">
        <v>7799</v>
      </c>
      <c r="I615" s="17"/>
      <c r="J615" s="17"/>
      <c r="K615" s="17"/>
      <c r="L615" s="17"/>
      <c r="M615" s="17"/>
      <c r="N615" s="17"/>
      <c r="O615" s="17"/>
      <c r="P615" s="17"/>
      <c r="Q615" s="17"/>
    </row>
    <row r="616" spans="1:17">
      <c r="A616" s="556" t="s">
        <v>3548</v>
      </c>
      <c r="B616" s="557"/>
      <c r="C616" s="558" t="s">
        <v>1242</v>
      </c>
      <c r="D616" s="556" t="s">
        <v>3906</v>
      </c>
      <c r="E616" s="17" t="s">
        <v>4038</v>
      </c>
      <c r="F616" s="17">
        <v>19</v>
      </c>
      <c r="G616" s="17">
        <v>2</v>
      </c>
      <c r="H616" s="17" t="s">
        <v>7800</v>
      </c>
      <c r="I616" s="17"/>
      <c r="J616" s="17"/>
      <c r="K616" s="17"/>
      <c r="L616" s="17"/>
      <c r="M616" s="17"/>
      <c r="N616" s="17"/>
      <c r="O616" s="17"/>
      <c r="P616" s="17"/>
      <c r="Q616" s="17"/>
    </row>
    <row r="617" spans="1:17">
      <c r="A617" s="556" t="s">
        <v>3548</v>
      </c>
      <c r="B617" s="557"/>
      <c r="C617" s="558" t="s">
        <v>1242</v>
      </c>
      <c r="D617" s="556" t="s">
        <v>3908</v>
      </c>
      <c r="E617" s="17" t="s">
        <v>4039</v>
      </c>
      <c r="F617" s="17">
        <v>19</v>
      </c>
      <c r="G617" s="17">
        <v>3</v>
      </c>
      <c r="H617" s="17" t="s">
        <v>3406</v>
      </c>
      <c r="I617" s="17"/>
      <c r="J617" s="17"/>
      <c r="K617" s="17"/>
      <c r="L617" s="17"/>
      <c r="M617" s="17"/>
      <c r="N617" s="17"/>
      <c r="O617" s="17"/>
      <c r="P617" s="17"/>
      <c r="Q617" s="17"/>
    </row>
    <row r="618" spans="1:17">
      <c r="A618" s="556" t="s">
        <v>3548</v>
      </c>
      <c r="B618" s="557"/>
      <c r="C618" s="558" t="s">
        <v>1242</v>
      </c>
      <c r="D618" s="556" t="s">
        <v>3910</v>
      </c>
      <c r="E618" s="17" t="s">
        <v>4040</v>
      </c>
      <c r="F618" s="17">
        <v>19</v>
      </c>
      <c r="G618" s="17">
        <v>4</v>
      </c>
      <c r="H618" s="17" t="s">
        <v>3407</v>
      </c>
      <c r="I618" s="17"/>
      <c r="J618" s="17"/>
      <c r="K618" s="17"/>
      <c r="L618" s="17"/>
      <c r="M618" s="17"/>
      <c r="N618" s="17"/>
      <c r="O618" s="17"/>
      <c r="P618" s="17"/>
      <c r="Q618" s="17"/>
    </row>
    <row r="619" spans="1:17">
      <c r="A619" s="556" t="s">
        <v>3548</v>
      </c>
      <c r="B619" s="557"/>
      <c r="C619" s="558" t="s">
        <v>1242</v>
      </c>
      <c r="D619" s="556" t="s">
        <v>3912</v>
      </c>
      <c r="E619" s="17" t="s">
        <v>4041</v>
      </c>
      <c r="F619" s="17">
        <v>19</v>
      </c>
      <c r="G619" s="17">
        <v>5</v>
      </c>
      <c r="H619" s="17" t="s">
        <v>3408</v>
      </c>
      <c r="I619" s="17"/>
      <c r="J619" s="17"/>
      <c r="K619" s="17"/>
      <c r="L619" s="17"/>
      <c r="M619" s="17"/>
      <c r="N619" s="17"/>
      <c r="O619" s="17"/>
      <c r="P619" s="17"/>
      <c r="Q619" s="17"/>
    </row>
    <row r="620" spans="1:17">
      <c r="A620" s="556" t="s">
        <v>3548</v>
      </c>
      <c r="B620" s="557"/>
      <c r="C620" s="558" t="s">
        <v>1242</v>
      </c>
      <c r="D620" s="556" t="s">
        <v>3914</v>
      </c>
      <c r="E620" s="17" t="s">
        <v>4042</v>
      </c>
      <c r="F620" s="17">
        <v>19</v>
      </c>
      <c r="G620" s="17">
        <v>6</v>
      </c>
      <c r="H620" s="17" t="s">
        <v>3409</v>
      </c>
      <c r="I620" s="17"/>
      <c r="J620" s="17"/>
      <c r="K620" s="17"/>
      <c r="L620" s="17"/>
      <c r="M620" s="17"/>
      <c r="N620" s="17"/>
      <c r="O620" s="17"/>
      <c r="P620" s="17"/>
      <c r="Q620" s="17"/>
    </row>
    <row r="621" spans="1:17">
      <c r="A621" s="556" t="s">
        <v>3548</v>
      </c>
      <c r="B621" s="557"/>
      <c r="C621" s="558" t="s">
        <v>1242</v>
      </c>
      <c r="D621" s="556" t="s">
        <v>3916</v>
      </c>
      <c r="E621" s="17" t="s">
        <v>4043</v>
      </c>
      <c r="F621" s="17">
        <v>19</v>
      </c>
      <c r="G621" s="17">
        <v>7</v>
      </c>
      <c r="H621" s="17" t="s">
        <v>3468</v>
      </c>
      <c r="I621" s="17">
        <v>0</v>
      </c>
      <c r="J621" s="17"/>
      <c r="K621" s="17"/>
      <c r="L621" s="17"/>
      <c r="M621" s="17"/>
      <c r="N621" s="17"/>
      <c r="O621" s="17"/>
      <c r="P621" s="17"/>
      <c r="Q621" s="17"/>
    </row>
    <row r="622" spans="1:17">
      <c r="A622" s="556" t="s">
        <v>3548</v>
      </c>
      <c r="B622" s="557"/>
      <c r="C622" s="558" t="s">
        <v>1232</v>
      </c>
      <c r="D622" s="556" t="s">
        <v>3904</v>
      </c>
      <c r="E622" s="17" t="s">
        <v>4044</v>
      </c>
      <c r="F622" s="17">
        <v>20</v>
      </c>
      <c r="G622" s="17">
        <v>1</v>
      </c>
      <c r="H622" s="17" t="s">
        <v>7801</v>
      </c>
      <c r="I622" s="17">
        <v>0</v>
      </c>
      <c r="J622" s="17"/>
      <c r="K622" s="17"/>
      <c r="L622" s="17"/>
      <c r="M622" s="17"/>
      <c r="N622" s="17"/>
      <c r="O622" s="17"/>
      <c r="P622" s="17"/>
      <c r="Q622" s="17"/>
    </row>
    <row r="623" spans="1:17">
      <c r="A623" s="556" t="s">
        <v>3548</v>
      </c>
      <c r="B623" s="557"/>
      <c r="C623" s="558" t="s">
        <v>1232</v>
      </c>
      <c r="D623" s="556" t="s">
        <v>3906</v>
      </c>
      <c r="E623" s="17" t="s">
        <v>4045</v>
      </c>
      <c r="F623" s="17">
        <v>20</v>
      </c>
      <c r="G623" s="17">
        <v>2</v>
      </c>
      <c r="H623" s="17" t="s">
        <v>7802</v>
      </c>
      <c r="I623" s="17">
        <v>0</v>
      </c>
      <c r="J623" s="17"/>
      <c r="K623" s="17"/>
      <c r="L623" s="17"/>
      <c r="M623" s="17"/>
      <c r="N623" s="17"/>
      <c r="O623" s="17"/>
      <c r="P623" s="17"/>
      <c r="Q623" s="17"/>
    </row>
    <row r="624" spans="1:17">
      <c r="A624" s="556" t="s">
        <v>3548</v>
      </c>
      <c r="B624" s="557"/>
      <c r="C624" s="558" t="s">
        <v>1232</v>
      </c>
      <c r="D624" s="556" t="s">
        <v>3908</v>
      </c>
      <c r="E624" s="17" t="s">
        <v>4046</v>
      </c>
      <c r="F624" s="17">
        <v>20</v>
      </c>
      <c r="G624" s="17">
        <v>3</v>
      </c>
      <c r="H624" s="17" t="s">
        <v>3410</v>
      </c>
      <c r="I624" s="17">
        <v>0</v>
      </c>
      <c r="J624" s="17"/>
      <c r="K624" s="17"/>
      <c r="L624" s="17"/>
      <c r="M624" s="17"/>
      <c r="N624" s="17"/>
      <c r="O624" s="17"/>
      <c r="P624" s="17"/>
      <c r="Q624" s="17"/>
    </row>
    <row r="625" spans="1:17">
      <c r="A625" s="556" t="s">
        <v>3548</v>
      </c>
      <c r="B625" s="557"/>
      <c r="C625" s="558" t="s">
        <v>1232</v>
      </c>
      <c r="D625" s="556" t="s">
        <v>3910</v>
      </c>
      <c r="E625" s="17" t="s">
        <v>4047</v>
      </c>
      <c r="F625" s="17">
        <v>20</v>
      </c>
      <c r="G625" s="17">
        <v>4</v>
      </c>
      <c r="H625" s="17" t="s">
        <v>3411</v>
      </c>
      <c r="I625" s="17">
        <v>0</v>
      </c>
      <c r="J625" s="17"/>
      <c r="K625" s="17"/>
      <c r="L625" s="17"/>
      <c r="M625" s="17"/>
      <c r="N625" s="17"/>
      <c r="O625" s="17"/>
      <c r="P625" s="17"/>
      <c r="Q625" s="17"/>
    </row>
    <row r="626" spans="1:17">
      <c r="A626" s="556" t="s">
        <v>3548</v>
      </c>
      <c r="B626" s="557"/>
      <c r="C626" s="558" t="s">
        <v>1232</v>
      </c>
      <c r="D626" s="556" t="s">
        <v>3912</v>
      </c>
      <c r="E626" s="17" t="s">
        <v>4048</v>
      </c>
      <c r="F626" s="17">
        <v>20</v>
      </c>
      <c r="G626" s="17">
        <v>5</v>
      </c>
      <c r="H626" s="17" t="s">
        <v>3412</v>
      </c>
      <c r="I626" s="17">
        <v>0</v>
      </c>
      <c r="J626" s="17"/>
      <c r="K626" s="17"/>
      <c r="L626" s="17"/>
      <c r="M626" s="17"/>
      <c r="N626" s="17"/>
      <c r="O626" s="17"/>
      <c r="P626" s="17"/>
      <c r="Q626" s="17"/>
    </row>
    <row r="627" spans="1:17">
      <c r="A627" s="556" t="s">
        <v>3548</v>
      </c>
      <c r="B627" s="557"/>
      <c r="C627" s="558" t="s">
        <v>1232</v>
      </c>
      <c r="D627" s="556" t="s">
        <v>3914</v>
      </c>
      <c r="E627" s="17" t="s">
        <v>4049</v>
      </c>
      <c r="F627" s="17">
        <v>20</v>
      </c>
      <c r="G627" s="17">
        <v>6</v>
      </c>
      <c r="H627" s="17" t="s">
        <v>3413</v>
      </c>
      <c r="I627" s="17">
        <v>0</v>
      </c>
      <c r="J627" s="17"/>
      <c r="K627" s="17"/>
      <c r="L627" s="17"/>
      <c r="M627" s="17"/>
      <c r="N627" s="17"/>
      <c r="O627" s="17"/>
      <c r="P627" s="17"/>
      <c r="Q627" s="17"/>
    </row>
    <row r="628" spans="1:17">
      <c r="A628" s="556" t="s">
        <v>3548</v>
      </c>
      <c r="B628" s="557"/>
      <c r="C628" s="558" t="s">
        <v>1232</v>
      </c>
      <c r="D628" s="556" t="s">
        <v>3916</v>
      </c>
      <c r="E628" s="17" t="s">
        <v>4050</v>
      </c>
      <c r="F628" s="17">
        <v>20</v>
      </c>
      <c r="G628" s="17">
        <v>7</v>
      </c>
      <c r="H628" s="17" t="s">
        <v>3469</v>
      </c>
      <c r="I628" s="17">
        <v>0</v>
      </c>
      <c r="J628" s="17"/>
      <c r="K628" s="17"/>
      <c r="L628" s="17"/>
      <c r="M628" s="17"/>
      <c r="N628" s="17"/>
      <c r="O628" s="17"/>
      <c r="P628" s="17"/>
      <c r="Q628" s="17"/>
    </row>
    <row r="629" spans="1:17">
      <c r="A629" s="556" t="s">
        <v>3550</v>
      </c>
      <c r="B629" s="557"/>
      <c r="C629" s="558" t="s">
        <v>1638</v>
      </c>
      <c r="D629" s="556" t="s">
        <v>4051</v>
      </c>
      <c r="E629" s="17" t="s">
        <v>4052</v>
      </c>
      <c r="F629" s="17">
        <v>1</v>
      </c>
      <c r="G629" s="17">
        <v>1</v>
      </c>
      <c r="H629" s="17" t="s">
        <v>3326</v>
      </c>
      <c r="I629" s="17"/>
      <c r="J629" s="17"/>
      <c r="K629" s="17"/>
      <c r="L629" s="17"/>
      <c r="M629" s="17"/>
      <c r="N629" s="17"/>
      <c r="O629" s="17"/>
      <c r="P629" s="17"/>
      <c r="Q629" s="17"/>
    </row>
    <row r="630" spans="1:17">
      <c r="A630" s="556" t="s">
        <v>3550</v>
      </c>
      <c r="B630" s="557"/>
      <c r="C630" s="558" t="s">
        <v>1638</v>
      </c>
      <c r="D630" s="556" t="s">
        <v>3904</v>
      </c>
      <c r="E630" s="17" t="s">
        <v>4053</v>
      </c>
      <c r="F630" s="17">
        <v>1</v>
      </c>
      <c r="G630" s="17">
        <v>2</v>
      </c>
      <c r="H630" s="17" t="s">
        <v>2990</v>
      </c>
      <c r="I630" s="17"/>
      <c r="J630" s="17"/>
      <c r="K630" s="17"/>
      <c r="L630" s="17"/>
      <c r="M630" s="17"/>
      <c r="N630" s="17"/>
      <c r="O630" s="17"/>
      <c r="P630" s="17"/>
      <c r="Q630" s="17"/>
    </row>
    <row r="631" spans="1:17">
      <c r="A631" s="556" t="s">
        <v>3550</v>
      </c>
      <c r="B631" s="557"/>
      <c r="C631" s="558" t="s">
        <v>1638</v>
      </c>
      <c r="D631" s="556" t="s">
        <v>3906</v>
      </c>
      <c r="E631" s="17" t="s">
        <v>4054</v>
      </c>
      <c r="F631" s="17">
        <v>1</v>
      </c>
      <c r="G631" s="17">
        <v>3</v>
      </c>
      <c r="H631" s="17" t="s">
        <v>3338</v>
      </c>
      <c r="I631" s="17"/>
      <c r="J631" s="17"/>
      <c r="K631" s="17"/>
      <c r="L631" s="17"/>
      <c r="M631" s="17"/>
      <c r="N631" s="17"/>
      <c r="O631" s="17"/>
      <c r="P631" s="17"/>
      <c r="Q631" s="17"/>
    </row>
    <row r="632" spans="1:17">
      <c r="A632" s="556" t="s">
        <v>3550</v>
      </c>
      <c r="B632" s="557"/>
      <c r="C632" s="558" t="s">
        <v>1638</v>
      </c>
      <c r="D632" s="556" t="s">
        <v>3908</v>
      </c>
      <c r="E632" s="17" t="s">
        <v>4055</v>
      </c>
      <c r="F632" s="17">
        <v>1</v>
      </c>
      <c r="G632" s="17">
        <v>4</v>
      </c>
      <c r="H632" s="17" t="s">
        <v>2991</v>
      </c>
      <c r="I632" s="17"/>
      <c r="J632" s="17"/>
      <c r="K632" s="17"/>
      <c r="L632" s="17"/>
      <c r="M632" s="17"/>
      <c r="N632" s="17"/>
      <c r="O632" s="17"/>
      <c r="P632" s="17"/>
      <c r="Q632" s="17"/>
    </row>
    <row r="633" spans="1:17">
      <c r="A633" s="556" t="s">
        <v>3550</v>
      </c>
      <c r="B633" s="557"/>
      <c r="C633" s="558" t="s">
        <v>1638</v>
      </c>
      <c r="D633" s="556" t="s">
        <v>3910</v>
      </c>
      <c r="E633" s="17" t="s">
        <v>4056</v>
      </c>
      <c r="F633" s="17">
        <v>1</v>
      </c>
      <c r="G633" s="17">
        <v>5</v>
      </c>
      <c r="H633" s="17" t="s">
        <v>2992</v>
      </c>
      <c r="I633" s="17"/>
      <c r="J633" s="17"/>
      <c r="K633" s="17"/>
      <c r="L633" s="17"/>
      <c r="M633" s="17"/>
      <c r="N633" s="17"/>
      <c r="O633" s="17"/>
      <c r="P633" s="17"/>
      <c r="Q633" s="17"/>
    </row>
    <row r="634" spans="1:17">
      <c r="A634" s="556" t="s">
        <v>3550</v>
      </c>
      <c r="B634" s="557"/>
      <c r="C634" s="558" t="s">
        <v>1638</v>
      </c>
      <c r="D634" s="556" t="s">
        <v>3912</v>
      </c>
      <c r="E634" s="17" t="s">
        <v>4057</v>
      </c>
      <c r="F634" s="17">
        <v>1</v>
      </c>
      <c r="G634" s="17">
        <v>6</v>
      </c>
      <c r="H634" s="17" t="s">
        <v>3450</v>
      </c>
      <c r="I634" s="17"/>
      <c r="J634" s="17"/>
      <c r="K634" s="17"/>
      <c r="L634" s="17"/>
      <c r="M634" s="17"/>
      <c r="N634" s="17"/>
      <c r="O634" s="17"/>
      <c r="P634" s="17"/>
      <c r="Q634" s="17"/>
    </row>
    <row r="635" spans="1:17">
      <c r="A635" s="556" t="s">
        <v>3550</v>
      </c>
      <c r="B635" s="557"/>
      <c r="C635" s="558" t="s">
        <v>1638</v>
      </c>
      <c r="D635" s="556" t="s">
        <v>3914</v>
      </c>
      <c r="E635" s="17" t="s">
        <v>4058</v>
      </c>
      <c r="F635" s="17">
        <v>1</v>
      </c>
      <c r="G635" s="17">
        <v>7</v>
      </c>
      <c r="H635" s="17" t="s">
        <v>7803</v>
      </c>
      <c r="I635" s="17"/>
      <c r="J635" s="17"/>
      <c r="K635" s="17"/>
      <c r="L635" s="17"/>
      <c r="M635" s="17"/>
      <c r="N635" s="17"/>
      <c r="O635" s="17"/>
      <c r="P635" s="17"/>
      <c r="Q635" s="17"/>
    </row>
    <row r="636" spans="1:17">
      <c r="A636" s="556" t="s">
        <v>3550</v>
      </c>
      <c r="B636" s="557"/>
      <c r="C636" s="558" t="s">
        <v>1638</v>
      </c>
      <c r="D636" s="556" t="s">
        <v>3916</v>
      </c>
      <c r="E636" s="17" t="s">
        <v>4059</v>
      </c>
      <c r="F636" s="17">
        <v>1</v>
      </c>
      <c r="G636" s="17">
        <v>8</v>
      </c>
      <c r="H636" s="17" t="s">
        <v>3329</v>
      </c>
      <c r="I636" s="17">
        <v>0</v>
      </c>
      <c r="J636" s="17"/>
      <c r="K636" s="17"/>
      <c r="L636" s="17"/>
      <c r="M636" s="17"/>
      <c r="N636" s="17"/>
      <c r="O636" s="17"/>
      <c r="P636" s="17"/>
      <c r="Q636" s="17"/>
    </row>
    <row r="637" spans="1:17">
      <c r="A637" s="556" t="s">
        <v>3550</v>
      </c>
      <c r="B637" s="557"/>
      <c r="C637" s="558" t="s">
        <v>1639</v>
      </c>
      <c r="D637" s="556" t="s">
        <v>4051</v>
      </c>
      <c r="E637" s="17" t="s">
        <v>4060</v>
      </c>
      <c r="F637" s="17">
        <v>2</v>
      </c>
      <c r="G637" s="17">
        <v>1</v>
      </c>
      <c r="H637" s="17" t="s">
        <v>3525</v>
      </c>
      <c r="I637" s="17"/>
      <c r="J637" s="17"/>
      <c r="K637" s="17"/>
      <c r="L637" s="17"/>
      <c r="M637" s="17"/>
      <c r="N637" s="17"/>
      <c r="O637" s="17"/>
      <c r="P637" s="17"/>
      <c r="Q637" s="17"/>
    </row>
    <row r="638" spans="1:17">
      <c r="A638" s="556" t="s">
        <v>3550</v>
      </c>
      <c r="B638" s="557"/>
      <c r="C638" s="558" t="s">
        <v>1639</v>
      </c>
      <c r="D638" s="556" t="s">
        <v>3904</v>
      </c>
      <c r="E638" s="17" t="s">
        <v>4061</v>
      </c>
      <c r="F638" s="17">
        <v>2</v>
      </c>
      <c r="G638" s="17">
        <v>2</v>
      </c>
      <c r="H638" s="17" t="s">
        <v>3339</v>
      </c>
      <c r="I638" s="17"/>
      <c r="J638" s="17"/>
      <c r="K638" s="17"/>
      <c r="L638" s="17"/>
      <c r="M638" s="17"/>
      <c r="N638" s="17"/>
      <c r="O638" s="17"/>
      <c r="P638" s="17"/>
      <c r="Q638" s="17"/>
    </row>
    <row r="639" spans="1:17">
      <c r="A639" s="556" t="s">
        <v>3550</v>
      </c>
      <c r="B639" s="557"/>
      <c r="C639" s="558" t="s">
        <v>1639</v>
      </c>
      <c r="D639" s="556" t="s">
        <v>3906</v>
      </c>
      <c r="E639" s="17" t="s">
        <v>4062</v>
      </c>
      <c r="F639" s="17">
        <v>2</v>
      </c>
      <c r="G639" s="17">
        <v>3</v>
      </c>
      <c r="H639" s="17" t="s">
        <v>3340</v>
      </c>
      <c r="I639" s="17"/>
      <c r="J639" s="17"/>
      <c r="K639" s="17"/>
      <c r="L639" s="17"/>
      <c r="M639" s="17"/>
      <c r="N639" s="17"/>
      <c r="O639" s="17"/>
      <c r="P639" s="17"/>
      <c r="Q639" s="17"/>
    </row>
    <row r="640" spans="1:17">
      <c r="A640" s="556" t="s">
        <v>3550</v>
      </c>
      <c r="B640" s="557"/>
      <c r="C640" s="558" t="s">
        <v>1639</v>
      </c>
      <c r="D640" s="556" t="s">
        <v>3908</v>
      </c>
      <c r="E640" s="17" t="s">
        <v>4063</v>
      </c>
      <c r="F640" s="17">
        <v>2</v>
      </c>
      <c r="G640" s="17">
        <v>4</v>
      </c>
      <c r="H640" s="17" t="s">
        <v>3341</v>
      </c>
      <c r="I640" s="17"/>
      <c r="J640" s="17"/>
      <c r="K640" s="17"/>
      <c r="L640" s="17"/>
      <c r="M640" s="17"/>
      <c r="N640" s="17"/>
      <c r="O640" s="17"/>
      <c r="P640" s="17"/>
      <c r="Q640" s="17"/>
    </row>
    <row r="641" spans="1:17">
      <c r="A641" s="556" t="s">
        <v>3550</v>
      </c>
      <c r="B641" s="557"/>
      <c r="C641" s="558" t="s">
        <v>1639</v>
      </c>
      <c r="D641" s="556" t="s">
        <v>3910</v>
      </c>
      <c r="E641" s="17" t="s">
        <v>4064</v>
      </c>
      <c r="F641" s="17">
        <v>2</v>
      </c>
      <c r="G641" s="17">
        <v>5</v>
      </c>
      <c r="H641" s="17" t="s">
        <v>3342</v>
      </c>
      <c r="I641" s="17"/>
      <c r="J641" s="17"/>
      <c r="K641" s="17"/>
      <c r="L641" s="17"/>
      <c r="M641" s="17"/>
      <c r="N641" s="17"/>
      <c r="O641" s="17"/>
      <c r="P641" s="17"/>
      <c r="Q641" s="17"/>
    </row>
    <row r="642" spans="1:17">
      <c r="A642" s="556" t="s">
        <v>3550</v>
      </c>
      <c r="B642" s="557"/>
      <c r="C642" s="558" t="s">
        <v>1639</v>
      </c>
      <c r="D642" s="556" t="s">
        <v>3912</v>
      </c>
      <c r="E642" s="17" t="s">
        <v>4065</v>
      </c>
      <c r="F642" s="17">
        <v>2</v>
      </c>
      <c r="G642" s="17">
        <v>6</v>
      </c>
      <c r="H642" s="17" t="s">
        <v>3451</v>
      </c>
      <c r="I642" s="17"/>
      <c r="J642" s="17"/>
      <c r="K642" s="17"/>
      <c r="L642" s="17"/>
      <c r="M642" s="17"/>
      <c r="N642" s="17"/>
      <c r="O642" s="17"/>
      <c r="P642" s="17"/>
      <c r="Q642" s="17"/>
    </row>
    <row r="643" spans="1:17">
      <c r="A643" s="556" t="s">
        <v>3550</v>
      </c>
      <c r="B643" s="557"/>
      <c r="C643" s="558" t="s">
        <v>1639</v>
      </c>
      <c r="D643" s="556" t="s">
        <v>3914</v>
      </c>
      <c r="E643" s="17" t="s">
        <v>4066</v>
      </c>
      <c r="F643" s="17">
        <v>2</v>
      </c>
      <c r="G643" s="17">
        <v>7</v>
      </c>
      <c r="H643" s="17" t="s">
        <v>7804</v>
      </c>
      <c r="I643" s="17"/>
      <c r="J643" s="17"/>
      <c r="K643" s="17"/>
      <c r="L643" s="17"/>
      <c r="M643" s="17"/>
      <c r="N643" s="17"/>
      <c r="O643" s="17"/>
      <c r="P643" s="17"/>
      <c r="Q643" s="17"/>
    </row>
    <row r="644" spans="1:17">
      <c r="A644" s="556" t="s">
        <v>3550</v>
      </c>
      <c r="B644" s="557"/>
      <c r="C644" s="558" t="s">
        <v>1639</v>
      </c>
      <c r="D644" s="556" t="s">
        <v>3916</v>
      </c>
      <c r="E644" s="17" t="s">
        <v>4067</v>
      </c>
      <c r="F644" s="17">
        <v>2</v>
      </c>
      <c r="G644" s="17">
        <v>8</v>
      </c>
      <c r="H644" s="17" t="s">
        <v>3526</v>
      </c>
      <c r="I644" s="17">
        <v>0</v>
      </c>
      <c r="J644" s="17"/>
      <c r="K644" s="17"/>
      <c r="L644" s="17"/>
      <c r="M644" s="17"/>
      <c r="N644" s="17"/>
      <c r="O644" s="17"/>
      <c r="P644" s="17"/>
      <c r="Q644" s="17"/>
    </row>
    <row r="645" spans="1:17">
      <c r="A645" s="556" t="s">
        <v>3550</v>
      </c>
      <c r="B645" s="557"/>
      <c r="C645" s="558" t="s">
        <v>1640</v>
      </c>
      <c r="D645" s="556" t="s">
        <v>4051</v>
      </c>
      <c r="E645" s="17" t="s">
        <v>4068</v>
      </c>
      <c r="F645" s="17">
        <v>3</v>
      </c>
      <c r="G645" s="17">
        <v>1</v>
      </c>
      <c r="H645" s="17" t="s">
        <v>3697</v>
      </c>
      <c r="I645" s="17"/>
      <c r="J645" s="17"/>
      <c r="K645" s="17"/>
      <c r="L645" s="17"/>
      <c r="M645" s="17"/>
      <c r="N645" s="17"/>
      <c r="O645" s="17"/>
      <c r="P645" s="17"/>
      <c r="Q645" s="17"/>
    </row>
    <row r="646" spans="1:17">
      <c r="A646" s="556" t="s">
        <v>3550</v>
      </c>
      <c r="B646" s="557"/>
      <c r="C646" s="558" t="s">
        <v>1640</v>
      </c>
      <c r="D646" s="556" t="s">
        <v>3904</v>
      </c>
      <c r="E646" s="17" t="s">
        <v>4069</v>
      </c>
      <c r="F646" s="17">
        <v>3</v>
      </c>
      <c r="G646" s="17">
        <v>2</v>
      </c>
      <c r="H646" s="17" t="s">
        <v>3343</v>
      </c>
      <c r="I646" s="17"/>
      <c r="J646" s="17"/>
      <c r="K646" s="17"/>
      <c r="L646" s="17"/>
      <c r="M646" s="17"/>
      <c r="N646" s="17"/>
      <c r="O646" s="17"/>
      <c r="P646" s="17"/>
      <c r="Q646" s="17"/>
    </row>
    <row r="647" spans="1:17">
      <c r="A647" s="556" t="s">
        <v>3550</v>
      </c>
      <c r="B647" s="557"/>
      <c r="C647" s="558" t="s">
        <v>1640</v>
      </c>
      <c r="D647" s="556" t="s">
        <v>3906</v>
      </c>
      <c r="E647" s="17" t="s">
        <v>4070</v>
      </c>
      <c r="F647" s="17">
        <v>3</v>
      </c>
      <c r="G647" s="17">
        <v>3</v>
      </c>
      <c r="H647" s="17" t="s">
        <v>3344</v>
      </c>
      <c r="I647" s="17"/>
      <c r="J647" s="17"/>
      <c r="K647" s="17"/>
      <c r="L647" s="17"/>
      <c r="M647" s="17"/>
      <c r="N647" s="17"/>
      <c r="O647" s="17"/>
      <c r="P647" s="17"/>
      <c r="Q647" s="17"/>
    </row>
    <row r="648" spans="1:17">
      <c r="A648" s="556" t="s">
        <v>3550</v>
      </c>
      <c r="B648" s="557"/>
      <c r="C648" s="558" t="s">
        <v>1640</v>
      </c>
      <c r="D648" s="556" t="s">
        <v>3908</v>
      </c>
      <c r="E648" s="17" t="s">
        <v>4071</v>
      </c>
      <c r="F648" s="17">
        <v>3</v>
      </c>
      <c r="G648" s="17">
        <v>4</v>
      </c>
      <c r="H648" s="17" t="s">
        <v>3345</v>
      </c>
      <c r="I648" s="17"/>
      <c r="J648" s="17"/>
      <c r="K648" s="17"/>
      <c r="L648" s="17"/>
      <c r="M648" s="17"/>
      <c r="N648" s="17"/>
      <c r="O648" s="17"/>
      <c r="P648" s="17"/>
      <c r="Q648" s="17"/>
    </row>
    <row r="649" spans="1:17">
      <c r="A649" s="556" t="s">
        <v>3550</v>
      </c>
      <c r="B649" s="557"/>
      <c r="C649" s="558" t="s">
        <v>1640</v>
      </c>
      <c r="D649" s="556" t="s">
        <v>3910</v>
      </c>
      <c r="E649" s="17" t="s">
        <v>4072</v>
      </c>
      <c r="F649" s="17">
        <v>3</v>
      </c>
      <c r="G649" s="17">
        <v>5</v>
      </c>
      <c r="H649" s="17" t="s">
        <v>3346</v>
      </c>
      <c r="I649" s="17"/>
      <c r="J649" s="17"/>
      <c r="K649" s="17"/>
      <c r="L649" s="17"/>
      <c r="M649" s="17"/>
      <c r="N649" s="17"/>
      <c r="O649" s="17"/>
      <c r="P649" s="17"/>
      <c r="Q649" s="17"/>
    </row>
    <row r="650" spans="1:17">
      <c r="A650" s="556" t="s">
        <v>3550</v>
      </c>
      <c r="B650" s="557"/>
      <c r="C650" s="558" t="s">
        <v>1640</v>
      </c>
      <c r="D650" s="556" t="s">
        <v>3912</v>
      </c>
      <c r="E650" s="17" t="s">
        <v>4073</v>
      </c>
      <c r="F650" s="17">
        <v>3</v>
      </c>
      <c r="G650" s="17">
        <v>6</v>
      </c>
      <c r="H650" s="17" t="s">
        <v>3452</v>
      </c>
      <c r="I650" s="17"/>
      <c r="J650" s="17"/>
      <c r="K650" s="17"/>
      <c r="L650" s="17"/>
      <c r="M650" s="17"/>
      <c r="N650" s="17"/>
      <c r="O650" s="17"/>
      <c r="P650" s="17"/>
      <c r="Q650" s="17"/>
    </row>
    <row r="651" spans="1:17">
      <c r="A651" s="556" t="s">
        <v>3550</v>
      </c>
      <c r="B651" s="557"/>
      <c r="C651" s="558" t="s">
        <v>1640</v>
      </c>
      <c r="D651" s="556" t="s">
        <v>3914</v>
      </c>
      <c r="E651" s="17" t="s">
        <v>4074</v>
      </c>
      <c r="F651" s="17">
        <v>3</v>
      </c>
      <c r="G651" s="17">
        <v>7</v>
      </c>
      <c r="H651" s="17" t="s">
        <v>7805</v>
      </c>
      <c r="I651" s="17"/>
      <c r="J651" s="17"/>
      <c r="K651" s="17"/>
      <c r="L651" s="17"/>
      <c r="M651" s="17"/>
      <c r="N651" s="17"/>
      <c r="O651" s="17"/>
      <c r="P651" s="17"/>
      <c r="Q651" s="17"/>
    </row>
    <row r="652" spans="1:17">
      <c r="A652" s="556" t="s">
        <v>3550</v>
      </c>
      <c r="B652" s="557"/>
      <c r="C652" s="558" t="s">
        <v>1640</v>
      </c>
      <c r="D652" s="556" t="s">
        <v>3916</v>
      </c>
      <c r="E652" s="17" t="s">
        <v>4075</v>
      </c>
      <c r="F652" s="17">
        <v>3</v>
      </c>
      <c r="G652" s="17">
        <v>8</v>
      </c>
      <c r="H652" s="17" t="s">
        <v>7806</v>
      </c>
      <c r="I652" s="17">
        <v>0</v>
      </c>
      <c r="J652" s="17"/>
      <c r="K652" s="17"/>
      <c r="L652" s="17"/>
      <c r="M652" s="17"/>
      <c r="N652" s="17"/>
      <c r="O652" s="17"/>
      <c r="P652" s="17"/>
      <c r="Q652" s="17"/>
    </row>
    <row r="653" spans="1:17">
      <c r="A653" s="556" t="s">
        <v>3550</v>
      </c>
      <c r="B653" s="557"/>
      <c r="C653" s="558" t="s">
        <v>1162</v>
      </c>
      <c r="D653" s="556" t="s">
        <v>4051</v>
      </c>
      <c r="E653" s="17" t="s">
        <v>4076</v>
      </c>
      <c r="F653" s="17">
        <v>4</v>
      </c>
      <c r="G653" s="17">
        <v>1</v>
      </c>
      <c r="H653" s="17" t="s">
        <v>7772</v>
      </c>
      <c r="I653" s="17"/>
      <c r="J653" s="17"/>
      <c r="K653" s="17"/>
      <c r="L653" s="17"/>
      <c r="M653" s="17"/>
      <c r="N653" s="17"/>
      <c r="O653" s="17"/>
      <c r="P653" s="17"/>
      <c r="Q653" s="17"/>
    </row>
    <row r="654" spans="1:17">
      <c r="A654" s="556" t="s">
        <v>3550</v>
      </c>
      <c r="B654" s="557"/>
      <c r="C654" s="558" t="s">
        <v>1162</v>
      </c>
      <c r="D654" s="556" t="s">
        <v>3904</v>
      </c>
      <c r="E654" s="17" t="s">
        <v>4077</v>
      </c>
      <c r="F654" s="17">
        <v>4</v>
      </c>
      <c r="G654" s="17">
        <v>2</v>
      </c>
      <c r="H654" s="17" t="s">
        <v>3347</v>
      </c>
      <c r="I654" s="17"/>
      <c r="J654" s="17"/>
      <c r="K654" s="17"/>
      <c r="L654" s="17"/>
      <c r="M654" s="17"/>
      <c r="N654" s="17"/>
      <c r="O654" s="17"/>
      <c r="P654" s="17"/>
      <c r="Q654" s="17"/>
    </row>
    <row r="655" spans="1:17">
      <c r="A655" s="556" t="s">
        <v>3550</v>
      </c>
      <c r="B655" s="557"/>
      <c r="C655" s="558" t="s">
        <v>1162</v>
      </c>
      <c r="D655" s="556" t="s">
        <v>3906</v>
      </c>
      <c r="E655" s="17" t="s">
        <v>4078</v>
      </c>
      <c r="F655" s="17">
        <v>4</v>
      </c>
      <c r="G655" s="17">
        <v>3</v>
      </c>
      <c r="H655" s="17" t="s">
        <v>3348</v>
      </c>
      <c r="I655" s="17"/>
      <c r="J655" s="17"/>
      <c r="K655" s="17"/>
      <c r="L655" s="17"/>
      <c r="M655" s="17"/>
      <c r="N655" s="17"/>
      <c r="O655" s="17"/>
      <c r="P655" s="17"/>
      <c r="Q655" s="17"/>
    </row>
    <row r="656" spans="1:17">
      <c r="A656" s="556" t="s">
        <v>3550</v>
      </c>
      <c r="B656" s="557"/>
      <c r="C656" s="558" t="s">
        <v>1162</v>
      </c>
      <c r="D656" s="556" t="s">
        <v>3908</v>
      </c>
      <c r="E656" s="17" t="s">
        <v>4079</v>
      </c>
      <c r="F656" s="17">
        <v>4</v>
      </c>
      <c r="G656" s="17">
        <v>4</v>
      </c>
      <c r="H656" s="17" t="s">
        <v>3349</v>
      </c>
      <c r="I656" s="17"/>
      <c r="J656" s="17"/>
      <c r="K656" s="17"/>
      <c r="L656" s="17"/>
      <c r="M656" s="17"/>
      <c r="N656" s="17"/>
      <c r="O656" s="17"/>
      <c r="P656" s="17"/>
      <c r="Q656" s="17"/>
    </row>
    <row r="657" spans="1:17">
      <c r="A657" s="556" t="s">
        <v>3550</v>
      </c>
      <c r="B657" s="557"/>
      <c r="C657" s="558" t="s">
        <v>1162</v>
      </c>
      <c r="D657" s="556" t="s">
        <v>3910</v>
      </c>
      <c r="E657" s="17" t="s">
        <v>4080</v>
      </c>
      <c r="F657" s="17">
        <v>4</v>
      </c>
      <c r="G657" s="17">
        <v>5</v>
      </c>
      <c r="H657" s="17" t="s">
        <v>3350</v>
      </c>
      <c r="I657" s="17"/>
      <c r="J657" s="17"/>
      <c r="K657" s="17"/>
      <c r="L657" s="17"/>
      <c r="M657" s="17"/>
      <c r="N657" s="17"/>
      <c r="O657" s="17"/>
      <c r="P657" s="17"/>
      <c r="Q657" s="17"/>
    </row>
    <row r="658" spans="1:17">
      <c r="A658" s="556" t="s">
        <v>3550</v>
      </c>
      <c r="B658" s="557"/>
      <c r="C658" s="558" t="s">
        <v>1162</v>
      </c>
      <c r="D658" s="556" t="s">
        <v>3912</v>
      </c>
      <c r="E658" s="17" t="s">
        <v>4081</v>
      </c>
      <c r="F658" s="17">
        <v>4</v>
      </c>
      <c r="G658" s="17">
        <v>6</v>
      </c>
      <c r="H658" s="17" t="s">
        <v>3453</v>
      </c>
      <c r="I658" s="17"/>
      <c r="J658" s="17"/>
      <c r="K658" s="17"/>
      <c r="L658" s="17"/>
      <c r="M658" s="17"/>
      <c r="N658" s="17"/>
      <c r="O658" s="17"/>
      <c r="P658" s="17"/>
      <c r="Q658" s="17"/>
    </row>
    <row r="659" spans="1:17">
      <c r="A659" s="556" t="s">
        <v>3550</v>
      </c>
      <c r="B659" s="557"/>
      <c r="C659" s="558" t="s">
        <v>1162</v>
      </c>
      <c r="D659" s="556" t="s">
        <v>3914</v>
      </c>
      <c r="E659" s="17" t="s">
        <v>4082</v>
      </c>
      <c r="F659" s="17">
        <v>4</v>
      </c>
      <c r="G659" s="17">
        <v>7</v>
      </c>
      <c r="H659" s="17" t="s">
        <v>7807</v>
      </c>
      <c r="I659" s="17"/>
      <c r="J659" s="17"/>
      <c r="K659" s="17"/>
      <c r="L659" s="17"/>
      <c r="M659" s="17"/>
      <c r="N659" s="17"/>
      <c r="O659" s="17"/>
      <c r="P659" s="17"/>
      <c r="Q659" s="17"/>
    </row>
    <row r="660" spans="1:17">
      <c r="A660" s="556" t="s">
        <v>3550</v>
      </c>
      <c r="B660" s="557"/>
      <c r="C660" s="558" t="s">
        <v>1162</v>
      </c>
      <c r="D660" s="556" t="s">
        <v>3916</v>
      </c>
      <c r="E660" s="17" t="s">
        <v>4083</v>
      </c>
      <c r="F660" s="17">
        <v>4</v>
      </c>
      <c r="G660" s="17">
        <v>8</v>
      </c>
      <c r="H660" s="17" t="s">
        <v>7808</v>
      </c>
      <c r="I660" s="17">
        <v>0</v>
      </c>
      <c r="J660" s="17"/>
      <c r="K660" s="17"/>
      <c r="L660" s="17"/>
      <c r="M660" s="17"/>
      <c r="N660" s="17"/>
      <c r="O660" s="17"/>
      <c r="P660" s="17"/>
      <c r="Q660" s="17"/>
    </row>
    <row r="661" spans="1:17">
      <c r="A661" s="556" t="s">
        <v>3550</v>
      </c>
      <c r="B661" s="557"/>
      <c r="C661" s="558" t="s">
        <v>1578</v>
      </c>
      <c r="D661" s="556" t="s">
        <v>3904</v>
      </c>
      <c r="E661" s="17" t="s">
        <v>4084</v>
      </c>
      <c r="F661" s="17">
        <v>5</v>
      </c>
      <c r="G661" s="17">
        <v>2</v>
      </c>
      <c r="H661" s="17" t="s">
        <v>3351</v>
      </c>
      <c r="I661" s="17">
        <v>0</v>
      </c>
      <c r="J661" s="17"/>
      <c r="K661" s="17"/>
      <c r="L661" s="17"/>
      <c r="M661" s="17"/>
      <c r="N661" s="17"/>
      <c r="O661" s="17"/>
      <c r="P661" s="17"/>
      <c r="Q661" s="17"/>
    </row>
    <row r="662" spans="1:17">
      <c r="A662" s="556" t="s">
        <v>3550</v>
      </c>
      <c r="B662" s="557"/>
      <c r="C662" s="558" t="s">
        <v>1578</v>
      </c>
      <c r="D662" s="556" t="s">
        <v>3906</v>
      </c>
      <c r="E662" s="17" t="s">
        <v>4085</v>
      </c>
      <c r="F662" s="17">
        <v>5</v>
      </c>
      <c r="G662" s="17">
        <v>3</v>
      </c>
      <c r="H662" s="17" t="s">
        <v>3352</v>
      </c>
      <c r="I662" s="17">
        <v>0</v>
      </c>
      <c r="J662" s="17"/>
      <c r="K662" s="17"/>
      <c r="L662" s="17"/>
      <c r="M662" s="17"/>
      <c r="N662" s="17"/>
      <c r="O662" s="17"/>
      <c r="P662" s="17"/>
      <c r="Q662" s="17"/>
    </row>
    <row r="663" spans="1:17">
      <c r="A663" s="556" t="s">
        <v>3550</v>
      </c>
      <c r="B663" s="557"/>
      <c r="C663" s="558" t="s">
        <v>1578</v>
      </c>
      <c r="D663" s="556" t="s">
        <v>3908</v>
      </c>
      <c r="E663" s="17" t="s">
        <v>4086</v>
      </c>
      <c r="F663" s="17">
        <v>5</v>
      </c>
      <c r="G663" s="17">
        <v>4</v>
      </c>
      <c r="H663" s="17" t="s">
        <v>3353</v>
      </c>
      <c r="I663" s="17">
        <v>0</v>
      </c>
      <c r="J663" s="17"/>
      <c r="K663" s="17"/>
      <c r="L663" s="17"/>
      <c r="M663" s="17"/>
      <c r="N663" s="17"/>
      <c r="O663" s="17"/>
      <c r="P663" s="17"/>
      <c r="Q663" s="17"/>
    </row>
    <row r="664" spans="1:17">
      <c r="A664" s="556" t="s">
        <v>3550</v>
      </c>
      <c r="B664" s="557"/>
      <c r="C664" s="558" t="s">
        <v>1578</v>
      </c>
      <c r="D664" s="556" t="s">
        <v>3910</v>
      </c>
      <c r="E664" s="17" t="s">
        <v>4087</v>
      </c>
      <c r="F664" s="17">
        <v>5</v>
      </c>
      <c r="G664" s="17">
        <v>5</v>
      </c>
      <c r="H664" s="17" t="s">
        <v>3354</v>
      </c>
      <c r="I664" s="17">
        <v>0</v>
      </c>
      <c r="J664" s="17"/>
      <c r="K664" s="17"/>
      <c r="L664" s="17"/>
      <c r="M664" s="17"/>
      <c r="N664" s="17"/>
      <c r="O664" s="17"/>
      <c r="P664" s="17"/>
      <c r="Q664" s="17"/>
    </row>
    <row r="665" spans="1:17">
      <c r="A665" s="556" t="s">
        <v>3550</v>
      </c>
      <c r="B665" s="557"/>
      <c r="C665" s="558" t="s">
        <v>1578</v>
      </c>
      <c r="D665" s="556" t="s">
        <v>3912</v>
      </c>
      <c r="E665" s="17" t="s">
        <v>4088</v>
      </c>
      <c r="F665" s="17">
        <v>5</v>
      </c>
      <c r="G665" s="17">
        <v>6</v>
      </c>
      <c r="H665" s="17" t="s">
        <v>3454</v>
      </c>
      <c r="I665" s="17">
        <v>0</v>
      </c>
      <c r="J665" s="17"/>
      <c r="K665" s="17"/>
      <c r="L665" s="17"/>
      <c r="M665" s="17"/>
      <c r="N665" s="17"/>
      <c r="O665" s="17"/>
      <c r="P665" s="17"/>
      <c r="Q665" s="17"/>
    </row>
    <row r="666" spans="1:17">
      <c r="A666" s="556" t="s">
        <v>3550</v>
      </c>
      <c r="B666" s="557"/>
      <c r="C666" s="558" t="s">
        <v>1578</v>
      </c>
      <c r="D666" s="556" t="s">
        <v>3914</v>
      </c>
      <c r="E666" s="17" t="s">
        <v>4089</v>
      </c>
      <c r="F666" s="17">
        <v>5</v>
      </c>
      <c r="G666" s="17">
        <v>7</v>
      </c>
      <c r="H666" s="17" t="s">
        <v>7809</v>
      </c>
      <c r="I666" s="17">
        <v>0</v>
      </c>
      <c r="J666" s="17"/>
      <c r="K666" s="17"/>
      <c r="L666" s="17"/>
      <c r="M666" s="17"/>
      <c r="N666" s="17"/>
      <c r="O666" s="17"/>
      <c r="P666" s="17"/>
      <c r="Q666" s="17"/>
    </row>
    <row r="667" spans="1:17">
      <c r="A667" s="556" t="s">
        <v>3550</v>
      </c>
      <c r="B667" s="557"/>
      <c r="C667" s="558" t="s">
        <v>1578</v>
      </c>
      <c r="D667" s="556" t="s">
        <v>3916</v>
      </c>
      <c r="E667" s="17" t="s">
        <v>4090</v>
      </c>
      <c r="F667" s="17">
        <v>5</v>
      </c>
      <c r="G667" s="17">
        <v>8</v>
      </c>
      <c r="H667" s="17" t="s">
        <v>7810</v>
      </c>
      <c r="I667" s="17">
        <v>0</v>
      </c>
      <c r="J667" s="17"/>
      <c r="K667" s="17"/>
      <c r="L667" s="17"/>
      <c r="M667" s="17"/>
      <c r="N667" s="17"/>
      <c r="O667" s="17"/>
      <c r="P667" s="17"/>
      <c r="Q667" s="17"/>
    </row>
    <row r="668" spans="1:17">
      <c r="A668" s="556" t="s">
        <v>3552</v>
      </c>
      <c r="B668" s="557"/>
      <c r="C668" s="558" t="s">
        <v>1610</v>
      </c>
      <c r="D668" s="556" t="s">
        <v>4091</v>
      </c>
      <c r="E668" s="17" t="s">
        <v>4092</v>
      </c>
      <c r="F668" s="17">
        <v>1</v>
      </c>
      <c r="G668" s="17">
        <v>1</v>
      </c>
      <c r="H668" s="17" t="s">
        <v>3691</v>
      </c>
      <c r="I668" s="17"/>
      <c r="J668" s="17"/>
      <c r="K668" s="17"/>
      <c r="L668" s="17"/>
      <c r="M668" s="17"/>
      <c r="N668" s="17"/>
      <c r="O668" s="17"/>
      <c r="P668" s="17"/>
      <c r="Q668" s="17"/>
    </row>
    <row r="669" spans="1:17">
      <c r="A669" s="556" t="s">
        <v>3552</v>
      </c>
      <c r="B669" s="557"/>
      <c r="C669" s="558" t="s">
        <v>1610</v>
      </c>
      <c r="D669" s="556" t="s">
        <v>4093</v>
      </c>
      <c r="E669" s="17" t="s">
        <v>4094</v>
      </c>
      <c r="F669" s="17">
        <v>1</v>
      </c>
      <c r="G669" s="17">
        <v>3</v>
      </c>
      <c r="H669" s="17" t="s">
        <v>2990</v>
      </c>
      <c r="I669" s="17"/>
      <c r="J669" s="17"/>
      <c r="K669" s="17"/>
      <c r="L669" s="17"/>
      <c r="M669" s="17"/>
      <c r="N669" s="17"/>
      <c r="O669" s="17"/>
      <c r="P669" s="17"/>
      <c r="Q669" s="17"/>
    </row>
    <row r="670" spans="1:17">
      <c r="A670" s="556" t="s">
        <v>3552</v>
      </c>
      <c r="B670" s="557"/>
      <c r="C670" s="558" t="s">
        <v>1610</v>
      </c>
      <c r="D670" s="556" t="s">
        <v>4095</v>
      </c>
      <c r="E670" s="17" t="s">
        <v>4096</v>
      </c>
      <c r="F670" s="17">
        <v>1</v>
      </c>
      <c r="G670" s="17">
        <v>5</v>
      </c>
      <c r="H670" s="17" t="s">
        <v>2991</v>
      </c>
      <c r="I670" s="17"/>
      <c r="J670" s="17"/>
      <c r="K670" s="17"/>
      <c r="L670" s="17"/>
      <c r="M670" s="17"/>
      <c r="N670" s="17"/>
      <c r="O670" s="17"/>
      <c r="P670" s="17"/>
      <c r="Q670" s="17"/>
    </row>
    <row r="671" spans="1:17">
      <c r="A671" s="556" t="s">
        <v>3552</v>
      </c>
      <c r="B671" s="557"/>
      <c r="C671" s="558" t="s">
        <v>1610</v>
      </c>
      <c r="D671" s="556" t="s">
        <v>4097</v>
      </c>
      <c r="E671" s="17" t="s">
        <v>4098</v>
      </c>
      <c r="F671" s="17">
        <v>1</v>
      </c>
      <c r="G671" s="17">
        <v>7</v>
      </c>
      <c r="H671" s="17" t="s">
        <v>3450</v>
      </c>
      <c r="I671" s="17"/>
      <c r="J671" s="17"/>
      <c r="K671" s="17"/>
      <c r="L671" s="17"/>
      <c r="M671" s="17"/>
      <c r="N671" s="17"/>
      <c r="O671" s="17"/>
      <c r="P671" s="17"/>
      <c r="Q671" s="17"/>
    </row>
    <row r="672" spans="1:17">
      <c r="A672" s="556" t="s">
        <v>3552</v>
      </c>
      <c r="B672" s="557"/>
      <c r="C672" s="558" t="s">
        <v>1610</v>
      </c>
      <c r="D672" s="556" t="s">
        <v>4099</v>
      </c>
      <c r="E672" s="17" t="s">
        <v>4100</v>
      </c>
      <c r="F672" s="17">
        <v>1</v>
      </c>
      <c r="G672" s="17">
        <v>9</v>
      </c>
      <c r="H672" s="17" t="s">
        <v>3329</v>
      </c>
      <c r="I672" s="17"/>
      <c r="J672" s="17"/>
      <c r="K672" s="17"/>
      <c r="L672" s="17"/>
      <c r="M672" s="17"/>
      <c r="N672" s="17"/>
      <c r="O672" s="17"/>
      <c r="P672" s="17"/>
      <c r="Q672" s="17"/>
    </row>
    <row r="673" spans="1:17">
      <c r="A673" s="556" t="s">
        <v>3552</v>
      </c>
      <c r="B673" s="557"/>
      <c r="C673" s="558" t="s">
        <v>1610</v>
      </c>
      <c r="D673" s="556" t="s">
        <v>4101</v>
      </c>
      <c r="E673" s="17" t="s">
        <v>4102</v>
      </c>
      <c r="F673" s="17">
        <v>1</v>
      </c>
      <c r="G673" s="17">
        <v>11</v>
      </c>
      <c r="H673" s="17" t="s">
        <v>8743</v>
      </c>
      <c r="I673" s="17">
        <v>0</v>
      </c>
      <c r="J673" s="17"/>
      <c r="K673" s="17"/>
      <c r="L673" s="17"/>
      <c r="M673" s="17"/>
      <c r="N673" s="17"/>
      <c r="O673" s="17"/>
      <c r="P673" s="17"/>
      <c r="Q673" s="17"/>
    </row>
    <row r="674" spans="1:17">
      <c r="A674" s="556" t="s">
        <v>3552</v>
      </c>
      <c r="B674" s="557"/>
      <c r="C674" s="558" t="s">
        <v>1655</v>
      </c>
      <c r="D674" s="556" t="s">
        <v>4091</v>
      </c>
      <c r="E674" s="17" t="s">
        <v>4103</v>
      </c>
      <c r="F674" s="17">
        <v>2</v>
      </c>
      <c r="G674" s="17">
        <v>1</v>
      </c>
      <c r="H674" s="17" t="s">
        <v>7769</v>
      </c>
      <c r="I674" s="17"/>
      <c r="J674" s="17"/>
      <c r="K674" s="17"/>
      <c r="L674" s="17"/>
      <c r="M674" s="17"/>
      <c r="N674" s="17"/>
      <c r="O674" s="17"/>
      <c r="P674" s="17"/>
      <c r="Q674" s="17"/>
    </row>
    <row r="675" spans="1:17">
      <c r="A675" s="556" t="s">
        <v>3552</v>
      </c>
      <c r="B675" s="557"/>
      <c r="C675" s="558" t="s">
        <v>1655</v>
      </c>
      <c r="D675" s="556" t="s">
        <v>4093</v>
      </c>
      <c r="E675" s="17" t="s">
        <v>4104</v>
      </c>
      <c r="F675" s="17">
        <v>2</v>
      </c>
      <c r="G675" s="17">
        <v>3</v>
      </c>
      <c r="H675" s="17" t="s">
        <v>3339</v>
      </c>
      <c r="I675" s="17"/>
      <c r="J675" s="17"/>
      <c r="K675" s="17"/>
      <c r="L675" s="17"/>
      <c r="M675" s="17"/>
      <c r="N675" s="17"/>
      <c r="O675" s="17"/>
      <c r="P675" s="17"/>
      <c r="Q675" s="17"/>
    </row>
    <row r="676" spans="1:17">
      <c r="A676" s="556" t="s">
        <v>3552</v>
      </c>
      <c r="B676" s="557"/>
      <c r="C676" s="558" t="s">
        <v>1655</v>
      </c>
      <c r="D676" s="556" t="s">
        <v>4095</v>
      </c>
      <c r="E676" s="17" t="s">
        <v>4105</v>
      </c>
      <c r="F676" s="17">
        <v>2</v>
      </c>
      <c r="G676" s="17">
        <v>5</v>
      </c>
      <c r="H676" s="17" t="s">
        <v>3341</v>
      </c>
      <c r="I676" s="17"/>
      <c r="J676" s="17"/>
      <c r="K676" s="17"/>
      <c r="L676" s="17"/>
      <c r="M676" s="17"/>
      <c r="N676" s="17"/>
      <c r="O676" s="17"/>
      <c r="P676" s="17"/>
      <c r="Q676" s="17"/>
    </row>
    <row r="677" spans="1:17">
      <c r="A677" s="556" t="s">
        <v>3552</v>
      </c>
      <c r="B677" s="557"/>
      <c r="C677" s="558" t="s">
        <v>1655</v>
      </c>
      <c r="D677" s="556" t="s">
        <v>4097</v>
      </c>
      <c r="E677" s="17" t="s">
        <v>4106</v>
      </c>
      <c r="F677" s="17">
        <v>2</v>
      </c>
      <c r="G677" s="17">
        <v>7</v>
      </c>
      <c r="H677" s="17" t="s">
        <v>3451</v>
      </c>
      <c r="I677" s="17"/>
      <c r="J677" s="17"/>
      <c r="K677" s="17"/>
      <c r="L677" s="17"/>
      <c r="M677" s="17"/>
      <c r="N677" s="17"/>
      <c r="O677" s="17"/>
      <c r="P677" s="17"/>
      <c r="Q677" s="17"/>
    </row>
    <row r="678" spans="1:17">
      <c r="A678" s="556" t="s">
        <v>3552</v>
      </c>
      <c r="B678" s="557"/>
      <c r="C678" s="558" t="s">
        <v>1655</v>
      </c>
      <c r="D678" s="556" t="s">
        <v>4099</v>
      </c>
      <c r="E678" s="17" t="s">
        <v>4107</v>
      </c>
      <c r="F678" s="17">
        <v>2</v>
      </c>
      <c r="G678" s="17">
        <v>9</v>
      </c>
      <c r="H678" s="17" t="s">
        <v>3526</v>
      </c>
      <c r="I678" s="17"/>
      <c r="J678" s="17"/>
      <c r="K678" s="17"/>
      <c r="L678" s="17"/>
      <c r="M678" s="17"/>
      <c r="N678" s="17"/>
      <c r="O678" s="17"/>
      <c r="P678" s="17"/>
      <c r="Q678" s="17"/>
    </row>
    <row r="679" spans="1:17">
      <c r="A679" s="556" t="s">
        <v>3552</v>
      </c>
      <c r="B679" s="557"/>
      <c r="C679" s="558" t="s">
        <v>1655</v>
      </c>
      <c r="D679" s="556" t="s">
        <v>4101</v>
      </c>
      <c r="E679" s="17" t="s">
        <v>4108</v>
      </c>
      <c r="F679" s="17">
        <v>2</v>
      </c>
      <c r="G679" s="17">
        <v>11</v>
      </c>
      <c r="H679" s="17" t="s">
        <v>7837</v>
      </c>
      <c r="I679" s="17">
        <v>0</v>
      </c>
      <c r="J679" s="17"/>
      <c r="K679" s="17"/>
      <c r="L679" s="17"/>
      <c r="M679" s="17"/>
      <c r="N679" s="17"/>
      <c r="O679" s="17"/>
      <c r="P679" s="17"/>
      <c r="Q679" s="17"/>
    </row>
    <row r="680" spans="1:17">
      <c r="A680" s="556" t="s">
        <v>3552</v>
      </c>
      <c r="B680" s="557"/>
      <c r="C680" s="558" t="s">
        <v>1135</v>
      </c>
      <c r="D680" s="556" t="s">
        <v>4091</v>
      </c>
      <c r="E680" s="17" t="s">
        <v>4109</v>
      </c>
      <c r="F680" s="17">
        <v>3</v>
      </c>
      <c r="G680" s="17">
        <v>1</v>
      </c>
      <c r="H680" s="17" t="s">
        <v>7770</v>
      </c>
      <c r="I680" s="17"/>
      <c r="J680" s="17"/>
      <c r="K680" s="17"/>
      <c r="L680" s="17"/>
      <c r="M680" s="17"/>
      <c r="N680" s="17"/>
      <c r="O680" s="17"/>
      <c r="P680" s="17"/>
      <c r="Q680" s="17"/>
    </row>
    <row r="681" spans="1:17">
      <c r="A681" s="556" t="s">
        <v>3552</v>
      </c>
      <c r="B681" s="557"/>
      <c r="C681" s="558" t="s">
        <v>1135</v>
      </c>
      <c r="D681" s="556" t="s">
        <v>4093</v>
      </c>
      <c r="E681" s="17" t="s">
        <v>4110</v>
      </c>
      <c r="F681" s="17">
        <v>3</v>
      </c>
      <c r="G681" s="17">
        <v>3</v>
      </c>
      <c r="H681" s="17" t="s">
        <v>3343</v>
      </c>
      <c r="I681" s="17"/>
      <c r="J681" s="17"/>
      <c r="K681" s="17"/>
      <c r="L681" s="17"/>
      <c r="M681" s="17"/>
      <c r="N681" s="17"/>
      <c r="O681" s="17"/>
      <c r="P681" s="17"/>
      <c r="Q681" s="17"/>
    </row>
    <row r="682" spans="1:17">
      <c r="A682" s="556" t="s">
        <v>3552</v>
      </c>
      <c r="B682" s="557"/>
      <c r="C682" s="558" t="s">
        <v>1135</v>
      </c>
      <c r="D682" s="556" t="s">
        <v>4095</v>
      </c>
      <c r="E682" s="17" t="s">
        <v>4111</v>
      </c>
      <c r="F682" s="17">
        <v>3</v>
      </c>
      <c r="G682" s="17">
        <v>5</v>
      </c>
      <c r="H682" s="17" t="s">
        <v>3345</v>
      </c>
      <c r="I682" s="17"/>
      <c r="J682" s="17"/>
      <c r="K682" s="17"/>
      <c r="L682" s="17"/>
      <c r="M682" s="17"/>
      <c r="N682" s="17"/>
      <c r="O682" s="17"/>
      <c r="P682" s="17"/>
      <c r="Q682" s="17"/>
    </row>
    <row r="683" spans="1:17">
      <c r="A683" s="556" t="s">
        <v>3552</v>
      </c>
      <c r="B683" s="557"/>
      <c r="C683" s="558" t="s">
        <v>1135</v>
      </c>
      <c r="D683" s="556" t="s">
        <v>4097</v>
      </c>
      <c r="E683" s="17" t="s">
        <v>4112</v>
      </c>
      <c r="F683" s="17">
        <v>3</v>
      </c>
      <c r="G683" s="17">
        <v>7</v>
      </c>
      <c r="H683" s="17" t="s">
        <v>3452</v>
      </c>
      <c r="I683" s="17"/>
      <c r="J683" s="17"/>
      <c r="K683" s="17"/>
      <c r="L683" s="17"/>
      <c r="M683" s="17"/>
      <c r="N683" s="17"/>
      <c r="O683" s="17"/>
      <c r="P683" s="17"/>
      <c r="Q683" s="17"/>
    </row>
    <row r="684" spans="1:17">
      <c r="A684" s="556" t="s">
        <v>3552</v>
      </c>
      <c r="B684" s="557"/>
      <c r="C684" s="558" t="s">
        <v>1135</v>
      </c>
      <c r="D684" s="556" t="s">
        <v>4099</v>
      </c>
      <c r="E684" s="17" t="s">
        <v>4113</v>
      </c>
      <c r="F684" s="17">
        <v>3</v>
      </c>
      <c r="G684" s="17">
        <v>9</v>
      </c>
      <c r="H684" s="17" t="s">
        <v>7806</v>
      </c>
      <c r="I684" s="17"/>
      <c r="J684" s="17"/>
      <c r="K684" s="17"/>
      <c r="L684" s="17"/>
      <c r="M684" s="17"/>
      <c r="N684" s="17"/>
      <c r="O684" s="17"/>
      <c r="P684" s="17"/>
      <c r="Q684" s="17"/>
    </row>
    <row r="685" spans="1:17">
      <c r="A685" s="556" t="s">
        <v>3552</v>
      </c>
      <c r="B685" s="557"/>
      <c r="C685" s="558" t="s">
        <v>1135</v>
      </c>
      <c r="D685" s="556" t="s">
        <v>4101</v>
      </c>
      <c r="E685" s="17" t="s">
        <v>4114</v>
      </c>
      <c r="F685" s="17">
        <v>3</v>
      </c>
      <c r="G685" s="17">
        <v>11</v>
      </c>
      <c r="H685" s="17" t="s">
        <v>3719</v>
      </c>
      <c r="I685" s="17">
        <v>0</v>
      </c>
      <c r="J685" s="17"/>
      <c r="K685" s="17"/>
      <c r="L685" s="17"/>
      <c r="M685" s="17"/>
      <c r="N685" s="17"/>
      <c r="O685" s="17"/>
      <c r="P685" s="17"/>
      <c r="Q685" s="17"/>
    </row>
    <row r="686" spans="1:17">
      <c r="A686" s="556" t="s">
        <v>3552</v>
      </c>
      <c r="B686" s="557"/>
      <c r="C686" s="558" t="s">
        <v>1238</v>
      </c>
      <c r="D686" s="556" t="s">
        <v>4091</v>
      </c>
      <c r="E686" s="17" t="s">
        <v>4115</v>
      </c>
      <c r="F686" s="17">
        <v>4</v>
      </c>
      <c r="G686" s="17">
        <v>1</v>
      </c>
      <c r="H686" s="17" t="s">
        <v>7771</v>
      </c>
      <c r="I686" s="17"/>
      <c r="J686" s="17"/>
      <c r="K686" s="17"/>
      <c r="L686" s="17"/>
      <c r="M686" s="17"/>
      <c r="N686" s="17"/>
      <c r="O686" s="17"/>
      <c r="P686" s="17"/>
      <c r="Q686" s="17"/>
    </row>
    <row r="687" spans="1:17">
      <c r="A687" s="556" t="s">
        <v>3552</v>
      </c>
      <c r="B687" s="557"/>
      <c r="C687" s="558" t="s">
        <v>1238</v>
      </c>
      <c r="D687" s="556" t="s">
        <v>4093</v>
      </c>
      <c r="E687" s="17" t="s">
        <v>4116</v>
      </c>
      <c r="F687" s="17">
        <v>4</v>
      </c>
      <c r="G687" s="17">
        <v>3</v>
      </c>
      <c r="H687" s="17" t="s">
        <v>3347</v>
      </c>
      <c r="I687" s="17"/>
      <c r="J687" s="17"/>
      <c r="K687" s="17"/>
      <c r="L687" s="17"/>
      <c r="M687" s="17"/>
      <c r="N687" s="17"/>
      <c r="O687" s="17"/>
      <c r="P687" s="17"/>
      <c r="Q687" s="17"/>
    </row>
    <row r="688" spans="1:17">
      <c r="A688" s="556" t="s">
        <v>3552</v>
      </c>
      <c r="B688" s="557"/>
      <c r="C688" s="558" t="s">
        <v>1238</v>
      </c>
      <c r="D688" s="556" t="s">
        <v>4095</v>
      </c>
      <c r="E688" s="17" t="s">
        <v>4117</v>
      </c>
      <c r="F688" s="17">
        <v>4</v>
      </c>
      <c r="G688" s="17">
        <v>5</v>
      </c>
      <c r="H688" s="17" t="s">
        <v>3349</v>
      </c>
      <c r="I688" s="17"/>
      <c r="J688" s="17"/>
      <c r="K688" s="17"/>
      <c r="L688" s="17"/>
      <c r="M688" s="17"/>
      <c r="N688" s="17"/>
      <c r="O688" s="17"/>
      <c r="P688" s="17"/>
      <c r="Q688" s="17"/>
    </row>
    <row r="689" spans="1:17">
      <c r="A689" s="556" t="s">
        <v>3552</v>
      </c>
      <c r="B689" s="557"/>
      <c r="C689" s="558" t="s">
        <v>1238</v>
      </c>
      <c r="D689" s="556" t="s">
        <v>4097</v>
      </c>
      <c r="E689" s="17" t="s">
        <v>4118</v>
      </c>
      <c r="F689" s="17">
        <v>4</v>
      </c>
      <c r="G689" s="17">
        <v>7</v>
      </c>
      <c r="H689" s="17" t="s">
        <v>3453</v>
      </c>
      <c r="I689" s="17"/>
      <c r="J689" s="17"/>
      <c r="K689" s="17"/>
      <c r="L689" s="17"/>
      <c r="M689" s="17"/>
      <c r="N689" s="17"/>
      <c r="O689" s="17"/>
      <c r="P689" s="17"/>
      <c r="Q689" s="17"/>
    </row>
    <row r="690" spans="1:17">
      <c r="A690" s="556" t="s">
        <v>3552</v>
      </c>
      <c r="B690" s="557"/>
      <c r="C690" s="558" t="s">
        <v>1238</v>
      </c>
      <c r="D690" s="556" t="s">
        <v>4099</v>
      </c>
      <c r="E690" s="17" t="s">
        <v>4119</v>
      </c>
      <c r="F690" s="17">
        <v>4</v>
      </c>
      <c r="G690" s="17">
        <v>9</v>
      </c>
      <c r="H690" s="17" t="s">
        <v>7808</v>
      </c>
      <c r="I690" s="17"/>
      <c r="J690" s="17"/>
      <c r="K690" s="17"/>
      <c r="L690" s="17"/>
      <c r="M690" s="17"/>
      <c r="N690" s="17"/>
      <c r="O690" s="17"/>
      <c r="P690" s="17"/>
      <c r="Q690" s="17"/>
    </row>
    <row r="691" spans="1:17">
      <c r="A691" s="556" t="s">
        <v>3552</v>
      </c>
      <c r="B691" s="557"/>
      <c r="C691" s="558" t="s">
        <v>1238</v>
      </c>
      <c r="D691" s="556" t="s">
        <v>4101</v>
      </c>
      <c r="E691" s="17" t="s">
        <v>4120</v>
      </c>
      <c r="F691" s="17">
        <v>4</v>
      </c>
      <c r="G691" s="17">
        <v>11</v>
      </c>
      <c r="H691" s="17" t="s">
        <v>7848</v>
      </c>
      <c r="I691" s="17">
        <v>0</v>
      </c>
      <c r="J691" s="17"/>
      <c r="K691" s="17"/>
      <c r="L691" s="17"/>
      <c r="M691" s="17"/>
      <c r="N691" s="17"/>
      <c r="O691" s="17"/>
      <c r="P691" s="17"/>
      <c r="Q691" s="17"/>
    </row>
    <row r="692" spans="1:17">
      <c r="A692" s="556" t="s">
        <v>3552</v>
      </c>
      <c r="B692" s="557"/>
      <c r="C692" s="558" t="s">
        <v>1236</v>
      </c>
      <c r="D692" s="556" t="s">
        <v>4091</v>
      </c>
      <c r="E692" s="17" t="s">
        <v>4121</v>
      </c>
      <c r="F692" s="17">
        <v>5</v>
      </c>
      <c r="G692" s="17">
        <v>1</v>
      </c>
      <c r="H692" s="17" t="s">
        <v>7773</v>
      </c>
      <c r="I692" s="17">
        <v>0</v>
      </c>
      <c r="J692" s="17"/>
      <c r="K692" s="17"/>
      <c r="L692" s="17"/>
      <c r="M692" s="17"/>
      <c r="N692" s="17"/>
      <c r="O692" s="17"/>
      <c r="P692" s="17"/>
      <c r="Q692" s="17"/>
    </row>
    <row r="693" spans="1:17">
      <c r="A693" s="556" t="s">
        <v>3552</v>
      </c>
      <c r="B693" s="557"/>
      <c r="C693" s="558" t="s">
        <v>1236</v>
      </c>
      <c r="D693" s="556" t="s">
        <v>4093</v>
      </c>
      <c r="E693" s="17" t="s">
        <v>4122</v>
      </c>
      <c r="F693" s="17">
        <v>5</v>
      </c>
      <c r="G693" s="17">
        <v>3</v>
      </c>
      <c r="H693" s="17" t="s">
        <v>3351</v>
      </c>
      <c r="I693" s="17">
        <v>0</v>
      </c>
      <c r="J693" s="17"/>
      <c r="K693" s="17"/>
      <c r="L693" s="17"/>
      <c r="M693" s="17"/>
      <c r="N693" s="17"/>
      <c r="O693" s="17"/>
      <c r="P693" s="17"/>
      <c r="Q693" s="17"/>
    </row>
    <row r="694" spans="1:17">
      <c r="A694" s="556" t="s">
        <v>3552</v>
      </c>
      <c r="B694" s="557"/>
      <c r="C694" s="558" t="s">
        <v>1236</v>
      </c>
      <c r="D694" s="556" t="s">
        <v>4095</v>
      </c>
      <c r="E694" s="17" t="s">
        <v>4123</v>
      </c>
      <c r="F694" s="17">
        <v>5</v>
      </c>
      <c r="G694" s="17">
        <v>5</v>
      </c>
      <c r="H694" s="17" t="s">
        <v>3353</v>
      </c>
      <c r="I694" s="17">
        <v>0</v>
      </c>
      <c r="J694" s="17"/>
      <c r="K694" s="17"/>
      <c r="L694" s="17"/>
      <c r="M694" s="17"/>
      <c r="N694" s="17"/>
      <c r="O694" s="17"/>
      <c r="P694" s="17"/>
      <c r="Q694" s="17"/>
    </row>
    <row r="695" spans="1:17">
      <c r="A695" s="556" t="s">
        <v>3552</v>
      </c>
      <c r="B695" s="557"/>
      <c r="C695" s="558" t="s">
        <v>1236</v>
      </c>
      <c r="D695" s="556" t="s">
        <v>4097</v>
      </c>
      <c r="E695" s="17" t="s">
        <v>4124</v>
      </c>
      <c r="F695" s="17">
        <v>5</v>
      </c>
      <c r="G695" s="17">
        <v>7</v>
      </c>
      <c r="H695" s="17" t="s">
        <v>3454</v>
      </c>
      <c r="I695" s="17">
        <v>0</v>
      </c>
      <c r="J695" s="17"/>
      <c r="K695" s="17"/>
      <c r="L695" s="17"/>
      <c r="M695" s="17"/>
      <c r="N695" s="17"/>
      <c r="O695" s="17"/>
      <c r="P695" s="17"/>
      <c r="Q695" s="17"/>
    </row>
    <row r="696" spans="1:17">
      <c r="A696" s="556" t="s">
        <v>3552</v>
      </c>
      <c r="B696" s="557"/>
      <c r="C696" s="558" t="s">
        <v>1236</v>
      </c>
      <c r="D696" s="556" t="s">
        <v>4099</v>
      </c>
      <c r="E696" s="17" t="s">
        <v>4125</v>
      </c>
      <c r="F696" s="17">
        <v>5</v>
      </c>
      <c r="G696" s="17">
        <v>9</v>
      </c>
      <c r="H696" s="17" t="s">
        <v>7810</v>
      </c>
      <c r="I696" s="17">
        <v>0</v>
      </c>
      <c r="J696" s="17"/>
      <c r="K696" s="17"/>
      <c r="L696" s="17"/>
      <c r="M696" s="17"/>
      <c r="N696" s="17"/>
      <c r="O696" s="17"/>
      <c r="P696" s="17"/>
      <c r="Q696" s="17"/>
    </row>
    <row r="697" spans="1:17">
      <c r="A697" s="556" t="s">
        <v>3552</v>
      </c>
      <c r="B697" s="557"/>
      <c r="C697" s="558" t="s">
        <v>1236</v>
      </c>
      <c r="D697" s="556" t="s">
        <v>4101</v>
      </c>
      <c r="E697" s="17" t="s">
        <v>4126</v>
      </c>
      <c r="F697" s="17">
        <v>5</v>
      </c>
      <c r="G697" s="17">
        <v>11</v>
      </c>
      <c r="H697" s="17" t="s">
        <v>7854</v>
      </c>
      <c r="I697" s="17">
        <v>0</v>
      </c>
      <c r="J697" s="17"/>
      <c r="K697" s="17"/>
      <c r="L697" s="17"/>
      <c r="M697" s="17"/>
      <c r="N697" s="17"/>
      <c r="O697" s="17"/>
      <c r="P697" s="17"/>
      <c r="Q697" s="17"/>
    </row>
    <row r="698" spans="1:17">
      <c r="A698" s="556" t="s">
        <v>3552</v>
      </c>
      <c r="B698" s="557"/>
      <c r="C698" s="558" t="s">
        <v>1656</v>
      </c>
      <c r="D698" s="556" t="s">
        <v>4091</v>
      </c>
      <c r="E698" s="17" t="s">
        <v>4127</v>
      </c>
      <c r="F698" s="17">
        <v>6</v>
      </c>
      <c r="G698" s="17">
        <v>1</v>
      </c>
      <c r="H698" s="17" t="s">
        <v>7775</v>
      </c>
      <c r="I698" s="17"/>
      <c r="J698" s="17"/>
      <c r="K698" s="17"/>
      <c r="L698" s="17"/>
      <c r="M698" s="17"/>
      <c r="N698" s="17"/>
      <c r="O698" s="17"/>
      <c r="P698" s="17"/>
      <c r="Q698" s="17"/>
    </row>
    <row r="699" spans="1:17">
      <c r="A699" s="556" t="s">
        <v>3552</v>
      </c>
      <c r="B699" s="557"/>
      <c r="C699" s="558" t="s">
        <v>1656</v>
      </c>
      <c r="D699" s="556" t="s">
        <v>4093</v>
      </c>
      <c r="E699" s="17" t="s">
        <v>4128</v>
      </c>
      <c r="F699" s="17">
        <v>6</v>
      </c>
      <c r="G699" s="17">
        <v>3</v>
      </c>
      <c r="H699" s="17" t="s">
        <v>3355</v>
      </c>
      <c r="I699" s="17"/>
      <c r="J699" s="17"/>
      <c r="K699" s="17"/>
      <c r="L699" s="17"/>
      <c r="M699" s="17"/>
      <c r="N699" s="17"/>
      <c r="O699" s="17"/>
      <c r="P699" s="17"/>
      <c r="Q699" s="17"/>
    </row>
    <row r="700" spans="1:17">
      <c r="A700" s="556" t="s">
        <v>3552</v>
      </c>
      <c r="B700" s="557"/>
      <c r="C700" s="558" t="s">
        <v>1656</v>
      </c>
      <c r="D700" s="556" t="s">
        <v>4095</v>
      </c>
      <c r="E700" s="17" t="s">
        <v>4129</v>
      </c>
      <c r="F700" s="17">
        <v>6</v>
      </c>
      <c r="G700" s="17">
        <v>5</v>
      </c>
      <c r="H700" s="17" t="s">
        <v>3357</v>
      </c>
      <c r="I700" s="17"/>
      <c r="J700" s="17"/>
      <c r="K700" s="17"/>
      <c r="L700" s="17"/>
      <c r="M700" s="17"/>
      <c r="N700" s="17"/>
      <c r="O700" s="17"/>
      <c r="P700" s="17"/>
      <c r="Q700" s="17"/>
    </row>
    <row r="701" spans="1:17">
      <c r="A701" s="556" t="s">
        <v>3552</v>
      </c>
      <c r="B701" s="557"/>
      <c r="C701" s="558" t="s">
        <v>1656</v>
      </c>
      <c r="D701" s="556" t="s">
        <v>4097</v>
      </c>
      <c r="E701" s="17" t="s">
        <v>4130</v>
      </c>
      <c r="F701" s="17">
        <v>6</v>
      </c>
      <c r="G701" s="17">
        <v>7</v>
      </c>
      <c r="H701" s="17" t="s">
        <v>3455</v>
      </c>
      <c r="I701" s="17"/>
      <c r="J701" s="17"/>
      <c r="K701" s="17"/>
      <c r="L701" s="17"/>
      <c r="M701" s="17"/>
      <c r="N701" s="17"/>
      <c r="O701" s="17"/>
      <c r="P701" s="17"/>
      <c r="Q701" s="17"/>
    </row>
    <row r="702" spans="1:17">
      <c r="A702" s="556" t="s">
        <v>3552</v>
      </c>
      <c r="B702" s="557"/>
      <c r="C702" s="558" t="s">
        <v>1656</v>
      </c>
      <c r="D702" s="556" t="s">
        <v>4099</v>
      </c>
      <c r="E702" s="17" t="s">
        <v>4131</v>
      </c>
      <c r="F702" s="17">
        <v>6</v>
      </c>
      <c r="G702" s="17">
        <v>9</v>
      </c>
      <c r="H702" s="17" t="s">
        <v>7859</v>
      </c>
      <c r="I702" s="17"/>
      <c r="J702" s="17"/>
      <c r="K702" s="17"/>
      <c r="L702" s="17"/>
      <c r="M702" s="17"/>
      <c r="N702" s="17"/>
      <c r="O702" s="17"/>
      <c r="P702" s="17"/>
      <c r="Q702" s="17"/>
    </row>
    <row r="703" spans="1:17">
      <c r="A703" s="556" t="s">
        <v>3552</v>
      </c>
      <c r="B703" s="557"/>
      <c r="C703" s="558" t="s">
        <v>1656</v>
      </c>
      <c r="D703" s="556" t="s">
        <v>4101</v>
      </c>
      <c r="E703" s="17" t="s">
        <v>4132</v>
      </c>
      <c r="F703" s="17">
        <v>6</v>
      </c>
      <c r="G703" s="17">
        <v>11</v>
      </c>
      <c r="H703" s="17" t="s">
        <v>7861</v>
      </c>
      <c r="I703" s="17">
        <v>0</v>
      </c>
      <c r="J703" s="17"/>
      <c r="K703" s="17"/>
      <c r="L703" s="17"/>
      <c r="M703" s="17"/>
      <c r="N703" s="17"/>
      <c r="O703" s="17"/>
      <c r="P703" s="17"/>
      <c r="Q703" s="17"/>
    </row>
    <row r="704" spans="1:17">
      <c r="A704" s="556" t="s">
        <v>3552</v>
      </c>
      <c r="B704" s="557"/>
      <c r="C704" s="558" t="s">
        <v>1657</v>
      </c>
      <c r="D704" s="556" t="s">
        <v>4091</v>
      </c>
      <c r="E704" s="17" t="s">
        <v>4133</v>
      </c>
      <c r="F704" s="17">
        <v>7</v>
      </c>
      <c r="G704" s="17">
        <v>1</v>
      </c>
      <c r="H704" s="17" t="s">
        <v>7777</v>
      </c>
      <c r="I704" s="17"/>
      <c r="J704" s="17"/>
      <c r="K704" s="17"/>
      <c r="L704" s="17"/>
      <c r="M704" s="17"/>
      <c r="N704" s="17"/>
      <c r="O704" s="17"/>
      <c r="P704" s="17"/>
      <c r="Q704" s="17"/>
    </row>
    <row r="705" spans="1:17">
      <c r="A705" s="556" t="s">
        <v>3552</v>
      </c>
      <c r="B705" s="557"/>
      <c r="C705" s="558" t="s">
        <v>1657</v>
      </c>
      <c r="D705" s="556" t="s">
        <v>4093</v>
      </c>
      <c r="E705" s="17" t="s">
        <v>4134</v>
      </c>
      <c r="F705" s="17">
        <v>7</v>
      </c>
      <c r="G705" s="17">
        <v>3</v>
      </c>
      <c r="H705" s="17" t="s">
        <v>3359</v>
      </c>
      <c r="I705" s="17"/>
      <c r="J705" s="17"/>
      <c r="K705" s="17"/>
      <c r="L705" s="17"/>
      <c r="M705" s="17"/>
      <c r="N705" s="17"/>
      <c r="O705" s="17"/>
      <c r="P705" s="17"/>
      <c r="Q705" s="17"/>
    </row>
    <row r="706" spans="1:17">
      <c r="A706" s="556" t="s">
        <v>3552</v>
      </c>
      <c r="B706" s="557"/>
      <c r="C706" s="558" t="s">
        <v>1657</v>
      </c>
      <c r="D706" s="556" t="s">
        <v>4095</v>
      </c>
      <c r="E706" s="17" t="s">
        <v>4135</v>
      </c>
      <c r="F706" s="17">
        <v>7</v>
      </c>
      <c r="G706" s="17">
        <v>5</v>
      </c>
      <c r="H706" s="17" t="s">
        <v>3327</v>
      </c>
      <c r="I706" s="17"/>
      <c r="J706" s="17"/>
      <c r="K706" s="17"/>
      <c r="L706" s="17"/>
      <c r="M706" s="17"/>
      <c r="N706" s="17"/>
      <c r="O706" s="17"/>
      <c r="P706" s="17"/>
      <c r="Q706" s="17"/>
    </row>
    <row r="707" spans="1:17">
      <c r="A707" s="556" t="s">
        <v>3552</v>
      </c>
      <c r="B707" s="557"/>
      <c r="C707" s="558" t="s">
        <v>1657</v>
      </c>
      <c r="D707" s="556" t="s">
        <v>4097</v>
      </c>
      <c r="E707" s="17" t="s">
        <v>4136</v>
      </c>
      <c r="F707" s="17">
        <v>7</v>
      </c>
      <c r="G707" s="17">
        <v>7</v>
      </c>
      <c r="H707" s="17" t="s">
        <v>3456</v>
      </c>
      <c r="I707" s="17"/>
      <c r="J707" s="17"/>
      <c r="K707" s="17"/>
      <c r="L707" s="17"/>
      <c r="M707" s="17"/>
      <c r="N707" s="17"/>
      <c r="O707" s="17"/>
      <c r="P707" s="17"/>
      <c r="Q707" s="17"/>
    </row>
    <row r="708" spans="1:17">
      <c r="A708" s="556" t="s">
        <v>3552</v>
      </c>
      <c r="B708" s="557"/>
      <c r="C708" s="558" t="s">
        <v>1657</v>
      </c>
      <c r="D708" s="556" t="s">
        <v>4099</v>
      </c>
      <c r="E708" s="17" t="s">
        <v>4137</v>
      </c>
      <c r="F708" s="17">
        <v>7</v>
      </c>
      <c r="G708" s="17">
        <v>9</v>
      </c>
      <c r="H708" s="17" t="s">
        <v>7866</v>
      </c>
      <c r="I708" s="17"/>
      <c r="J708" s="17"/>
      <c r="K708" s="17"/>
      <c r="L708" s="17"/>
      <c r="M708" s="17"/>
      <c r="N708" s="17"/>
      <c r="O708" s="17"/>
      <c r="P708" s="17"/>
      <c r="Q708" s="17"/>
    </row>
    <row r="709" spans="1:17">
      <c r="A709" s="556" t="s">
        <v>3552</v>
      </c>
      <c r="B709" s="557"/>
      <c r="C709" s="558" t="s">
        <v>1657</v>
      </c>
      <c r="D709" s="556" t="s">
        <v>4101</v>
      </c>
      <c r="E709" s="17" t="s">
        <v>4138</v>
      </c>
      <c r="F709" s="17">
        <v>7</v>
      </c>
      <c r="G709" s="17">
        <v>11</v>
      </c>
      <c r="H709" s="17" t="s">
        <v>7868</v>
      </c>
      <c r="I709" s="17">
        <v>0</v>
      </c>
      <c r="J709" s="17"/>
      <c r="K709" s="17"/>
      <c r="L709" s="17"/>
      <c r="M709" s="17"/>
      <c r="N709" s="17"/>
      <c r="O709" s="17"/>
      <c r="P709" s="17"/>
      <c r="Q709" s="17"/>
    </row>
    <row r="710" spans="1:17">
      <c r="A710" s="556" t="s">
        <v>3552</v>
      </c>
      <c r="B710" s="557"/>
      <c r="C710" s="558" t="s">
        <v>1658</v>
      </c>
      <c r="D710" s="556" t="s">
        <v>4091</v>
      </c>
      <c r="E710" s="17" t="s">
        <v>4139</v>
      </c>
      <c r="F710" s="17">
        <v>8</v>
      </c>
      <c r="G710" s="17">
        <v>1</v>
      </c>
      <c r="H710" s="17" t="s">
        <v>3717</v>
      </c>
      <c r="I710" s="17"/>
      <c r="J710" s="17"/>
      <c r="K710" s="17"/>
      <c r="L710" s="17"/>
      <c r="M710" s="17"/>
      <c r="N710" s="17"/>
      <c r="O710" s="17"/>
      <c r="P710" s="17"/>
      <c r="Q710" s="17"/>
    </row>
    <row r="711" spans="1:17">
      <c r="A711" s="556" t="s">
        <v>3552</v>
      </c>
      <c r="B711" s="557"/>
      <c r="C711" s="558" t="s">
        <v>1658</v>
      </c>
      <c r="D711" s="556" t="s">
        <v>4093</v>
      </c>
      <c r="E711" s="17" t="s">
        <v>4140</v>
      </c>
      <c r="F711" s="17">
        <v>8</v>
      </c>
      <c r="G711" s="17">
        <v>3</v>
      </c>
      <c r="H711" s="17" t="s">
        <v>3362</v>
      </c>
      <c r="I711" s="17"/>
      <c r="J711" s="17"/>
      <c r="K711" s="17"/>
      <c r="L711" s="17"/>
      <c r="M711" s="17"/>
      <c r="N711" s="17"/>
      <c r="O711" s="17"/>
      <c r="P711" s="17"/>
      <c r="Q711" s="17"/>
    </row>
    <row r="712" spans="1:17">
      <c r="A712" s="556" t="s">
        <v>3552</v>
      </c>
      <c r="B712" s="557"/>
      <c r="C712" s="558" t="s">
        <v>1658</v>
      </c>
      <c r="D712" s="556" t="s">
        <v>4095</v>
      </c>
      <c r="E712" s="17" t="s">
        <v>4141</v>
      </c>
      <c r="F712" s="17">
        <v>8</v>
      </c>
      <c r="G712" s="17">
        <v>5</v>
      </c>
      <c r="H712" s="17" t="s">
        <v>3364</v>
      </c>
      <c r="I712" s="17"/>
      <c r="J712" s="17"/>
      <c r="K712" s="17"/>
      <c r="L712" s="17"/>
      <c r="M712" s="17"/>
      <c r="N712" s="17"/>
      <c r="O712" s="17"/>
      <c r="P712" s="17"/>
      <c r="Q712" s="17"/>
    </row>
    <row r="713" spans="1:17">
      <c r="A713" s="556" t="s">
        <v>3552</v>
      </c>
      <c r="B713" s="557"/>
      <c r="C713" s="558" t="s">
        <v>1658</v>
      </c>
      <c r="D713" s="556" t="s">
        <v>4097</v>
      </c>
      <c r="E713" s="17" t="s">
        <v>4142</v>
      </c>
      <c r="F713" s="17">
        <v>8</v>
      </c>
      <c r="G713" s="17">
        <v>7</v>
      </c>
      <c r="H713" s="17" t="s">
        <v>3457</v>
      </c>
      <c r="I713" s="17"/>
      <c r="J713" s="17"/>
      <c r="K713" s="17"/>
      <c r="L713" s="17"/>
      <c r="M713" s="17"/>
      <c r="N713" s="17"/>
      <c r="O713" s="17"/>
      <c r="P713" s="17"/>
      <c r="Q713" s="17"/>
    </row>
    <row r="714" spans="1:17">
      <c r="A714" s="556" t="s">
        <v>3552</v>
      </c>
      <c r="B714" s="557"/>
      <c r="C714" s="558" t="s">
        <v>1658</v>
      </c>
      <c r="D714" s="556" t="s">
        <v>4099</v>
      </c>
      <c r="E714" s="17" t="s">
        <v>4143</v>
      </c>
      <c r="F714" s="17">
        <v>8</v>
      </c>
      <c r="G714" s="17">
        <v>9</v>
      </c>
      <c r="H714" s="17" t="s">
        <v>7873</v>
      </c>
      <c r="I714" s="17"/>
      <c r="J714" s="17"/>
      <c r="K714" s="17"/>
      <c r="L714" s="17"/>
      <c r="M714" s="17"/>
      <c r="N714" s="17"/>
      <c r="O714" s="17"/>
      <c r="P714" s="17"/>
      <c r="Q714" s="17"/>
    </row>
    <row r="715" spans="1:17">
      <c r="A715" s="556" t="s">
        <v>3552</v>
      </c>
      <c r="B715" s="557"/>
      <c r="C715" s="558" t="s">
        <v>1658</v>
      </c>
      <c r="D715" s="556" t="s">
        <v>4101</v>
      </c>
      <c r="E715" s="17" t="s">
        <v>4144</v>
      </c>
      <c r="F715" s="17">
        <v>8</v>
      </c>
      <c r="G715" s="17">
        <v>11</v>
      </c>
      <c r="H715" s="17" t="s">
        <v>7875</v>
      </c>
      <c r="I715" s="17">
        <v>0</v>
      </c>
      <c r="J715" s="17"/>
      <c r="K715" s="17"/>
      <c r="L715" s="17"/>
      <c r="M715" s="17"/>
      <c r="N715" s="17"/>
      <c r="O715" s="17"/>
      <c r="P715" s="17"/>
      <c r="Q715" s="17"/>
    </row>
    <row r="716" spans="1:17">
      <c r="A716" s="556" t="s">
        <v>3552</v>
      </c>
      <c r="B716" s="557"/>
      <c r="C716" s="558" t="s">
        <v>1659</v>
      </c>
      <c r="D716" s="556" t="s">
        <v>4091</v>
      </c>
      <c r="E716" s="17" t="s">
        <v>4145</v>
      </c>
      <c r="F716" s="17">
        <v>9</v>
      </c>
      <c r="G716" s="17">
        <v>1</v>
      </c>
      <c r="H716" s="17" t="s">
        <v>7780</v>
      </c>
      <c r="I716" s="17"/>
      <c r="J716" s="17"/>
      <c r="K716" s="17"/>
      <c r="L716" s="17"/>
      <c r="M716" s="17"/>
      <c r="N716" s="17"/>
      <c r="O716" s="17"/>
      <c r="P716" s="17"/>
      <c r="Q716" s="17"/>
    </row>
    <row r="717" spans="1:17">
      <c r="A717" s="556" t="s">
        <v>3552</v>
      </c>
      <c r="B717" s="557"/>
      <c r="C717" s="558" t="s">
        <v>1659</v>
      </c>
      <c r="D717" s="556" t="s">
        <v>4093</v>
      </c>
      <c r="E717" s="17" t="s">
        <v>4146</v>
      </c>
      <c r="F717" s="17">
        <v>9</v>
      </c>
      <c r="G717" s="17">
        <v>3</v>
      </c>
      <c r="H717" s="17" t="s">
        <v>3366</v>
      </c>
      <c r="I717" s="17"/>
      <c r="J717" s="17"/>
      <c r="K717" s="17"/>
      <c r="L717" s="17"/>
      <c r="M717" s="17"/>
      <c r="N717" s="17"/>
      <c r="O717" s="17"/>
      <c r="P717" s="17"/>
      <c r="Q717" s="17"/>
    </row>
    <row r="718" spans="1:17">
      <c r="A718" s="556" t="s">
        <v>3552</v>
      </c>
      <c r="B718" s="557"/>
      <c r="C718" s="558" t="s">
        <v>1659</v>
      </c>
      <c r="D718" s="556" t="s">
        <v>4095</v>
      </c>
      <c r="E718" s="17" t="s">
        <v>4147</v>
      </c>
      <c r="F718" s="17">
        <v>9</v>
      </c>
      <c r="G718" s="17">
        <v>5</v>
      </c>
      <c r="H718" s="17" t="s">
        <v>3368</v>
      </c>
      <c r="I718" s="17"/>
      <c r="J718" s="17"/>
      <c r="K718" s="17"/>
      <c r="L718" s="17"/>
      <c r="M718" s="17"/>
      <c r="N718" s="17"/>
      <c r="O718" s="17"/>
      <c r="P718" s="17"/>
      <c r="Q718" s="17"/>
    </row>
    <row r="719" spans="1:17">
      <c r="A719" s="556" t="s">
        <v>3552</v>
      </c>
      <c r="B719" s="557"/>
      <c r="C719" s="558" t="s">
        <v>1659</v>
      </c>
      <c r="D719" s="556" t="s">
        <v>4097</v>
      </c>
      <c r="E719" s="17" t="s">
        <v>4148</v>
      </c>
      <c r="F719" s="17">
        <v>9</v>
      </c>
      <c r="G719" s="17">
        <v>7</v>
      </c>
      <c r="H719" s="17" t="s">
        <v>3458</v>
      </c>
      <c r="I719" s="17"/>
      <c r="J719" s="17"/>
      <c r="K719" s="17"/>
      <c r="L719" s="17"/>
      <c r="M719" s="17"/>
      <c r="N719" s="17"/>
      <c r="O719" s="17"/>
      <c r="P719" s="17"/>
      <c r="Q719" s="17"/>
    </row>
    <row r="720" spans="1:17">
      <c r="A720" s="556" t="s">
        <v>3552</v>
      </c>
      <c r="B720" s="557"/>
      <c r="C720" s="558" t="s">
        <v>1659</v>
      </c>
      <c r="D720" s="556" t="s">
        <v>4099</v>
      </c>
      <c r="E720" s="17" t="s">
        <v>4149</v>
      </c>
      <c r="F720" s="17">
        <v>9</v>
      </c>
      <c r="G720" s="17">
        <v>9</v>
      </c>
      <c r="H720" s="17" t="s">
        <v>7897</v>
      </c>
      <c r="I720" s="17"/>
      <c r="J720" s="17"/>
      <c r="K720" s="17"/>
      <c r="L720" s="17"/>
      <c r="M720" s="17"/>
      <c r="N720" s="17"/>
      <c r="O720" s="17"/>
      <c r="P720" s="17"/>
      <c r="Q720" s="17"/>
    </row>
    <row r="721" spans="1:17">
      <c r="A721" s="556" t="s">
        <v>3552</v>
      </c>
      <c r="B721" s="557"/>
      <c r="C721" s="558" t="s">
        <v>1659</v>
      </c>
      <c r="D721" s="556" t="s">
        <v>4101</v>
      </c>
      <c r="E721" s="17" t="s">
        <v>4150</v>
      </c>
      <c r="F721" s="17">
        <v>9</v>
      </c>
      <c r="G721" s="17">
        <v>11</v>
      </c>
      <c r="H721" s="17" t="s">
        <v>8933</v>
      </c>
      <c r="I721" s="17">
        <v>0</v>
      </c>
      <c r="J721" s="17"/>
      <c r="K721" s="17"/>
      <c r="L721" s="17"/>
      <c r="M721" s="17"/>
      <c r="N721" s="17"/>
      <c r="O721" s="17"/>
      <c r="P721" s="17"/>
      <c r="Q721" s="17"/>
    </row>
    <row r="722" spans="1:17">
      <c r="A722" s="556" t="s">
        <v>3552</v>
      </c>
      <c r="B722" s="557"/>
      <c r="C722" s="558" t="s">
        <v>1660</v>
      </c>
      <c r="D722" s="556" t="s">
        <v>4091</v>
      </c>
      <c r="E722" s="17" t="s">
        <v>4151</v>
      </c>
      <c r="F722" s="17">
        <v>10</v>
      </c>
      <c r="G722" s="17">
        <v>1</v>
      </c>
      <c r="H722" s="17" t="s">
        <v>7782</v>
      </c>
      <c r="I722" s="17"/>
      <c r="J722" s="17"/>
      <c r="K722" s="17"/>
      <c r="L722" s="17"/>
      <c r="M722" s="17"/>
      <c r="N722" s="17"/>
      <c r="O722" s="17"/>
      <c r="P722" s="17"/>
      <c r="Q722" s="17"/>
    </row>
    <row r="723" spans="1:17">
      <c r="A723" s="556" t="s">
        <v>3552</v>
      </c>
      <c r="B723" s="557"/>
      <c r="C723" s="558" t="s">
        <v>1660</v>
      </c>
      <c r="D723" s="556" t="s">
        <v>4093</v>
      </c>
      <c r="E723" s="17" t="s">
        <v>4152</v>
      </c>
      <c r="F723" s="17">
        <v>10</v>
      </c>
      <c r="G723" s="17">
        <v>3</v>
      </c>
      <c r="H723" s="17" t="s">
        <v>3370</v>
      </c>
      <c r="I723" s="17"/>
      <c r="J723" s="17"/>
      <c r="K723" s="17"/>
      <c r="L723" s="17"/>
      <c r="M723" s="17"/>
      <c r="N723" s="17"/>
      <c r="O723" s="17"/>
      <c r="P723" s="17"/>
      <c r="Q723" s="17"/>
    </row>
    <row r="724" spans="1:17">
      <c r="A724" s="556" t="s">
        <v>3552</v>
      </c>
      <c r="B724" s="557"/>
      <c r="C724" s="558" t="s">
        <v>1660</v>
      </c>
      <c r="D724" s="556" t="s">
        <v>4095</v>
      </c>
      <c r="E724" s="17" t="s">
        <v>4153</v>
      </c>
      <c r="F724" s="17">
        <v>10</v>
      </c>
      <c r="G724" s="17">
        <v>5</v>
      </c>
      <c r="H724" s="17" t="s">
        <v>3372</v>
      </c>
      <c r="I724" s="17"/>
      <c r="J724" s="17"/>
      <c r="K724" s="17"/>
      <c r="L724" s="17"/>
      <c r="M724" s="17"/>
      <c r="N724" s="17"/>
      <c r="O724" s="17"/>
      <c r="P724" s="17"/>
      <c r="Q724" s="17"/>
    </row>
    <row r="725" spans="1:17">
      <c r="A725" s="556" t="s">
        <v>3552</v>
      </c>
      <c r="B725" s="557"/>
      <c r="C725" s="558" t="s">
        <v>1660</v>
      </c>
      <c r="D725" s="556" t="s">
        <v>4097</v>
      </c>
      <c r="E725" s="17" t="s">
        <v>4154</v>
      </c>
      <c r="F725" s="17">
        <v>10</v>
      </c>
      <c r="G725" s="17">
        <v>7</v>
      </c>
      <c r="H725" s="17" t="s">
        <v>3459</v>
      </c>
      <c r="I725" s="17"/>
      <c r="J725" s="17"/>
      <c r="K725" s="17"/>
      <c r="L725" s="17"/>
      <c r="M725" s="17"/>
      <c r="N725" s="17"/>
      <c r="O725" s="17"/>
      <c r="P725" s="17"/>
      <c r="Q725" s="17"/>
    </row>
    <row r="726" spans="1:17">
      <c r="A726" s="556" t="s">
        <v>3552</v>
      </c>
      <c r="B726" s="557"/>
      <c r="C726" s="558" t="s">
        <v>1660</v>
      </c>
      <c r="D726" s="556" t="s">
        <v>4099</v>
      </c>
      <c r="E726" s="17" t="s">
        <v>4155</v>
      </c>
      <c r="F726" s="17">
        <v>10</v>
      </c>
      <c r="G726" s="17">
        <v>9</v>
      </c>
      <c r="H726" s="17" t="s">
        <v>7898</v>
      </c>
      <c r="I726" s="17"/>
      <c r="J726" s="17"/>
      <c r="K726" s="17"/>
      <c r="L726" s="17"/>
      <c r="M726" s="17"/>
      <c r="N726" s="17"/>
      <c r="O726" s="17"/>
      <c r="P726" s="17"/>
      <c r="Q726" s="17"/>
    </row>
    <row r="727" spans="1:17">
      <c r="A727" s="556" t="s">
        <v>3552</v>
      </c>
      <c r="B727" s="557"/>
      <c r="C727" s="558" t="s">
        <v>1660</v>
      </c>
      <c r="D727" s="556" t="s">
        <v>4101</v>
      </c>
      <c r="E727" s="17" t="s">
        <v>4156</v>
      </c>
      <c r="F727" s="17">
        <v>10</v>
      </c>
      <c r="G727" s="17">
        <v>11</v>
      </c>
      <c r="H727" s="17" t="s">
        <v>8934</v>
      </c>
      <c r="I727" s="17">
        <v>0</v>
      </c>
      <c r="J727" s="17"/>
      <c r="K727" s="17"/>
      <c r="L727" s="17"/>
      <c r="M727" s="17"/>
      <c r="N727" s="17"/>
      <c r="O727" s="17"/>
      <c r="P727" s="17"/>
      <c r="Q727" s="17"/>
    </row>
    <row r="728" spans="1:17">
      <c r="A728" s="556" t="s">
        <v>3552</v>
      </c>
      <c r="B728" s="557"/>
      <c r="C728" s="558" t="s">
        <v>1158</v>
      </c>
      <c r="D728" s="556" t="s">
        <v>4091</v>
      </c>
      <c r="E728" s="17" t="s">
        <v>4157</v>
      </c>
      <c r="F728" s="17">
        <v>11</v>
      </c>
      <c r="G728" s="17">
        <v>1</v>
      </c>
      <c r="H728" s="17" t="s">
        <v>7784</v>
      </c>
      <c r="I728" s="17"/>
      <c r="J728" s="17"/>
      <c r="K728" s="17"/>
      <c r="L728" s="17"/>
      <c r="M728" s="17"/>
      <c r="N728" s="17"/>
      <c r="O728" s="17"/>
      <c r="P728" s="17"/>
      <c r="Q728" s="17"/>
    </row>
    <row r="729" spans="1:17">
      <c r="A729" s="556" t="s">
        <v>3552</v>
      </c>
      <c r="B729" s="557"/>
      <c r="C729" s="558" t="s">
        <v>1158</v>
      </c>
      <c r="D729" s="556" t="s">
        <v>4093</v>
      </c>
      <c r="E729" s="17" t="s">
        <v>4158</v>
      </c>
      <c r="F729" s="17">
        <v>11</v>
      </c>
      <c r="G729" s="17">
        <v>3</v>
      </c>
      <c r="H729" s="17" t="s">
        <v>3374</v>
      </c>
      <c r="I729" s="17"/>
      <c r="J729" s="17"/>
      <c r="K729" s="17"/>
      <c r="L729" s="17"/>
      <c r="M729" s="17"/>
      <c r="N729" s="17"/>
      <c r="O729" s="17"/>
      <c r="P729" s="17"/>
      <c r="Q729" s="17"/>
    </row>
    <row r="730" spans="1:17">
      <c r="A730" s="556" t="s">
        <v>3552</v>
      </c>
      <c r="B730" s="557"/>
      <c r="C730" s="558" t="s">
        <v>1158</v>
      </c>
      <c r="D730" s="556" t="s">
        <v>4095</v>
      </c>
      <c r="E730" s="17" t="s">
        <v>4159</v>
      </c>
      <c r="F730" s="17">
        <v>11</v>
      </c>
      <c r="G730" s="17">
        <v>5</v>
      </c>
      <c r="H730" s="17" t="s">
        <v>3376</v>
      </c>
      <c r="I730" s="17"/>
      <c r="J730" s="17"/>
      <c r="K730" s="17"/>
      <c r="L730" s="17"/>
      <c r="M730" s="17"/>
      <c r="N730" s="17"/>
      <c r="O730" s="17"/>
      <c r="P730" s="17"/>
      <c r="Q730" s="17"/>
    </row>
    <row r="731" spans="1:17">
      <c r="A731" s="556" t="s">
        <v>3552</v>
      </c>
      <c r="B731" s="557"/>
      <c r="C731" s="558" t="s">
        <v>1158</v>
      </c>
      <c r="D731" s="556" t="s">
        <v>4097</v>
      </c>
      <c r="E731" s="17" t="s">
        <v>4160</v>
      </c>
      <c r="F731" s="17">
        <v>11</v>
      </c>
      <c r="G731" s="17">
        <v>7</v>
      </c>
      <c r="H731" s="17" t="s">
        <v>3460</v>
      </c>
      <c r="I731" s="17"/>
      <c r="J731" s="17"/>
      <c r="K731" s="17"/>
      <c r="L731" s="17"/>
      <c r="M731" s="17"/>
      <c r="N731" s="17"/>
      <c r="O731" s="17"/>
      <c r="P731" s="17"/>
      <c r="Q731" s="17"/>
    </row>
    <row r="732" spans="1:17">
      <c r="A732" s="556" t="s">
        <v>3552</v>
      </c>
      <c r="B732" s="557"/>
      <c r="C732" s="558" t="s">
        <v>1158</v>
      </c>
      <c r="D732" s="556" t="s">
        <v>4099</v>
      </c>
      <c r="E732" s="17" t="s">
        <v>4161</v>
      </c>
      <c r="F732" s="17">
        <v>11</v>
      </c>
      <c r="G732" s="17">
        <v>9</v>
      </c>
      <c r="H732" s="17" t="s">
        <v>7899</v>
      </c>
      <c r="I732" s="17"/>
      <c r="J732" s="17"/>
      <c r="K732" s="17"/>
      <c r="L732" s="17"/>
      <c r="M732" s="17"/>
      <c r="N732" s="17"/>
      <c r="O732" s="17"/>
      <c r="P732" s="17"/>
      <c r="Q732" s="17"/>
    </row>
    <row r="733" spans="1:17">
      <c r="A733" s="556" t="s">
        <v>3552</v>
      </c>
      <c r="B733" s="557"/>
      <c r="C733" s="558" t="s">
        <v>1158</v>
      </c>
      <c r="D733" s="556" t="s">
        <v>4101</v>
      </c>
      <c r="E733" s="17" t="s">
        <v>4162</v>
      </c>
      <c r="F733" s="17">
        <v>11</v>
      </c>
      <c r="G733" s="17">
        <v>11</v>
      </c>
      <c r="H733" s="17" t="s">
        <v>8935</v>
      </c>
      <c r="I733" s="17">
        <v>0</v>
      </c>
      <c r="J733" s="17"/>
      <c r="K733" s="17"/>
      <c r="L733" s="17"/>
      <c r="M733" s="17"/>
      <c r="N733" s="17"/>
      <c r="O733" s="17"/>
      <c r="P733" s="17"/>
      <c r="Q733" s="17"/>
    </row>
    <row r="734" spans="1:17">
      <c r="A734" s="556" t="s">
        <v>3552</v>
      </c>
      <c r="B734" s="557"/>
      <c r="C734" s="558" t="s">
        <v>1162</v>
      </c>
      <c r="D734" s="556" t="s">
        <v>4091</v>
      </c>
      <c r="E734" s="17" t="s">
        <v>4163</v>
      </c>
      <c r="F734" s="17">
        <v>12</v>
      </c>
      <c r="G734" s="17">
        <v>1</v>
      </c>
      <c r="H734" s="17" t="s">
        <v>7786</v>
      </c>
      <c r="I734" s="17"/>
      <c r="J734" s="17"/>
      <c r="K734" s="17"/>
      <c r="L734" s="17"/>
      <c r="M734" s="17"/>
      <c r="N734" s="17"/>
      <c r="O734" s="17"/>
      <c r="P734" s="17"/>
      <c r="Q734" s="17"/>
    </row>
    <row r="735" spans="1:17">
      <c r="A735" s="556" t="s">
        <v>3552</v>
      </c>
      <c r="B735" s="557"/>
      <c r="C735" s="558" t="s">
        <v>1162</v>
      </c>
      <c r="D735" s="556" t="s">
        <v>4093</v>
      </c>
      <c r="E735" s="17" t="s">
        <v>4164</v>
      </c>
      <c r="F735" s="17">
        <v>12</v>
      </c>
      <c r="G735" s="17">
        <v>3</v>
      </c>
      <c r="H735" s="17" t="s">
        <v>3378</v>
      </c>
      <c r="I735" s="17"/>
      <c r="J735" s="17"/>
      <c r="K735" s="17"/>
      <c r="L735" s="17"/>
      <c r="M735" s="17"/>
      <c r="N735" s="17"/>
      <c r="O735" s="17"/>
      <c r="P735" s="17"/>
      <c r="Q735" s="17"/>
    </row>
    <row r="736" spans="1:17">
      <c r="A736" s="556" t="s">
        <v>3552</v>
      </c>
      <c r="B736" s="557"/>
      <c r="C736" s="558" t="s">
        <v>1162</v>
      </c>
      <c r="D736" s="556" t="s">
        <v>4095</v>
      </c>
      <c r="E736" s="17" t="s">
        <v>4165</v>
      </c>
      <c r="F736" s="17">
        <v>12</v>
      </c>
      <c r="G736" s="17">
        <v>5</v>
      </c>
      <c r="H736" s="17" t="s">
        <v>3380</v>
      </c>
      <c r="I736" s="17"/>
      <c r="J736" s="17"/>
      <c r="K736" s="17"/>
      <c r="L736" s="17"/>
      <c r="M736" s="17"/>
      <c r="N736" s="17"/>
      <c r="O736" s="17"/>
      <c r="P736" s="17"/>
      <c r="Q736" s="17"/>
    </row>
    <row r="737" spans="1:17">
      <c r="A737" s="556" t="s">
        <v>3552</v>
      </c>
      <c r="B737" s="557"/>
      <c r="C737" s="558" t="s">
        <v>1162</v>
      </c>
      <c r="D737" s="556" t="s">
        <v>4097</v>
      </c>
      <c r="E737" s="17" t="s">
        <v>4166</v>
      </c>
      <c r="F737" s="17">
        <v>12</v>
      </c>
      <c r="G737" s="17">
        <v>7</v>
      </c>
      <c r="H737" s="17" t="s">
        <v>3461</v>
      </c>
      <c r="I737" s="17"/>
      <c r="J737" s="17"/>
      <c r="K737" s="17"/>
      <c r="L737" s="17"/>
      <c r="M737" s="17"/>
      <c r="N737" s="17"/>
      <c r="O737" s="17"/>
      <c r="P737" s="17"/>
      <c r="Q737" s="17"/>
    </row>
    <row r="738" spans="1:17">
      <c r="A738" s="556" t="s">
        <v>3552</v>
      </c>
      <c r="B738" s="557"/>
      <c r="C738" s="558" t="s">
        <v>1162</v>
      </c>
      <c r="D738" s="556" t="s">
        <v>4099</v>
      </c>
      <c r="E738" s="17" t="s">
        <v>4167</v>
      </c>
      <c r="F738" s="17">
        <v>12</v>
      </c>
      <c r="G738" s="17">
        <v>9</v>
      </c>
      <c r="H738" s="17" t="s">
        <v>3704</v>
      </c>
      <c r="I738" s="17"/>
      <c r="J738" s="17"/>
      <c r="K738" s="17"/>
      <c r="L738" s="17"/>
      <c r="M738" s="17"/>
      <c r="N738" s="17"/>
      <c r="O738" s="17"/>
      <c r="P738" s="17"/>
      <c r="Q738" s="17"/>
    </row>
    <row r="739" spans="1:17">
      <c r="A739" s="556" t="s">
        <v>3552</v>
      </c>
      <c r="B739" s="557"/>
      <c r="C739" s="558" t="s">
        <v>1162</v>
      </c>
      <c r="D739" s="556" t="s">
        <v>4101</v>
      </c>
      <c r="E739" s="17" t="s">
        <v>4168</v>
      </c>
      <c r="F739" s="17">
        <v>12</v>
      </c>
      <c r="G739" s="17">
        <v>11</v>
      </c>
      <c r="H739" s="17" t="s">
        <v>8936</v>
      </c>
      <c r="I739" s="17">
        <v>0</v>
      </c>
      <c r="J739" s="17"/>
      <c r="K739" s="17"/>
      <c r="L739" s="17"/>
      <c r="M739" s="17"/>
      <c r="N739" s="17"/>
      <c r="O739" s="17"/>
      <c r="P739" s="17"/>
      <c r="Q739" s="17"/>
    </row>
    <row r="740" spans="1:17">
      <c r="A740" s="556" t="s">
        <v>3552</v>
      </c>
      <c r="B740" s="557"/>
      <c r="C740" s="558" t="s">
        <v>1239</v>
      </c>
      <c r="D740" s="556" t="s">
        <v>4091</v>
      </c>
      <c r="E740" s="17" t="s">
        <v>4169</v>
      </c>
      <c r="F740" s="17">
        <v>13</v>
      </c>
      <c r="G740" s="17">
        <v>1</v>
      </c>
      <c r="H740" s="17" t="s">
        <v>7787</v>
      </c>
      <c r="I740" s="17">
        <v>0</v>
      </c>
      <c r="J740" s="17"/>
      <c r="K740" s="17"/>
      <c r="L740" s="17"/>
      <c r="M740" s="17"/>
      <c r="N740" s="17"/>
      <c r="O740" s="17"/>
      <c r="P740" s="17"/>
      <c r="Q740" s="17"/>
    </row>
    <row r="741" spans="1:17">
      <c r="A741" s="556" t="s">
        <v>3552</v>
      </c>
      <c r="B741" s="557"/>
      <c r="C741" s="558" t="s">
        <v>1239</v>
      </c>
      <c r="D741" s="556" t="s">
        <v>4093</v>
      </c>
      <c r="E741" s="17" t="s">
        <v>4170</v>
      </c>
      <c r="F741" s="17">
        <v>13</v>
      </c>
      <c r="G741" s="17">
        <v>3</v>
      </c>
      <c r="H741" s="17" t="s">
        <v>3382</v>
      </c>
      <c r="I741" s="17">
        <v>0</v>
      </c>
      <c r="J741" s="17"/>
      <c r="K741" s="17"/>
      <c r="L741" s="17"/>
      <c r="M741" s="17"/>
      <c r="N741" s="17"/>
      <c r="O741" s="17"/>
      <c r="P741" s="17"/>
      <c r="Q741" s="17"/>
    </row>
    <row r="742" spans="1:17">
      <c r="A742" s="556" t="s">
        <v>3552</v>
      </c>
      <c r="B742" s="557"/>
      <c r="C742" s="558" t="s">
        <v>1239</v>
      </c>
      <c r="D742" s="556" t="s">
        <v>4095</v>
      </c>
      <c r="E742" s="17" t="s">
        <v>4171</v>
      </c>
      <c r="F742" s="17">
        <v>13</v>
      </c>
      <c r="G742" s="17">
        <v>5</v>
      </c>
      <c r="H742" s="17" t="s">
        <v>3384</v>
      </c>
      <c r="I742" s="17">
        <v>0</v>
      </c>
      <c r="J742" s="17"/>
      <c r="K742" s="17"/>
      <c r="L742" s="17"/>
      <c r="M742" s="17"/>
      <c r="N742" s="17"/>
      <c r="O742" s="17"/>
      <c r="P742" s="17"/>
      <c r="Q742" s="17"/>
    </row>
    <row r="743" spans="1:17">
      <c r="A743" s="556" t="s">
        <v>3552</v>
      </c>
      <c r="B743" s="557"/>
      <c r="C743" s="558" t="s">
        <v>1239</v>
      </c>
      <c r="D743" s="556" t="s">
        <v>4097</v>
      </c>
      <c r="E743" s="17" t="s">
        <v>4172</v>
      </c>
      <c r="F743" s="17">
        <v>13</v>
      </c>
      <c r="G743" s="17">
        <v>7</v>
      </c>
      <c r="H743" s="17" t="s">
        <v>3462</v>
      </c>
      <c r="I743" s="17">
        <v>0</v>
      </c>
      <c r="J743" s="17"/>
      <c r="K743" s="17"/>
      <c r="L743" s="17"/>
      <c r="M743" s="17"/>
      <c r="N743" s="17"/>
      <c r="O743" s="17"/>
      <c r="P743" s="17"/>
      <c r="Q743" s="17"/>
    </row>
    <row r="744" spans="1:17">
      <c r="A744" s="556" t="s">
        <v>3552</v>
      </c>
      <c r="B744" s="557"/>
      <c r="C744" s="558" t="s">
        <v>1239</v>
      </c>
      <c r="D744" s="556" t="s">
        <v>4099</v>
      </c>
      <c r="E744" s="17" t="s">
        <v>4173</v>
      </c>
      <c r="F744" s="17">
        <v>13</v>
      </c>
      <c r="G744" s="17">
        <v>9</v>
      </c>
      <c r="H744" s="17" t="s">
        <v>7881</v>
      </c>
      <c r="I744" s="17">
        <v>0</v>
      </c>
      <c r="J744" s="17"/>
      <c r="K744" s="17"/>
      <c r="L744" s="17"/>
      <c r="M744" s="17"/>
      <c r="N744" s="17"/>
      <c r="O744" s="17"/>
      <c r="P744" s="17"/>
      <c r="Q744" s="17"/>
    </row>
    <row r="745" spans="1:17">
      <c r="A745" s="556" t="s">
        <v>3552</v>
      </c>
      <c r="B745" s="557"/>
      <c r="C745" s="558" t="s">
        <v>1239</v>
      </c>
      <c r="D745" s="556" t="s">
        <v>4101</v>
      </c>
      <c r="E745" s="17" t="s">
        <v>4174</v>
      </c>
      <c r="F745" s="17">
        <v>13</v>
      </c>
      <c r="G745" s="17">
        <v>11</v>
      </c>
      <c r="H745" s="17" t="s">
        <v>8937</v>
      </c>
      <c r="I745" s="17">
        <v>0</v>
      </c>
      <c r="J745" s="17"/>
      <c r="K745" s="17"/>
      <c r="L745" s="17"/>
      <c r="M745" s="17"/>
      <c r="N745" s="17"/>
      <c r="O745" s="17"/>
      <c r="P745" s="17"/>
      <c r="Q745" s="17"/>
    </row>
    <row r="746" spans="1:17">
      <c r="A746" s="556" t="s">
        <v>3552</v>
      </c>
      <c r="B746" s="557"/>
      <c r="C746" s="558" t="s">
        <v>1232</v>
      </c>
      <c r="D746" s="556" t="s">
        <v>4091</v>
      </c>
      <c r="E746" s="17" t="s">
        <v>4175</v>
      </c>
      <c r="F746" s="17">
        <v>14</v>
      </c>
      <c r="G746" s="17">
        <v>1</v>
      </c>
      <c r="H746" s="17" t="s">
        <v>7789</v>
      </c>
      <c r="I746" s="17">
        <v>0</v>
      </c>
      <c r="J746" s="17"/>
      <c r="K746" s="17"/>
      <c r="L746" s="17"/>
      <c r="M746" s="17"/>
      <c r="N746" s="17"/>
      <c r="O746" s="17"/>
      <c r="P746" s="17"/>
      <c r="Q746" s="17"/>
    </row>
    <row r="747" spans="1:17">
      <c r="A747" s="556" t="s">
        <v>3552</v>
      </c>
      <c r="B747" s="557"/>
      <c r="C747" s="558" t="s">
        <v>1232</v>
      </c>
      <c r="D747" s="556" t="s">
        <v>4093</v>
      </c>
      <c r="E747" s="17" t="s">
        <v>4176</v>
      </c>
      <c r="F747" s="17">
        <v>14</v>
      </c>
      <c r="G747" s="17">
        <v>3</v>
      </c>
      <c r="H747" s="17" t="s">
        <v>3386</v>
      </c>
      <c r="I747" s="17">
        <v>0</v>
      </c>
      <c r="J747" s="17"/>
      <c r="K747" s="17"/>
      <c r="L747" s="17"/>
      <c r="M747" s="17"/>
      <c r="N747" s="17"/>
      <c r="O747" s="17"/>
      <c r="P747" s="17"/>
      <c r="Q747" s="17"/>
    </row>
    <row r="748" spans="1:17">
      <c r="A748" s="556" t="s">
        <v>3552</v>
      </c>
      <c r="B748" s="557"/>
      <c r="C748" s="558" t="s">
        <v>1232</v>
      </c>
      <c r="D748" s="556" t="s">
        <v>4095</v>
      </c>
      <c r="E748" s="17" t="s">
        <v>4177</v>
      </c>
      <c r="F748" s="17">
        <v>14</v>
      </c>
      <c r="G748" s="17">
        <v>5</v>
      </c>
      <c r="H748" s="17" t="s">
        <v>3388</v>
      </c>
      <c r="I748" s="17">
        <v>0</v>
      </c>
      <c r="J748" s="17"/>
      <c r="K748" s="17"/>
      <c r="L748" s="17"/>
      <c r="M748" s="17"/>
      <c r="N748" s="17"/>
      <c r="O748" s="17"/>
      <c r="P748" s="17"/>
      <c r="Q748" s="17"/>
    </row>
    <row r="749" spans="1:17">
      <c r="A749" s="556" t="s">
        <v>3552</v>
      </c>
      <c r="B749" s="557"/>
      <c r="C749" s="558" t="s">
        <v>1232</v>
      </c>
      <c r="D749" s="556" t="s">
        <v>4097</v>
      </c>
      <c r="E749" s="17" t="s">
        <v>4178</v>
      </c>
      <c r="F749" s="17">
        <v>14</v>
      </c>
      <c r="G749" s="17">
        <v>7</v>
      </c>
      <c r="H749" s="17" t="s">
        <v>3463</v>
      </c>
      <c r="I749" s="17">
        <v>0</v>
      </c>
      <c r="J749" s="17"/>
      <c r="K749" s="17"/>
      <c r="L749" s="17"/>
      <c r="M749" s="17"/>
      <c r="N749" s="17"/>
      <c r="O749" s="17"/>
      <c r="P749" s="17"/>
      <c r="Q749" s="17"/>
    </row>
    <row r="750" spans="1:17">
      <c r="A750" s="556" t="s">
        <v>3552</v>
      </c>
      <c r="B750" s="557"/>
      <c r="C750" s="558" t="s">
        <v>1232</v>
      </c>
      <c r="D750" s="556" t="s">
        <v>4099</v>
      </c>
      <c r="E750" s="17" t="s">
        <v>4179</v>
      </c>
      <c r="F750" s="17">
        <v>14</v>
      </c>
      <c r="G750" s="17">
        <v>9</v>
      </c>
      <c r="H750" s="17" t="s">
        <v>7883</v>
      </c>
      <c r="I750" s="17">
        <v>0</v>
      </c>
      <c r="J750" s="17"/>
      <c r="K750" s="17"/>
      <c r="L750" s="17"/>
      <c r="M750" s="17"/>
      <c r="N750" s="17"/>
      <c r="O750" s="17"/>
      <c r="P750" s="17"/>
      <c r="Q750" s="17"/>
    </row>
    <row r="751" spans="1:17">
      <c r="A751" s="556" t="s">
        <v>3552</v>
      </c>
      <c r="B751" s="557"/>
      <c r="C751" s="558" t="s">
        <v>1232</v>
      </c>
      <c r="D751" s="556" t="s">
        <v>4101</v>
      </c>
      <c r="E751" s="17" t="s">
        <v>4180</v>
      </c>
      <c r="F751" s="17">
        <v>14</v>
      </c>
      <c r="G751" s="17">
        <v>11</v>
      </c>
      <c r="H751" s="17" t="s">
        <v>8938</v>
      </c>
      <c r="I751" s="17">
        <v>0</v>
      </c>
      <c r="J751" s="17"/>
      <c r="K751" s="17"/>
      <c r="L751" s="17"/>
      <c r="M751" s="17"/>
      <c r="N751" s="17"/>
      <c r="O751" s="17"/>
      <c r="P751" s="17"/>
      <c r="Q751" s="17"/>
    </row>
    <row r="752" spans="1:17">
      <c r="A752" s="556" t="s">
        <v>3554</v>
      </c>
      <c r="B752" s="557"/>
      <c r="C752" s="558" t="s">
        <v>1610</v>
      </c>
      <c r="D752" s="556" t="s">
        <v>4181</v>
      </c>
      <c r="E752" s="17" t="s">
        <v>4182</v>
      </c>
      <c r="F752" s="17">
        <v>1</v>
      </c>
      <c r="G752" s="17">
        <v>1</v>
      </c>
      <c r="H752" s="17" t="s">
        <v>3691</v>
      </c>
      <c r="I752" s="17"/>
      <c r="J752" s="17"/>
      <c r="K752" s="17"/>
      <c r="L752" s="17"/>
      <c r="M752" s="17"/>
      <c r="N752" s="17"/>
      <c r="O752" s="17"/>
      <c r="P752" s="17"/>
      <c r="Q752" s="17"/>
    </row>
    <row r="753" spans="1:17">
      <c r="A753" s="556" t="s">
        <v>3554</v>
      </c>
      <c r="B753" s="557"/>
      <c r="C753" s="558" t="s">
        <v>1610</v>
      </c>
      <c r="D753" s="556" t="s">
        <v>4183</v>
      </c>
      <c r="E753" s="17" t="s">
        <v>4184</v>
      </c>
      <c r="F753" s="17">
        <v>1</v>
      </c>
      <c r="G753" s="17">
        <v>3</v>
      </c>
      <c r="H753" s="17" t="s">
        <v>2990</v>
      </c>
      <c r="I753" s="17"/>
      <c r="J753" s="17"/>
      <c r="K753" s="17"/>
      <c r="L753" s="17"/>
      <c r="M753" s="17"/>
      <c r="N753" s="17"/>
      <c r="O753" s="17"/>
      <c r="P753" s="17"/>
      <c r="Q753" s="17"/>
    </row>
    <row r="754" spans="1:17">
      <c r="A754" s="556" t="s">
        <v>3554</v>
      </c>
      <c r="B754" s="557"/>
      <c r="C754" s="558" t="s">
        <v>1610</v>
      </c>
      <c r="D754" s="556" t="s">
        <v>4185</v>
      </c>
      <c r="E754" s="17" t="s">
        <v>4186</v>
      </c>
      <c r="F754" s="17">
        <v>1</v>
      </c>
      <c r="G754" s="17">
        <v>5</v>
      </c>
      <c r="H754" s="17" t="s">
        <v>2991</v>
      </c>
      <c r="I754" s="17"/>
      <c r="J754" s="17"/>
      <c r="K754" s="17"/>
      <c r="L754" s="17"/>
      <c r="M754" s="17"/>
      <c r="N754" s="17"/>
      <c r="O754" s="17"/>
      <c r="P754" s="17"/>
      <c r="Q754" s="17"/>
    </row>
    <row r="755" spans="1:17">
      <c r="A755" s="556" t="s">
        <v>3554</v>
      </c>
      <c r="B755" s="557"/>
      <c r="C755" s="558" t="s">
        <v>1610</v>
      </c>
      <c r="D755" s="556" t="s">
        <v>4187</v>
      </c>
      <c r="E755" s="17" t="s">
        <v>4188</v>
      </c>
      <c r="F755" s="17">
        <v>1</v>
      </c>
      <c r="G755" s="17">
        <v>7</v>
      </c>
      <c r="H755" s="17" t="s">
        <v>3450</v>
      </c>
      <c r="I755" s="17">
        <v>0</v>
      </c>
      <c r="J755" s="17"/>
      <c r="K755" s="17"/>
      <c r="L755" s="17"/>
      <c r="M755" s="17"/>
      <c r="N755" s="17"/>
      <c r="O755" s="17"/>
      <c r="P755" s="17"/>
      <c r="Q755" s="17"/>
    </row>
    <row r="756" spans="1:17">
      <c r="A756" s="556" t="s">
        <v>3554</v>
      </c>
      <c r="B756" s="557"/>
      <c r="C756" s="558" t="s">
        <v>1655</v>
      </c>
      <c r="D756" s="556" t="s">
        <v>4181</v>
      </c>
      <c r="E756" s="17" t="s">
        <v>4189</v>
      </c>
      <c r="F756" s="17">
        <v>2</v>
      </c>
      <c r="G756" s="17">
        <v>1</v>
      </c>
      <c r="H756" s="17" t="s">
        <v>7769</v>
      </c>
      <c r="I756" s="17"/>
      <c r="J756" s="17"/>
      <c r="K756" s="17"/>
      <c r="L756" s="17"/>
      <c r="M756" s="17"/>
      <c r="N756" s="17"/>
      <c r="O756" s="17"/>
      <c r="P756" s="17"/>
      <c r="Q756" s="17"/>
    </row>
    <row r="757" spans="1:17">
      <c r="A757" s="556" t="s">
        <v>3554</v>
      </c>
      <c r="B757" s="557"/>
      <c r="C757" s="558" t="s">
        <v>1655</v>
      </c>
      <c r="D757" s="556" t="s">
        <v>4183</v>
      </c>
      <c r="E757" s="17" t="s">
        <v>4190</v>
      </c>
      <c r="F757" s="17">
        <v>2</v>
      </c>
      <c r="G757" s="17">
        <v>3</v>
      </c>
      <c r="H757" s="17" t="s">
        <v>3339</v>
      </c>
      <c r="I757" s="17"/>
      <c r="J757" s="17"/>
      <c r="K757" s="17"/>
      <c r="L757" s="17"/>
      <c r="M757" s="17"/>
      <c r="N757" s="17"/>
      <c r="O757" s="17"/>
      <c r="P757" s="17"/>
      <c r="Q757" s="17"/>
    </row>
    <row r="758" spans="1:17">
      <c r="A758" s="556" t="s">
        <v>3554</v>
      </c>
      <c r="B758" s="557"/>
      <c r="C758" s="558" t="s">
        <v>1655</v>
      </c>
      <c r="D758" s="556" t="s">
        <v>4185</v>
      </c>
      <c r="E758" s="17" t="s">
        <v>4191</v>
      </c>
      <c r="F758" s="17">
        <v>2</v>
      </c>
      <c r="G758" s="17">
        <v>5</v>
      </c>
      <c r="H758" s="17" t="s">
        <v>3341</v>
      </c>
      <c r="I758" s="17"/>
      <c r="J758" s="17"/>
      <c r="K758" s="17"/>
      <c r="L758" s="17"/>
      <c r="M758" s="17"/>
      <c r="N758" s="17"/>
      <c r="O758" s="17"/>
      <c r="P758" s="17"/>
      <c r="Q758" s="17"/>
    </row>
    <row r="759" spans="1:17">
      <c r="A759" s="556" t="s">
        <v>3554</v>
      </c>
      <c r="B759" s="557"/>
      <c r="C759" s="558" t="s">
        <v>1655</v>
      </c>
      <c r="D759" s="556" t="s">
        <v>4187</v>
      </c>
      <c r="E759" s="17" t="s">
        <v>4192</v>
      </c>
      <c r="F759" s="17">
        <v>2</v>
      </c>
      <c r="G759" s="17">
        <v>7</v>
      </c>
      <c r="H759" s="17" t="s">
        <v>3451</v>
      </c>
      <c r="I759" s="17">
        <v>0</v>
      </c>
      <c r="J759" s="17"/>
      <c r="K759" s="17"/>
      <c r="L759" s="17"/>
      <c r="M759" s="17"/>
      <c r="N759" s="17"/>
      <c r="O759" s="17"/>
      <c r="P759" s="17"/>
      <c r="Q759" s="17"/>
    </row>
    <row r="760" spans="1:17">
      <c r="A760" s="556" t="s">
        <v>3554</v>
      </c>
      <c r="B760" s="557"/>
      <c r="C760" s="558" t="s">
        <v>1135</v>
      </c>
      <c r="D760" s="556" t="s">
        <v>4181</v>
      </c>
      <c r="E760" s="17" t="s">
        <v>4193</v>
      </c>
      <c r="F760" s="17">
        <v>3</v>
      </c>
      <c r="G760" s="17">
        <v>1</v>
      </c>
      <c r="H760" s="17" t="s">
        <v>7770</v>
      </c>
      <c r="I760" s="17"/>
      <c r="J760" s="17"/>
      <c r="K760" s="17"/>
      <c r="L760" s="17"/>
      <c r="M760" s="17"/>
      <c r="N760" s="17"/>
      <c r="O760" s="17"/>
      <c r="P760" s="17"/>
      <c r="Q760" s="17"/>
    </row>
    <row r="761" spans="1:17">
      <c r="A761" s="556" t="s">
        <v>3554</v>
      </c>
      <c r="B761" s="557"/>
      <c r="C761" s="558" t="s">
        <v>1135</v>
      </c>
      <c r="D761" s="556" t="s">
        <v>4183</v>
      </c>
      <c r="E761" s="17" t="s">
        <v>4194</v>
      </c>
      <c r="F761" s="17">
        <v>3</v>
      </c>
      <c r="G761" s="17">
        <v>3</v>
      </c>
      <c r="H761" s="17" t="s">
        <v>3343</v>
      </c>
      <c r="I761" s="17"/>
      <c r="J761" s="17"/>
      <c r="K761" s="17"/>
      <c r="L761" s="17"/>
      <c r="M761" s="17"/>
      <c r="N761" s="17"/>
      <c r="O761" s="17"/>
      <c r="P761" s="17"/>
      <c r="Q761" s="17"/>
    </row>
    <row r="762" spans="1:17">
      <c r="A762" s="556" t="s">
        <v>3554</v>
      </c>
      <c r="B762" s="557"/>
      <c r="C762" s="558" t="s">
        <v>1135</v>
      </c>
      <c r="D762" s="556" t="s">
        <v>4185</v>
      </c>
      <c r="E762" s="17" t="s">
        <v>4195</v>
      </c>
      <c r="F762" s="17">
        <v>3</v>
      </c>
      <c r="G762" s="17">
        <v>5</v>
      </c>
      <c r="H762" s="17" t="s">
        <v>3345</v>
      </c>
      <c r="I762" s="17"/>
      <c r="J762" s="17"/>
      <c r="K762" s="17"/>
      <c r="L762" s="17"/>
      <c r="M762" s="17"/>
      <c r="N762" s="17"/>
      <c r="O762" s="17"/>
      <c r="P762" s="17"/>
      <c r="Q762" s="17"/>
    </row>
    <row r="763" spans="1:17">
      <c r="A763" s="556" t="s">
        <v>3554</v>
      </c>
      <c r="B763" s="557"/>
      <c r="C763" s="558" t="s">
        <v>1135</v>
      </c>
      <c r="D763" s="556" t="s">
        <v>4187</v>
      </c>
      <c r="E763" s="17" t="s">
        <v>4196</v>
      </c>
      <c r="F763" s="17">
        <v>3</v>
      </c>
      <c r="G763" s="17">
        <v>7</v>
      </c>
      <c r="H763" s="17" t="s">
        <v>3452</v>
      </c>
      <c r="I763" s="17">
        <v>0</v>
      </c>
      <c r="J763" s="17"/>
      <c r="K763" s="17"/>
      <c r="L763" s="17"/>
      <c r="M763" s="17"/>
      <c r="N763" s="17"/>
      <c r="O763" s="17"/>
      <c r="P763" s="17"/>
      <c r="Q763" s="17"/>
    </row>
    <row r="764" spans="1:17">
      <c r="A764" s="556" t="s">
        <v>3554</v>
      </c>
      <c r="B764" s="557"/>
      <c r="C764" s="558" t="s">
        <v>1238</v>
      </c>
      <c r="D764" s="556" t="s">
        <v>4181</v>
      </c>
      <c r="E764" s="17" t="s">
        <v>4197</v>
      </c>
      <c r="F764" s="17">
        <v>4</v>
      </c>
      <c r="G764" s="17">
        <v>1</v>
      </c>
      <c r="H764" s="17" t="s">
        <v>7771</v>
      </c>
      <c r="I764" s="17"/>
      <c r="J764" s="17"/>
      <c r="K764" s="17"/>
      <c r="L764" s="17"/>
      <c r="M764" s="17"/>
      <c r="N764" s="17"/>
      <c r="O764" s="17"/>
      <c r="P764" s="17"/>
      <c r="Q764" s="17"/>
    </row>
    <row r="765" spans="1:17">
      <c r="A765" s="556" t="s">
        <v>3554</v>
      </c>
      <c r="B765" s="557"/>
      <c r="C765" s="558" t="s">
        <v>1238</v>
      </c>
      <c r="D765" s="556" t="s">
        <v>4183</v>
      </c>
      <c r="E765" s="17" t="s">
        <v>4198</v>
      </c>
      <c r="F765" s="17">
        <v>4</v>
      </c>
      <c r="G765" s="17">
        <v>3</v>
      </c>
      <c r="H765" s="17" t="s">
        <v>3347</v>
      </c>
      <c r="I765" s="17"/>
      <c r="J765" s="17"/>
      <c r="K765" s="17"/>
      <c r="L765" s="17"/>
      <c r="M765" s="17"/>
      <c r="N765" s="17"/>
      <c r="O765" s="17"/>
      <c r="P765" s="17"/>
      <c r="Q765" s="17"/>
    </row>
    <row r="766" spans="1:17">
      <c r="A766" s="556" t="s">
        <v>3554</v>
      </c>
      <c r="B766" s="557"/>
      <c r="C766" s="558" t="s">
        <v>1238</v>
      </c>
      <c r="D766" s="556" t="s">
        <v>4185</v>
      </c>
      <c r="E766" s="17" t="s">
        <v>4199</v>
      </c>
      <c r="F766" s="17">
        <v>4</v>
      </c>
      <c r="G766" s="17">
        <v>5</v>
      </c>
      <c r="H766" s="17" t="s">
        <v>3349</v>
      </c>
      <c r="I766" s="17"/>
      <c r="J766" s="17"/>
      <c r="K766" s="17"/>
      <c r="L766" s="17"/>
      <c r="M766" s="17"/>
      <c r="N766" s="17"/>
      <c r="O766" s="17"/>
      <c r="P766" s="17"/>
      <c r="Q766" s="17"/>
    </row>
    <row r="767" spans="1:17">
      <c r="A767" s="556" t="s">
        <v>3554</v>
      </c>
      <c r="B767" s="557"/>
      <c r="C767" s="558" t="s">
        <v>1238</v>
      </c>
      <c r="D767" s="556" t="s">
        <v>4187</v>
      </c>
      <c r="E767" s="17" t="s">
        <v>4200</v>
      </c>
      <c r="F767" s="17">
        <v>4</v>
      </c>
      <c r="G767" s="17">
        <v>7</v>
      </c>
      <c r="H767" s="17" t="s">
        <v>3453</v>
      </c>
      <c r="I767" s="17">
        <v>0</v>
      </c>
      <c r="J767" s="17"/>
      <c r="K767" s="17"/>
      <c r="L767" s="17"/>
      <c r="M767" s="17"/>
      <c r="N767" s="17"/>
      <c r="O767" s="17"/>
      <c r="P767" s="17"/>
      <c r="Q767" s="17"/>
    </row>
    <row r="768" spans="1:17">
      <c r="A768" s="556" t="s">
        <v>3554</v>
      </c>
      <c r="B768" s="557"/>
      <c r="C768" s="558" t="s">
        <v>1236</v>
      </c>
      <c r="D768" s="556" t="s">
        <v>4181</v>
      </c>
      <c r="E768" s="17" t="s">
        <v>4201</v>
      </c>
      <c r="F768" s="17">
        <v>5</v>
      </c>
      <c r="G768" s="17">
        <v>1</v>
      </c>
      <c r="H768" s="17" t="s">
        <v>7773</v>
      </c>
      <c r="I768" s="17">
        <v>0</v>
      </c>
      <c r="J768" s="17"/>
      <c r="K768" s="17"/>
      <c r="L768" s="17"/>
      <c r="M768" s="17"/>
      <c r="N768" s="17"/>
      <c r="O768" s="17"/>
      <c r="P768" s="17"/>
      <c r="Q768" s="17"/>
    </row>
    <row r="769" spans="1:17">
      <c r="A769" s="556" t="s">
        <v>3554</v>
      </c>
      <c r="B769" s="557"/>
      <c r="C769" s="558" t="s">
        <v>1236</v>
      </c>
      <c r="D769" s="556" t="s">
        <v>4183</v>
      </c>
      <c r="E769" s="17" t="s">
        <v>4202</v>
      </c>
      <c r="F769" s="17">
        <v>5</v>
      </c>
      <c r="G769" s="17">
        <v>3</v>
      </c>
      <c r="H769" s="17" t="s">
        <v>3351</v>
      </c>
      <c r="I769" s="17">
        <v>0</v>
      </c>
      <c r="J769" s="17"/>
      <c r="K769" s="17"/>
      <c r="L769" s="17"/>
      <c r="M769" s="17"/>
      <c r="N769" s="17"/>
      <c r="O769" s="17"/>
      <c r="P769" s="17"/>
      <c r="Q769" s="17"/>
    </row>
    <row r="770" spans="1:17">
      <c r="A770" s="556" t="s">
        <v>3554</v>
      </c>
      <c r="B770" s="557"/>
      <c r="C770" s="558" t="s">
        <v>1236</v>
      </c>
      <c r="D770" s="556" t="s">
        <v>4185</v>
      </c>
      <c r="E770" s="17" t="s">
        <v>4203</v>
      </c>
      <c r="F770" s="17">
        <v>5</v>
      </c>
      <c r="G770" s="17">
        <v>5</v>
      </c>
      <c r="H770" s="17" t="s">
        <v>3353</v>
      </c>
      <c r="I770" s="17">
        <v>0</v>
      </c>
      <c r="J770" s="17"/>
      <c r="K770" s="17"/>
      <c r="L770" s="17"/>
      <c r="M770" s="17"/>
      <c r="N770" s="17"/>
      <c r="O770" s="17"/>
      <c r="P770" s="17"/>
      <c r="Q770" s="17"/>
    </row>
    <row r="771" spans="1:17">
      <c r="A771" s="556" t="s">
        <v>3554</v>
      </c>
      <c r="B771" s="557"/>
      <c r="C771" s="558" t="s">
        <v>1236</v>
      </c>
      <c r="D771" s="556" t="s">
        <v>4187</v>
      </c>
      <c r="E771" s="17" t="s">
        <v>4204</v>
      </c>
      <c r="F771" s="17">
        <v>5</v>
      </c>
      <c r="G771" s="17">
        <v>7</v>
      </c>
      <c r="H771" s="17" t="s">
        <v>3454</v>
      </c>
      <c r="I771" s="17">
        <v>0</v>
      </c>
      <c r="J771" s="17"/>
      <c r="K771" s="17"/>
      <c r="L771" s="17"/>
      <c r="M771" s="17"/>
      <c r="N771" s="17"/>
      <c r="O771" s="17"/>
      <c r="P771" s="17"/>
      <c r="Q771" s="17"/>
    </row>
    <row r="772" spans="1:17">
      <c r="A772" s="556" t="s">
        <v>3554</v>
      </c>
      <c r="B772" s="557"/>
      <c r="C772" s="558" t="s">
        <v>1656</v>
      </c>
      <c r="D772" s="556" t="s">
        <v>4181</v>
      </c>
      <c r="E772" s="17" t="s">
        <v>4205</v>
      </c>
      <c r="F772" s="17">
        <v>6</v>
      </c>
      <c r="G772" s="17">
        <v>1</v>
      </c>
      <c r="H772" s="17" t="s">
        <v>7775</v>
      </c>
      <c r="I772" s="17"/>
      <c r="J772" s="17"/>
      <c r="K772" s="17"/>
      <c r="L772" s="17"/>
      <c r="M772" s="17"/>
      <c r="N772" s="17"/>
      <c r="O772" s="17"/>
      <c r="P772" s="17"/>
      <c r="Q772" s="17"/>
    </row>
    <row r="773" spans="1:17">
      <c r="A773" s="556" t="s">
        <v>3554</v>
      </c>
      <c r="B773" s="557"/>
      <c r="C773" s="558" t="s">
        <v>1656</v>
      </c>
      <c r="D773" s="556" t="s">
        <v>4183</v>
      </c>
      <c r="E773" s="17" t="s">
        <v>4206</v>
      </c>
      <c r="F773" s="17">
        <v>6</v>
      </c>
      <c r="G773" s="17">
        <v>3</v>
      </c>
      <c r="H773" s="17" t="s">
        <v>3355</v>
      </c>
      <c r="I773" s="17"/>
      <c r="J773" s="17"/>
      <c r="K773" s="17"/>
      <c r="L773" s="17"/>
      <c r="M773" s="17"/>
      <c r="N773" s="17"/>
      <c r="O773" s="17"/>
      <c r="P773" s="17"/>
      <c r="Q773" s="17"/>
    </row>
    <row r="774" spans="1:17">
      <c r="A774" s="556" t="s">
        <v>3554</v>
      </c>
      <c r="B774" s="557"/>
      <c r="C774" s="558" t="s">
        <v>1656</v>
      </c>
      <c r="D774" s="556" t="s">
        <v>4185</v>
      </c>
      <c r="E774" s="17" t="s">
        <v>4207</v>
      </c>
      <c r="F774" s="17">
        <v>6</v>
      </c>
      <c r="G774" s="17">
        <v>5</v>
      </c>
      <c r="H774" s="17" t="s">
        <v>3357</v>
      </c>
      <c r="I774" s="17"/>
      <c r="J774" s="17"/>
      <c r="K774" s="17"/>
      <c r="L774" s="17"/>
      <c r="M774" s="17"/>
      <c r="N774" s="17"/>
      <c r="O774" s="17"/>
      <c r="P774" s="17"/>
      <c r="Q774" s="17"/>
    </row>
    <row r="775" spans="1:17">
      <c r="A775" s="556" t="s">
        <v>3554</v>
      </c>
      <c r="B775" s="557"/>
      <c r="C775" s="558" t="s">
        <v>1656</v>
      </c>
      <c r="D775" s="556" t="s">
        <v>4187</v>
      </c>
      <c r="E775" s="17" t="s">
        <v>4208</v>
      </c>
      <c r="F775" s="17">
        <v>6</v>
      </c>
      <c r="G775" s="17">
        <v>7</v>
      </c>
      <c r="H775" s="17" t="s">
        <v>3455</v>
      </c>
      <c r="I775" s="17">
        <v>0</v>
      </c>
      <c r="J775" s="17"/>
      <c r="K775" s="17"/>
      <c r="L775" s="17"/>
      <c r="M775" s="17"/>
      <c r="N775" s="17"/>
      <c r="O775" s="17"/>
      <c r="P775" s="17"/>
      <c r="Q775" s="17"/>
    </row>
    <row r="776" spans="1:17">
      <c r="A776" s="556" t="s">
        <v>3554</v>
      </c>
      <c r="B776" s="557"/>
      <c r="C776" s="558" t="s">
        <v>1657</v>
      </c>
      <c r="D776" s="556" t="s">
        <v>4181</v>
      </c>
      <c r="E776" s="17" t="s">
        <v>4209</v>
      </c>
      <c r="F776" s="17">
        <v>7</v>
      </c>
      <c r="G776" s="17">
        <v>1</v>
      </c>
      <c r="H776" s="17" t="s">
        <v>7777</v>
      </c>
      <c r="I776" s="17"/>
      <c r="J776" s="17"/>
      <c r="K776" s="17"/>
      <c r="L776" s="17"/>
      <c r="M776" s="17"/>
      <c r="N776" s="17"/>
      <c r="O776" s="17"/>
      <c r="P776" s="17"/>
      <c r="Q776" s="17"/>
    </row>
    <row r="777" spans="1:17">
      <c r="A777" s="556" t="s">
        <v>3554</v>
      </c>
      <c r="B777" s="557"/>
      <c r="C777" s="558" t="s">
        <v>1657</v>
      </c>
      <c r="D777" s="556" t="s">
        <v>4183</v>
      </c>
      <c r="E777" s="17" t="s">
        <v>4210</v>
      </c>
      <c r="F777" s="17">
        <v>7</v>
      </c>
      <c r="G777" s="17">
        <v>3</v>
      </c>
      <c r="H777" s="17" t="s">
        <v>3359</v>
      </c>
      <c r="I777" s="17"/>
      <c r="J777" s="17"/>
      <c r="K777" s="17"/>
      <c r="L777" s="17"/>
      <c r="M777" s="17"/>
      <c r="N777" s="17"/>
      <c r="O777" s="17"/>
      <c r="P777" s="17"/>
      <c r="Q777" s="17"/>
    </row>
    <row r="778" spans="1:17">
      <c r="A778" s="556" t="s">
        <v>3554</v>
      </c>
      <c r="B778" s="557"/>
      <c r="C778" s="558" t="s">
        <v>1657</v>
      </c>
      <c r="D778" s="556" t="s">
        <v>4185</v>
      </c>
      <c r="E778" s="17" t="s">
        <v>4211</v>
      </c>
      <c r="F778" s="17">
        <v>7</v>
      </c>
      <c r="G778" s="17">
        <v>5</v>
      </c>
      <c r="H778" s="17" t="s">
        <v>3327</v>
      </c>
      <c r="I778" s="17"/>
      <c r="J778" s="17"/>
      <c r="K778" s="17"/>
      <c r="L778" s="17"/>
      <c r="M778" s="17"/>
      <c r="N778" s="17"/>
      <c r="O778" s="17"/>
      <c r="P778" s="17"/>
      <c r="Q778" s="17"/>
    </row>
    <row r="779" spans="1:17">
      <c r="A779" s="556" t="s">
        <v>3554</v>
      </c>
      <c r="B779" s="557"/>
      <c r="C779" s="558" t="s">
        <v>1657</v>
      </c>
      <c r="D779" s="556" t="s">
        <v>4187</v>
      </c>
      <c r="E779" s="17" t="s">
        <v>4212</v>
      </c>
      <c r="F779" s="17">
        <v>7</v>
      </c>
      <c r="G779" s="17">
        <v>7</v>
      </c>
      <c r="H779" s="17" t="s">
        <v>3456</v>
      </c>
      <c r="I779" s="17">
        <v>0</v>
      </c>
      <c r="J779" s="17"/>
      <c r="K779" s="17"/>
      <c r="L779" s="17"/>
      <c r="M779" s="17"/>
      <c r="N779" s="17"/>
      <c r="O779" s="17"/>
      <c r="P779" s="17"/>
      <c r="Q779" s="17"/>
    </row>
    <row r="780" spans="1:17">
      <c r="A780" s="556" t="s">
        <v>3554</v>
      </c>
      <c r="B780" s="557"/>
      <c r="C780" s="558" t="s">
        <v>1658</v>
      </c>
      <c r="D780" s="556" t="s">
        <v>4181</v>
      </c>
      <c r="E780" s="17" t="s">
        <v>4213</v>
      </c>
      <c r="F780" s="17">
        <v>8</v>
      </c>
      <c r="G780" s="17">
        <v>1</v>
      </c>
      <c r="H780" s="17" t="s">
        <v>3717</v>
      </c>
      <c r="I780" s="17"/>
      <c r="J780" s="17"/>
      <c r="K780" s="17"/>
      <c r="L780" s="17"/>
      <c r="M780" s="17"/>
      <c r="N780" s="17"/>
      <c r="O780" s="17"/>
      <c r="P780" s="17"/>
      <c r="Q780" s="17"/>
    </row>
    <row r="781" spans="1:17">
      <c r="A781" s="556" t="s">
        <v>3554</v>
      </c>
      <c r="B781" s="557"/>
      <c r="C781" s="558" t="s">
        <v>1658</v>
      </c>
      <c r="D781" s="556" t="s">
        <v>4183</v>
      </c>
      <c r="E781" s="17" t="s">
        <v>4214</v>
      </c>
      <c r="F781" s="17">
        <v>8</v>
      </c>
      <c r="G781" s="17">
        <v>3</v>
      </c>
      <c r="H781" s="17" t="s">
        <v>3362</v>
      </c>
      <c r="I781" s="17"/>
      <c r="J781" s="17"/>
      <c r="K781" s="17"/>
      <c r="L781" s="17"/>
      <c r="M781" s="17"/>
      <c r="N781" s="17"/>
      <c r="O781" s="17"/>
      <c r="P781" s="17"/>
      <c r="Q781" s="17"/>
    </row>
    <row r="782" spans="1:17">
      <c r="A782" s="556" t="s">
        <v>3554</v>
      </c>
      <c r="B782" s="557"/>
      <c r="C782" s="558" t="s">
        <v>1658</v>
      </c>
      <c r="D782" s="556" t="s">
        <v>4185</v>
      </c>
      <c r="E782" s="17" t="s">
        <v>4215</v>
      </c>
      <c r="F782" s="17">
        <v>8</v>
      </c>
      <c r="G782" s="17">
        <v>5</v>
      </c>
      <c r="H782" s="17" t="s">
        <v>3364</v>
      </c>
      <c r="I782" s="17"/>
      <c r="J782" s="17"/>
      <c r="K782" s="17"/>
      <c r="L782" s="17"/>
      <c r="M782" s="17"/>
      <c r="N782" s="17"/>
      <c r="O782" s="17"/>
      <c r="P782" s="17"/>
      <c r="Q782" s="17"/>
    </row>
    <row r="783" spans="1:17">
      <c r="A783" s="556" t="s">
        <v>3554</v>
      </c>
      <c r="B783" s="557"/>
      <c r="C783" s="558" t="s">
        <v>1658</v>
      </c>
      <c r="D783" s="556" t="s">
        <v>4187</v>
      </c>
      <c r="E783" s="17" t="s">
        <v>4216</v>
      </c>
      <c r="F783" s="17">
        <v>8</v>
      </c>
      <c r="G783" s="17">
        <v>7</v>
      </c>
      <c r="H783" s="17" t="s">
        <v>3457</v>
      </c>
      <c r="I783" s="17">
        <v>0</v>
      </c>
      <c r="J783" s="17"/>
      <c r="K783" s="17"/>
      <c r="L783" s="17"/>
      <c r="M783" s="17"/>
      <c r="N783" s="17"/>
      <c r="O783" s="17"/>
      <c r="P783" s="17"/>
      <c r="Q783" s="17"/>
    </row>
    <row r="784" spans="1:17">
      <c r="A784" s="556" t="s">
        <v>3554</v>
      </c>
      <c r="B784" s="557"/>
      <c r="C784" s="558" t="s">
        <v>1659</v>
      </c>
      <c r="D784" s="556" t="s">
        <v>4181</v>
      </c>
      <c r="E784" s="17" t="s">
        <v>4217</v>
      </c>
      <c r="F784" s="17">
        <v>9</v>
      </c>
      <c r="G784" s="17">
        <v>1</v>
      </c>
      <c r="H784" s="17" t="s">
        <v>7780</v>
      </c>
      <c r="I784" s="17"/>
      <c r="J784" s="17"/>
      <c r="K784" s="17"/>
      <c r="L784" s="17"/>
      <c r="M784" s="17"/>
      <c r="N784" s="17"/>
      <c r="O784" s="17"/>
      <c r="P784" s="17"/>
      <c r="Q784" s="17"/>
    </row>
    <row r="785" spans="1:17">
      <c r="A785" s="556" t="s">
        <v>3554</v>
      </c>
      <c r="B785" s="557"/>
      <c r="C785" s="558" t="s">
        <v>1659</v>
      </c>
      <c r="D785" s="556" t="s">
        <v>4183</v>
      </c>
      <c r="E785" s="17" t="s">
        <v>4218</v>
      </c>
      <c r="F785" s="17">
        <v>9</v>
      </c>
      <c r="G785" s="17">
        <v>3</v>
      </c>
      <c r="H785" s="17" t="s">
        <v>3366</v>
      </c>
      <c r="I785" s="17"/>
      <c r="J785" s="17"/>
      <c r="K785" s="17"/>
      <c r="L785" s="17"/>
      <c r="M785" s="17"/>
      <c r="N785" s="17"/>
      <c r="O785" s="17"/>
      <c r="P785" s="17"/>
      <c r="Q785" s="17"/>
    </row>
    <row r="786" spans="1:17">
      <c r="A786" s="556" t="s">
        <v>3554</v>
      </c>
      <c r="B786" s="557"/>
      <c r="C786" s="558" t="s">
        <v>1659</v>
      </c>
      <c r="D786" s="556" t="s">
        <v>4185</v>
      </c>
      <c r="E786" s="17" t="s">
        <v>4219</v>
      </c>
      <c r="F786" s="17">
        <v>9</v>
      </c>
      <c r="G786" s="17">
        <v>5</v>
      </c>
      <c r="H786" s="17" t="s">
        <v>3368</v>
      </c>
      <c r="I786" s="17"/>
      <c r="J786" s="17"/>
      <c r="K786" s="17"/>
      <c r="L786" s="17"/>
      <c r="M786" s="17"/>
      <c r="N786" s="17"/>
      <c r="O786" s="17"/>
      <c r="P786" s="17"/>
      <c r="Q786" s="17"/>
    </row>
    <row r="787" spans="1:17">
      <c r="A787" s="556" t="s">
        <v>3554</v>
      </c>
      <c r="B787" s="557"/>
      <c r="C787" s="558" t="s">
        <v>1659</v>
      </c>
      <c r="D787" s="556" t="s">
        <v>4187</v>
      </c>
      <c r="E787" s="17" t="s">
        <v>4220</v>
      </c>
      <c r="F787" s="17">
        <v>9</v>
      </c>
      <c r="G787" s="17">
        <v>7</v>
      </c>
      <c r="H787" s="17" t="s">
        <v>3458</v>
      </c>
      <c r="I787" s="17">
        <v>0</v>
      </c>
      <c r="J787" s="17"/>
      <c r="K787" s="17"/>
      <c r="L787" s="17"/>
      <c r="M787" s="17"/>
      <c r="N787" s="17"/>
      <c r="O787" s="17"/>
      <c r="P787" s="17"/>
      <c r="Q787" s="17"/>
    </row>
    <row r="788" spans="1:17">
      <c r="A788" s="556" t="s">
        <v>3554</v>
      </c>
      <c r="B788" s="557"/>
      <c r="C788" s="558" t="s">
        <v>1660</v>
      </c>
      <c r="D788" s="556" t="s">
        <v>4181</v>
      </c>
      <c r="E788" s="17" t="s">
        <v>4221</v>
      </c>
      <c r="F788" s="17">
        <v>10</v>
      </c>
      <c r="G788" s="17">
        <v>1</v>
      </c>
      <c r="H788" s="17" t="s">
        <v>7782</v>
      </c>
      <c r="I788" s="17"/>
      <c r="J788" s="17"/>
      <c r="K788" s="17"/>
      <c r="L788" s="17"/>
      <c r="M788" s="17"/>
      <c r="N788" s="17"/>
      <c r="O788" s="17"/>
      <c r="P788" s="17"/>
      <c r="Q788" s="17"/>
    </row>
    <row r="789" spans="1:17">
      <c r="A789" s="556" t="s">
        <v>3554</v>
      </c>
      <c r="B789" s="557"/>
      <c r="C789" s="558" t="s">
        <v>1660</v>
      </c>
      <c r="D789" s="556" t="s">
        <v>4183</v>
      </c>
      <c r="E789" s="17" t="s">
        <v>4222</v>
      </c>
      <c r="F789" s="17">
        <v>10</v>
      </c>
      <c r="G789" s="17">
        <v>3</v>
      </c>
      <c r="H789" s="17" t="s">
        <v>3370</v>
      </c>
      <c r="I789" s="17"/>
      <c r="J789" s="17"/>
      <c r="K789" s="17"/>
      <c r="L789" s="17"/>
      <c r="M789" s="17"/>
      <c r="N789" s="17"/>
      <c r="O789" s="17"/>
      <c r="P789" s="17"/>
      <c r="Q789" s="17"/>
    </row>
    <row r="790" spans="1:17">
      <c r="A790" s="556" t="s">
        <v>3554</v>
      </c>
      <c r="B790" s="557"/>
      <c r="C790" s="558" t="s">
        <v>1660</v>
      </c>
      <c r="D790" s="556" t="s">
        <v>4185</v>
      </c>
      <c r="E790" s="17" t="s">
        <v>4223</v>
      </c>
      <c r="F790" s="17">
        <v>10</v>
      </c>
      <c r="G790" s="17">
        <v>5</v>
      </c>
      <c r="H790" s="17" t="s">
        <v>3372</v>
      </c>
      <c r="I790" s="17"/>
      <c r="J790" s="17"/>
      <c r="K790" s="17"/>
      <c r="L790" s="17"/>
      <c r="M790" s="17"/>
      <c r="N790" s="17"/>
      <c r="O790" s="17"/>
      <c r="P790" s="17"/>
      <c r="Q790" s="17"/>
    </row>
    <row r="791" spans="1:17">
      <c r="A791" s="556" t="s">
        <v>3554</v>
      </c>
      <c r="B791" s="557"/>
      <c r="C791" s="558" t="s">
        <v>1660</v>
      </c>
      <c r="D791" s="556" t="s">
        <v>4187</v>
      </c>
      <c r="E791" s="17" t="s">
        <v>4224</v>
      </c>
      <c r="F791" s="17">
        <v>10</v>
      </c>
      <c r="G791" s="17">
        <v>7</v>
      </c>
      <c r="H791" s="17" t="s">
        <v>3459</v>
      </c>
      <c r="I791" s="17">
        <v>0</v>
      </c>
      <c r="J791" s="17"/>
      <c r="K791" s="17"/>
      <c r="L791" s="17"/>
      <c r="M791" s="17"/>
      <c r="N791" s="17"/>
      <c r="O791" s="17"/>
      <c r="P791" s="17"/>
      <c r="Q791" s="17"/>
    </row>
    <row r="792" spans="1:17">
      <c r="A792" s="556" t="s">
        <v>3554</v>
      </c>
      <c r="B792" s="557"/>
      <c r="C792" s="558" t="s">
        <v>1158</v>
      </c>
      <c r="D792" s="556" t="s">
        <v>4181</v>
      </c>
      <c r="E792" s="17" t="s">
        <v>4225</v>
      </c>
      <c r="F792" s="17">
        <v>11</v>
      </c>
      <c r="G792" s="17">
        <v>1</v>
      </c>
      <c r="H792" s="17" t="s">
        <v>7784</v>
      </c>
      <c r="I792" s="17"/>
      <c r="J792" s="17"/>
      <c r="K792" s="17"/>
      <c r="L792" s="17"/>
      <c r="M792" s="17"/>
      <c r="N792" s="17"/>
      <c r="O792" s="17"/>
      <c r="P792" s="17"/>
      <c r="Q792" s="17"/>
    </row>
    <row r="793" spans="1:17">
      <c r="A793" s="556" t="s">
        <v>3554</v>
      </c>
      <c r="B793" s="557"/>
      <c r="C793" s="558" t="s">
        <v>1158</v>
      </c>
      <c r="D793" s="556" t="s">
        <v>4183</v>
      </c>
      <c r="E793" s="17" t="s">
        <v>4226</v>
      </c>
      <c r="F793" s="17">
        <v>11</v>
      </c>
      <c r="G793" s="17">
        <v>3</v>
      </c>
      <c r="H793" s="17" t="s">
        <v>3374</v>
      </c>
      <c r="I793" s="17"/>
      <c r="J793" s="17"/>
      <c r="K793" s="17"/>
      <c r="L793" s="17"/>
      <c r="M793" s="17"/>
      <c r="N793" s="17"/>
      <c r="O793" s="17"/>
      <c r="P793" s="17"/>
      <c r="Q793" s="17"/>
    </row>
    <row r="794" spans="1:17">
      <c r="A794" s="556" t="s">
        <v>3554</v>
      </c>
      <c r="B794" s="557"/>
      <c r="C794" s="558" t="s">
        <v>1158</v>
      </c>
      <c r="D794" s="556" t="s">
        <v>4185</v>
      </c>
      <c r="E794" s="17" t="s">
        <v>4227</v>
      </c>
      <c r="F794" s="17">
        <v>11</v>
      </c>
      <c r="G794" s="17">
        <v>5</v>
      </c>
      <c r="H794" s="17" t="s">
        <v>3376</v>
      </c>
      <c r="I794" s="17"/>
      <c r="J794" s="17"/>
      <c r="K794" s="17"/>
      <c r="L794" s="17"/>
      <c r="M794" s="17"/>
      <c r="N794" s="17"/>
      <c r="O794" s="17"/>
      <c r="P794" s="17"/>
      <c r="Q794" s="17"/>
    </row>
    <row r="795" spans="1:17">
      <c r="A795" s="556" t="s">
        <v>3554</v>
      </c>
      <c r="B795" s="557"/>
      <c r="C795" s="558" t="s">
        <v>1158</v>
      </c>
      <c r="D795" s="556" t="s">
        <v>4187</v>
      </c>
      <c r="E795" s="17" t="s">
        <v>4228</v>
      </c>
      <c r="F795" s="17">
        <v>11</v>
      </c>
      <c r="G795" s="17">
        <v>7</v>
      </c>
      <c r="H795" s="17" t="s">
        <v>3460</v>
      </c>
      <c r="I795" s="17">
        <v>0</v>
      </c>
      <c r="J795" s="17"/>
      <c r="K795" s="17"/>
      <c r="L795" s="17"/>
      <c r="M795" s="17"/>
      <c r="N795" s="17"/>
      <c r="O795" s="17"/>
      <c r="P795" s="17"/>
      <c r="Q795" s="17"/>
    </row>
    <row r="796" spans="1:17">
      <c r="A796" s="556" t="s">
        <v>3554</v>
      </c>
      <c r="B796" s="557"/>
      <c r="C796" s="558" t="s">
        <v>1162</v>
      </c>
      <c r="D796" s="556" t="s">
        <v>4181</v>
      </c>
      <c r="E796" s="17" t="s">
        <v>4229</v>
      </c>
      <c r="F796" s="17">
        <v>12</v>
      </c>
      <c r="G796" s="17">
        <v>1</v>
      </c>
      <c r="H796" s="17" t="s">
        <v>7786</v>
      </c>
      <c r="I796" s="17"/>
      <c r="J796" s="17"/>
      <c r="K796" s="17"/>
      <c r="L796" s="17"/>
      <c r="M796" s="17"/>
      <c r="N796" s="17"/>
      <c r="O796" s="17"/>
      <c r="P796" s="17"/>
      <c r="Q796" s="17"/>
    </row>
    <row r="797" spans="1:17">
      <c r="A797" s="556" t="s">
        <v>3554</v>
      </c>
      <c r="B797" s="557"/>
      <c r="C797" s="558" t="s">
        <v>1162</v>
      </c>
      <c r="D797" s="556" t="s">
        <v>4183</v>
      </c>
      <c r="E797" s="17" t="s">
        <v>4230</v>
      </c>
      <c r="F797" s="17">
        <v>12</v>
      </c>
      <c r="G797" s="17">
        <v>3</v>
      </c>
      <c r="H797" s="17" t="s">
        <v>3378</v>
      </c>
      <c r="I797" s="17"/>
      <c r="J797" s="17"/>
      <c r="K797" s="17"/>
      <c r="L797" s="17"/>
      <c r="M797" s="17"/>
      <c r="N797" s="17"/>
      <c r="O797" s="17"/>
      <c r="P797" s="17"/>
      <c r="Q797" s="17"/>
    </row>
    <row r="798" spans="1:17">
      <c r="A798" s="556" t="s">
        <v>3554</v>
      </c>
      <c r="B798" s="557"/>
      <c r="C798" s="558" t="s">
        <v>1162</v>
      </c>
      <c r="D798" s="556" t="s">
        <v>4185</v>
      </c>
      <c r="E798" s="17" t="s">
        <v>4231</v>
      </c>
      <c r="F798" s="17">
        <v>12</v>
      </c>
      <c r="G798" s="17">
        <v>5</v>
      </c>
      <c r="H798" s="17" t="s">
        <v>3380</v>
      </c>
      <c r="I798" s="17"/>
      <c r="J798" s="17"/>
      <c r="K798" s="17"/>
      <c r="L798" s="17"/>
      <c r="M798" s="17"/>
      <c r="N798" s="17"/>
      <c r="O798" s="17"/>
      <c r="P798" s="17"/>
      <c r="Q798" s="17"/>
    </row>
    <row r="799" spans="1:17">
      <c r="A799" s="556" t="s">
        <v>3554</v>
      </c>
      <c r="B799" s="557"/>
      <c r="C799" s="558" t="s">
        <v>1162</v>
      </c>
      <c r="D799" s="556" t="s">
        <v>4187</v>
      </c>
      <c r="E799" s="17" t="s">
        <v>4232</v>
      </c>
      <c r="F799" s="17">
        <v>12</v>
      </c>
      <c r="G799" s="17">
        <v>7</v>
      </c>
      <c r="H799" s="17" t="s">
        <v>3461</v>
      </c>
      <c r="I799" s="17">
        <v>0</v>
      </c>
      <c r="J799" s="17"/>
      <c r="K799" s="17"/>
      <c r="L799" s="17"/>
      <c r="M799" s="17"/>
      <c r="N799" s="17"/>
      <c r="O799" s="17"/>
      <c r="P799" s="17"/>
      <c r="Q799" s="17"/>
    </row>
    <row r="800" spans="1:17">
      <c r="A800" s="556" t="s">
        <v>3554</v>
      </c>
      <c r="B800" s="557"/>
      <c r="C800" s="558" t="s">
        <v>1239</v>
      </c>
      <c r="D800" s="556" t="s">
        <v>4181</v>
      </c>
      <c r="E800" s="17" t="s">
        <v>4233</v>
      </c>
      <c r="F800" s="17">
        <v>13</v>
      </c>
      <c r="G800" s="17">
        <v>1</v>
      </c>
      <c r="H800" s="17" t="s">
        <v>7787</v>
      </c>
      <c r="I800" s="17">
        <v>0</v>
      </c>
      <c r="J800" s="17"/>
      <c r="K800" s="17"/>
      <c r="L800" s="17"/>
      <c r="M800" s="17"/>
      <c r="N800" s="17"/>
      <c r="O800" s="17"/>
      <c r="P800" s="17"/>
      <c r="Q800" s="17"/>
    </row>
    <row r="801" spans="1:17">
      <c r="A801" s="556" t="s">
        <v>3554</v>
      </c>
      <c r="B801" s="557"/>
      <c r="C801" s="558" t="s">
        <v>1239</v>
      </c>
      <c r="D801" s="556" t="s">
        <v>4183</v>
      </c>
      <c r="E801" s="17" t="s">
        <v>4234</v>
      </c>
      <c r="F801" s="17">
        <v>13</v>
      </c>
      <c r="G801" s="17">
        <v>3</v>
      </c>
      <c r="H801" s="17" t="s">
        <v>3382</v>
      </c>
      <c r="I801" s="17">
        <v>0</v>
      </c>
      <c r="J801" s="17"/>
      <c r="K801" s="17"/>
      <c r="L801" s="17"/>
      <c r="M801" s="17"/>
      <c r="N801" s="17"/>
      <c r="O801" s="17"/>
      <c r="P801" s="17"/>
      <c r="Q801" s="17"/>
    </row>
    <row r="802" spans="1:17">
      <c r="A802" s="556" t="s">
        <v>3554</v>
      </c>
      <c r="B802" s="557"/>
      <c r="C802" s="558" t="s">
        <v>1239</v>
      </c>
      <c r="D802" s="556" t="s">
        <v>4185</v>
      </c>
      <c r="E802" s="17" t="s">
        <v>4235</v>
      </c>
      <c r="F802" s="17">
        <v>13</v>
      </c>
      <c r="G802" s="17">
        <v>5</v>
      </c>
      <c r="H802" s="17" t="s">
        <v>3384</v>
      </c>
      <c r="I802" s="17">
        <v>0</v>
      </c>
      <c r="J802" s="17"/>
      <c r="K802" s="17"/>
      <c r="L802" s="17"/>
      <c r="M802" s="17"/>
      <c r="N802" s="17"/>
      <c r="O802" s="17"/>
      <c r="P802" s="17"/>
      <c r="Q802" s="17"/>
    </row>
    <row r="803" spans="1:17">
      <c r="A803" s="556" t="s">
        <v>3554</v>
      </c>
      <c r="B803" s="557"/>
      <c r="C803" s="558" t="s">
        <v>1239</v>
      </c>
      <c r="D803" s="556" t="s">
        <v>4187</v>
      </c>
      <c r="E803" s="17" t="s">
        <v>4236</v>
      </c>
      <c r="F803" s="17">
        <v>13</v>
      </c>
      <c r="G803" s="17">
        <v>7</v>
      </c>
      <c r="H803" s="17" t="s">
        <v>3462</v>
      </c>
      <c r="I803" s="17">
        <v>0</v>
      </c>
      <c r="J803" s="17"/>
      <c r="K803" s="17"/>
      <c r="L803" s="17"/>
      <c r="M803" s="17"/>
      <c r="N803" s="17"/>
      <c r="O803" s="17"/>
      <c r="P803" s="17"/>
      <c r="Q803" s="17"/>
    </row>
    <row r="804" spans="1:17">
      <c r="A804" s="556" t="s">
        <v>3554</v>
      </c>
      <c r="B804" s="557"/>
      <c r="C804" s="558" t="s">
        <v>1232</v>
      </c>
      <c r="D804" s="556" t="s">
        <v>4181</v>
      </c>
      <c r="E804" s="17" t="s">
        <v>4237</v>
      </c>
      <c r="F804" s="17">
        <v>14</v>
      </c>
      <c r="G804" s="17">
        <v>1</v>
      </c>
      <c r="H804" s="17" t="s">
        <v>7789</v>
      </c>
      <c r="I804" s="17">
        <v>0</v>
      </c>
      <c r="J804" s="17"/>
      <c r="K804" s="17"/>
      <c r="L804" s="17"/>
      <c r="M804" s="17"/>
      <c r="N804" s="17"/>
      <c r="O804" s="17"/>
      <c r="P804" s="17"/>
      <c r="Q804" s="17"/>
    </row>
    <row r="805" spans="1:17">
      <c r="A805" s="556" t="s">
        <v>3554</v>
      </c>
      <c r="B805" s="557"/>
      <c r="C805" s="558" t="s">
        <v>1232</v>
      </c>
      <c r="D805" s="556" t="s">
        <v>4183</v>
      </c>
      <c r="E805" s="17" t="s">
        <v>4238</v>
      </c>
      <c r="F805" s="17">
        <v>14</v>
      </c>
      <c r="G805" s="17">
        <v>3</v>
      </c>
      <c r="H805" s="17" t="s">
        <v>3386</v>
      </c>
      <c r="I805" s="17">
        <v>0</v>
      </c>
      <c r="J805" s="17"/>
      <c r="K805" s="17"/>
      <c r="L805" s="17"/>
      <c r="M805" s="17"/>
      <c r="N805" s="17"/>
      <c r="O805" s="17"/>
      <c r="P805" s="17"/>
      <c r="Q805" s="17"/>
    </row>
    <row r="806" spans="1:17">
      <c r="A806" s="556" t="s">
        <v>3554</v>
      </c>
      <c r="B806" s="557"/>
      <c r="C806" s="558" t="s">
        <v>1232</v>
      </c>
      <c r="D806" s="556" t="s">
        <v>4185</v>
      </c>
      <c r="E806" s="17" t="s">
        <v>4239</v>
      </c>
      <c r="F806" s="17">
        <v>14</v>
      </c>
      <c r="G806" s="17">
        <v>5</v>
      </c>
      <c r="H806" s="17" t="s">
        <v>3388</v>
      </c>
      <c r="I806" s="17">
        <v>0</v>
      </c>
      <c r="J806" s="17"/>
      <c r="K806" s="17"/>
      <c r="L806" s="17"/>
      <c r="M806" s="17"/>
      <c r="N806" s="17"/>
      <c r="O806" s="17"/>
      <c r="P806" s="17"/>
      <c r="Q806" s="17"/>
    </row>
    <row r="807" spans="1:17">
      <c r="A807" s="556" t="s">
        <v>3554</v>
      </c>
      <c r="B807" s="557"/>
      <c r="C807" s="558" t="s">
        <v>1232</v>
      </c>
      <c r="D807" s="556" t="s">
        <v>4187</v>
      </c>
      <c r="E807" s="17" t="s">
        <v>4240</v>
      </c>
      <c r="F807" s="17">
        <v>14</v>
      </c>
      <c r="G807" s="17">
        <v>7</v>
      </c>
      <c r="H807" s="17" t="s">
        <v>3463</v>
      </c>
      <c r="I807" s="17">
        <v>0</v>
      </c>
      <c r="J807" s="17"/>
      <c r="K807" s="17"/>
      <c r="L807" s="17"/>
      <c r="M807" s="17"/>
      <c r="N807" s="17"/>
      <c r="O807" s="17"/>
      <c r="P807" s="17"/>
      <c r="Q807" s="17"/>
    </row>
    <row r="808" spans="1:17">
      <c r="A808" s="556" t="s">
        <v>3556</v>
      </c>
      <c r="B808" s="557"/>
      <c r="C808" s="558" t="s">
        <v>1127</v>
      </c>
      <c r="D808" s="556" t="s">
        <v>4241</v>
      </c>
      <c r="E808" s="17" t="s">
        <v>4242</v>
      </c>
      <c r="F808" s="17">
        <v>1</v>
      </c>
      <c r="G808" s="17">
        <v>1</v>
      </c>
      <c r="H808" s="17" t="s">
        <v>3690</v>
      </c>
      <c r="I808" s="17"/>
      <c r="J808" s="17"/>
      <c r="K808" s="17"/>
      <c r="L808" s="17"/>
      <c r="M808" s="17"/>
      <c r="N808" s="17"/>
      <c r="O808" s="17"/>
      <c r="P808" s="17"/>
      <c r="Q808" s="17"/>
    </row>
    <row r="809" spans="1:17">
      <c r="A809" s="556" t="s">
        <v>3556</v>
      </c>
      <c r="B809" s="557"/>
      <c r="C809" s="558" t="s">
        <v>1127</v>
      </c>
      <c r="D809" s="556" t="s">
        <v>4243</v>
      </c>
      <c r="E809" s="17" t="s">
        <v>4244</v>
      </c>
      <c r="F809" s="17">
        <v>1</v>
      </c>
      <c r="G809" s="17">
        <v>2</v>
      </c>
      <c r="H809" s="17" t="s">
        <v>3517</v>
      </c>
      <c r="I809" s="17"/>
      <c r="J809" s="17"/>
      <c r="K809" s="17"/>
      <c r="L809" s="17"/>
      <c r="M809" s="17"/>
      <c r="N809" s="17"/>
      <c r="O809" s="17"/>
      <c r="P809" s="17"/>
      <c r="Q809" s="17"/>
    </row>
    <row r="810" spans="1:17">
      <c r="A810" s="556" t="s">
        <v>3556</v>
      </c>
      <c r="B810" s="557"/>
      <c r="C810" s="558" t="s">
        <v>1127</v>
      </c>
      <c r="D810" s="556" t="s">
        <v>4245</v>
      </c>
      <c r="E810" s="17" t="s">
        <v>4246</v>
      </c>
      <c r="F810" s="17">
        <v>1</v>
      </c>
      <c r="G810" s="17">
        <v>3</v>
      </c>
      <c r="H810" s="17" t="s">
        <v>3518</v>
      </c>
      <c r="I810" s="17">
        <v>0</v>
      </c>
      <c r="J810" s="17"/>
      <c r="K810" s="17"/>
      <c r="L810" s="17"/>
      <c r="M810" s="17"/>
      <c r="N810" s="17"/>
      <c r="O810" s="17"/>
      <c r="P810" s="17"/>
      <c r="Q810" s="17"/>
    </row>
    <row r="811" spans="1:17">
      <c r="A811" s="556" t="s">
        <v>3556</v>
      </c>
      <c r="B811" s="557"/>
      <c r="C811" s="558" t="s">
        <v>1127</v>
      </c>
      <c r="D811" s="556" t="s">
        <v>4247</v>
      </c>
      <c r="E811" s="17" t="s">
        <v>4248</v>
      </c>
      <c r="F811" s="17">
        <v>1</v>
      </c>
      <c r="G811" s="17">
        <v>4</v>
      </c>
      <c r="H811" s="17" t="s">
        <v>3519</v>
      </c>
      <c r="I811" s="17"/>
      <c r="J811" s="17"/>
      <c r="K811" s="17"/>
      <c r="L811" s="17"/>
      <c r="M811" s="17"/>
      <c r="N811" s="17"/>
      <c r="O811" s="17"/>
      <c r="P811" s="17"/>
      <c r="Q811" s="17"/>
    </row>
    <row r="812" spans="1:17">
      <c r="A812" s="556" t="s">
        <v>3556</v>
      </c>
      <c r="B812" s="557"/>
      <c r="C812" s="558" t="s">
        <v>1127</v>
      </c>
      <c r="D812" s="556" t="s">
        <v>4249</v>
      </c>
      <c r="E812" s="17" t="s">
        <v>4250</v>
      </c>
      <c r="F812" s="17">
        <v>1</v>
      </c>
      <c r="G812" s="17">
        <v>5</v>
      </c>
      <c r="H812" s="17" t="s">
        <v>3520</v>
      </c>
      <c r="I812" s="17">
        <v>0</v>
      </c>
      <c r="J812" s="17"/>
      <c r="K812" s="17"/>
      <c r="L812" s="17"/>
      <c r="M812" s="17"/>
      <c r="N812" s="17"/>
      <c r="O812" s="17"/>
      <c r="P812" s="17"/>
      <c r="Q812" s="17"/>
    </row>
    <row r="813" spans="1:17">
      <c r="A813" s="556" t="s">
        <v>3556</v>
      </c>
      <c r="B813" s="557"/>
      <c r="C813" s="558" t="s">
        <v>1655</v>
      </c>
      <c r="D813" s="556" t="s">
        <v>4241</v>
      </c>
      <c r="E813" s="17" t="s">
        <v>4251</v>
      </c>
      <c r="F813" s="17">
        <v>2</v>
      </c>
      <c r="G813" s="17">
        <v>1</v>
      </c>
      <c r="H813" s="17" t="s">
        <v>3691</v>
      </c>
      <c r="I813" s="17"/>
      <c r="J813" s="17"/>
      <c r="K813" s="17"/>
      <c r="L813" s="17"/>
      <c r="M813" s="17"/>
      <c r="N813" s="17"/>
      <c r="O813" s="17"/>
      <c r="P813" s="17"/>
      <c r="Q813" s="17"/>
    </row>
    <row r="814" spans="1:17">
      <c r="A814" s="556" t="s">
        <v>3556</v>
      </c>
      <c r="B814" s="557"/>
      <c r="C814" s="558" t="s">
        <v>1655</v>
      </c>
      <c r="D814" s="556" t="s">
        <v>4243</v>
      </c>
      <c r="E814" s="17" t="s">
        <v>4252</v>
      </c>
      <c r="F814" s="17">
        <v>2</v>
      </c>
      <c r="G814" s="17">
        <v>2</v>
      </c>
      <c r="H814" s="17" t="s">
        <v>3326</v>
      </c>
      <c r="I814" s="17"/>
      <c r="J814" s="17"/>
      <c r="K814" s="17"/>
      <c r="L814" s="17"/>
      <c r="M814" s="17"/>
      <c r="N814" s="17"/>
      <c r="O814" s="17"/>
      <c r="P814" s="17"/>
      <c r="Q814" s="17"/>
    </row>
    <row r="815" spans="1:17">
      <c r="A815" s="556" t="s">
        <v>3556</v>
      </c>
      <c r="B815" s="557"/>
      <c r="C815" s="558" t="s">
        <v>1655</v>
      </c>
      <c r="D815" s="556" t="s">
        <v>4245</v>
      </c>
      <c r="E815" s="17" t="s">
        <v>4253</v>
      </c>
      <c r="F815" s="17">
        <v>2</v>
      </c>
      <c r="G815" s="17">
        <v>3</v>
      </c>
      <c r="H815" s="17" t="s">
        <v>2990</v>
      </c>
      <c r="I815" s="17">
        <v>0</v>
      </c>
      <c r="J815" s="17"/>
      <c r="K815" s="17"/>
      <c r="L815" s="17"/>
      <c r="M815" s="17"/>
      <c r="N815" s="17"/>
      <c r="O815" s="17"/>
      <c r="P815" s="17"/>
      <c r="Q815" s="17"/>
    </row>
    <row r="816" spans="1:17">
      <c r="A816" s="556" t="s">
        <v>3556</v>
      </c>
      <c r="B816" s="557"/>
      <c r="C816" s="558" t="s">
        <v>1655</v>
      </c>
      <c r="D816" s="556" t="s">
        <v>4247</v>
      </c>
      <c r="E816" s="17" t="s">
        <v>4254</v>
      </c>
      <c r="F816" s="17">
        <v>2</v>
      </c>
      <c r="G816" s="17">
        <v>4</v>
      </c>
      <c r="H816" s="17" t="s">
        <v>3338</v>
      </c>
      <c r="I816" s="17"/>
      <c r="J816" s="17"/>
      <c r="K816" s="17"/>
      <c r="L816" s="17"/>
      <c r="M816" s="17"/>
      <c r="N816" s="17"/>
      <c r="O816" s="17"/>
      <c r="P816" s="17"/>
      <c r="Q816" s="17"/>
    </row>
    <row r="817" spans="1:17">
      <c r="A817" s="556" t="s">
        <v>3556</v>
      </c>
      <c r="B817" s="557"/>
      <c r="C817" s="558" t="s">
        <v>1655</v>
      </c>
      <c r="D817" s="556" t="s">
        <v>4249</v>
      </c>
      <c r="E817" s="17" t="s">
        <v>4255</v>
      </c>
      <c r="F817" s="17">
        <v>2</v>
      </c>
      <c r="G817" s="17">
        <v>5</v>
      </c>
      <c r="H817" s="17" t="s">
        <v>2991</v>
      </c>
      <c r="I817" s="17">
        <v>0</v>
      </c>
      <c r="J817" s="17"/>
      <c r="K817" s="17"/>
      <c r="L817" s="17"/>
      <c r="M817" s="17"/>
      <c r="N817" s="17"/>
      <c r="O817" s="17"/>
      <c r="P817" s="17"/>
      <c r="Q817" s="17"/>
    </row>
    <row r="818" spans="1:17">
      <c r="A818" s="556" t="s">
        <v>3556</v>
      </c>
      <c r="B818" s="557"/>
      <c r="C818" s="558" t="s">
        <v>1135</v>
      </c>
      <c r="D818" s="556" t="s">
        <v>4241</v>
      </c>
      <c r="E818" s="17" t="s">
        <v>4256</v>
      </c>
      <c r="F818" s="17">
        <v>3</v>
      </c>
      <c r="G818" s="17">
        <v>1</v>
      </c>
      <c r="H818" s="17" t="s">
        <v>7769</v>
      </c>
      <c r="I818" s="17"/>
      <c r="J818" s="17"/>
      <c r="K818" s="17"/>
      <c r="L818" s="17"/>
      <c r="M818" s="17"/>
      <c r="N818" s="17"/>
      <c r="O818" s="17"/>
      <c r="P818" s="17"/>
      <c r="Q818" s="17"/>
    </row>
    <row r="819" spans="1:17">
      <c r="A819" s="556" t="s">
        <v>3556</v>
      </c>
      <c r="B819" s="557"/>
      <c r="C819" s="558" t="s">
        <v>1135</v>
      </c>
      <c r="D819" s="556" t="s">
        <v>4243</v>
      </c>
      <c r="E819" s="17" t="s">
        <v>4257</v>
      </c>
      <c r="F819" s="17">
        <v>3</v>
      </c>
      <c r="G819" s="17">
        <v>2</v>
      </c>
      <c r="H819" s="17" t="s">
        <v>3525</v>
      </c>
      <c r="I819" s="17"/>
      <c r="J819" s="17"/>
      <c r="K819" s="17"/>
      <c r="L819" s="17"/>
      <c r="M819" s="17"/>
      <c r="N819" s="17"/>
      <c r="O819" s="17"/>
      <c r="P819" s="17"/>
      <c r="Q819" s="17"/>
    </row>
    <row r="820" spans="1:17">
      <c r="A820" s="556" t="s">
        <v>3556</v>
      </c>
      <c r="B820" s="557"/>
      <c r="C820" s="558" t="s">
        <v>1135</v>
      </c>
      <c r="D820" s="556" t="s">
        <v>4245</v>
      </c>
      <c r="E820" s="17" t="s">
        <v>4258</v>
      </c>
      <c r="F820" s="17">
        <v>3</v>
      </c>
      <c r="G820" s="17">
        <v>3</v>
      </c>
      <c r="H820" s="17" t="s">
        <v>3339</v>
      </c>
      <c r="I820" s="17">
        <v>0</v>
      </c>
      <c r="J820" s="17"/>
      <c r="K820" s="17"/>
      <c r="L820" s="17"/>
      <c r="M820" s="17"/>
      <c r="N820" s="17"/>
      <c r="O820" s="17"/>
      <c r="P820" s="17"/>
      <c r="Q820" s="17"/>
    </row>
    <row r="821" spans="1:17">
      <c r="A821" s="556" t="s">
        <v>3556</v>
      </c>
      <c r="B821" s="557"/>
      <c r="C821" s="558" t="s">
        <v>1135</v>
      </c>
      <c r="D821" s="556" t="s">
        <v>4247</v>
      </c>
      <c r="E821" s="17" t="s">
        <v>4259</v>
      </c>
      <c r="F821" s="17">
        <v>3</v>
      </c>
      <c r="G821" s="17">
        <v>4</v>
      </c>
      <c r="H821" s="17" t="s">
        <v>3340</v>
      </c>
      <c r="I821" s="17"/>
      <c r="J821" s="17"/>
      <c r="K821" s="17"/>
      <c r="L821" s="17"/>
      <c r="M821" s="17"/>
      <c r="N821" s="17"/>
      <c r="O821" s="17"/>
      <c r="P821" s="17"/>
      <c r="Q821" s="17"/>
    </row>
    <row r="822" spans="1:17">
      <c r="A822" s="556" t="s">
        <v>3556</v>
      </c>
      <c r="B822" s="557"/>
      <c r="C822" s="558" t="s">
        <v>1135</v>
      </c>
      <c r="D822" s="556" t="s">
        <v>4249</v>
      </c>
      <c r="E822" s="17" t="s">
        <v>4260</v>
      </c>
      <c r="F822" s="17">
        <v>3</v>
      </c>
      <c r="G822" s="17">
        <v>5</v>
      </c>
      <c r="H822" s="17" t="s">
        <v>3341</v>
      </c>
      <c r="I822" s="17">
        <v>0</v>
      </c>
      <c r="J822" s="17"/>
      <c r="K822" s="17"/>
      <c r="L822" s="17"/>
      <c r="M822" s="17"/>
      <c r="N822" s="17"/>
      <c r="O822" s="17"/>
      <c r="P822" s="17"/>
      <c r="Q822" s="17"/>
    </row>
    <row r="823" spans="1:17">
      <c r="A823" s="556" t="s">
        <v>3556</v>
      </c>
      <c r="B823" s="557"/>
      <c r="C823" s="558" t="s">
        <v>1238</v>
      </c>
      <c r="D823" s="556" t="s">
        <v>4241</v>
      </c>
      <c r="E823" s="17" t="s">
        <v>4261</v>
      </c>
      <c r="F823" s="17">
        <v>4</v>
      </c>
      <c r="G823" s="17">
        <v>1</v>
      </c>
      <c r="H823" s="17" t="s">
        <v>7770</v>
      </c>
      <c r="I823" s="17"/>
      <c r="J823" s="17"/>
      <c r="K823" s="17"/>
      <c r="L823" s="17"/>
      <c r="M823" s="17"/>
      <c r="N823" s="17"/>
      <c r="O823" s="17"/>
      <c r="P823" s="17"/>
      <c r="Q823" s="17"/>
    </row>
    <row r="824" spans="1:17">
      <c r="A824" s="556" t="s">
        <v>3556</v>
      </c>
      <c r="B824" s="557"/>
      <c r="C824" s="558" t="s">
        <v>1238</v>
      </c>
      <c r="D824" s="556" t="s">
        <v>4243</v>
      </c>
      <c r="E824" s="17" t="s">
        <v>4262</v>
      </c>
      <c r="F824" s="17">
        <v>4</v>
      </c>
      <c r="G824" s="17">
        <v>2</v>
      </c>
      <c r="H824" s="17" t="s">
        <v>3697</v>
      </c>
      <c r="I824" s="17"/>
      <c r="J824" s="17"/>
      <c r="K824" s="17"/>
      <c r="L824" s="17"/>
      <c r="M824" s="17"/>
      <c r="N824" s="17"/>
      <c r="O824" s="17"/>
      <c r="P824" s="17"/>
      <c r="Q824" s="17"/>
    </row>
    <row r="825" spans="1:17">
      <c r="A825" s="556" t="s">
        <v>3556</v>
      </c>
      <c r="B825" s="557"/>
      <c r="C825" s="558" t="s">
        <v>1238</v>
      </c>
      <c r="D825" s="556" t="s">
        <v>4245</v>
      </c>
      <c r="E825" s="17" t="s">
        <v>4263</v>
      </c>
      <c r="F825" s="17">
        <v>4</v>
      </c>
      <c r="G825" s="17">
        <v>3</v>
      </c>
      <c r="H825" s="17" t="s">
        <v>3343</v>
      </c>
      <c r="I825" s="17">
        <v>0</v>
      </c>
      <c r="J825" s="17"/>
      <c r="K825" s="17"/>
      <c r="L825" s="17"/>
      <c r="M825" s="17"/>
      <c r="N825" s="17"/>
      <c r="O825" s="17"/>
      <c r="P825" s="17"/>
      <c r="Q825" s="17"/>
    </row>
    <row r="826" spans="1:17">
      <c r="A826" s="556" t="s">
        <v>3556</v>
      </c>
      <c r="B826" s="557"/>
      <c r="C826" s="558" t="s">
        <v>1238</v>
      </c>
      <c r="D826" s="556" t="s">
        <v>4247</v>
      </c>
      <c r="E826" s="17" t="s">
        <v>4264</v>
      </c>
      <c r="F826" s="17">
        <v>4</v>
      </c>
      <c r="G826" s="17">
        <v>4</v>
      </c>
      <c r="H826" s="17" t="s">
        <v>3344</v>
      </c>
      <c r="I826" s="17"/>
      <c r="J826" s="17"/>
      <c r="K826" s="17"/>
      <c r="L826" s="17"/>
      <c r="M826" s="17"/>
      <c r="N826" s="17"/>
      <c r="O826" s="17"/>
      <c r="P826" s="17"/>
      <c r="Q826" s="17"/>
    </row>
    <row r="827" spans="1:17">
      <c r="A827" s="556" t="s">
        <v>3556</v>
      </c>
      <c r="B827" s="557"/>
      <c r="C827" s="558" t="s">
        <v>1238</v>
      </c>
      <c r="D827" s="556" t="s">
        <v>4249</v>
      </c>
      <c r="E827" s="17" t="s">
        <v>4265</v>
      </c>
      <c r="F827" s="17">
        <v>4</v>
      </c>
      <c r="G827" s="17">
        <v>5</v>
      </c>
      <c r="H827" s="17" t="s">
        <v>3345</v>
      </c>
      <c r="I827" s="17">
        <v>0</v>
      </c>
      <c r="J827" s="17"/>
      <c r="K827" s="17"/>
      <c r="L827" s="17"/>
      <c r="M827" s="17"/>
      <c r="N827" s="17"/>
      <c r="O827" s="17"/>
      <c r="P827" s="17"/>
      <c r="Q827" s="17"/>
    </row>
    <row r="828" spans="1:17">
      <c r="A828" s="556" t="s">
        <v>3556</v>
      </c>
      <c r="B828" s="557"/>
      <c r="C828" s="558" t="s">
        <v>1236</v>
      </c>
      <c r="D828" s="556" t="s">
        <v>4241</v>
      </c>
      <c r="E828" s="17" t="s">
        <v>4266</v>
      </c>
      <c r="F828" s="17">
        <v>5</v>
      </c>
      <c r="G828" s="17">
        <v>1</v>
      </c>
      <c r="H828" s="17" t="s">
        <v>7771</v>
      </c>
      <c r="I828" s="17">
        <v>0</v>
      </c>
      <c r="J828" s="17"/>
      <c r="K828" s="17"/>
      <c r="L828" s="17"/>
      <c r="M828" s="17"/>
      <c r="N828" s="17"/>
      <c r="O828" s="17"/>
      <c r="P828" s="17"/>
      <c r="Q828" s="17"/>
    </row>
    <row r="829" spans="1:17">
      <c r="A829" s="556" t="s">
        <v>3556</v>
      </c>
      <c r="B829" s="557"/>
      <c r="C829" s="558" t="s">
        <v>1236</v>
      </c>
      <c r="D829" s="556" t="s">
        <v>4243</v>
      </c>
      <c r="E829" s="17" t="s">
        <v>4267</v>
      </c>
      <c r="F829" s="17">
        <v>5</v>
      </c>
      <c r="G829" s="17">
        <v>2</v>
      </c>
      <c r="H829" s="17" t="s">
        <v>7772</v>
      </c>
      <c r="I829" s="17">
        <v>0</v>
      </c>
      <c r="J829" s="17"/>
      <c r="K829" s="17"/>
      <c r="L829" s="17"/>
      <c r="M829" s="17"/>
      <c r="N829" s="17"/>
      <c r="O829" s="17"/>
      <c r="P829" s="17"/>
      <c r="Q829" s="17"/>
    </row>
    <row r="830" spans="1:17">
      <c r="A830" s="556" t="s">
        <v>3556</v>
      </c>
      <c r="B830" s="557"/>
      <c r="C830" s="558" t="s">
        <v>1236</v>
      </c>
      <c r="D830" s="556" t="s">
        <v>4245</v>
      </c>
      <c r="E830" s="17" t="s">
        <v>4268</v>
      </c>
      <c r="F830" s="17">
        <v>5</v>
      </c>
      <c r="G830" s="17">
        <v>3</v>
      </c>
      <c r="H830" s="17" t="s">
        <v>3347</v>
      </c>
      <c r="I830" s="17">
        <v>0</v>
      </c>
      <c r="J830" s="17"/>
      <c r="K830" s="17"/>
      <c r="L830" s="17"/>
      <c r="M830" s="17"/>
      <c r="N830" s="17"/>
      <c r="O830" s="17"/>
      <c r="P830" s="17"/>
      <c r="Q830" s="17"/>
    </row>
    <row r="831" spans="1:17">
      <c r="A831" s="556" t="s">
        <v>3556</v>
      </c>
      <c r="B831" s="557"/>
      <c r="C831" s="558" t="s">
        <v>1236</v>
      </c>
      <c r="D831" s="556" t="s">
        <v>4247</v>
      </c>
      <c r="E831" s="17" t="s">
        <v>4269</v>
      </c>
      <c r="F831" s="17">
        <v>5</v>
      </c>
      <c r="G831" s="17">
        <v>4</v>
      </c>
      <c r="H831" s="17" t="s">
        <v>3348</v>
      </c>
      <c r="I831" s="17">
        <v>0</v>
      </c>
      <c r="J831" s="17"/>
      <c r="K831" s="17"/>
      <c r="L831" s="17"/>
      <c r="M831" s="17"/>
      <c r="N831" s="17"/>
      <c r="O831" s="17"/>
      <c r="P831" s="17"/>
      <c r="Q831" s="17"/>
    </row>
    <row r="832" spans="1:17">
      <c r="A832" s="556" t="s">
        <v>3556</v>
      </c>
      <c r="B832" s="557"/>
      <c r="C832" s="558" t="s">
        <v>1236</v>
      </c>
      <c r="D832" s="556" t="s">
        <v>4249</v>
      </c>
      <c r="E832" s="17" t="s">
        <v>4270</v>
      </c>
      <c r="F832" s="17">
        <v>5</v>
      </c>
      <c r="G832" s="17">
        <v>5</v>
      </c>
      <c r="H832" s="17" t="s">
        <v>3349</v>
      </c>
      <c r="I832" s="17">
        <v>0</v>
      </c>
      <c r="J832" s="17"/>
      <c r="K832" s="17"/>
      <c r="L832" s="17"/>
      <c r="M832" s="17"/>
      <c r="N832" s="17"/>
      <c r="O832" s="17"/>
      <c r="P832" s="17"/>
      <c r="Q832" s="17"/>
    </row>
    <row r="833" spans="1:17">
      <c r="A833" s="556" t="s">
        <v>3556</v>
      </c>
      <c r="B833" s="557"/>
      <c r="C833" s="558" t="s">
        <v>1638</v>
      </c>
      <c r="D833" s="556" t="s">
        <v>4241</v>
      </c>
      <c r="E833" s="17" t="s">
        <v>4271</v>
      </c>
      <c r="F833" s="17">
        <v>6</v>
      </c>
      <c r="G833" s="17">
        <v>1</v>
      </c>
      <c r="H833" s="17" t="s">
        <v>7773</v>
      </c>
      <c r="I833" s="17"/>
      <c r="J833" s="17"/>
      <c r="K833" s="17"/>
      <c r="L833" s="17"/>
      <c r="M833" s="17"/>
      <c r="N833" s="17"/>
      <c r="O833" s="17"/>
      <c r="P833" s="17"/>
      <c r="Q833" s="17"/>
    </row>
    <row r="834" spans="1:17">
      <c r="A834" s="556" t="s">
        <v>3556</v>
      </c>
      <c r="B834" s="557"/>
      <c r="C834" s="558" t="s">
        <v>1638</v>
      </c>
      <c r="D834" s="556" t="s">
        <v>4243</v>
      </c>
      <c r="E834" s="17" t="s">
        <v>4272</v>
      </c>
      <c r="F834" s="17">
        <v>6</v>
      </c>
      <c r="G834" s="17">
        <v>2</v>
      </c>
      <c r="H834" s="17" t="s">
        <v>7774</v>
      </c>
      <c r="I834" s="17"/>
      <c r="J834" s="17"/>
      <c r="K834" s="17"/>
      <c r="L834" s="17"/>
      <c r="M834" s="17"/>
      <c r="N834" s="17"/>
      <c r="O834" s="17"/>
      <c r="P834" s="17"/>
      <c r="Q834" s="17"/>
    </row>
    <row r="835" spans="1:17">
      <c r="A835" s="556" t="s">
        <v>3556</v>
      </c>
      <c r="B835" s="557"/>
      <c r="C835" s="558" t="s">
        <v>1638</v>
      </c>
      <c r="D835" s="556" t="s">
        <v>4245</v>
      </c>
      <c r="E835" s="17" t="s">
        <v>4273</v>
      </c>
      <c r="F835" s="17">
        <v>6</v>
      </c>
      <c r="G835" s="17">
        <v>3</v>
      </c>
      <c r="H835" s="17" t="s">
        <v>3351</v>
      </c>
      <c r="I835" s="17">
        <v>0</v>
      </c>
      <c r="J835" s="17"/>
      <c r="K835" s="17"/>
      <c r="L835" s="17"/>
      <c r="M835" s="17"/>
      <c r="N835" s="17"/>
      <c r="O835" s="17"/>
      <c r="P835" s="17"/>
      <c r="Q835" s="17"/>
    </row>
    <row r="836" spans="1:17">
      <c r="A836" s="556" t="s">
        <v>3556</v>
      </c>
      <c r="B836" s="557"/>
      <c r="C836" s="558" t="s">
        <v>1638</v>
      </c>
      <c r="D836" s="556" t="s">
        <v>4247</v>
      </c>
      <c r="E836" s="17" t="s">
        <v>4274</v>
      </c>
      <c r="F836" s="17">
        <v>6</v>
      </c>
      <c r="G836" s="17">
        <v>4</v>
      </c>
      <c r="H836" s="17" t="s">
        <v>3352</v>
      </c>
      <c r="I836" s="17"/>
      <c r="J836" s="17"/>
      <c r="K836" s="17"/>
      <c r="L836" s="17"/>
      <c r="M836" s="17"/>
      <c r="N836" s="17"/>
      <c r="O836" s="17"/>
      <c r="P836" s="17"/>
      <c r="Q836" s="17"/>
    </row>
    <row r="837" spans="1:17">
      <c r="A837" s="556" t="s">
        <v>3556</v>
      </c>
      <c r="B837" s="557"/>
      <c r="C837" s="558" t="s">
        <v>1638</v>
      </c>
      <c r="D837" s="556" t="s">
        <v>4249</v>
      </c>
      <c r="E837" s="17" t="s">
        <v>4275</v>
      </c>
      <c r="F837" s="17">
        <v>6</v>
      </c>
      <c r="G837" s="17">
        <v>5</v>
      </c>
      <c r="H837" s="17" t="s">
        <v>3353</v>
      </c>
      <c r="I837" s="17">
        <v>0</v>
      </c>
      <c r="J837" s="17"/>
      <c r="K837" s="17"/>
      <c r="L837" s="17"/>
      <c r="M837" s="17"/>
      <c r="N837" s="17"/>
      <c r="O837" s="17"/>
      <c r="P837" s="17"/>
      <c r="Q837" s="17"/>
    </row>
    <row r="838" spans="1:17">
      <c r="A838" s="556" t="s">
        <v>3556</v>
      </c>
      <c r="B838" s="557"/>
      <c r="C838" s="558" t="s">
        <v>1639</v>
      </c>
      <c r="D838" s="556" t="s">
        <v>4241</v>
      </c>
      <c r="E838" s="17" t="s">
        <v>4276</v>
      </c>
      <c r="F838" s="17">
        <v>7</v>
      </c>
      <c r="G838" s="17">
        <v>1</v>
      </c>
      <c r="H838" s="17" t="s">
        <v>7775</v>
      </c>
      <c r="I838" s="17"/>
      <c r="J838" s="17"/>
      <c r="K838" s="17"/>
      <c r="L838" s="17"/>
      <c r="M838" s="17"/>
      <c r="N838" s="17"/>
      <c r="O838" s="17"/>
      <c r="P838" s="17"/>
      <c r="Q838" s="17"/>
    </row>
    <row r="839" spans="1:17">
      <c r="A839" s="556" t="s">
        <v>3556</v>
      </c>
      <c r="B839" s="557"/>
      <c r="C839" s="558" t="s">
        <v>1639</v>
      </c>
      <c r="D839" s="556" t="s">
        <v>4243</v>
      </c>
      <c r="E839" s="17" t="s">
        <v>4277</v>
      </c>
      <c r="F839" s="17">
        <v>7</v>
      </c>
      <c r="G839" s="17">
        <v>2</v>
      </c>
      <c r="H839" s="17" t="s">
        <v>7776</v>
      </c>
      <c r="I839" s="17"/>
      <c r="J839" s="17"/>
      <c r="K839" s="17"/>
      <c r="L839" s="17"/>
      <c r="M839" s="17"/>
      <c r="N839" s="17"/>
      <c r="O839" s="17"/>
      <c r="P839" s="17"/>
      <c r="Q839" s="17"/>
    </row>
    <row r="840" spans="1:17">
      <c r="A840" s="556" t="s">
        <v>3556</v>
      </c>
      <c r="B840" s="557"/>
      <c r="C840" s="558" t="s">
        <v>1639</v>
      </c>
      <c r="D840" s="556" t="s">
        <v>4245</v>
      </c>
      <c r="E840" s="17" t="s">
        <v>4278</v>
      </c>
      <c r="F840" s="17">
        <v>7</v>
      </c>
      <c r="G840" s="17">
        <v>3</v>
      </c>
      <c r="H840" s="17" t="s">
        <v>3355</v>
      </c>
      <c r="I840" s="17">
        <v>0</v>
      </c>
      <c r="J840" s="17"/>
      <c r="K840" s="17"/>
      <c r="L840" s="17"/>
      <c r="M840" s="17"/>
      <c r="N840" s="17"/>
      <c r="O840" s="17"/>
      <c r="P840" s="17"/>
      <c r="Q840" s="17"/>
    </row>
    <row r="841" spans="1:17">
      <c r="A841" s="556" t="s">
        <v>3556</v>
      </c>
      <c r="B841" s="557"/>
      <c r="C841" s="558" t="s">
        <v>1639</v>
      </c>
      <c r="D841" s="556" t="s">
        <v>4247</v>
      </c>
      <c r="E841" s="17" t="s">
        <v>4279</v>
      </c>
      <c r="F841" s="17">
        <v>7</v>
      </c>
      <c r="G841" s="17">
        <v>4</v>
      </c>
      <c r="H841" s="17" t="s">
        <v>3356</v>
      </c>
      <c r="I841" s="17"/>
      <c r="J841" s="17"/>
      <c r="K841" s="17"/>
      <c r="L841" s="17"/>
      <c r="M841" s="17"/>
      <c r="N841" s="17"/>
      <c r="O841" s="17"/>
      <c r="P841" s="17"/>
      <c r="Q841" s="17"/>
    </row>
    <row r="842" spans="1:17">
      <c r="A842" s="556" t="s">
        <v>3556</v>
      </c>
      <c r="B842" s="557"/>
      <c r="C842" s="558" t="s">
        <v>1639</v>
      </c>
      <c r="D842" s="556" t="s">
        <v>4249</v>
      </c>
      <c r="E842" s="17" t="s">
        <v>4280</v>
      </c>
      <c r="F842" s="17">
        <v>7</v>
      </c>
      <c r="G842" s="17">
        <v>5</v>
      </c>
      <c r="H842" s="17" t="s">
        <v>3357</v>
      </c>
      <c r="I842" s="17">
        <v>0</v>
      </c>
      <c r="J842" s="17"/>
      <c r="K842" s="17"/>
      <c r="L842" s="17"/>
      <c r="M842" s="17"/>
      <c r="N842" s="17"/>
      <c r="O842" s="17"/>
      <c r="P842" s="17"/>
      <c r="Q842" s="17"/>
    </row>
    <row r="843" spans="1:17">
      <c r="A843" s="556" t="s">
        <v>3556</v>
      </c>
      <c r="B843" s="557"/>
      <c r="C843" s="558" t="s">
        <v>1660</v>
      </c>
      <c r="D843" s="556" t="s">
        <v>4241</v>
      </c>
      <c r="E843" s="17" t="s">
        <v>4281</v>
      </c>
      <c r="F843" s="17">
        <v>8</v>
      </c>
      <c r="G843" s="17">
        <v>1</v>
      </c>
      <c r="H843" s="17" t="s">
        <v>7777</v>
      </c>
      <c r="I843" s="17"/>
      <c r="J843" s="17"/>
      <c r="K843" s="17"/>
      <c r="L843" s="17"/>
      <c r="M843" s="17"/>
      <c r="N843" s="17"/>
      <c r="O843" s="17"/>
      <c r="P843" s="17"/>
      <c r="Q843" s="17"/>
    </row>
    <row r="844" spans="1:17">
      <c r="A844" s="556" t="s">
        <v>3556</v>
      </c>
      <c r="B844" s="557"/>
      <c r="C844" s="558" t="s">
        <v>1660</v>
      </c>
      <c r="D844" s="556" t="s">
        <v>4243</v>
      </c>
      <c r="E844" s="17" t="s">
        <v>4282</v>
      </c>
      <c r="F844" s="17">
        <v>8</v>
      </c>
      <c r="G844" s="17">
        <v>2</v>
      </c>
      <c r="H844" s="17" t="s">
        <v>7778</v>
      </c>
      <c r="I844" s="17"/>
      <c r="J844" s="17"/>
      <c r="K844" s="17"/>
      <c r="L844" s="17"/>
      <c r="M844" s="17"/>
      <c r="N844" s="17"/>
      <c r="O844" s="17"/>
      <c r="P844" s="17"/>
      <c r="Q844" s="17"/>
    </row>
    <row r="845" spans="1:17">
      <c r="A845" s="556" t="s">
        <v>3556</v>
      </c>
      <c r="B845" s="557"/>
      <c r="C845" s="558" t="s">
        <v>1660</v>
      </c>
      <c r="D845" s="556" t="s">
        <v>4245</v>
      </c>
      <c r="E845" s="17" t="s">
        <v>4283</v>
      </c>
      <c r="F845" s="17">
        <v>8</v>
      </c>
      <c r="G845" s="17">
        <v>3</v>
      </c>
      <c r="H845" s="17" t="s">
        <v>3359</v>
      </c>
      <c r="I845" s="17">
        <v>0</v>
      </c>
      <c r="J845" s="17"/>
      <c r="K845" s="17"/>
      <c r="L845" s="17"/>
      <c r="M845" s="17"/>
      <c r="N845" s="17"/>
      <c r="O845" s="17"/>
      <c r="P845" s="17"/>
      <c r="Q845" s="17"/>
    </row>
    <row r="846" spans="1:17">
      <c r="A846" s="556" t="s">
        <v>3556</v>
      </c>
      <c r="B846" s="557"/>
      <c r="C846" s="558" t="s">
        <v>1660</v>
      </c>
      <c r="D846" s="556" t="s">
        <v>4247</v>
      </c>
      <c r="E846" s="17" t="s">
        <v>4284</v>
      </c>
      <c r="F846" s="17">
        <v>8</v>
      </c>
      <c r="G846" s="17">
        <v>4</v>
      </c>
      <c r="H846" s="17" t="s">
        <v>3360</v>
      </c>
      <c r="I846" s="17"/>
      <c r="J846" s="17"/>
      <c r="K846" s="17"/>
      <c r="L846" s="17"/>
      <c r="M846" s="17"/>
      <c r="N846" s="17"/>
      <c r="O846" s="17"/>
      <c r="P846" s="17"/>
      <c r="Q846" s="17"/>
    </row>
    <row r="847" spans="1:17">
      <c r="A847" s="556" t="s">
        <v>3556</v>
      </c>
      <c r="B847" s="557"/>
      <c r="C847" s="558" t="s">
        <v>1660</v>
      </c>
      <c r="D847" s="556" t="s">
        <v>4249</v>
      </c>
      <c r="E847" s="17" t="s">
        <v>4285</v>
      </c>
      <c r="F847" s="17">
        <v>8</v>
      </c>
      <c r="G847" s="17">
        <v>5</v>
      </c>
      <c r="H847" s="17" t="s">
        <v>3327</v>
      </c>
      <c r="I847" s="17">
        <v>0</v>
      </c>
      <c r="J847" s="17"/>
      <c r="K847" s="17"/>
      <c r="L847" s="17"/>
      <c r="M847" s="17"/>
      <c r="N847" s="17"/>
      <c r="O847" s="17"/>
      <c r="P847" s="17"/>
      <c r="Q847" s="17"/>
    </row>
    <row r="848" spans="1:17">
      <c r="A848" s="556" t="s">
        <v>3556</v>
      </c>
      <c r="B848" s="557"/>
      <c r="C848" s="558" t="s">
        <v>1158</v>
      </c>
      <c r="D848" s="556" t="s">
        <v>4241</v>
      </c>
      <c r="E848" s="17" t="s">
        <v>4286</v>
      </c>
      <c r="F848" s="17">
        <v>9</v>
      </c>
      <c r="G848" s="17">
        <v>1</v>
      </c>
      <c r="H848" s="17" t="s">
        <v>3717</v>
      </c>
      <c r="I848" s="17"/>
      <c r="J848" s="17"/>
      <c r="K848" s="17"/>
      <c r="L848" s="17"/>
      <c r="M848" s="17"/>
      <c r="N848" s="17"/>
      <c r="O848" s="17"/>
      <c r="P848" s="17"/>
      <c r="Q848" s="17"/>
    </row>
    <row r="849" spans="1:17">
      <c r="A849" s="556" t="s">
        <v>3556</v>
      </c>
      <c r="B849" s="557"/>
      <c r="C849" s="558" t="s">
        <v>1158</v>
      </c>
      <c r="D849" s="556" t="s">
        <v>4243</v>
      </c>
      <c r="E849" s="17" t="s">
        <v>4287</v>
      </c>
      <c r="F849" s="17">
        <v>9</v>
      </c>
      <c r="G849" s="17">
        <v>2</v>
      </c>
      <c r="H849" s="17" t="s">
        <v>7779</v>
      </c>
      <c r="I849" s="17"/>
      <c r="J849" s="17"/>
      <c r="K849" s="17"/>
      <c r="L849" s="17"/>
      <c r="M849" s="17"/>
      <c r="N849" s="17"/>
      <c r="O849" s="17"/>
      <c r="P849" s="17"/>
      <c r="Q849" s="17"/>
    </row>
    <row r="850" spans="1:17">
      <c r="A850" s="556" t="s">
        <v>3556</v>
      </c>
      <c r="B850" s="557"/>
      <c r="C850" s="558" t="s">
        <v>1158</v>
      </c>
      <c r="D850" s="556" t="s">
        <v>4245</v>
      </c>
      <c r="E850" s="17" t="s">
        <v>4288</v>
      </c>
      <c r="F850" s="17">
        <v>9</v>
      </c>
      <c r="G850" s="17">
        <v>3</v>
      </c>
      <c r="H850" s="17" t="s">
        <v>3362</v>
      </c>
      <c r="I850" s="17">
        <v>0</v>
      </c>
      <c r="J850" s="17"/>
      <c r="K850" s="17"/>
      <c r="L850" s="17"/>
      <c r="M850" s="17"/>
      <c r="N850" s="17"/>
      <c r="O850" s="17"/>
      <c r="P850" s="17"/>
      <c r="Q850" s="17"/>
    </row>
    <row r="851" spans="1:17">
      <c r="A851" s="556" t="s">
        <v>3556</v>
      </c>
      <c r="B851" s="557"/>
      <c r="C851" s="558" t="s">
        <v>1158</v>
      </c>
      <c r="D851" s="556" t="s">
        <v>4247</v>
      </c>
      <c r="E851" s="17" t="s">
        <v>4289</v>
      </c>
      <c r="F851" s="17">
        <v>9</v>
      </c>
      <c r="G851" s="17">
        <v>4</v>
      </c>
      <c r="H851" s="17" t="s">
        <v>3363</v>
      </c>
      <c r="I851" s="17"/>
      <c r="J851" s="17"/>
      <c r="K851" s="17"/>
      <c r="L851" s="17"/>
      <c r="M851" s="17"/>
      <c r="N851" s="17"/>
      <c r="O851" s="17"/>
      <c r="P851" s="17"/>
      <c r="Q851" s="17"/>
    </row>
    <row r="852" spans="1:17">
      <c r="A852" s="556" t="s">
        <v>3556</v>
      </c>
      <c r="B852" s="557"/>
      <c r="C852" s="558" t="s">
        <v>1158</v>
      </c>
      <c r="D852" s="556" t="s">
        <v>4249</v>
      </c>
      <c r="E852" s="17" t="s">
        <v>4290</v>
      </c>
      <c r="F852" s="17">
        <v>9</v>
      </c>
      <c r="G852" s="17">
        <v>5</v>
      </c>
      <c r="H852" s="17" t="s">
        <v>3364</v>
      </c>
      <c r="I852" s="17">
        <v>0</v>
      </c>
      <c r="J852" s="17"/>
      <c r="K852" s="17"/>
      <c r="L852" s="17"/>
      <c r="M852" s="17"/>
      <c r="N852" s="17"/>
      <c r="O852" s="17"/>
      <c r="P852" s="17"/>
      <c r="Q852" s="17"/>
    </row>
    <row r="853" spans="1:17">
      <c r="A853" s="556" t="s">
        <v>3556</v>
      </c>
      <c r="B853" s="557"/>
      <c r="C853" s="558" t="s">
        <v>1162</v>
      </c>
      <c r="D853" s="556" t="s">
        <v>4241</v>
      </c>
      <c r="E853" s="17" t="s">
        <v>4291</v>
      </c>
      <c r="F853" s="17">
        <v>10</v>
      </c>
      <c r="G853" s="17">
        <v>1</v>
      </c>
      <c r="H853" s="17" t="s">
        <v>7780</v>
      </c>
      <c r="I853" s="17"/>
      <c r="J853" s="17"/>
      <c r="K853" s="17"/>
      <c r="L853" s="17"/>
      <c r="M853" s="17"/>
      <c r="N853" s="17"/>
      <c r="O853" s="17"/>
      <c r="P853" s="17"/>
      <c r="Q853" s="17"/>
    </row>
    <row r="854" spans="1:17">
      <c r="A854" s="556" t="s">
        <v>3556</v>
      </c>
      <c r="B854" s="557"/>
      <c r="C854" s="558" t="s">
        <v>1162</v>
      </c>
      <c r="D854" s="556" t="s">
        <v>4243</v>
      </c>
      <c r="E854" s="17" t="s">
        <v>4292</v>
      </c>
      <c r="F854" s="17">
        <v>10</v>
      </c>
      <c r="G854" s="17">
        <v>2</v>
      </c>
      <c r="H854" s="17" t="s">
        <v>7781</v>
      </c>
      <c r="I854" s="17"/>
      <c r="J854" s="17"/>
      <c r="K854" s="17"/>
      <c r="L854" s="17"/>
      <c r="M854" s="17"/>
      <c r="N854" s="17"/>
      <c r="O854" s="17"/>
      <c r="P854" s="17"/>
      <c r="Q854" s="17"/>
    </row>
    <row r="855" spans="1:17">
      <c r="A855" s="556" t="s">
        <v>3556</v>
      </c>
      <c r="B855" s="557"/>
      <c r="C855" s="558" t="s">
        <v>1162</v>
      </c>
      <c r="D855" s="556" t="s">
        <v>4245</v>
      </c>
      <c r="E855" s="17" t="s">
        <v>4293</v>
      </c>
      <c r="F855" s="17">
        <v>10</v>
      </c>
      <c r="G855" s="17">
        <v>3</v>
      </c>
      <c r="H855" s="17" t="s">
        <v>3366</v>
      </c>
      <c r="I855" s="17">
        <v>0</v>
      </c>
      <c r="J855" s="17"/>
      <c r="K855" s="17"/>
      <c r="L855" s="17"/>
      <c r="M855" s="17"/>
      <c r="N855" s="17"/>
      <c r="O855" s="17"/>
      <c r="P855" s="17"/>
      <c r="Q855" s="17"/>
    </row>
    <row r="856" spans="1:17">
      <c r="A856" s="556" t="s">
        <v>3556</v>
      </c>
      <c r="B856" s="557"/>
      <c r="C856" s="558" t="s">
        <v>1162</v>
      </c>
      <c r="D856" s="556" t="s">
        <v>4247</v>
      </c>
      <c r="E856" s="17" t="s">
        <v>4294</v>
      </c>
      <c r="F856" s="17">
        <v>10</v>
      </c>
      <c r="G856" s="17">
        <v>4</v>
      </c>
      <c r="H856" s="17" t="s">
        <v>3367</v>
      </c>
      <c r="I856" s="17"/>
      <c r="J856" s="17"/>
      <c r="K856" s="17"/>
      <c r="L856" s="17"/>
      <c r="M856" s="17"/>
      <c r="N856" s="17"/>
      <c r="O856" s="17"/>
      <c r="P856" s="17"/>
      <c r="Q856" s="17"/>
    </row>
    <row r="857" spans="1:17">
      <c r="A857" s="556" t="s">
        <v>3556</v>
      </c>
      <c r="B857" s="557"/>
      <c r="C857" s="558" t="s">
        <v>1162</v>
      </c>
      <c r="D857" s="556" t="s">
        <v>4249</v>
      </c>
      <c r="E857" s="17" t="s">
        <v>4295</v>
      </c>
      <c r="F857" s="17">
        <v>10</v>
      </c>
      <c r="G857" s="17">
        <v>5</v>
      </c>
      <c r="H857" s="17" t="s">
        <v>3368</v>
      </c>
      <c r="I857" s="17">
        <v>0</v>
      </c>
      <c r="J857" s="17"/>
      <c r="K857" s="17"/>
      <c r="L857" s="17"/>
      <c r="M857" s="17"/>
      <c r="N857" s="17"/>
      <c r="O857" s="17"/>
      <c r="P857" s="17"/>
      <c r="Q857" s="17"/>
    </row>
    <row r="858" spans="1:17">
      <c r="A858" s="556" t="s">
        <v>3556</v>
      </c>
      <c r="B858" s="557"/>
      <c r="C858" s="558" t="s">
        <v>1239</v>
      </c>
      <c r="D858" s="556" t="s">
        <v>4241</v>
      </c>
      <c r="E858" s="17" t="s">
        <v>4296</v>
      </c>
      <c r="F858" s="17">
        <v>11</v>
      </c>
      <c r="G858" s="17">
        <v>1</v>
      </c>
      <c r="H858" s="17" t="s">
        <v>7782</v>
      </c>
      <c r="I858" s="17">
        <v>0</v>
      </c>
      <c r="J858" s="17"/>
      <c r="K858" s="17"/>
      <c r="L858" s="17"/>
      <c r="M858" s="17"/>
      <c r="N858" s="17"/>
      <c r="O858" s="17"/>
      <c r="P858" s="17"/>
      <c r="Q858" s="17"/>
    </row>
    <row r="859" spans="1:17">
      <c r="A859" s="556" t="s">
        <v>3556</v>
      </c>
      <c r="B859" s="557"/>
      <c r="C859" s="558" t="s">
        <v>1239</v>
      </c>
      <c r="D859" s="556" t="s">
        <v>4243</v>
      </c>
      <c r="E859" s="17" t="s">
        <v>4297</v>
      </c>
      <c r="F859" s="17">
        <v>11</v>
      </c>
      <c r="G859" s="17">
        <v>2</v>
      </c>
      <c r="H859" s="17" t="s">
        <v>7783</v>
      </c>
      <c r="I859" s="17">
        <v>0</v>
      </c>
      <c r="J859" s="17"/>
      <c r="K859" s="17"/>
      <c r="L859" s="17"/>
      <c r="M859" s="17"/>
      <c r="N859" s="17"/>
      <c r="O859" s="17"/>
      <c r="P859" s="17"/>
      <c r="Q859" s="17"/>
    </row>
    <row r="860" spans="1:17">
      <c r="A860" s="556" t="s">
        <v>3556</v>
      </c>
      <c r="B860" s="557"/>
      <c r="C860" s="558" t="s">
        <v>1239</v>
      </c>
      <c r="D860" s="556" t="s">
        <v>4245</v>
      </c>
      <c r="E860" s="17" t="s">
        <v>4298</v>
      </c>
      <c r="F860" s="17">
        <v>11</v>
      </c>
      <c r="G860" s="17">
        <v>3</v>
      </c>
      <c r="H860" s="17" t="s">
        <v>3370</v>
      </c>
      <c r="I860" s="17">
        <v>0</v>
      </c>
      <c r="J860" s="17"/>
      <c r="K860" s="17"/>
      <c r="L860" s="17"/>
      <c r="M860" s="17"/>
      <c r="N860" s="17"/>
      <c r="O860" s="17"/>
      <c r="P860" s="17"/>
      <c r="Q860" s="17"/>
    </row>
    <row r="861" spans="1:17">
      <c r="A861" s="556" t="s">
        <v>3556</v>
      </c>
      <c r="B861" s="557"/>
      <c r="C861" s="558" t="s">
        <v>1239</v>
      </c>
      <c r="D861" s="556" t="s">
        <v>4247</v>
      </c>
      <c r="E861" s="17" t="s">
        <v>4299</v>
      </c>
      <c r="F861" s="17">
        <v>11</v>
      </c>
      <c r="G861" s="17">
        <v>4</v>
      </c>
      <c r="H861" s="17" t="s">
        <v>3371</v>
      </c>
      <c r="I861" s="17">
        <v>0</v>
      </c>
      <c r="J861" s="17"/>
      <c r="K861" s="17"/>
      <c r="L861" s="17"/>
      <c r="M861" s="17"/>
      <c r="N861" s="17"/>
      <c r="O861" s="17"/>
      <c r="P861" s="17"/>
      <c r="Q861" s="17"/>
    </row>
    <row r="862" spans="1:17">
      <c r="A862" s="556" t="s">
        <v>3556</v>
      </c>
      <c r="B862" s="557"/>
      <c r="C862" s="558" t="s">
        <v>1239</v>
      </c>
      <c r="D862" s="556" t="s">
        <v>4249</v>
      </c>
      <c r="E862" s="17" t="s">
        <v>4300</v>
      </c>
      <c r="F862" s="17">
        <v>11</v>
      </c>
      <c r="G862" s="17">
        <v>5</v>
      </c>
      <c r="H862" s="17" t="s">
        <v>3372</v>
      </c>
      <c r="I862" s="17">
        <v>0</v>
      </c>
      <c r="J862" s="17"/>
      <c r="K862" s="17"/>
      <c r="L862" s="17"/>
      <c r="M862" s="17"/>
      <c r="N862" s="17"/>
      <c r="O862" s="17"/>
      <c r="P862" s="17"/>
      <c r="Q862" s="17"/>
    </row>
    <row r="863" spans="1:17">
      <c r="A863" s="556" t="s">
        <v>3556</v>
      </c>
      <c r="B863" s="557"/>
      <c r="C863" s="558" t="s">
        <v>1681</v>
      </c>
      <c r="D863" s="556" t="s">
        <v>4241</v>
      </c>
      <c r="E863" s="17" t="s">
        <v>4301</v>
      </c>
      <c r="F863" s="17">
        <v>12</v>
      </c>
      <c r="G863" s="17">
        <v>1</v>
      </c>
      <c r="H863" s="17" t="s">
        <v>7784</v>
      </c>
      <c r="I863" s="17"/>
      <c r="J863" s="17"/>
      <c r="K863" s="17"/>
      <c r="L863" s="17"/>
      <c r="M863" s="17"/>
      <c r="N863" s="17"/>
      <c r="O863" s="17"/>
      <c r="P863" s="17"/>
      <c r="Q863" s="17"/>
    </row>
    <row r="864" spans="1:17">
      <c r="A864" s="556" t="s">
        <v>3556</v>
      </c>
      <c r="B864" s="557"/>
      <c r="C864" s="558" t="s">
        <v>1681</v>
      </c>
      <c r="D864" s="556" t="s">
        <v>4243</v>
      </c>
      <c r="E864" s="17" t="s">
        <v>4302</v>
      </c>
      <c r="F864" s="17">
        <v>12</v>
      </c>
      <c r="G864" s="17">
        <v>2</v>
      </c>
      <c r="H864" s="17" t="s">
        <v>7785</v>
      </c>
      <c r="I864" s="17"/>
      <c r="J864" s="17"/>
      <c r="K864" s="17"/>
      <c r="L864" s="17"/>
      <c r="M864" s="17"/>
      <c r="N864" s="17"/>
      <c r="O864" s="17"/>
      <c r="P864" s="17"/>
      <c r="Q864" s="17"/>
    </row>
    <row r="865" spans="1:17">
      <c r="A865" s="556" t="s">
        <v>3556</v>
      </c>
      <c r="B865" s="557"/>
      <c r="C865" s="558" t="s">
        <v>1681</v>
      </c>
      <c r="D865" s="556" t="s">
        <v>4245</v>
      </c>
      <c r="E865" s="17" t="s">
        <v>4303</v>
      </c>
      <c r="F865" s="17">
        <v>12</v>
      </c>
      <c r="G865" s="17">
        <v>3</v>
      </c>
      <c r="H865" s="17" t="s">
        <v>3374</v>
      </c>
      <c r="I865" s="17">
        <v>0</v>
      </c>
      <c r="J865" s="17"/>
      <c r="K865" s="17"/>
      <c r="L865" s="17"/>
      <c r="M865" s="17"/>
      <c r="N865" s="17"/>
      <c r="O865" s="17"/>
      <c r="P865" s="17"/>
      <c r="Q865" s="17"/>
    </row>
    <row r="866" spans="1:17">
      <c r="A866" s="556" t="s">
        <v>3556</v>
      </c>
      <c r="B866" s="557"/>
      <c r="C866" s="558" t="s">
        <v>1681</v>
      </c>
      <c r="D866" s="556" t="s">
        <v>4247</v>
      </c>
      <c r="E866" s="17" t="s">
        <v>4304</v>
      </c>
      <c r="F866" s="17">
        <v>12</v>
      </c>
      <c r="G866" s="17">
        <v>4</v>
      </c>
      <c r="H866" s="17" t="s">
        <v>3375</v>
      </c>
      <c r="I866" s="17"/>
      <c r="J866" s="17"/>
      <c r="K866" s="17"/>
      <c r="L866" s="17"/>
      <c r="M866" s="17"/>
      <c r="N866" s="17"/>
      <c r="O866" s="17"/>
      <c r="P866" s="17"/>
      <c r="Q866" s="17"/>
    </row>
    <row r="867" spans="1:17">
      <c r="A867" s="556" t="s">
        <v>3556</v>
      </c>
      <c r="B867" s="557"/>
      <c r="C867" s="558" t="s">
        <v>1681</v>
      </c>
      <c r="D867" s="556" t="s">
        <v>4249</v>
      </c>
      <c r="E867" s="17" t="s">
        <v>4305</v>
      </c>
      <c r="F867" s="17">
        <v>12</v>
      </c>
      <c r="G867" s="17">
        <v>5</v>
      </c>
      <c r="H867" s="17" t="s">
        <v>3376</v>
      </c>
      <c r="I867" s="17">
        <v>0</v>
      </c>
      <c r="J867" s="17"/>
      <c r="K867" s="17"/>
      <c r="L867" s="17"/>
      <c r="M867" s="17"/>
      <c r="N867" s="17"/>
      <c r="O867" s="17"/>
      <c r="P867" s="17"/>
      <c r="Q867" s="17"/>
    </row>
    <row r="868" spans="1:17">
      <c r="A868" s="556" t="s">
        <v>3556</v>
      </c>
      <c r="B868" s="557"/>
      <c r="C868" s="558" t="s">
        <v>1242</v>
      </c>
      <c r="D868" s="556" t="s">
        <v>4241</v>
      </c>
      <c r="E868" s="17" t="s">
        <v>4306</v>
      </c>
      <c r="F868" s="17">
        <v>13</v>
      </c>
      <c r="G868" s="17">
        <v>1</v>
      </c>
      <c r="H868" s="17" t="s">
        <v>7786</v>
      </c>
      <c r="I868" s="17"/>
      <c r="J868" s="17"/>
      <c r="K868" s="17"/>
      <c r="L868" s="17"/>
      <c r="M868" s="17"/>
      <c r="N868" s="17"/>
      <c r="O868" s="17"/>
      <c r="P868" s="17"/>
      <c r="Q868" s="17"/>
    </row>
    <row r="869" spans="1:17">
      <c r="A869" s="556" t="s">
        <v>3556</v>
      </c>
      <c r="B869" s="557"/>
      <c r="C869" s="558" t="s">
        <v>1242</v>
      </c>
      <c r="D869" s="556" t="s">
        <v>4243</v>
      </c>
      <c r="E869" s="17" t="s">
        <v>4307</v>
      </c>
      <c r="F869" s="17">
        <v>13</v>
      </c>
      <c r="G869" s="17">
        <v>2</v>
      </c>
      <c r="H869" s="17" t="s">
        <v>3695</v>
      </c>
      <c r="I869" s="17"/>
      <c r="J869" s="17"/>
      <c r="K869" s="17"/>
      <c r="L869" s="17"/>
      <c r="M869" s="17"/>
      <c r="N869" s="17"/>
      <c r="O869" s="17"/>
      <c r="P869" s="17"/>
      <c r="Q869" s="17"/>
    </row>
    <row r="870" spans="1:17">
      <c r="A870" s="556" t="s">
        <v>3556</v>
      </c>
      <c r="B870" s="557"/>
      <c r="C870" s="558" t="s">
        <v>1242</v>
      </c>
      <c r="D870" s="556" t="s">
        <v>4245</v>
      </c>
      <c r="E870" s="17" t="s">
        <v>4308</v>
      </c>
      <c r="F870" s="17">
        <v>13</v>
      </c>
      <c r="G870" s="17">
        <v>3</v>
      </c>
      <c r="H870" s="17" t="s">
        <v>3378</v>
      </c>
      <c r="I870" s="17">
        <v>0</v>
      </c>
      <c r="J870" s="17"/>
      <c r="K870" s="17"/>
      <c r="L870" s="17"/>
      <c r="M870" s="17"/>
      <c r="N870" s="17"/>
      <c r="O870" s="17"/>
      <c r="P870" s="17"/>
      <c r="Q870" s="17"/>
    </row>
    <row r="871" spans="1:17">
      <c r="A871" s="556" t="s">
        <v>3556</v>
      </c>
      <c r="B871" s="557"/>
      <c r="C871" s="558" t="s">
        <v>1242</v>
      </c>
      <c r="D871" s="556" t="s">
        <v>4247</v>
      </c>
      <c r="E871" s="17" t="s">
        <v>4309</v>
      </c>
      <c r="F871" s="17">
        <v>13</v>
      </c>
      <c r="G871" s="17">
        <v>4</v>
      </c>
      <c r="H871" s="17" t="s">
        <v>3379</v>
      </c>
      <c r="I871" s="17"/>
      <c r="J871" s="17"/>
      <c r="K871" s="17"/>
      <c r="L871" s="17"/>
      <c r="M871" s="17"/>
      <c r="N871" s="17"/>
      <c r="O871" s="17"/>
      <c r="P871" s="17"/>
      <c r="Q871" s="17"/>
    </row>
    <row r="872" spans="1:17">
      <c r="A872" s="556" t="s">
        <v>3556</v>
      </c>
      <c r="B872" s="557"/>
      <c r="C872" s="558" t="s">
        <v>1242</v>
      </c>
      <c r="D872" s="556" t="s">
        <v>4249</v>
      </c>
      <c r="E872" s="17" t="s">
        <v>4310</v>
      </c>
      <c r="F872" s="17">
        <v>13</v>
      </c>
      <c r="G872" s="17">
        <v>5</v>
      </c>
      <c r="H872" s="17" t="s">
        <v>3380</v>
      </c>
      <c r="I872" s="17">
        <v>0</v>
      </c>
      <c r="J872" s="17"/>
      <c r="K872" s="17"/>
      <c r="L872" s="17"/>
      <c r="M872" s="17"/>
      <c r="N872" s="17"/>
      <c r="O872" s="17"/>
      <c r="P872" s="17"/>
      <c r="Q872" s="17"/>
    </row>
    <row r="873" spans="1:17">
      <c r="A873" s="556" t="s">
        <v>3556</v>
      </c>
      <c r="B873" s="557"/>
      <c r="C873" s="558" t="s">
        <v>1241</v>
      </c>
      <c r="D873" s="556" t="s">
        <v>4241</v>
      </c>
      <c r="E873" s="17" t="s">
        <v>4311</v>
      </c>
      <c r="F873" s="17">
        <v>14</v>
      </c>
      <c r="G873" s="17">
        <v>1</v>
      </c>
      <c r="H873" s="17" t="s">
        <v>7787</v>
      </c>
      <c r="I873" s="17">
        <v>0</v>
      </c>
      <c r="J873" s="17"/>
      <c r="K873" s="17"/>
      <c r="L873" s="17"/>
      <c r="M873" s="17"/>
      <c r="N873" s="17"/>
      <c r="O873" s="17"/>
      <c r="P873" s="17"/>
      <c r="Q873" s="17"/>
    </row>
    <row r="874" spans="1:17">
      <c r="A874" s="556" t="s">
        <v>3556</v>
      </c>
      <c r="B874" s="557"/>
      <c r="C874" s="558" t="s">
        <v>1241</v>
      </c>
      <c r="D874" s="556" t="s">
        <v>4243</v>
      </c>
      <c r="E874" s="17" t="s">
        <v>4312</v>
      </c>
      <c r="F874" s="17">
        <v>14</v>
      </c>
      <c r="G874" s="17">
        <v>2</v>
      </c>
      <c r="H874" s="17" t="s">
        <v>7788</v>
      </c>
      <c r="I874" s="17">
        <v>0</v>
      </c>
      <c r="J874" s="17"/>
      <c r="K874" s="17"/>
      <c r="L874" s="17"/>
      <c r="M874" s="17"/>
      <c r="N874" s="17"/>
      <c r="O874" s="17"/>
      <c r="P874" s="17"/>
      <c r="Q874" s="17"/>
    </row>
    <row r="875" spans="1:17">
      <c r="A875" s="556" t="s">
        <v>3556</v>
      </c>
      <c r="B875" s="557"/>
      <c r="C875" s="558" t="s">
        <v>1241</v>
      </c>
      <c r="D875" s="556" t="s">
        <v>4245</v>
      </c>
      <c r="E875" s="17" t="s">
        <v>4313</v>
      </c>
      <c r="F875" s="17">
        <v>14</v>
      </c>
      <c r="G875" s="17">
        <v>3</v>
      </c>
      <c r="H875" s="17" t="s">
        <v>3382</v>
      </c>
      <c r="I875" s="17">
        <v>0</v>
      </c>
      <c r="J875" s="17"/>
      <c r="K875" s="17"/>
      <c r="L875" s="17"/>
      <c r="M875" s="17"/>
      <c r="N875" s="17"/>
      <c r="O875" s="17"/>
      <c r="P875" s="17"/>
      <c r="Q875" s="17"/>
    </row>
    <row r="876" spans="1:17">
      <c r="A876" s="556" t="s">
        <v>3556</v>
      </c>
      <c r="B876" s="557"/>
      <c r="C876" s="558" t="s">
        <v>1241</v>
      </c>
      <c r="D876" s="556" t="s">
        <v>4247</v>
      </c>
      <c r="E876" s="17" t="s">
        <v>4314</v>
      </c>
      <c r="F876" s="17">
        <v>14</v>
      </c>
      <c r="G876" s="17">
        <v>4</v>
      </c>
      <c r="H876" s="17" t="s">
        <v>3383</v>
      </c>
      <c r="I876" s="17">
        <v>0</v>
      </c>
      <c r="J876" s="17"/>
      <c r="K876" s="17"/>
      <c r="L876" s="17"/>
      <c r="M876" s="17"/>
      <c r="N876" s="17"/>
      <c r="O876" s="17"/>
      <c r="P876" s="17"/>
      <c r="Q876" s="17"/>
    </row>
    <row r="877" spans="1:17">
      <c r="A877" s="556" t="s">
        <v>3556</v>
      </c>
      <c r="B877" s="557"/>
      <c r="C877" s="558" t="s">
        <v>1241</v>
      </c>
      <c r="D877" s="556" t="s">
        <v>4249</v>
      </c>
      <c r="E877" s="17" t="s">
        <v>4315</v>
      </c>
      <c r="F877" s="17">
        <v>14</v>
      </c>
      <c r="G877" s="17">
        <v>5</v>
      </c>
      <c r="H877" s="17" t="s">
        <v>3384</v>
      </c>
      <c r="I877" s="17">
        <v>0</v>
      </c>
      <c r="J877" s="17"/>
      <c r="K877" s="17"/>
      <c r="L877" s="17"/>
      <c r="M877" s="17"/>
      <c r="N877" s="17"/>
      <c r="O877" s="17"/>
      <c r="P877" s="17"/>
      <c r="Q877" s="17"/>
    </row>
    <row r="878" spans="1:17">
      <c r="A878" s="556" t="s">
        <v>3556</v>
      </c>
      <c r="B878" s="557"/>
      <c r="C878" s="558" t="s">
        <v>1232</v>
      </c>
      <c r="D878" s="556" t="s">
        <v>4241</v>
      </c>
      <c r="E878" s="17" t="s">
        <v>4316</v>
      </c>
      <c r="F878" s="17">
        <v>15</v>
      </c>
      <c r="G878" s="17">
        <v>1</v>
      </c>
      <c r="H878" s="17" t="s">
        <v>7789</v>
      </c>
      <c r="I878" s="17">
        <v>0</v>
      </c>
      <c r="J878" s="17"/>
      <c r="K878" s="17"/>
      <c r="L878" s="17"/>
      <c r="M878" s="17"/>
      <c r="N878" s="17"/>
      <c r="O878" s="17"/>
      <c r="P878" s="17"/>
      <c r="Q878" s="17"/>
    </row>
    <row r="879" spans="1:17">
      <c r="A879" s="556" t="s">
        <v>3556</v>
      </c>
      <c r="B879" s="557"/>
      <c r="C879" s="558" t="s">
        <v>1232</v>
      </c>
      <c r="D879" s="556" t="s">
        <v>4243</v>
      </c>
      <c r="E879" s="17" t="s">
        <v>4317</v>
      </c>
      <c r="F879" s="17">
        <v>15</v>
      </c>
      <c r="G879" s="17">
        <v>2</v>
      </c>
      <c r="H879" s="17" t="s">
        <v>7790</v>
      </c>
      <c r="I879" s="17">
        <v>0</v>
      </c>
      <c r="J879" s="17"/>
      <c r="K879" s="17"/>
      <c r="L879" s="17"/>
      <c r="M879" s="17"/>
      <c r="N879" s="17"/>
      <c r="O879" s="17"/>
      <c r="P879" s="17"/>
      <c r="Q879" s="17"/>
    </row>
    <row r="880" spans="1:17">
      <c r="A880" s="556" t="s">
        <v>3556</v>
      </c>
      <c r="B880" s="557"/>
      <c r="C880" s="558" t="s">
        <v>1232</v>
      </c>
      <c r="D880" s="556" t="s">
        <v>4245</v>
      </c>
      <c r="E880" s="17" t="s">
        <v>4318</v>
      </c>
      <c r="F880" s="17">
        <v>15</v>
      </c>
      <c r="G880" s="17">
        <v>3</v>
      </c>
      <c r="H880" s="17" t="s">
        <v>3386</v>
      </c>
      <c r="I880" s="17">
        <v>0</v>
      </c>
      <c r="J880" s="17"/>
      <c r="K880" s="17"/>
      <c r="L880" s="17"/>
      <c r="M880" s="17"/>
      <c r="N880" s="17"/>
      <c r="O880" s="17"/>
      <c r="P880" s="17"/>
      <c r="Q880" s="17"/>
    </row>
    <row r="881" spans="1:17">
      <c r="A881" s="556" t="s">
        <v>3556</v>
      </c>
      <c r="B881" s="557"/>
      <c r="C881" s="558" t="s">
        <v>1232</v>
      </c>
      <c r="D881" s="556" t="s">
        <v>4247</v>
      </c>
      <c r="E881" s="17" t="s">
        <v>4319</v>
      </c>
      <c r="F881" s="17">
        <v>15</v>
      </c>
      <c r="G881" s="17">
        <v>4</v>
      </c>
      <c r="H881" s="17" t="s">
        <v>3387</v>
      </c>
      <c r="I881" s="17">
        <v>0</v>
      </c>
      <c r="J881" s="17"/>
      <c r="K881" s="17"/>
      <c r="L881" s="17"/>
      <c r="M881" s="17"/>
      <c r="N881" s="17"/>
      <c r="O881" s="17"/>
      <c r="P881" s="17"/>
      <c r="Q881" s="17"/>
    </row>
    <row r="882" spans="1:17">
      <c r="A882" s="556" t="s">
        <v>3556</v>
      </c>
      <c r="B882" s="557"/>
      <c r="C882" s="558" t="s">
        <v>1232</v>
      </c>
      <c r="D882" s="556" t="s">
        <v>4249</v>
      </c>
      <c r="E882" s="17" t="s">
        <v>4320</v>
      </c>
      <c r="F882" s="17">
        <v>15</v>
      </c>
      <c r="G882" s="17">
        <v>5</v>
      </c>
      <c r="H882" s="17" t="s">
        <v>3388</v>
      </c>
      <c r="I882" s="17">
        <v>0</v>
      </c>
      <c r="J882" s="17"/>
      <c r="K882" s="17"/>
      <c r="L882" s="17"/>
      <c r="M882" s="17"/>
      <c r="N882" s="17"/>
      <c r="O882" s="17"/>
      <c r="P882" s="17"/>
      <c r="Q882" s="17"/>
    </row>
    <row r="883" spans="1:17">
      <c r="A883" s="556" t="s">
        <v>2966</v>
      </c>
      <c r="B883" s="557"/>
      <c r="C883" s="558" t="s">
        <v>2984</v>
      </c>
      <c r="D883" s="556" t="s">
        <v>3683</v>
      </c>
      <c r="E883" s="17" t="s">
        <v>3273</v>
      </c>
      <c r="F883" s="17">
        <v>1</v>
      </c>
      <c r="G883" s="17">
        <v>1</v>
      </c>
      <c r="H883" s="17" t="s">
        <v>2995</v>
      </c>
      <c r="I883" s="17"/>
      <c r="J883" s="17"/>
      <c r="K883" s="17"/>
      <c r="L883" s="17"/>
      <c r="M883" s="17"/>
      <c r="N883" s="17"/>
      <c r="O883" s="17"/>
      <c r="P883" s="17"/>
      <c r="Q883" s="17"/>
    </row>
    <row r="884" spans="1:17">
      <c r="A884" s="556" t="s">
        <v>2966</v>
      </c>
      <c r="B884" s="557"/>
      <c r="C884" s="558" t="s">
        <v>2985</v>
      </c>
      <c r="D884" s="556" t="s">
        <v>3683</v>
      </c>
      <c r="E884" s="17" t="s">
        <v>3274</v>
      </c>
      <c r="F884" s="17">
        <f>ROW('NOTE 3E'!A14)-ROW('NOTE 3E'!A9)+1</f>
        <v>6</v>
      </c>
      <c r="G884" s="17">
        <v>1</v>
      </c>
      <c r="H884" s="17" t="s">
        <v>3702</v>
      </c>
      <c r="I884" s="17"/>
      <c r="J884" s="17"/>
      <c r="K884" s="17"/>
      <c r="L884" s="17"/>
      <c r="M884" s="17"/>
      <c r="N884" s="17"/>
      <c r="O884" s="17"/>
      <c r="P884" s="17"/>
      <c r="Q884" s="17"/>
    </row>
    <row r="885" spans="1:17">
      <c r="A885" s="556" t="s">
        <v>2966</v>
      </c>
      <c r="B885" s="557"/>
      <c r="C885" s="558" t="s">
        <v>2986</v>
      </c>
      <c r="D885" s="556" t="s">
        <v>3683</v>
      </c>
      <c r="E885" s="17" t="s">
        <v>3275</v>
      </c>
      <c r="F885" s="17">
        <f>ROW('NOTE 3E'!A16)-ROW('NOTE 3E'!A9)+1</f>
        <v>8</v>
      </c>
      <c r="G885" s="17">
        <v>1</v>
      </c>
      <c r="H885" s="17" t="s">
        <v>7812</v>
      </c>
      <c r="I885" s="17"/>
      <c r="J885" s="17"/>
      <c r="K885" s="17"/>
      <c r="L885" s="17"/>
      <c r="M885" s="17"/>
      <c r="N885" s="17"/>
      <c r="O885" s="17"/>
      <c r="P885" s="17"/>
      <c r="Q885" s="17"/>
    </row>
    <row r="886" spans="1:17">
      <c r="A886" s="556" t="s">
        <v>2967</v>
      </c>
      <c r="B886" s="557"/>
      <c r="C886" s="558" t="s">
        <v>4321</v>
      </c>
      <c r="D886" s="556" t="s">
        <v>2535</v>
      </c>
      <c r="E886" s="17" t="s">
        <v>3337</v>
      </c>
      <c r="F886" s="17">
        <v>1</v>
      </c>
      <c r="G886" s="17">
        <v>1</v>
      </c>
      <c r="H886" s="17" t="s">
        <v>3327</v>
      </c>
      <c r="I886" s="84"/>
      <c r="J886" s="17"/>
      <c r="K886" s="17"/>
      <c r="L886" s="17"/>
      <c r="M886" s="17"/>
      <c r="N886" s="17"/>
      <c r="O886" s="17"/>
      <c r="P886" s="17"/>
      <c r="Q886" s="17"/>
    </row>
    <row r="887" spans="1:17">
      <c r="A887" s="556" t="s">
        <v>9255</v>
      </c>
      <c r="B887" s="557"/>
      <c r="C887" s="558" t="s">
        <v>9273</v>
      </c>
      <c r="D887" s="556" t="s">
        <v>9274</v>
      </c>
      <c r="E887" s="559" t="s">
        <v>9275</v>
      </c>
      <c r="F887" s="17">
        <v>1</v>
      </c>
      <c r="G887" s="17">
        <v>1</v>
      </c>
      <c r="H887" s="564" t="s">
        <v>3339</v>
      </c>
      <c r="I887" s="567">
        <v>0</v>
      </c>
      <c r="J887" s="17"/>
      <c r="K887" s="17"/>
      <c r="L887" s="17"/>
      <c r="M887" s="17"/>
      <c r="N887" s="17"/>
      <c r="O887" s="17"/>
      <c r="P887" s="17"/>
      <c r="Q887" s="17"/>
    </row>
    <row r="888" spans="1:17">
      <c r="A888" s="556" t="s">
        <v>9255</v>
      </c>
      <c r="B888" s="557"/>
      <c r="C888" s="558" t="s">
        <v>9273</v>
      </c>
      <c r="D888" s="556" t="s">
        <v>1687</v>
      </c>
      <c r="E888" s="559" t="s">
        <v>9276</v>
      </c>
      <c r="F888" s="17">
        <v>1</v>
      </c>
      <c r="G888" s="17">
        <v>2</v>
      </c>
      <c r="H888" s="564" t="s">
        <v>3340</v>
      </c>
      <c r="I888" s="567">
        <v>0</v>
      </c>
      <c r="J888" s="17"/>
      <c r="K888" s="17"/>
      <c r="L888" s="17"/>
      <c r="M888" s="17"/>
      <c r="N888" s="17"/>
      <c r="O888" s="17"/>
      <c r="P888" s="17"/>
      <c r="Q888" s="17"/>
    </row>
    <row r="889" spans="1:17">
      <c r="A889" s="556" t="s">
        <v>9255</v>
      </c>
      <c r="B889" s="557"/>
      <c r="C889" s="558" t="s">
        <v>9273</v>
      </c>
      <c r="D889" s="556" t="s">
        <v>1137</v>
      </c>
      <c r="E889" s="559" t="s">
        <v>9277</v>
      </c>
      <c r="F889" s="17">
        <v>1</v>
      </c>
      <c r="G889" s="17">
        <v>3</v>
      </c>
      <c r="H889" s="564" t="s">
        <v>3341</v>
      </c>
      <c r="I889" s="567">
        <v>0</v>
      </c>
      <c r="J889" s="17"/>
      <c r="K889" s="17"/>
      <c r="L889" s="17"/>
      <c r="M889" s="17"/>
      <c r="N889" s="17"/>
      <c r="O889" s="17"/>
      <c r="P889" s="17"/>
      <c r="Q889" s="17"/>
    </row>
    <row r="890" spans="1:17">
      <c r="A890" s="556" t="s">
        <v>9255</v>
      </c>
      <c r="B890" s="557"/>
      <c r="C890" s="558" t="s">
        <v>9273</v>
      </c>
      <c r="D890" s="556" t="s">
        <v>2997</v>
      </c>
      <c r="E890" s="559" t="s">
        <v>9278</v>
      </c>
      <c r="F890" s="17">
        <v>1</v>
      </c>
      <c r="G890" s="17">
        <v>4</v>
      </c>
      <c r="H890" s="564" t="s">
        <v>3342</v>
      </c>
      <c r="I890" s="567">
        <v>0</v>
      </c>
      <c r="J890" s="17"/>
      <c r="K890" s="17"/>
      <c r="L890" s="17"/>
      <c r="M890" s="17"/>
      <c r="N890" s="17"/>
      <c r="O890" s="17"/>
      <c r="P890" s="17"/>
      <c r="Q890" s="17"/>
    </row>
    <row r="891" spans="1:17">
      <c r="A891" s="556" t="s">
        <v>3558</v>
      </c>
      <c r="B891" s="557"/>
      <c r="C891" s="558" t="s">
        <v>1174</v>
      </c>
      <c r="D891" s="556" t="s">
        <v>1693</v>
      </c>
      <c r="E891" s="17" t="s">
        <v>4322</v>
      </c>
      <c r="F891" s="17">
        <v>1</v>
      </c>
      <c r="G891" s="17">
        <v>1</v>
      </c>
      <c r="H891" s="17" t="s">
        <v>3692</v>
      </c>
      <c r="I891" s="17"/>
      <c r="J891" s="17"/>
      <c r="K891" s="17"/>
      <c r="L891" s="17"/>
      <c r="M891" s="17"/>
      <c r="N891" s="17"/>
      <c r="O891" s="17"/>
      <c r="P891" s="17"/>
      <c r="Q891" s="17"/>
    </row>
    <row r="892" spans="1:17">
      <c r="A892" s="556" t="s">
        <v>3558</v>
      </c>
      <c r="B892" s="557"/>
      <c r="C892" s="558" t="s">
        <v>1174</v>
      </c>
      <c r="D892" s="556" t="s">
        <v>1694</v>
      </c>
      <c r="E892" s="17" t="s">
        <v>4323</v>
      </c>
      <c r="F892" s="17">
        <v>1</v>
      </c>
      <c r="G892" s="17">
        <v>2</v>
      </c>
      <c r="H892" s="17" t="s">
        <v>3701</v>
      </c>
      <c r="I892" s="17"/>
      <c r="J892" s="17"/>
      <c r="K892" s="17"/>
      <c r="L892" s="17"/>
      <c r="M892" s="17"/>
      <c r="N892" s="17"/>
      <c r="O892" s="17"/>
      <c r="P892" s="17"/>
      <c r="Q892" s="17"/>
    </row>
    <row r="893" spans="1:17">
      <c r="A893" s="556" t="s">
        <v>3558</v>
      </c>
      <c r="B893" s="557"/>
      <c r="C893" s="558" t="s">
        <v>1174</v>
      </c>
      <c r="D893" s="556" t="s">
        <v>4324</v>
      </c>
      <c r="E893" s="17" t="s">
        <v>4325</v>
      </c>
      <c r="F893" s="17">
        <v>1</v>
      </c>
      <c r="G893" s="17">
        <v>3</v>
      </c>
      <c r="H893" s="17" t="s">
        <v>3714</v>
      </c>
      <c r="I893" s="17"/>
      <c r="J893" s="17"/>
      <c r="K893" s="17"/>
      <c r="L893" s="17"/>
      <c r="M893" s="17"/>
      <c r="N893" s="17"/>
      <c r="O893" s="17"/>
      <c r="P893" s="17"/>
      <c r="Q893" s="17"/>
    </row>
    <row r="894" spans="1:17">
      <c r="A894" s="556" t="s">
        <v>3558</v>
      </c>
      <c r="B894" s="557"/>
      <c r="C894" s="558" t="s">
        <v>1174</v>
      </c>
      <c r="D894" s="556" t="s">
        <v>4326</v>
      </c>
      <c r="E894" s="17" t="s">
        <v>4327</v>
      </c>
      <c r="F894" s="17">
        <v>1</v>
      </c>
      <c r="G894" s="17">
        <v>4</v>
      </c>
      <c r="H894" s="17" t="s">
        <v>3720</v>
      </c>
      <c r="I894" s="17"/>
      <c r="J894" s="17"/>
      <c r="K894" s="17"/>
      <c r="L894" s="17"/>
      <c r="M894" s="17"/>
      <c r="N894" s="17"/>
      <c r="O894" s="17"/>
      <c r="P894" s="17"/>
      <c r="Q894" s="17"/>
    </row>
    <row r="895" spans="1:17">
      <c r="A895" s="556" t="s">
        <v>3558</v>
      </c>
      <c r="B895" s="557"/>
      <c r="C895" s="558" t="s">
        <v>1174</v>
      </c>
      <c r="D895" s="556" t="s">
        <v>9326</v>
      </c>
      <c r="E895" s="17" t="s">
        <v>4328</v>
      </c>
      <c r="F895" s="17">
        <v>1</v>
      </c>
      <c r="G895" s="17">
        <v>5</v>
      </c>
      <c r="H895" s="17" t="s">
        <v>3721</v>
      </c>
      <c r="I895" s="17"/>
      <c r="J895" s="17"/>
      <c r="K895" s="17"/>
      <c r="L895" s="17"/>
      <c r="M895" s="17"/>
      <c r="N895" s="17"/>
      <c r="O895" s="17"/>
      <c r="P895" s="17"/>
      <c r="Q895" s="17"/>
    </row>
    <row r="896" spans="1:17">
      <c r="A896" s="556" t="s">
        <v>3558</v>
      </c>
      <c r="B896" s="557"/>
      <c r="C896" s="558" t="s">
        <v>1174</v>
      </c>
      <c r="D896" s="556" t="s">
        <v>9327</v>
      </c>
      <c r="E896" s="17" t="s">
        <v>4329</v>
      </c>
      <c r="F896" s="17">
        <v>1</v>
      </c>
      <c r="G896" s="17">
        <v>6</v>
      </c>
      <c r="H896" s="17" t="s">
        <v>7813</v>
      </c>
      <c r="I896" s="17"/>
      <c r="J896" s="17"/>
      <c r="K896" s="17"/>
      <c r="L896" s="17"/>
      <c r="M896" s="17"/>
      <c r="N896" s="17"/>
      <c r="O896" s="17"/>
      <c r="P896" s="17"/>
      <c r="Q896" s="17"/>
    </row>
    <row r="897" spans="1:17">
      <c r="A897" s="556" t="s">
        <v>3558</v>
      </c>
      <c r="B897" s="557"/>
      <c r="C897" s="558" t="s">
        <v>1699</v>
      </c>
      <c r="D897" s="556" t="s">
        <v>1693</v>
      </c>
      <c r="E897" s="17" t="s">
        <v>4330</v>
      </c>
      <c r="F897" s="17">
        <v>2</v>
      </c>
      <c r="G897" s="17">
        <v>1</v>
      </c>
      <c r="H897" s="17" t="s">
        <v>3518</v>
      </c>
      <c r="I897" s="17"/>
      <c r="J897" s="17"/>
      <c r="K897" s="17"/>
      <c r="L897" s="17"/>
      <c r="M897" s="17"/>
      <c r="N897" s="17"/>
      <c r="O897" s="17"/>
      <c r="P897" s="17"/>
      <c r="Q897" s="17"/>
    </row>
    <row r="898" spans="1:17">
      <c r="A898" s="556" t="s">
        <v>3558</v>
      </c>
      <c r="B898" s="557"/>
      <c r="C898" s="558" t="s">
        <v>1699</v>
      </c>
      <c r="D898" s="556" t="s">
        <v>1694</v>
      </c>
      <c r="E898" s="17" t="s">
        <v>4331</v>
      </c>
      <c r="F898" s="17">
        <v>2</v>
      </c>
      <c r="G898" s="17">
        <v>2</v>
      </c>
      <c r="H898" s="17" t="s">
        <v>3519</v>
      </c>
      <c r="I898" s="17"/>
      <c r="J898" s="17"/>
      <c r="K898" s="17"/>
      <c r="L898" s="17"/>
      <c r="M898" s="17"/>
      <c r="N898" s="17"/>
      <c r="O898" s="17"/>
      <c r="P898" s="17"/>
      <c r="Q898" s="17"/>
    </row>
    <row r="899" spans="1:17">
      <c r="A899" s="556" t="s">
        <v>3558</v>
      </c>
      <c r="B899" s="557"/>
      <c r="C899" s="558" t="s">
        <v>1699</v>
      </c>
      <c r="D899" s="556" t="s">
        <v>4324</v>
      </c>
      <c r="E899" s="17" t="s">
        <v>4332</v>
      </c>
      <c r="F899" s="17">
        <v>2</v>
      </c>
      <c r="G899" s="17">
        <v>3</v>
      </c>
      <c r="H899" s="17" t="s">
        <v>3520</v>
      </c>
      <c r="I899" s="17"/>
      <c r="J899" s="17"/>
      <c r="K899" s="17"/>
      <c r="L899" s="17"/>
      <c r="M899" s="17"/>
      <c r="N899" s="17"/>
      <c r="O899" s="17"/>
      <c r="P899" s="17"/>
      <c r="Q899" s="17"/>
    </row>
    <row r="900" spans="1:17">
      <c r="A900" s="556" t="s">
        <v>3558</v>
      </c>
      <c r="B900" s="557"/>
      <c r="C900" s="558" t="s">
        <v>1699</v>
      </c>
      <c r="D900" s="556" t="s">
        <v>4326</v>
      </c>
      <c r="E900" s="17" t="s">
        <v>4333</v>
      </c>
      <c r="F900" s="17">
        <v>2</v>
      </c>
      <c r="G900" s="17">
        <v>4</v>
      </c>
      <c r="H900" s="17" t="s">
        <v>3521</v>
      </c>
      <c r="I900" s="17"/>
      <c r="J900" s="17"/>
      <c r="K900" s="17"/>
      <c r="L900" s="17"/>
      <c r="M900" s="17"/>
      <c r="N900" s="17"/>
      <c r="O900" s="17"/>
      <c r="P900" s="17"/>
      <c r="Q900" s="17"/>
    </row>
    <row r="901" spans="1:17">
      <c r="A901" s="556" t="s">
        <v>3558</v>
      </c>
      <c r="B901" s="557"/>
      <c r="C901" s="558" t="s">
        <v>1699</v>
      </c>
      <c r="D901" s="556" t="s">
        <v>9326</v>
      </c>
      <c r="E901" s="17" t="s">
        <v>4334</v>
      </c>
      <c r="F901" s="17">
        <v>2</v>
      </c>
      <c r="G901" s="17">
        <v>5</v>
      </c>
      <c r="H901" s="17" t="s">
        <v>3505</v>
      </c>
      <c r="I901" s="17"/>
      <c r="J901" s="17"/>
      <c r="K901" s="17"/>
      <c r="L901" s="17"/>
      <c r="M901" s="17"/>
      <c r="N901" s="17"/>
      <c r="O901" s="17"/>
      <c r="P901" s="17"/>
      <c r="Q901" s="17"/>
    </row>
    <row r="902" spans="1:17">
      <c r="A902" s="556" t="s">
        <v>3558</v>
      </c>
      <c r="B902" s="557"/>
      <c r="C902" s="558" t="s">
        <v>1699</v>
      </c>
      <c r="D902" s="556" t="s">
        <v>9327</v>
      </c>
      <c r="E902" s="17" t="s">
        <v>4335</v>
      </c>
      <c r="F902" s="17">
        <v>2</v>
      </c>
      <c r="G902" s="17">
        <v>6</v>
      </c>
      <c r="H902" s="17" t="s">
        <v>3522</v>
      </c>
      <c r="I902" s="17"/>
      <c r="J902" s="17"/>
      <c r="K902" s="17"/>
      <c r="L902" s="17"/>
      <c r="M902" s="17"/>
      <c r="N902" s="17"/>
      <c r="O902" s="17"/>
      <c r="P902" s="17"/>
      <c r="Q902" s="17"/>
    </row>
    <row r="903" spans="1:17">
      <c r="A903" s="556" t="s">
        <v>3558</v>
      </c>
      <c r="B903" s="557"/>
      <c r="C903" s="558" t="s">
        <v>1700</v>
      </c>
      <c r="D903" s="556" t="s">
        <v>1693</v>
      </c>
      <c r="E903" s="17" t="s">
        <v>4336</v>
      </c>
      <c r="F903" s="17">
        <v>3</v>
      </c>
      <c r="G903" s="17">
        <v>1</v>
      </c>
      <c r="H903" s="17" t="s">
        <v>2990</v>
      </c>
      <c r="I903" s="17"/>
      <c r="J903" s="17"/>
      <c r="K903" s="17"/>
      <c r="L903" s="17"/>
      <c r="M903" s="17"/>
      <c r="N903" s="17"/>
      <c r="O903" s="17"/>
      <c r="P903" s="17"/>
      <c r="Q903" s="17"/>
    </row>
    <row r="904" spans="1:17">
      <c r="A904" s="556" t="s">
        <v>3558</v>
      </c>
      <c r="B904" s="557"/>
      <c r="C904" s="558" t="s">
        <v>1700</v>
      </c>
      <c r="D904" s="556" t="s">
        <v>1694</v>
      </c>
      <c r="E904" s="17" t="s">
        <v>4337</v>
      </c>
      <c r="F904" s="17">
        <v>3</v>
      </c>
      <c r="G904" s="17">
        <v>2</v>
      </c>
      <c r="H904" s="17" t="s">
        <v>3338</v>
      </c>
      <c r="I904" s="17"/>
      <c r="J904" s="17"/>
      <c r="K904" s="17"/>
      <c r="L904" s="17"/>
      <c r="M904" s="17"/>
      <c r="N904" s="17"/>
      <c r="O904" s="17"/>
      <c r="P904" s="17"/>
      <c r="Q904" s="17"/>
    </row>
    <row r="905" spans="1:17">
      <c r="A905" s="556" t="s">
        <v>3558</v>
      </c>
      <c r="B905" s="557"/>
      <c r="C905" s="558" t="s">
        <v>1700</v>
      </c>
      <c r="D905" s="556" t="s">
        <v>4324</v>
      </c>
      <c r="E905" s="17" t="s">
        <v>4338</v>
      </c>
      <c r="F905" s="17">
        <v>3</v>
      </c>
      <c r="G905" s="17">
        <v>3</v>
      </c>
      <c r="H905" s="17" t="s">
        <v>2991</v>
      </c>
      <c r="I905" s="17"/>
      <c r="J905" s="17"/>
      <c r="K905" s="17"/>
      <c r="L905" s="17"/>
      <c r="M905" s="17"/>
      <c r="N905" s="17"/>
      <c r="O905" s="17"/>
      <c r="P905" s="17"/>
      <c r="Q905" s="17"/>
    </row>
    <row r="906" spans="1:17">
      <c r="A906" s="556" t="s">
        <v>3558</v>
      </c>
      <c r="B906" s="557"/>
      <c r="C906" s="558" t="s">
        <v>1700</v>
      </c>
      <c r="D906" s="556" t="s">
        <v>4326</v>
      </c>
      <c r="E906" s="17" t="s">
        <v>4339</v>
      </c>
      <c r="F906" s="17">
        <v>3</v>
      </c>
      <c r="G906" s="17">
        <v>4</v>
      </c>
      <c r="H906" s="17" t="s">
        <v>2992</v>
      </c>
      <c r="I906" s="17"/>
      <c r="J906" s="17"/>
      <c r="K906" s="17"/>
      <c r="L906" s="17"/>
      <c r="M906" s="17"/>
      <c r="N906" s="17"/>
      <c r="O906" s="17"/>
      <c r="P906" s="17"/>
      <c r="Q906" s="17"/>
    </row>
    <row r="907" spans="1:17">
      <c r="A907" s="556" t="s">
        <v>3558</v>
      </c>
      <c r="B907" s="557"/>
      <c r="C907" s="558" t="s">
        <v>1700</v>
      </c>
      <c r="D907" s="556" t="s">
        <v>9326</v>
      </c>
      <c r="E907" s="17" t="s">
        <v>4340</v>
      </c>
      <c r="F907" s="17">
        <v>3</v>
      </c>
      <c r="G907" s="17">
        <v>5</v>
      </c>
      <c r="H907" s="17" t="s">
        <v>3450</v>
      </c>
      <c r="I907" s="17"/>
      <c r="J907" s="17"/>
      <c r="K907" s="17"/>
      <c r="L907" s="17"/>
      <c r="M907" s="17"/>
      <c r="N907" s="17"/>
      <c r="O907" s="17"/>
      <c r="P907" s="17"/>
      <c r="Q907" s="17"/>
    </row>
    <row r="908" spans="1:17">
      <c r="A908" s="556" t="s">
        <v>3558</v>
      </c>
      <c r="B908" s="557"/>
      <c r="C908" s="558" t="s">
        <v>1700</v>
      </c>
      <c r="D908" s="556" t="s">
        <v>9327</v>
      </c>
      <c r="E908" s="17" t="s">
        <v>4341</v>
      </c>
      <c r="F908" s="17">
        <v>3</v>
      </c>
      <c r="G908" s="17">
        <v>6</v>
      </c>
      <c r="H908" s="17" t="s">
        <v>7803</v>
      </c>
      <c r="I908" s="17"/>
      <c r="J908" s="17"/>
      <c r="K908" s="17"/>
      <c r="L908" s="17"/>
      <c r="M908" s="17"/>
      <c r="N908" s="17"/>
      <c r="O908" s="17"/>
      <c r="P908" s="17"/>
      <c r="Q908" s="17"/>
    </row>
    <row r="909" spans="1:17">
      <c r="A909" s="556" t="s">
        <v>3558</v>
      </c>
      <c r="B909" s="557"/>
      <c r="C909" s="558" t="s">
        <v>1701</v>
      </c>
      <c r="D909" s="556" t="s">
        <v>1693</v>
      </c>
      <c r="E909" s="17" t="s">
        <v>4342</v>
      </c>
      <c r="F909" s="17">
        <v>4</v>
      </c>
      <c r="G909" s="17">
        <v>1</v>
      </c>
      <c r="H909" s="17" t="s">
        <v>3339</v>
      </c>
      <c r="I909" s="17"/>
      <c r="J909" s="17"/>
      <c r="K909" s="17"/>
      <c r="L909" s="17"/>
      <c r="M909" s="17"/>
      <c r="N909" s="17"/>
      <c r="O909" s="17"/>
      <c r="P909" s="17"/>
      <c r="Q909" s="17"/>
    </row>
    <row r="910" spans="1:17">
      <c r="A910" s="556" t="s">
        <v>3558</v>
      </c>
      <c r="B910" s="557"/>
      <c r="C910" s="558" t="s">
        <v>1701</v>
      </c>
      <c r="D910" s="556" t="s">
        <v>1694</v>
      </c>
      <c r="E910" s="17" t="s">
        <v>4343</v>
      </c>
      <c r="F910" s="17">
        <v>4</v>
      </c>
      <c r="G910" s="17">
        <v>2</v>
      </c>
      <c r="H910" s="17" t="s">
        <v>3340</v>
      </c>
      <c r="I910" s="17"/>
      <c r="J910" s="17"/>
      <c r="K910" s="17"/>
      <c r="L910" s="17"/>
      <c r="M910" s="17"/>
      <c r="N910" s="17"/>
      <c r="O910" s="17"/>
      <c r="P910" s="17"/>
      <c r="Q910" s="17"/>
    </row>
    <row r="911" spans="1:17">
      <c r="A911" s="556" t="s">
        <v>3558</v>
      </c>
      <c r="B911" s="557"/>
      <c r="C911" s="558" t="s">
        <v>1701</v>
      </c>
      <c r="D911" s="556" t="s">
        <v>4324</v>
      </c>
      <c r="E911" s="17" t="s">
        <v>4344</v>
      </c>
      <c r="F911" s="17">
        <v>4</v>
      </c>
      <c r="G911" s="17">
        <v>3</v>
      </c>
      <c r="H911" s="17" t="s">
        <v>3341</v>
      </c>
      <c r="I911" s="17"/>
      <c r="J911" s="17"/>
      <c r="K911" s="17"/>
      <c r="L911" s="17"/>
      <c r="M911" s="17"/>
      <c r="N911" s="17"/>
      <c r="O911" s="17"/>
      <c r="P911" s="17"/>
      <c r="Q911" s="17"/>
    </row>
    <row r="912" spans="1:17">
      <c r="A912" s="556" t="s">
        <v>3558</v>
      </c>
      <c r="B912" s="557"/>
      <c r="C912" s="558" t="s">
        <v>1701</v>
      </c>
      <c r="D912" s="556" t="s">
        <v>4326</v>
      </c>
      <c r="E912" s="17" t="s">
        <v>4345</v>
      </c>
      <c r="F912" s="17">
        <v>4</v>
      </c>
      <c r="G912" s="17">
        <v>4</v>
      </c>
      <c r="H912" s="17" t="s">
        <v>3342</v>
      </c>
      <c r="I912" s="17"/>
      <c r="J912" s="17"/>
      <c r="K912" s="17"/>
      <c r="L912" s="17"/>
      <c r="M912" s="17"/>
      <c r="N912" s="17"/>
      <c r="O912" s="17"/>
      <c r="P912" s="17"/>
      <c r="Q912" s="17"/>
    </row>
    <row r="913" spans="1:17">
      <c r="A913" s="556" t="s">
        <v>3558</v>
      </c>
      <c r="B913" s="557"/>
      <c r="C913" s="558" t="s">
        <v>1701</v>
      </c>
      <c r="D913" s="556" t="s">
        <v>9326</v>
      </c>
      <c r="E913" s="17" t="s">
        <v>4346</v>
      </c>
      <c r="F913" s="17">
        <v>4</v>
      </c>
      <c r="G913" s="17">
        <v>5</v>
      </c>
      <c r="H913" s="17" t="s">
        <v>3451</v>
      </c>
      <c r="I913" s="17"/>
      <c r="J913" s="17"/>
      <c r="K913" s="17"/>
      <c r="L913" s="17"/>
      <c r="M913" s="17"/>
      <c r="N913" s="17"/>
      <c r="O913" s="17"/>
      <c r="P913" s="17"/>
      <c r="Q913" s="17"/>
    </row>
    <row r="914" spans="1:17">
      <c r="A914" s="556" t="s">
        <v>3558</v>
      </c>
      <c r="B914" s="557"/>
      <c r="C914" s="558" t="s">
        <v>1701</v>
      </c>
      <c r="D914" s="556" t="s">
        <v>9327</v>
      </c>
      <c r="E914" s="17" t="s">
        <v>4347</v>
      </c>
      <c r="F914" s="17">
        <v>4</v>
      </c>
      <c r="G914" s="17">
        <v>6</v>
      </c>
      <c r="H914" s="17" t="s">
        <v>7804</v>
      </c>
      <c r="I914" s="17"/>
      <c r="J914" s="17"/>
      <c r="K914" s="17"/>
      <c r="L914" s="17"/>
      <c r="M914" s="17"/>
      <c r="N914" s="17"/>
      <c r="O914" s="17"/>
      <c r="P914" s="17"/>
      <c r="Q914" s="17"/>
    </row>
    <row r="915" spans="1:17">
      <c r="A915" s="556" t="s">
        <v>3558</v>
      </c>
      <c r="B915" s="557"/>
      <c r="C915" s="558" t="s">
        <v>1702</v>
      </c>
      <c r="D915" s="556" t="s">
        <v>1693</v>
      </c>
      <c r="E915" s="17" t="s">
        <v>4348</v>
      </c>
      <c r="F915" s="17">
        <v>5</v>
      </c>
      <c r="G915" s="17">
        <v>1</v>
      </c>
      <c r="H915" s="17" t="s">
        <v>3343</v>
      </c>
      <c r="I915" s="17"/>
      <c r="J915" s="17"/>
      <c r="K915" s="17"/>
      <c r="L915" s="17"/>
      <c r="M915" s="17"/>
      <c r="N915" s="17"/>
      <c r="O915" s="17"/>
      <c r="P915" s="17"/>
      <c r="Q915" s="17"/>
    </row>
    <row r="916" spans="1:17">
      <c r="A916" s="556" t="s">
        <v>3558</v>
      </c>
      <c r="B916" s="557"/>
      <c r="C916" s="558" t="s">
        <v>1702</v>
      </c>
      <c r="D916" s="556" t="s">
        <v>1694</v>
      </c>
      <c r="E916" s="17" t="s">
        <v>4349</v>
      </c>
      <c r="F916" s="17">
        <v>5</v>
      </c>
      <c r="G916" s="17">
        <v>2</v>
      </c>
      <c r="H916" s="17" t="s">
        <v>3344</v>
      </c>
      <c r="I916" s="17"/>
      <c r="J916" s="17"/>
      <c r="K916" s="17"/>
      <c r="L916" s="17"/>
      <c r="M916" s="17"/>
      <c r="N916" s="17"/>
      <c r="O916" s="17"/>
      <c r="P916" s="17"/>
      <c r="Q916" s="17"/>
    </row>
    <row r="917" spans="1:17">
      <c r="A917" s="556" t="s">
        <v>3558</v>
      </c>
      <c r="B917" s="557"/>
      <c r="C917" s="558" t="s">
        <v>1702</v>
      </c>
      <c r="D917" s="556" t="s">
        <v>4324</v>
      </c>
      <c r="E917" s="17" t="s">
        <v>4350</v>
      </c>
      <c r="F917" s="17">
        <v>5</v>
      </c>
      <c r="G917" s="17">
        <v>3</v>
      </c>
      <c r="H917" s="17" t="s">
        <v>3345</v>
      </c>
      <c r="I917" s="17"/>
      <c r="J917" s="17"/>
      <c r="K917" s="17"/>
      <c r="L917" s="17"/>
      <c r="M917" s="17"/>
      <c r="N917" s="17"/>
      <c r="O917" s="17"/>
      <c r="P917" s="17"/>
      <c r="Q917" s="17"/>
    </row>
    <row r="918" spans="1:17">
      <c r="A918" s="556" t="s">
        <v>3558</v>
      </c>
      <c r="B918" s="557"/>
      <c r="C918" s="558" t="s">
        <v>1702</v>
      </c>
      <c r="D918" s="556" t="s">
        <v>4326</v>
      </c>
      <c r="E918" s="17" t="s">
        <v>4351</v>
      </c>
      <c r="F918" s="17">
        <v>5</v>
      </c>
      <c r="G918" s="17">
        <v>4</v>
      </c>
      <c r="H918" s="17" t="s">
        <v>3346</v>
      </c>
      <c r="I918" s="17"/>
      <c r="J918" s="17"/>
      <c r="K918" s="17"/>
      <c r="L918" s="17"/>
      <c r="M918" s="17"/>
      <c r="N918" s="17"/>
      <c r="O918" s="17"/>
      <c r="P918" s="17"/>
      <c r="Q918" s="17"/>
    </row>
    <row r="919" spans="1:17">
      <c r="A919" s="556" t="s">
        <v>3558</v>
      </c>
      <c r="B919" s="557"/>
      <c r="C919" s="558" t="s">
        <v>1702</v>
      </c>
      <c r="D919" s="556" t="s">
        <v>9326</v>
      </c>
      <c r="E919" s="17" t="s">
        <v>4352</v>
      </c>
      <c r="F919" s="17">
        <v>5</v>
      </c>
      <c r="G919" s="17">
        <v>5</v>
      </c>
      <c r="H919" s="17" t="s">
        <v>3452</v>
      </c>
      <c r="I919" s="17"/>
      <c r="J919" s="17"/>
      <c r="K919" s="17"/>
      <c r="L919" s="17"/>
      <c r="M919" s="17"/>
      <c r="N919" s="17"/>
      <c r="O919" s="17"/>
      <c r="P919" s="17"/>
      <c r="Q919" s="17"/>
    </row>
    <row r="920" spans="1:17">
      <c r="A920" s="556" t="s">
        <v>3558</v>
      </c>
      <c r="B920" s="557"/>
      <c r="C920" s="558" t="s">
        <v>1702</v>
      </c>
      <c r="D920" s="556" t="s">
        <v>9327</v>
      </c>
      <c r="E920" s="17" t="s">
        <v>4353</v>
      </c>
      <c r="F920" s="17">
        <v>5</v>
      </c>
      <c r="G920" s="17">
        <v>6</v>
      </c>
      <c r="H920" s="17" t="s">
        <v>7805</v>
      </c>
      <c r="I920" s="17"/>
      <c r="J920" s="17"/>
      <c r="K920" s="17"/>
      <c r="L920" s="17"/>
      <c r="M920" s="17"/>
      <c r="N920" s="17"/>
      <c r="O920" s="17"/>
      <c r="P920" s="17"/>
      <c r="Q920" s="17"/>
    </row>
    <row r="921" spans="1:17">
      <c r="A921" s="556" t="s">
        <v>3558</v>
      </c>
      <c r="B921" s="557"/>
      <c r="C921" s="558" t="s">
        <v>1703</v>
      </c>
      <c r="D921" s="556" t="s">
        <v>1693</v>
      </c>
      <c r="E921" s="17" t="s">
        <v>4354</v>
      </c>
      <c r="F921" s="17">
        <v>6</v>
      </c>
      <c r="G921" s="17">
        <v>1</v>
      </c>
      <c r="H921" s="17" t="s">
        <v>3347</v>
      </c>
      <c r="I921" s="17"/>
      <c r="J921" s="17"/>
      <c r="K921" s="17"/>
      <c r="L921" s="17"/>
      <c r="M921" s="17"/>
      <c r="N921" s="17"/>
      <c r="O921" s="17"/>
      <c r="P921" s="17"/>
      <c r="Q921" s="17"/>
    </row>
    <row r="922" spans="1:17">
      <c r="A922" s="556" t="s">
        <v>3558</v>
      </c>
      <c r="B922" s="557"/>
      <c r="C922" s="558" t="s">
        <v>1703</v>
      </c>
      <c r="D922" s="556" t="s">
        <v>1694</v>
      </c>
      <c r="E922" s="17" t="s">
        <v>4355</v>
      </c>
      <c r="F922" s="17">
        <v>6</v>
      </c>
      <c r="G922" s="17">
        <v>2</v>
      </c>
      <c r="H922" s="17" t="s">
        <v>3348</v>
      </c>
      <c r="I922" s="17"/>
      <c r="J922" s="17"/>
      <c r="K922" s="17"/>
      <c r="L922" s="17"/>
      <c r="M922" s="17"/>
      <c r="N922" s="17"/>
      <c r="O922" s="17"/>
      <c r="P922" s="17"/>
      <c r="Q922" s="17"/>
    </row>
    <row r="923" spans="1:17">
      <c r="A923" s="556" t="s">
        <v>3558</v>
      </c>
      <c r="B923" s="557"/>
      <c r="C923" s="558" t="s">
        <v>1703</v>
      </c>
      <c r="D923" s="556" t="s">
        <v>4324</v>
      </c>
      <c r="E923" s="17" t="s">
        <v>4356</v>
      </c>
      <c r="F923" s="17">
        <v>6</v>
      </c>
      <c r="G923" s="17">
        <v>3</v>
      </c>
      <c r="H923" s="17" t="s">
        <v>3349</v>
      </c>
      <c r="I923" s="17"/>
      <c r="J923" s="17"/>
      <c r="K923" s="17"/>
      <c r="L923" s="17"/>
      <c r="M923" s="17"/>
      <c r="N923" s="17"/>
      <c r="O923" s="17"/>
      <c r="P923" s="17"/>
      <c r="Q923" s="17"/>
    </row>
    <row r="924" spans="1:17">
      <c r="A924" s="556" t="s">
        <v>3558</v>
      </c>
      <c r="B924" s="557"/>
      <c r="C924" s="558" t="s">
        <v>1703</v>
      </c>
      <c r="D924" s="556" t="s">
        <v>4326</v>
      </c>
      <c r="E924" s="17" t="s">
        <v>4357</v>
      </c>
      <c r="F924" s="17">
        <v>6</v>
      </c>
      <c r="G924" s="17">
        <v>4</v>
      </c>
      <c r="H924" s="17" t="s">
        <v>3350</v>
      </c>
      <c r="I924" s="17"/>
      <c r="J924" s="17"/>
      <c r="K924" s="17"/>
      <c r="L924" s="17"/>
      <c r="M924" s="17"/>
      <c r="N924" s="17"/>
      <c r="O924" s="17"/>
      <c r="P924" s="17"/>
      <c r="Q924" s="17"/>
    </row>
    <row r="925" spans="1:17">
      <c r="A925" s="556" t="s">
        <v>3558</v>
      </c>
      <c r="B925" s="557"/>
      <c r="C925" s="558" t="s">
        <v>1703</v>
      </c>
      <c r="D925" s="556" t="s">
        <v>9326</v>
      </c>
      <c r="E925" s="17" t="s">
        <v>4358</v>
      </c>
      <c r="F925" s="17">
        <v>6</v>
      </c>
      <c r="G925" s="17">
        <v>5</v>
      </c>
      <c r="H925" s="17" t="s">
        <v>3453</v>
      </c>
      <c r="I925" s="17"/>
      <c r="J925" s="17"/>
      <c r="K925" s="17"/>
      <c r="L925" s="17"/>
      <c r="M925" s="17"/>
      <c r="N925" s="17"/>
      <c r="O925" s="17"/>
      <c r="P925" s="17"/>
      <c r="Q925" s="17"/>
    </row>
    <row r="926" spans="1:17">
      <c r="A926" s="556" t="s">
        <v>3558</v>
      </c>
      <c r="B926" s="557"/>
      <c r="C926" s="558" t="s">
        <v>1703</v>
      </c>
      <c r="D926" s="556" t="s">
        <v>9327</v>
      </c>
      <c r="E926" s="17" t="s">
        <v>4359</v>
      </c>
      <c r="F926" s="17">
        <v>6</v>
      </c>
      <c r="G926" s="17">
        <v>6</v>
      </c>
      <c r="H926" s="17" t="s">
        <v>7807</v>
      </c>
      <c r="I926" s="17"/>
      <c r="J926" s="17"/>
      <c r="K926" s="17"/>
      <c r="L926" s="17"/>
      <c r="M926" s="17"/>
      <c r="N926" s="17"/>
      <c r="O926" s="17"/>
      <c r="P926" s="17"/>
      <c r="Q926" s="17"/>
    </row>
    <row r="927" spans="1:17">
      <c r="A927" s="556" t="s">
        <v>3558</v>
      </c>
      <c r="B927" s="557"/>
      <c r="C927" s="558" t="s">
        <v>1704</v>
      </c>
      <c r="D927" s="556" t="s">
        <v>1693</v>
      </c>
      <c r="E927" s="17" t="s">
        <v>4360</v>
      </c>
      <c r="F927" s="17">
        <v>7</v>
      </c>
      <c r="G927" s="17">
        <v>1</v>
      </c>
      <c r="H927" s="17" t="s">
        <v>3351</v>
      </c>
      <c r="I927" s="17"/>
      <c r="J927" s="17"/>
      <c r="K927" s="17"/>
      <c r="L927" s="17"/>
      <c r="M927" s="17"/>
      <c r="N927" s="17"/>
      <c r="O927" s="17"/>
      <c r="P927" s="17"/>
      <c r="Q927" s="17"/>
    </row>
    <row r="928" spans="1:17">
      <c r="A928" s="556" t="s">
        <v>3558</v>
      </c>
      <c r="B928" s="557"/>
      <c r="C928" s="558" t="s">
        <v>1704</v>
      </c>
      <c r="D928" s="556" t="s">
        <v>1694</v>
      </c>
      <c r="E928" s="17" t="s">
        <v>4361</v>
      </c>
      <c r="F928" s="17">
        <v>7</v>
      </c>
      <c r="G928" s="17">
        <v>2</v>
      </c>
      <c r="H928" s="17" t="s">
        <v>3352</v>
      </c>
      <c r="I928" s="17"/>
      <c r="J928" s="17"/>
      <c r="K928" s="17"/>
      <c r="L928" s="17"/>
      <c r="M928" s="17"/>
      <c r="N928" s="17"/>
      <c r="O928" s="17"/>
      <c r="P928" s="17"/>
      <c r="Q928" s="17"/>
    </row>
    <row r="929" spans="1:17">
      <c r="A929" s="556" t="s">
        <v>3558</v>
      </c>
      <c r="B929" s="557"/>
      <c r="C929" s="558" t="s">
        <v>1704</v>
      </c>
      <c r="D929" s="556" t="s">
        <v>4324</v>
      </c>
      <c r="E929" s="17" t="s">
        <v>4362</v>
      </c>
      <c r="F929" s="17">
        <v>7</v>
      </c>
      <c r="G929" s="17">
        <v>3</v>
      </c>
      <c r="H929" s="17" t="s">
        <v>3353</v>
      </c>
      <c r="I929" s="17"/>
      <c r="J929" s="17"/>
      <c r="K929" s="17"/>
      <c r="L929" s="17"/>
      <c r="M929" s="17"/>
      <c r="N929" s="17"/>
      <c r="O929" s="17"/>
      <c r="P929" s="17"/>
      <c r="Q929" s="17"/>
    </row>
    <row r="930" spans="1:17">
      <c r="A930" s="556" t="s">
        <v>3558</v>
      </c>
      <c r="B930" s="557"/>
      <c r="C930" s="558" t="s">
        <v>1704</v>
      </c>
      <c r="D930" s="556" t="s">
        <v>4326</v>
      </c>
      <c r="E930" s="17" t="s">
        <v>4363</v>
      </c>
      <c r="F930" s="17">
        <v>7</v>
      </c>
      <c r="G930" s="17">
        <v>4</v>
      </c>
      <c r="H930" s="17" t="s">
        <v>3354</v>
      </c>
      <c r="I930" s="17"/>
      <c r="J930" s="17"/>
      <c r="K930" s="17"/>
      <c r="L930" s="17"/>
      <c r="M930" s="17"/>
      <c r="N930" s="17"/>
      <c r="O930" s="17"/>
      <c r="P930" s="17"/>
      <c r="Q930" s="17"/>
    </row>
    <row r="931" spans="1:17">
      <c r="A931" s="556" t="s">
        <v>3558</v>
      </c>
      <c r="B931" s="557"/>
      <c r="C931" s="558" t="s">
        <v>1704</v>
      </c>
      <c r="D931" s="556" t="s">
        <v>9326</v>
      </c>
      <c r="E931" s="17" t="s">
        <v>4364</v>
      </c>
      <c r="F931" s="17">
        <v>7</v>
      </c>
      <c r="G931" s="17">
        <v>5</v>
      </c>
      <c r="H931" s="17" t="s">
        <v>3454</v>
      </c>
      <c r="I931" s="17"/>
      <c r="J931" s="17"/>
      <c r="K931" s="17"/>
      <c r="L931" s="17"/>
      <c r="M931" s="17"/>
      <c r="N931" s="17"/>
      <c r="O931" s="17"/>
      <c r="P931" s="17"/>
      <c r="Q931" s="17"/>
    </row>
    <row r="932" spans="1:17">
      <c r="A932" s="556" t="s">
        <v>3558</v>
      </c>
      <c r="B932" s="557"/>
      <c r="C932" s="558" t="s">
        <v>1704</v>
      </c>
      <c r="D932" s="556" t="s">
        <v>9327</v>
      </c>
      <c r="E932" s="17" t="s">
        <v>4365</v>
      </c>
      <c r="F932" s="17">
        <v>7</v>
      </c>
      <c r="G932" s="17">
        <v>6</v>
      </c>
      <c r="H932" s="17" t="s">
        <v>7809</v>
      </c>
      <c r="I932" s="17"/>
      <c r="J932" s="17"/>
      <c r="K932" s="17"/>
      <c r="L932" s="17"/>
      <c r="M932" s="17"/>
      <c r="N932" s="17"/>
      <c r="O932" s="17"/>
      <c r="P932" s="17"/>
      <c r="Q932" s="17"/>
    </row>
    <row r="933" spans="1:17">
      <c r="A933" s="556" t="s">
        <v>3558</v>
      </c>
      <c r="B933" s="557"/>
      <c r="C933" s="558" t="s">
        <v>1705</v>
      </c>
      <c r="D933" s="556" t="s">
        <v>1693</v>
      </c>
      <c r="E933" s="17" t="s">
        <v>4366</v>
      </c>
      <c r="F933" s="17">
        <v>8</v>
      </c>
      <c r="G933" s="17">
        <v>1</v>
      </c>
      <c r="H933" s="17" t="s">
        <v>3355</v>
      </c>
      <c r="I933" s="17"/>
      <c r="J933" s="17"/>
      <c r="K933" s="17"/>
      <c r="L933" s="17"/>
      <c r="M933" s="17"/>
      <c r="N933" s="17"/>
      <c r="O933" s="17"/>
      <c r="P933" s="17"/>
      <c r="Q933" s="17"/>
    </row>
    <row r="934" spans="1:17">
      <c r="A934" s="556" t="s">
        <v>3558</v>
      </c>
      <c r="B934" s="557"/>
      <c r="C934" s="558" t="s">
        <v>1705</v>
      </c>
      <c r="D934" s="556" t="s">
        <v>1694</v>
      </c>
      <c r="E934" s="17" t="s">
        <v>4367</v>
      </c>
      <c r="F934" s="17">
        <v>8</v>
      </c>
      <c r="G934" s="17">
        <v>2</v>
      </c>
      <c r="H934" s="17" t="s">
        <v>3356</v>
      </c>
      <c r="I934" s="17"/>
      <c r="J934" s="17"/>
      <c r="K934" s="17"/>
      <c r="L934" s="17"/>
      <c r="M934" s="17"/>
      <c r="N934" s="17"/>
      <c r="O934" s="17"/>
      <c r="P934" s="17"/>
      <c r="Q934" s="17"/>
    </row>
    <row r="935" spans="1:17">
      <c r="A935" s="556" t="s">
        <v>3558</v>
      </c>
      <c r="B935" s="557"/>
      <c r="C935" s="558" t="s">
        <v>1705</v>
      </c>
      <c r="D935" s="556" t="s">
        <v>4324</v>
      </c>
      <c r="E935" s="17" t="s">
        <v>4368</v>
      </c>
      <c r="F935" s="17">
        <v>8</v>
      </c>
      <c r="G935" s="17">
        <v>3</v>
      </c>
      <c r="H935" s="17" t="s">
        <v>3357</v>
      </c>
      <c r="I935" s="17"/>
      <c r="J935" s="17"/>
      <c r="K935" s="17"/>
      <c r="L935" s="17"/>
      <c r="M935" s="17"/>
      <c r="N935" s="17"/>
      <c r="O935" s="17"/>
      <c r="P935" s="17"/>
      <c r="Q935" s="17"/>
    </row>
    <row r="936" spans="1:17">
      <c r="A936" s="556" t="s">
        <v>3558</v>
      </c>
      <c r="B936" s="557"/>
      <c r="C936" s="558" t="s">
        <v>1705</v>
      </c>
      <c r="D936" s="556" t="s">
        <v>4326</v>
      </c>
      <c r="E936" s="17" t="s">
        <v>4369</v>
      </c>
      <c r="F936" s="17">
        <v>8</v>
      </c>
      <c r="G936" s="17">
        <v>4</v>
      </c>
      <c r="H936" s="17" t="s">
        <v>3358</v>
      </c>
      <c r="I936" s="17"/>
      <c r="J936" s="17"/>
      <c r="K936" s="17"/>
      <c r="L936" s="17"/>
      <c r="M936" s="17"/>
      <c r="N936" s="17"/>
      <c r="O936" s="17"/>
      <c r="P936" s="17"/>
      <c r="Q936" s="17"/>
    </row>
    <row r="937" spans="1:17">
      <c r="A937" s="556" t="s">
        <v>3558</v>
      </c>
      <c r="B937" s="557"/>
      <c r="C937" s="558" t="s">
        <v>1705</v>
      </c>
      <c r="D937" s="556" t="s">
        <v>9326</v>
      </c>
      <c r="E937" s="17" t="s">
        <v>4370</v>
      </c>
      <c r="F937" s="17">
        <v>8</v>
      </c>
      <c r="G937" s="17">
        <v>5</v>
      </c>
      <c r="H937" s="17" t="s">
        <v>3455</v>
      </c>
      <c r="I937" s="17"/>
      <c r="J937" s="17"/>
      <c r="K937" s="17"/>
      <c r="L937" s="17"/>
      <c r="M937" s="17"/>
      <c r="N937" s="17"/>
      <c r="O937" s="17"/>
      <c r="P937" s="17"/>
      <c r="Q937" s="17"/>
    </row>
    <row r="938" spans="1:17">
      <c r="A938" s="556" t="s">
        <v>3558</v>
      </c>
      <c r="B938" s="557"/>
      <c r="C938" s="558" t="s">
        <v>1705</v>
      </c>
      <c r="D938" s="556" t="s">
        <v>9327</v>
      </c>
      <c r="E938" s="17" t="s">
        <v>4371</v>
      </c>
      <c r="F938" s="17">
        <v>8</v>
      </c>
      <c r="G938" s="17">
        <v>6</v>
      </c>
      <c r="H938" s="17" t="s">
        <v>7814</v>
      </c>
      <c r="I938" s="17"/>
      <c r="J938" s="17"/>
      <c r="K938" s="17"/>
      <c r="L938" s="17"/>
      <c r="M938" s="17"/>
      <c r="N938" s="17"/>
      <c r="O938" s="17"/>
      <c r="P938" s="17"/>
      <c r="Q938" s="17"/>
    </row>
    <row r="939" spans="1:17">
      <c r="A939" s="556" t="s">
        <v>3558</v>
      </c>
      <c r="B939" s="557"/>
      <c r="C939" s="558" t="s">
        <v>1706</v>
      </c>
      <c r="D939" s="556" t="s">
        <v>1693</v>
      </c>
      <c r="E939" s="17" t="s">
        <v>4372</v>
      </c>
      <c r="F939" s="17">
        <v>9</v>
      </c>
      <c r="G939" s="17">
        <v>1</v>
      </c>
      <c r="H939" s="17" t="s">
        <v>3359</v>
      </c>
      <c r="I939" s="17"/>
      <c r="J939" s="17"/>
      <c r="K939" s="17"/>
      <c r="L939" s="17"/>
      <c r="M939" s="17"/>
      <c r="N939" s="17"/>
      <c r="O939" s="17"/>
      <c r="P939" s="17"/>
      <c r="Q939" s="17"/>
    </row>
    <row r="940" spans="1:17">
      <c r="A940" s="556" t="s">
        <v>3558</v>
      </c>
      <c r="B940" s="557"/>
      <c r="C940" s="558" t="s">
        <v>1706</v>
      </c>
      <c r="D940" s="556" t="s">
        <v>1694</v>
      </c>
      <c r="E940" s="17" t="s">
        <v>4373</v>
      </c>
      <c r="F940" s="17">
        <v>9</v>
      </c>
      <c r="G940" s="17">
        <v>2</v>
      </c>
      <c r="H940" s="17" t="s">
        <v>3360</v>
      </c>
      <c r="I940" s="17"/>
      <c r="J940" s="17"/>
      <c r="K940" s="17"/>
      <c r="L940" s="17"/>
      <c r="M940" s="17"/>
      <c r="N940" s="17"/>
      <c r="O940" s="17"/>
      <c r="P940" s="17"/>
      <c r="Q940" s="17"/>
    </row>
    <row r="941" spans="1:17">
      <c r="A941" s="556" t="s">
        <v>3558</v>
      </c>
      <c r="B941" s="557"/>
      <c r="C941" s="558" t="s">
        <v>1706</v>
      </c>
      <c r="D941" s="556" t="s">
        <v>4324</v>
      </c>
      <c r="E941" s="17" t="s">
        <v>4374</v>
      </c>
      <c r="F941" s="17">
        <v>9</v>
      </c>
      <c r="G941" s="17">
        <v>3</v>
      </c>
      <c r="H941" s="17" t="s">
        <v>3327</v>
      </c>
      <c r="I941" s="17"/>
      <c r="J941" s="17"/>
      <c r="K941" s="17"/>
      <c r="L941" s="17"/>
      <c r="M941" s="17"/>
      <c r="N941" s="17"/>
      <c r="O941" s="17"/>
      <c r="P941" s="17"/>
      <c r="Q941" s="17"/>
    </row>
    <row r="942" spans="1:17">
      <c r="A942" s="556" t="s">
        <v>3558</v>
      </c>
      <c r="B942" s="557"/>
      <c r="C942" s="558" t="s">
        <v>1706</v>
      </c>
      <c r="D942" s="556" t="s">
        <v>4326</v>
      </c>
      <c r="E942" s="17" t="s">
        <v>4375</v>
      </c>
      <c r="F942" s="17">
        <v>9</v>
      </c>
      <c r="G942" s="17">
        <v>4</v>
      </c>
      <c r="H942" s="17" t="s">
        <v>3361</v>
      </c>
      <c r="I942" s="17"/>
      <c r="J942" s="17"/>
      <c r="K942" s="17"/>
      <c r="L942" s="17"/>
      <c r="M942" s="17"/>
      <c r="N942" s="17"/>
      <c r="O942" s="17"/>
      <c r="P942" s="17"/>
      <c r="Q942" s="17"/>
    </row>
    <row r="943" spans="1:17">
      <c r="A943" s="556" t="s">
        <v>3558</v>
      </c>
      <c r="B943" s="557"/>
      <c r="C943" s="558" t="s">
        <v>1706</v>
      </c>
      <c r="D943" s="556" t="s">
        <v>9326</v>
      </c>
      <c r="E943" s="17" t="s">
        <v>4376</v>
      </c>
      <c r="F943" s="17">
        <v>9</v>
      </c>
      <c r="G943" s="17">
        <v>5</v>
      </c>
      <c r="H943" s="17" t="s">
        <v>3456</v>
      </c>
      <c r="I943" s="17"/>
      <c r="J943" s="17"/>
      <c r="K943" s="17"/>
      <c r="L943" s="17"/>
      <c r="M943" s="17"/>
      <c r="N943" s="17"/>
      <c r="O943" s="17"/>
      <c r="P943" s="17"/>
      <c r="Q943" s="17"/>
    </row>
    <row r="944" spans="1:17">
      <c r="A944" s="556" t="s">
        <v>3558</v>
      </c>
      <c r="B944" s="557"/>
      <c r="C944" s="558" t="s">
        <v>1706</v>
      </c>
      <c r="D944" s="556" t="s">
        <v>9327</v>
      </c>
      <c r="E944" s="17" t="s">
        <v>4377</v>
      </c>
      <c r="F944" s="17">
        <v>9</v>
      </c>
      <c r="G944" s="17">
        <v>6</v>
      </c>
      <c r="H944" s="17" t="s">
        <v>7815</v>
      </c>
      <c r="I944" s="17"/>
      <c r="J944" s="17"/>
      <c r="K944" s="17"/>
      <c r="L944" s="17"/>
      <c r="M944" s="17"/>
      <c r="N944" s="17"/>
      <c r="O944" s="17"/>
      <c r="P944" s="17"/>
      <c r="Q944" s="17"/>
    </row>
    <row r="945" spans="1:17">
      <c r="A945" s="556" t="s">
        <v>3558</v>
      </c>
      <c r="B945" s="557"/>
      <c r="C945" s="558" t="s">
        <v>1707</v>
      </c>
      <c r="D945" s="556" t="s">
        <v>1693</v>
      </c>
      <c r="E945" s="17" t="s">
        <v>4378</v>
      </c>
      <c r="F945" s="17">
        <v>10</v>
      </c>
      <c r="G945" s="17">
        <v>1</v>
      </c>
      <c r="H945" s="17" t="s">
        <v>3362</v>
      </c>
      <c r="I945" s="17">
        <v>0</v>
      </c>
      <c r="J945" s="17"/>
      <c r="K945" s="17"/>
      <c r="L945" s="17"/>
      <c r="M945" s="17"/>
      <c r="N945" s="17"/>
      <c r="O945" s="17"/>
      <c r="P945" s="17"/>
      <c r="Q945" s="17"/>
    </row>
    <row r="946" spans="1:17">
      <c r="A946" s="556" t="s">
        <v>3558</v>
      </c>
      <c r="B946" s="557"/>
      <c r="C946" s="558" t="s">
        <v>1707</v>
      </c>
      <c r="D946" s="556" t="s">
        <v>1694</v>
      </c>
      <c r="E946" s="17" t="s">
        <v>4379</v>
      </c>
      <c r="F946" s="17">
        <v>10</v>
      </c>
      <c r="G946" s="17">
        <v>2</v>
      </c>
      <c r="H946" s="17" t="s">
        <v>3363</v>
      </c>
      <c r="I946" s="17">
        <v>0</v>
      </c>
      <c r="J946" s="17"/>
      <c r="K946" s="17"/>
      <c r="L946" s="17"/>
      <c r="M946" s="17"/>
      <c r="N946" s="17"/>
      <c r="O946" s="17"/>
      <c r="P946" s="17"/>
      <c r="Q946" s="17"/>
    </row>
    <row r="947" spans="1:17">
      <c r="A947" s="556" t="s">
        <v>3558</v>
      </c>
      <c r="B947" s="557"/>
      <c r="C947" s="558" t="s">
        <v>1707</v>
      </c>
      <c r="D947" s="556" t="s">
        <v>4324</v>
      </c>
      <c r="E947" s="17" t="s">
        <v>4380</v>
      </c>
      <c r="F947" s="17">
        <v>10</v>
      </c>
      <c r="G947" s="17">
        <v>3</v>
      </c>
      <c r="H947" s="17" t="s">
        <v>3364</v>
      </c>
      <c r="I947" s="17"/>
      <c r="J947" s="17"/>
      <c r="K947" s="17"/>
      <c r="L947" s="17"/>
      <c r="M947" s="17"/>
      <c r="N947" s="17"/>
      <c r="O947" s="17"/>
      <c r="P947" s="17"/>
      <c r="Q947" s="17"/>
    </row>
    <row r="948" spans="1:17">
      <c r="A948" s="556" t="s">
        <v>3558</v>
      </c>
      <c r="B948" s="557"/>
      <c r="C948" s="558" t="s">
        <v>1707</v>
      </c>
      <c r="D948" s="556" t="s">
        <v>4326</v>
      </c>
      <c r="E948" s="17" t="s">
        <v>4381</v>
      </c>
      <c r="F948" s="17">
        <v>10</v>
      </c>
      <c r="G948" s="17">
        <v>4</v>
      </c>
      <c r="H948" s="17" t="s">
        <v>3365</v>
      </c>
      <c r="I948" s="17">
        <v>0</v>
      </c>
      <c r="J948" s="17"/>
      <c r="K948" s="17"/>
      <c r="L948" s="17"/>
      <c r="M948" s="17"/>
      <c r="N948" s="17"/>
      <c r="O948" s="17"/>
      <c r="P948" s="17"/>
      <c r="Q948" s="17"/>
    </row>
    <row r="949" spans="1:17">
      <c r="A949" s="556" t="s">
        <v>3558</v>
      </c>
      <c r="B949" s="557"/>
      <c r="C949" s="558" t="s">
        <v>1707</v>
      </c>
      <c r="D949" s="556" t="s">
        <v>9326</v>
      </c>
      <c r="E949" s="17" t="s">
        <v>4382</v>
      </c>
      <c r="F949" s="17">
        <v>10</v>
      </c>
      <c r="G949" s="17">
        <v>5</v>
      </c>
      <c r="H949" s="17" t="s">
        <v>3457</v>
      </c>
      <c r="I949" s="17">
        <v>0</v>
      </c>
      <c r="J949" s="17"/>
      <c r="K949" s="17"/>
      <c r="L949" s="17"/>
      <c r="M949" s="17"/>
      <c r="N949" s="17"/>
      <c r="O949" s="17"/>
      <c r="P949" s="17"/>
      <c r="Q949" s="17"/>
    </row>
    <row r="950" spans="1:17">
      <c r="A950" s="556" t="s">
        <v>3558</v>
      </c>
      <c r="B950" s="557"/>
      <c r="C950" s="558" t="s">
        <v>1707</v>
      </c>
      <c r="D950" s="556" t="s">
        <v>9327</v>
      </c>
      <c r="E950" s="17" t="s">
        <v>4383</v>
      </c>
      <c r="F950" s="17">
        <v>10</v>
      </c>
      <c r="G950" s="17">
        <v>6</v>
      </c>
      <c r="H950" s="17" t="s">
        <v>7816</v>
      </c>
      <c r="I950" s="17">
        <v>0</v>
      </c>
      <c r="J950" s="17"/>
      <c r="K950" s="17"/>
      <c r="L950" s="17"/>
      <c r="M950" s="17"/>
      <c r="N950" s="17"/>
      <c r="O950" s="17"/>
      <c r="P950" s="17"/>
      <c r="Q950" s="17"/>
    </row>
    <row r="951" spans="1:17">
      <c r="A951" s="556" t="s">
        <v>3558</v>
      </c>
      <c r="B951" s="557"/>
      <c r="C951" s="558" t="s">
        <v>1708</v>
      </c>
      <c r="D951" s="556" t="s">
        <v>1693</v>
      </c>
      <c r="E951" s="17" t="s">
        <v>4384</v>
      </c>
      <c r="F951" s="17">
        <v>11</v>
      </c>
      <c r="G951" s="17">
        <v>1</v>
      </c>
      <c r="H951" s="17" t="s">
        <v>3366</v>
      </c>
      <c r="I951" s="17"/>
      <c r="J951" s="17"/>
      <c r="K951" s="17"/>
      <c r="L951" s="17"/>
      <c r="M951" s="17"/>
      <c r="N951" s="17"/>
      <c r="O951" s="17"/>
      <c r="P951" s="17"/>
      <c r="Q951" s="17"/>
    </row>
    <row r="952" spans="1:17">
      <c r="A952" s="556" t="s">
        <v>3558</v>
      </c>
      <c r="B952" s="557"/>
      <c r="C952" s="558" t="s">
        <v>1708</v>
      </c>
      <c r="D952" s="556" t="s">
        <v>1694</v>
      </c>
      <c r="E952" s="17" t="s">
        <v>4385</v>
      </c>
      <c r="F952" s="17">
        <v>11</v>
      </c>
      <c r="G952" s="17">
        <v>2</v>
      </c>
      <c r="H952" s="17" t="s">
        <v>3367</v>
      </c>
      <c r="I952" s="17"/>
      <c r="J952" s="17"/>
      <c r="K952" s="17"/>
      <c r="L952" s="17"/>
      <c r="M952" s="17"/>
      <c r="N952" s="17"/>
      <c r="O952" s="17"/>
      <c r="P952" s="17"/>
      <c r="Q952" s="17"/>
    </row>
    <row r="953" spans="1:17">
      <c r="A953" s="556" t="s">
        <v>3558</v>
      </c>
      <c r="B953" s="557"/>
      <c r="C953" s="558" t="s">
        <v>1708</v>
      </c>
      <c r="D953" s="556" t="s">
        <v>4324</v>
      </c>
      <c r="E953" s="17" t="s">
        <v>4386</v>
      </c>
      <c r="F953" s="17">
        <v>11</v>
      </c>
      <c r="G953" s="17">
        <v>3</v>
      </c>
      <c r="H953" s="17" t="s">
        <v>3368</v>
      </c>
      <c r="I953" s="17"/>
      <c r="J953" s="17"/>
      <c r="K953" s="17"/>
      <c r="L953" s="17"/>
      <c r="M953" s="17"/>
      <c r="N953" s="17"/>
      <c r="O953" s="17"/>
      <c r="P953" s="17"/>
      <c r="Q953" s="17"/>
    </row>
    <row r="954" spans="1:17">
      <c r="A954" s="556" t="s">
        <v>3558</v>
      </c>
      <c r="B954" s="557"/>
      <c r="C954" s="558" t="s">
        <v>1709</v>
      </c>
      <c r="D954" s="556" t="s">
        <v>1693</v>
      </c>
      <c r="E954" s="17" t="s">
        <v>4387</v>
      </c>
      <c r="F954" s="17">
        <v>12</v>
      </c>
      <c r="G954" s="17">
        <v>1</v>
      </c>
      <c r="H954" s="17" t="s">
        <v>3370</v>
      </c>
      <c r="I954" s="17"/>
      <c r="J954" s="17"/>
      <c r="K954" s="17"/>
      <c r="L954" s="17"/>
      <c r="M954" s="17"/>
      <c r="N954" s="17"/>
      <c r="O954" s="17"/>
      <c r="P954" s="17"/>
      <c r="Q954" s="17"/>
    </row>
    <row r="955" spans="1:17">
      <c r="A955" s="556" t="s">
        <v>3558</v>
      </c>
      <c r="B955" s="557"/>
      <c r="C955" s="558" t="s">
        <v>1709</v>
      </c>
      <c r="D955" s="556" t="s">
        <v>1694</v>
      </c>
      <c r="E955" s="17" t="s">
        <v>4388</v>
      </c>
      <c r="F955" s="17">
        <v>12</v>
      </c>
      <c r="G955" s="17">
        <v>2</v>
      </c>
      <c r="H955" s="17" t="s">
        <v>3371</v>
      </c>
      <c r="I955" s="17"/>
      <c r="J955" s="17"/>
      <c r="K955" s="17"/>
      <c r="L955" s="17"/>
      <c r="M955" s="17"/>
      <c r="N955" s="17"/>
      <c r="O955" s="17"/>
      <c r="P955" s="17"/>
      <c r="Q955" s="17"/>
    </row>
    <row r="956" spans="1:17">
      <c r="A956" s="556" t="s">
        <v>3558</v>
      </c>
      <c r="B956" s="557"/>
      <c r="C956" s="558" t="s">
        <v>1709</v>
      </c>
      <c r="D956" s="556" t="s">
        <v>4324</v>
      </c>
      <c r="E956" s="17" t="s">
        <v>4389</v>
      </c>
      <c r="F956" s="17">
        <v>12</v>
      </c>
      <c r="G956" s="17">
        <v>3</v>
      </c>
      <c r="H956" s="17" t="s">
        <v>3372</v>
      </c>
      <c r="I956" s="17"/>
      <c r="J956" s="17"/>
      <c r="K956" s="17"/>
      <c r="L956" s="17"/>
      <c r="M956" s="17"/>
      <c r="N956" s="17"/>
      <c r="O956" s="17"/>
      <c r="P956" s="17"/>
      <c r="Q956" s="17"/>
    </row>
    <row r="957" spans="1:17">
      <c r="A957" s="556" t="s">
        <v>3558</v>
      </c>
      <c r="B957" s="557"/>
      <c r="C957" s="558" t="s">
        <v>1710</v>
      </c>
      <c r="D957" s="556" t="s">
        <v>1693</v>
      </c>
      <c r="E957" s="17" t="s">
        <v>4390</v>
      </c>
      <c r="F957" s="17">
        <v>13</v>
      </c>
      <c r="G957" s="17">
        <v>1</v>
      </c>
      <c r="H957" s="17" t="s">
        <v>3374</v>
      </c>
      <c r="I957" s="17">
        <v>0</v>
      </c>
      <c r="J957" s="17"/>
      <c r="K957" s="17"/>
      <c r="L957" s="17"/>
      <c r="M957" s="17"/>
      <c r="N957" s="17"/>
      <c r="O957" s="17"/>
      <c r="P957" s="17"/>
      <c r="Q957" s="17"/>
    </row>
    <row r="958" spans="1:17">
      <c r="A958" s="556" t="s">
        <v>3558</v>
      </c>
      <c r="B958" s="557"/>
      <c r="C958" s="558" t="s">
        <v>1710</v>
      </c>
      <c r="D958" s="556" t="s">
        <v>1694</v>
      </c>
      <c r="E958" s="17" t="s">
        <v>4391</v>
      </c>
      <c r="F958" s="17">
        <v>13</v>
      </c>
      <c r="G958" s="17">
        <v>2</v>
      </c>
      <c r="H958" s="17" t="s">
        <v>3375</v>
      </c>
      <c r="I958" s="17">
        <v>0</v>
      </c>
      <c r="J958" s="17"/>
      <c r="K958" s="17"/>
      <c r="L958" s="17"/>
      <c r="M958" s="17"/>
      <c r="N958" s="17"/>
      <c r="O958" s="17"/>
      <c r="P958" s="17"/>
      <c r="Q958" s="17"/>
    </row>
    <row r="959" spans="1:17">
      <c r="A959" s="556" t="s">
        <v>3558</v>
      </c>
      <c r="B959" s="557"/>
      <c r="C959" s="558" t="s">
        <v>1710</v>
      </c>
      <c r="D959" s="556" t="s">
        <v>4324</v>
      </c>
      <c r="E959" s="17" t="s">
        <v>4392</v>
      </c>
      <c r="F959" s="17">
        <v>13</v>
      </c>
      <c r="G959" s="17">
        <v>3</v>
      </c>
      <c r="H959" s="17" t="s">
        <v>3376</v>
      </c>
      <c r="I959" s="17"/>
      <c r="J959" s="17"/>
      <c r="K959" s="17"/>
      <c r="L959" s="17"/>
      <c r="M959" s="17"/>
      <c r="N959" s="17"/>
      <c r="O959" s="17"/>
      <c r="P959" s="17"/>
      <c r="Q959" s="17"/>
    </row>
    <row r="960" spans="1:17">
      <c r="A960" s="556" t="s">
        <v>3562</v>
      </c>
      <c r="B960" s="557"/>
      <c r="C960" s="558" t="s">
        <v>1732</v>
      </c>
      <c r="D960" s="556" t="s">
        <v>1693</v>
      </c>
      <c r="E960" s="17" t="s">
        <v>4393</v>
      </c>
      <c r="F960" s="17">
        <v>1</v>
      </c>
      <c r="G960" s="17">
        <v>1</v>
      </c>
      <c r="H960" s="17" t="s">
        <v>3517</v>
      </c>
      <c r="I960" s="17"/>
      <c r="J960" s="17"/>
      <c r="K960" s="17"/>
      <c r="L960" s="17"/>
      <c r="M960" s="17"/>
      <c r="N960" s="17"/>
      <c r="O960" s="17"/>
      <c r="P960" s="17"/>
      <c r="Q960" s="17"/>
    </row>
    <row r="961" spans="1:17">
      <c r="A961" s="556" t="s">
        <v>3562</v>
      </c>
      <c r="B961" s="557"/>
      <c r="C961" s="558" t="s">
        <v>1732</v>
      </c>
      <c r="D961" s="556" t="s">
        <v>1694</v>
      </c>
      <c r="E961" s="17" t="s">
        <v>4394</v>
      </c>
      <c r="F961" s="17">
        <v>1</v>
      </c>
      <c r="G961" s="17">
        <v>3</v>
      </c>
      <c r="H961" s="17" t="s">
        <v>3519</v>
      </c>
      <c r="I961" s="17"/>
      <c r="J961" s="17"/>
      <c r="K961" s="17"/>
      <c r="L961" s="17"/>
      <c r="M961" s="17"/>
      <c r="N961" s="17"/>
      <c r="O961" s="17"/>
      <c r="P961" s="17"/>
      <c r="Q961" s="17"/>
    </row>
    <row r="962" spans="1:17">
      <c r="A962" s="556" t="s">
        <v>3562</v>
      </c>
      <c r="B962" s="557"/>
      <c r="C962" s="558" t="s">
        <v>1732</v>
      </c>
      <c r="D962" s="556" t="s">
        <v>4324</v>
      </c>
      <c r="E962" s="17" t="s">
        <v>4395</v>
      </c>
      <c r="F962" s="17">
        <v>1</v>
      </c>
      <c r="G962" s="17">
        <v>5</v>
      </c>
      <c r="H962" s="17" t="s">
        <v>3521</v>
      </c>
      <c r="I962" s="17"/>
      <c r="J962" s="17"/>
      <c r="K962" s="17"/>
      <c r="L962" s="17"/>
      <c r="M962" s="17"/>
      <c r="N962" s="17"/>
      <c r="O962" s="17"/>
      <c r="P962" s="17"/>
      <c r="Q962" s="17"/>
    </row>
    <row r="963" spans="1:17">
      <c r="A963" s="556" t="s">
        <v>3562</v>
      </c>
      <c r="B963" s="557"/>
      <c r="C963" s="558" t="s">
        <v>1733</v>
      </c>
      <c r="D963" s="556" t="s">
        <v>1693</v>
      </c>
      <c r="E963" s="17" t="s">
        <v>4396</v>
      </c>
      <c r="F963" s="17">
        <v>2</v>
      </c>
      <c r="G963" s="17">
        <v>1</v>
      </c>
      <c r="H963" s="17" t="s">
        <v>3326</v>
      </c>
      <c r="I963" s="17"/>
      <c r="J963" s="17"/>
      <c r="K963" s="17"/>
      <c r="L963" s="17"/>
      <c r="M963" s="17"/>
      <c r="N963" s="17"/>
      <c r="O963" s="17"/>
      <c r="P963" s="17"/>
      <c r="Q963" s="17"/>
    </row>
    <row r="964" spans="1:17">
      <c r="A964" s="556" t="s">
        <v>3562</v>
      </c>
      <c r="B964" s="557"/>
      <c r="C964" s="558" t="s">
        <v>1733</v>
      </c>
      <c r="D964" s="556" t="s">
        <v>1694</v>
      </c>
      <c r="E964" s="17" t="s">
        <v>4397</v>
      </c>
      <c r="F964" s="17">
        <v>2</v>
      </c>
      <c r="G964" s="17">
        <v>3</v>
      </c>
      <c r="H964" s="17" t="s">
        <v>3338</v>
      </c>
      <c r="I964" s="17"/>
      <c r="J964" s="17"/>
      <c r="K964" s="17"/>
      <c r="L964" s="17"/>
      <c r="M964" s="17"/>
      <c r="N964" s="17"/>
      <c r="O964" s="17"/>
      <c r="P964" s="17"/>
      <c r="Q964" s="17"/>
    </row>
    <row r="965" spans="1:17">
      <c r="A965" s="556" t="s">
        <v>3562</v>
      </c>
      <c r="B965" s="557"/>
      <c r="C965" s="558" t="s">
        <v>1733</v>
      </c>
      <c r="D965" s="556" t="s">
        <v>4324</v>
      </c>
      <c r="E965" s="17" t="s">
        <v>4398</v>
      </c>
      <c r="F965" s="17">
        <v>2</v>
      </c>
      <c r="G965" s="17">
        <v>5</v>
      </c>
      <c r="H965" s="17" t="s">
        <v>2992</v>
      </c>
      <c r="I965" s="17"/>
      <c r="J965" s="17"/>
      <c r="K965" s="17"/>
      <c r="L965" s="17"/>
      <c r="M965" s="17"/>
      <c r="N965" s="17"/>
      <c r="O965" s="17"/>
      <c r="P965" s="17"/>
      <c r="Q965" s="17"/>
    </row>
    <row r="966" spans="1:17">
      <c r="A966" s="556" t="s">
        <v>3562</v>
      </c>
      <c r="B966" s="557"/>
      <c r="C966" s="558" t="s">
        <v>1707</v>
      </c>
      <c r="D966" s="556" t="s">
        <v>1693</v>
      </c>
      <c r="E966" s="17" t="s">
        <v>4399</v>
      </c>
      <c r="F966" s="17">
        <v>3</v>
      </c>
      <c r="G966" s="17">
        <v>1</v>
      </c>
      <c r="H966" s="17" t="s">
        <v>3525</v>
      </c>
      <c r="I966" s="17">
        <v>0</v>
      </c>
      <c r="J966" s="17"/>
      <c r="K966" s="17"/>
      <c r="L966" s="17"/>
      <c r="M966" s="17"/>
      <c r="N966" s="17"/>
      <c r="O966" s="17"/>
      <c r="P966" s="17"/>
      <c r="Q966" s="17"/>
    </row>
    <row r="967" spans="1:17">
      <c r="A967" s="556" t="s">
        <v>3562</v>
      </c>
      <c r="B967" s="557"/>
      <c r="C967" s="558" t="s">
        <v>1707</v>
      </c>
      <c r="D967" s="556" t="s">
        <v>1694</v>
      </c>
      <c r="E967" s="17" t="s">
        <v>4400</v>
      </c>
      <c r="F967" s="17">
        <v>3</v>
      </c>
      <c r="G967" s="17">
        <v>3</v>
      </c>
      <c r="H967" s="17" t="s">
        <v>3340</v>
      </c>
      <c r="I967" s="17">
        <v>0</v>
      </c>
      <c r="J967" s="17"/>
      <c r="K967" s="17"/>
      <c r="L967" s="17"/>
      <c r="M967" s="17"/>
      <c r="N967" s="17"/>
      <c r="O967" s="17"/>
      <c r="P967" s="17"/>
      <c r="Q967" s="17"/>
    </row>
    <row r="968" spans="1:17">
      <c r="A968" s="556" t="s">
        <v>3562</v>
      </c>
      <c r="B968" s="557"/>
      <c r="C968" s="558" t="s">
        <v>1707</v>
      </c>
      <c r="D968" s="556" t="s">
        <v>4324</v>
      </c>
      <c r="E968" s="17" t="s">
        <v>4401</v>
      </c>
      <c r="F968" s="17">
        <v>3</v>
      </c>
      <c r="G968" s="17">
        <v>5</v>
      </c>
      <c r="H968" s="17" t="s">
        <v>3342</v>
      </c>
      <c r="I968" s="17"/>
      <c r="J968" s="17"/>
      <c r="K968" s="17"/>
      <c r="L968" s="17"/>
      <c r="M968" s="17"/>
      <c r="N968" s="17"/>
      <c r="O968" s="17"/>
      <c r="P968" s="17"/>
      <c r="Q968" s="17"/>
    </row>
    <row r="969" spans="1:17">
      <c r="A969" s="556" t="s">
        <v>3562</v>
      </c>
      <c r="B969" s="557"/>
      <c r="C969" s="558" t="s">
        <v>1734</v>
      </c>
      <c r="D969" s="556" t="s">
        <v>1693</v>
      </c>
      <c r="E969" s="17" t="s">
        <v>4402</v>
      </c>
      <c r="F969" s="17">
        <v>4</v>
      </c>
      <c r="G969" s="17">
        <v>1</v>
      </c>
      <c r="H969" s="17" t="s">
        <v>3697</v>
      </c>
      <c r="I969" s="17"/>
      <c r="J969" s="17"/>
      <c r="K969" s="17"/>
      <c r="L969" s="17"/>
      <c r="M969" s="17"/>
      <c r="N969" s="17"/>
      <c r="O969" s="17"/>
      <c r="P969" s="17"/>
      <c r="Q969" s="17"/>
    </row>
    <row r="970" spans="1:17">
      <c r="A970" s="556" t="s">
        <v>3562</v>
      </c>
      <c r="B970" s="557"/>
      <c r="C970" s="558" t="s">
        <v>1734</v>
      </c>
      <c r="D970" s="556" t="s">
        <v>1694</v>
      </c>
      <c r="E970" s="17" t="s">
        <v>4403</v>
      </c>
      <c r="F970" s="17">
        <v>4</v>
      </c>
      <c r="G970" s="17">
        <v>3</v>
      </c>
      <c r="H970" s="17" t="s">
        <v>3344</v>
      </c>
      <c r="I970" s="17"/>
      <c r="J970" s="17"/>
      <c r="K970" s="17"/>
      <c r="L970" s="17"/>
      <c r="M970" s="17"/>
      <c r="N970" s="17"/>
      <c r="O970" s="17"/>
      <c r="P970" s="17"/>
      <c r="Q970" s="17"/>
    </row>
    <row r="971" spans="1:17">
      <c r="A971" s="556" t="s">
        <v>3562</v>
      </c>
      <c r="B971" s="557"/>
      <c r="C971" s="558" t="s">
        <v>1734</v>
      </c>
      <c r="D971" s="556" t="s">
        <v>4324</v>
      </c>
      <c r="E971" s="17" t="s">
        <v>4404</v>
      </c>
      <c r="F971" s="17">
        <v>4</v>
      </c>
      <c r="G971" s="17">
        <v>5</v>
      </c>
      <c r="H971" s="17" t="s">
        <v>3346</v>
      </c>
      <c r="I971" s="17"/>
      <c r="J971" s="17"/>
      <c r="K971" s="17"/>
      <c r="L971" s="17"/>
      <c r="M971" s="17"/>
      <c r="N971" s="17"/>
      <c r="O971" s="17"/>
      <c r="P971" s="17"/>
      <c r="Q971" s="17"/>
    </row>
    <row r="972" spans="1:17">
      <c r="A972" s="556" t="s">
        <v>3562</v>
      </c>
      <c r="B972" s="557"/>
      <c r="C972" s="558" t="s">
        <v>1735</v>
      </c>
      <c r="D972" s="556" t="s">
        <v>1693</v>
      </c>
      <c r="E972" s="17" t="s">
        <v>4405</v>
      </c>
      <c r="F972" s="17">
        <v>5</v>
      </c>
      <c r="G972" s="17">
        <v>1</v>
      </c>
      <c r="H972" s="17" t="s">
        <v>7772</v>
      </c>
      <c r="I972" s="17">
        <v>0</v>
      </c>
      <c r="J972" s="17"/>
      <c r="K972" s="17"/>
      <c r="L972" s="17"/>
      <c r="M972" s="17"/>
      <c r="N972" s="17"/>
      <c r="O972" s="17"/>
      <c r="P972" s="17"/>
      <c r="Q972" s="17"/>
    </row>
    <row r="973" spans="1:17">
      <c r="A973" s="556" t="s">
        <v>3562</v>
      </c>
      <c r="B973" s="557"/>
      <c r="C973" s="558" t="s">
        <v>1735</v>
      </c>
      <c r="D973" s="556" t="s">
        <v>1694</v>
      </c>
      <c r="E973" s="17" t="s">
        <v>4406</v>
      </c>
      <c r="F973" s="17">
        <v>5</v>
      </c>
      <c r="G973" s="17">
        <v>3</v>
      </c>
      <c r="H973" s="17" t="s">
        <v>3348</v>
      </c>
      <c r="I973" s="17">
        <v>0</v>
      </c>
      <c r="J973" s="17"/>
      <c r="K973" s="17"/>
      <c r="L973" s="17"/>
      <c r="M973" s="17"/>
      <c r="N973" s="17"/>
      <c r="O973" s="17"/>
      <c r="P973" s="17"/>
      <c r="Q973" s="17"/>
    </row>
    <row r="974" spans="1:17">
      <c r="A974" s="556" t="s">
        <v>3562</v>
      </c>
      <c r="B974" s="557"/>
      <c r="C974" s="558" t="s">
        <v>1735</v>
      </c>
      <c r="D974" s="556" t="s">
        <v>4324</v>
      </c>
      <c r="E974" s="17" t="s">
        <v>4407</v>
      </c>
      <c r="F974" s="17">
        <v>5</v>
      </c>
      <c r="G974" s="17">
        <v>5</v>
      </c>
      <c r="H974" s="17" t="s">
        <v>3350</v>
      </c>
      <c r="I974" s="17"/>
      <c r="J974" s="17"/>
      <c r="K974" s="17"/>
      <c r="L974" s="17"/>
      <c r="M974" s="17"/>
      <c r="N974" s="17"/>
      <c r="O974" s="17"/>
      <c r="P974" s="17"/>
      <c r="Q974" s="17"/>
    </row>
    <row r="975" spans="1:17">
      <c r="A975" s="556" t="s">
        <v>3564</v>
      </c>
      <c r="B975" s="557"/>
      <c r="C975" s="558" t="s">
        <v>1740</v>
      </c>
      <c r="D975" s="556" t="s">
        <v>1693</v>
      </c>
      <c r="E975" s="17" t="s">
        <v>4408</v>
      </c>
      <c r="F975" s="17">
        <v>1</v>
      </c>
      <c r="G975" s="17">
        <v>1</v>
      </c>
      <c r="H975" s="17" t="s">
        <v>3695</v>
      </c>
      <c r="I975" s="17"/>
      <c r="J975" s="17"/>
      <c r="K975" s="17"/>
      <c r="L975" s="17"/>
      <c r="M975" s="17"/>
      <c r="N975" s="17"/>
      <c r="O975" s="17"/>
      <c r="P975" s="17"/>
      <c r="Q975" s="17"/>
    </row>
    <row r="976" spans="1:17">
      <c r="A976" s="556" t="s">
        <v>3564</v>
      </c>
      <c r="B976" s="557"/>
      <c r="C976" s="558" t="s">
        <v>1740</v>
      </c>
      <c r="D976" s="556" t="s">
        <v>1694</v>
      </c>
      <c r="E976" s="17" t="s">
        <v>4409</v>
      </c>
      <c r="F976" s="17">
        <v>1</v>
      </c>
      <c r="G976" s="17">
        <v>3</v>
      </c>
      <c r="H976" s="17" t="s">
        <v>3379</v>
      </c>
      <c r="I976" s="17"/>
      <c r="J976" s="17"/>
      <c r="K976" s="17"/>
      <c r="L976" s="17"/>
      <c r="M976" s="17"/>
      <c r="N976" s="17"/>
      <c r="O976" s="17"/>
      <c r="P976" s="17"/>
      <c r="Q976" s="17"/>
    </row>
    <row r="977" spans="1:17">
      <c r="A977" s="556" t="s">
        <v>3564</v>
      </c>
      <c r="B977" s="557"/>
      <c r="C977" s="558" t="s">
        <v>1740</v>
      </c>
      <c r="D977" s="556" t="s">
        <v>4324</v>
      </c>
      <c r="E977" s="17" t="s">
        <v>4410</v>
      </c>
      <c r="F977" s="17">
        <v>1</v>
      </c>
      <c r="G977" s="17">
        <v>5</v>
      </c>
      <c r="H977" s="17" t="s">
        <v>3381</v>
      </c>
      <c r="I977" s="17"/>
      <c r="J977" s="17"/>
      <c r="K977" s="17"/>
      <c r="L977" s="17"/>
      <c r="M977" s="17"/>
      <c r="N977" s="17"/>
      <c r="O977" s="17"/>
      <c r="P977" s="17"/>
      <c r="Q977" s="17"/>
    </row>
    <row r="978" spans="1:17">
      <c r="A978" s="556" t="s">
        <v>3564</v>
      </c>
      <c r="B978" s="557"/>
      <c r="C978" s="558" t="s">
        <v>1741</v>
      </c>
      <c r="D978" s="556" t="s">
        <v>1693</v>
      </c>
      <c r="E978" s="17" t="s">
        <v>4411</v>
      </c>
      <c r="F978" s="17">
        <v>2</v>
      </c>
      <c r="G978" s="17">
        <v>1</v>
      </c>
      <c r="H978" s="17" t="s">
        <v>7788</v>
      </c>
      <c r="I978" s="17"/>
      <c r="J978" s="17"/>
      <c r="K978" s="17"/>
      <c r="L978" s="17"/>
      <c r="M978" s="17"/>
      <c r="N978" s="17"/>
      <c r="O978" s="17"/>
      <c r="P978" s="17"/>
      <c r="Q978" s="17"/>
    </row>
    <row r="979" spans="1:17">
      <c r="A979" s="556" t="s">
        <v>3564</v>
      </c>
      <c r="B979" s="557"/>
      <c r="C979" s="558" t="s">
        <v>1741</v>
      </c>
      <c r="D979" s="556" t="s">
        <v>1694</v>
      </c>
      <c r="E979" s="17" t="s">
        <v>4412</v>
      </c>
      <c r="F979" s="17">
        <v>2</v>
      </c>
      <c r="G979" s="17">
        <v>3</v>
      </c>
      <c r="H979" s="17" t="s">
        <v>3383</v>
      </c>
      <c r="I979" s="17"/>
      <c r="J979" s="17"/>
      <c r="K979" s="17"/>
      <c r="L979" s="17"/>
      <c r="M979" s="17"/>
      <c r="N979" s="17"/>
      <c r="O979" s="17"/>
      <c r="P979" s="17"/>
      <c r="Q979" s="17"/>
    </row>
    <row r="980" spans="1:17">
      <c r="A980" s="556" t="s">
        <v>3564</v>
      </c>
      <c r="B980" s="557"/>
      <c r="C980" s="558" t="s">
        <v>1741</v>
      </c>
      <c r="D980" s="556" t="s">
        <v>4324</v>
      </c>
      <c r="E980" s="17" t="s">
        <v>4413</v>
      </c>
      <c r="F980" s="17">
        <v>2</v>
      </c>
      <c r="G980" s="17">
        <v>5</v>
      </c>
      <c r="H980" s="17" t="s">
        <v>3385</v>
      </c>
      <c r="I980" s="17"/>
      <c r="J980" s="17"/>
      <c r="K980" s="17"/>
      <c r="L980" s="17"/>
      <c r="M980" s="17"/>
      <c r="N980" s="17"/>
      <c r="O980" s="17"/>
      <c r="P980" s="17"/>
      <c r="Q980" s="17"/>
    </row>
    <row r="981" spans="1:17">
      <c r="A981" s="556" t="s">
        <v>3564</v>
      </c>
      <c r="B981" s="557"/>
      <c r="C981" s="558" t="s">
        <v>4414</v>
      </c>
      <c r="D981" s="556" t="s">
        <v>1693</v>
      </c>
      <c r="E981" s="17" t="s">
        <v>4415</v>
      </c>
      <c r="F981" s="17">
        <v>3</v>
      </c>
      <c r="G981" s="17">
        <v>1</v>
      </c>
      <c r="H981" s="17" t="s">
        <v>7790</v>
      </c>
      <c r="I981" s="17"/>
      <c r="J981" s="17"/>
      <c r="K981" s="17"/>
      <c r="L981" s="17"/>
      <c r="M981" s="17"/>
      <c r="N981" s="17"/>
      <c r="O981" s="17"/>
      <c r="P981" s="17"/>
      <c r="Q981" s="17"/>
    </row>
    <row r="982" spans="1:17">
      <c r="A982" s="556" t="s">
        <v>3564</v>
      </c>
      <c r="B982" s="557"/>
      <c r="C982" s="558" t="s">
        <v>4414</v>
      </c>
      <c r="D982" s="556" t="s">
        <v>1694</v>
      </c>
      <c r="E982" s="17" t="s">
        <v>4416</v>
      </c>
      <c r="F982" s="17">
        <v>3</v>
      </c>
      <c r="G982" s="17">
        <v>3</v>
      </c>
      <c r="H982" s="17" t="s">
        <v>3387</v>
      </c>
      <c r="I982" s="17"/>
      <c r="J982" s="17"/>
      <c r="K982" s="17"/>
      <c r="L982" s="17"/>
      <c r="M982" s="17"/>
      <c r="N982" s="17"/>
      <c r="O982" s="17"/>
      <c r="P982" s="17"/>
      <c r="Q982" s="17"/>
    </row>
    <row r="983" spans="1:17">
      <c r="A983" s="556" t="s">
        <v>3564</v>
      </c>
      <c r="B983" s="557"/>
      <c r="C983" s="558" t="s">
        <v>4414</v>
      </c>
      <c r="D983" s="556" t="s">
        <v>4324</v>
      </c>
      <c r="E983" s="17" t="s">
        <v>4417</v>
      </c>
      <c r="F983" s="17">
        <v>3</v>
      </c>
      <c r="G983" s="17">
        <v>5</v>
      </c>
      <c r="H983" s="17" t="s">
        <v>3389</v>
      </c>
      <c r="I983" s="17"/>
      <c r="J983" s="17"/>
      <c r="K983" s="17"/>
      <c r="L983" s="17"/>
      <c r="M983" s="17"/>
      <c r="N983" s="17"/>
      <c r="O983" s="17"/>
      <c r="P983" s="17"/>
      <c r="Q983" s="17"/>
    </row>
    <row r="984" spans="1:17">
      <c r="A984" s="556" t="s">
        <v>3564</v>
      </c>
      <c r="B984" s="557"/>
      <c r="C984" s="558" t="s">
        <v>1743</v>
      </c>
      <c r="D984" s="556" t="s">
        <v>1693</v>
      </c>
      <c r="E984" s="17" t="s">
        <v>4418</v>
      </c>
      <c r="F984" s="17">
        <v>4</v>
      </c>
      <c r="G984" s="17">
        <v>1</v>
      </c>
      <c r="H984" s="17" t="s">
        <v>7792</v>
      </c>
      <c r="I984" s="17"/>
      <c r="J984" s="17"/>
      <c r="K984" s="17"/>
      <c r="L984" s="17"/>
      <c r="M984" s="17"/>
      <c r="N984" s="17"/>
      <c r="O984" s="17"/>
      <c r="P984" s="17"/>
      <c r="Q984" s="17"/>
    </row>
    <row r="985" spans="1:17">
      <c r="A985" s="556" t="s">
        <v>3564</v>
      </c>
      <c r="B985" s="557"/>
      <c r="C985" s="558" t="s">
        <v>1743</v>
      </c>
      <c r="D985" s="556" t="s">
        <v>1694</v>
      </c>
      <c r="E985" s="17" t="s">
        <v>4419</v>
      </c>
      <c r="F985" s="17">
        <v>4</v>
      </c>
      <c r="G985" s="17">
        <v>3</v>
      </c>
      <c r="H985" s="17" t="s">
        <v>3391</v>
      </c>
      <c r="I985" s="17"/>
      <c r="J985" s="17"/>
      <c r="K985" s="17"/>
      <c r="L985" s="17"/>
      <c r="M985" s="17"/>
      <c r="N985" s="17"/>
      <c r="O985" s="17"/>
      <c r="P985" s="17"/>
      <c r="Q985" s="17"/>
    </row>
    <row r="986" spans="1:17">
      <c r="A986" s="556" t="s">
        <v>3564</v>
      </c>
      <c r="B986" s="557"/>
      <c r="C986" s="558" t="s">
        <v>1743</v>
      </c>
      <c r="D986" s="556" t="s">
        <v>4324</v>
      </c>
      <c r="E986" s="17" t="s">
        <v>4420</v>
      </c>
      <c r="F986" s="17">
        <v>4</v>
      </c>
      <c r="G986" s="17">
        <v>5</v>
      </c>
      <c r="H986" s="17" t="s">
        <v>3393</v>
      </c>
      <c r="I986" s="17"/>
      <c r="J986" s="17"/>
      <c r="K986" s="17"/>
      <c r="L986" s="17"/>
      <c r="M986" s="17"/>
      <c r="N986" s="17"/>
      <c r="O986" s="17"/>
      <c r="P986" s="17"/>
      <c r="Q986" s="17"/>
    </row>
    <row r="987" spans="1:17">
      <c r="A987" s="556" t="s">
        <v>3564</v>
      </c>
      <c r="B987" s="557"/>
      <c r="C987" s="558" t="s">
        <v>1578</v>
      </c>
      <c r="D987" s="556" t="s">
        <v>1693</v>
      </c>
      <c r="E987" s="17" t="s">
        <v>4421</v>
      </c>
      <c r="F987" s="17">
        <v>5</v>
      </c>
      <c r="G987" s="17">
        <v>1</v>
      </c>
      <c r="H987" s="17" t="s">
        <v>7794</v>
      </c>
      <c r="I987" s="17">
        <v>0</v>
      </c>
      <c r="J987" s="17"/>
      <c r="K987" s="17"/>
      <c r="L987" s="17"/>
      <c r="M987" s="17"/>
      <c r="N987" s="17"/>
      <c r="O987" s="17"/>
      <c r="P987" s="17"/>
      <c r="Q987" s="17"/>
    </row>
    <row r="988" spans="1:17">
      <c r="A988" s="556" t="s">
        <v>3564</v>
      </c>
      <c r="B988" s="557"/>
      <c r="C988" s="558" t="s">
        <v>1578</v>
      </c>
      <c r="D988" s="556" t="s">
        <v>1694</v>
      </c>
      <c r="E988" s="17" t="s">
        <v>4422</v>
      </c>
      <c r="F988" s="17">
        <v>5</v>
      </c>
      <c r="G988" s="17">
        <v>3</v>
      </c>
      <c r="H988" s="17" t="s">
        <v>3395</v>
      </c>
      <c r="I988" s="17">
        <v>0</v>
      </c>
      <c r="J988" s="17"/>
      <c r="K988" s="17"/>
      <c r="L988" s="17"/>
      <c r="M988" s="17"/>
      <c r="N988" s="17"/>
      <c r="O988" s="17"/>
      <c r="P988" s="17"/>
      <c r="Q988" s="17"/>
    </row>
    <row r="989" spans="1:17">
      <c r="A989" s="556" t="s">
        <v>3564</v>
      </c>
      <c r="B989" s="557"/>
      <c r="C989" s="558" t="s">
        <v>1578</v>
      </c>
      <c r="D989" s="556" t="s">
        <v>4324</v>
      </c>
      <c r="E989" s="17" t="s">
        <v>4423</v>
      </c>
      <c r="F989" s="17">
        <v>5</v>
      </c>
      <c r="G989" s="17">
        <v>5</v>
      </c>
      <c r="H989" s="17" t="s">
        <v>3397</v>
      </c>
      <c r="I989" s="17"/>
      <c r="J989" s="17"/>
      <c r="K989" s="17"/>
      <c r="L989" s="17"/>
      <c r="M989" s="17"/>
      <c r="N989" s="17"/>
      <c r="O989" s="17"/>
      <c r="P989" s="17"/>
      <c r="Q989" s="17"/>
    </row>
    <row r="990" spans="1:17">
      <c r="A990" s="556" t="s">
        <v>3565</v>
      </c>
      <c r="B990" s="557"/>
      <c r="C990" s="558" t="s">
        <v>1750</v>
      </c>
      <c r="D990" s="556" t="s">
        <v>1693</v>
      </c>
      <c r="E990" s="17" t="s">
        <v>4424</v>
      </c>
      <c r="F990" s="17">
        <v>1</v>
      </c>
      <c r="G990" s="17">
        <v>1</v>
      </c>
      <c r="H990" s="17" t="s">
        <v>3696</v>
      </c>
      <c r="I990" s="17"/>
      <c r="J990" s="17"/>
      <c r="K990" s="17"/>
      <c r="L990" s="17"/>
      <c r="M990" s="17"/>
      <c r="N990" s="17"/>
      <c r="O990" s="17"/>
      <c r="P990" s="17"/>
      <c r="Q990" s="17"/>
    </row>
    <row r="991" spans="1:17">
      <c r="A991" s="556" t="s">
        <v>3565</v>
      </c>
      <c r="B991" s="557"/>
      <c r="C991" s="558" t="s">
        <v>1750</v>
      </c>
      <c r="D991" s="556" t="s">
        <v>1694</v>
      </c>
      <c r="E991" s="17" t="s">
        <v>4425</v>
      </c>
      <c r="F991" s="17">
        <v>1</v>
      </c>
      <c r="G991" s="17">
        <v>3</v>
      </c>
      <c r="H991" s="17" t="s">
        <v>3701</v>
      </c>
      <c r="I991" s="17"/>
      <c r="J991" s="17"/>
      <c r="K991" s="17"/>
      <c r="L991" s="17"/>
      <c r="M991" s="17"/>
      <c r="N991" s="17"/>
      <c r="O991" s="17"/>
      <c r="P991" s="17"/>
      <c r="Q991" s="17"/>
    </row>
    <row r="992" spans="1:17">
      <c r="A992" s="556" t="s">
        <v>3565</v>
      </c>
      <c r="B992" s="557"/>
      <c r="C992" s="558" t="s">
        <v>1750</v>
      </c>
      <c r="D992" s="556" t="s">
        <v>4426</v>
      </c>
      <c r="E992" s="17" t="s">
        <v>4427</v>
      </c>
      <c r="F992" s="17">
        <v>1</v>
      </c>
      <c r="G992" s="17">
        <v>5</v>
      </c>
      <c r="H992" s="17" t="s">
        <v>3720</v>
      </c>
      <c r="I992" s="17">
        <v>0</v>
      </c>
      <c r="J992" s="17"/>
      <c r="K992" s="17"/>
      <c r="L992" s="17"/>
      <c r="M992" s="17"/>
      <c r="N992" s="17"/>
      <c r="O992" s="17"/>
      <c r="P992" s="17"/>
      <c r="Q992" s="17"/>
    </row>
    <row r="993" spans="1:17">
      <c r="A993" s="556" t="s">
        <v>3565</v>
      </c>
      <c r="B993" s="557"/>
      <c r="C993" s="558" t="s">
        <v>1750</v>
      </c>
      <c r="D993" s="556" t="s">
        <v>4324</v>
      </c>
      <c r="E993" s="17" t="s">
        <v>4428</v>
      </c>
      <c r="F993" s="17">
        <v>1</v>
      </c>
      <c r="G993" s="17">
        <v>6</v>
      </c>
      <c r="H993" s="17" t="s">
        <v>3721</v>
      </c>
      <c r="I993" s="17"/>
      <c r="J993" s="17"/>
      <c r="K993" s="17"/>
      <c r="L993" s="17"/>
      <c r="M993" s="17"/>
      <c r="N993" s="17"/>
      <c r="O993" s="17"/>
      <c r="P993" s="17"/>
      <c r="Q993" s="17"/>
    </row>
    <row r="994" spans="1:17">
      <c r="A994" s="556" t="s">
        <v>3565</v>
      </c>
      <c r="B994" s="557"/>
      <c r="C994" s="558" t="s">
        <v>1751</v>
      </c>
      <c r="D994" s="556" t="s">
        <v>1693</v>
      </c>
      <c r="E994" s="17" t="s">
        <v>4429</v>
      </c>
      <c r="F994" s="17">
        <v>2</v>
      </c>
      <c r="G994" s="17">
        <v>1</v>
      </c>
      <c r="H994" s="17" t="s">
        <v>3517</v>
      </c>
      <c r="I994" s="17"/>
      <c r="J994" s="17"/>
      <c r="K994" s="17"/>
      <c r="L994" s="17"/>
      <c r="M994" s="17"/>
      <c r="N994" s="17"/>
      <c r="O994" s="17"/>
      <c r="P994" s="17"/>
      <c r="Q994" s="17"/>
    </row>
    <row r="995" spans="1:17">
      <c r="A995" s="556" t="s">
        <v>3565</v>
      </c>
      <c r="B995" s="557"/>
      <c r="C995" s="558" t="s">
        <v>1751</v>
      </c>
      <c r="D995" s="556" t="s">
        <v>1694</v>
      </c>
      <c r="E995" s="17" t="s">
        <v>4430</v>
      </c>
      <c r="F995" s="17">
        <v>2</v>
      </c>
      <c r="G995" s="17">
        <v>3</v>
      </c>
      <c r="H995" s="17" t="s">
        <v>3519</v>
      </c>
      <c r="I995" s="17"/>
      <c r="J995" s="17"/>
      <c r="K995" s="17"/>
      <c r="L995" s="17"/>
      <c r="M995" s="17"/>
      <c r="N995" s="17"/>
      <c r="O995" s="17"/>
      <c r="P995" s="17"/>
      <c r="Q995" s="17"/>
    </row>
    <row r="996" spans="1:17">
      <c r="A996" s="556" t="s">
        <v>3565</v>
      </c>
      <c r="B996" s="557"/>
      <c r="C996" s="558" t="s">
        <v>1751</v>
      </c>
      <c r="D996" s="556" t="s">
        <v>4426</v>
      </c>
      <c r="E996" s="17" t="s">
        <v>4431</v>
      </c>
      <c r="F996" s="17">
        <v>2</v>
      </c>
      <c r="G996" s="17">
        <v>5</v>
      </c>
      <c r="H996" s="17" t="s">
        <v>3521</v>
      </c>
      <c r="I996" s="17">
        <v>0</v>
      </c>
      <c r="J996" s="17"/>
      <c r="K996" s="17"/>
      <c r="L996" s="17"/>
      <c r="M996" s="17"/>
      <c r="N996" s="17"/>
      <c r="O996" s="17"/>
      <c r="P996" s="17"/>
      <c r="Q996" s="17"/>
    </row>
    <row r="997" spans="1:17">
      <c r="A997" s="556" t="s">
        <v>3565</v>
      </c>
      <c r="B997" s="557"/>
      <c r="C997" s="558" t="s">
        <v>1751</v>
      </c>
      <c r="D997" s="556" t="s">
        <v>4324</v>
      </c>
      <c r="E997" s="17" t="s">
        <v>4432</v>
      </c>
      <c r="F997" s="17">
        <v>2</v>
      </c>
      <c r="G997" s="17">
        <v>6</v>
      </c>
      <c r="H997" s="17" t="s">
        <v>3505</v>
      </c>
      <c r="I997" s="17"/>
      <c r="J997" s="17"/>
      <c r="K997" s="17"/>
      <c r="L997" s="17"/>
      <c r="M997" s="17"/>
      <c r="N997" s="17"/>
      <c r="O997" s="17"/>
      <c r="P997" s="17"/>
      <c r="Q997" s="17"/>
    </row>
    <row r="998" spans="1:17">
      <c r="A998" s="556" t="s">
        <v>3565</v>
      </c>
      <c r="B998" s="557"/>
      <c r="C998" s="558" t="s">
        <v>1752</v>
      </c>
      <c r="D998" s="556" t="s">
        <v>1693</v>
      </c>
      <c r="E998" s="17" t="s">
        <v>4433</v>
      </c>
      <c r="F998" s="17">
        <v>3</v>
      </c>
      <c r="G998" s="17">
        <v>1</v>
      </c>
      <c r="H998" s="17" t="s">
        <v>3326</v>
      </c>
      <c r="I998" s="17"/>
      <c r="J998" s="17"/>
      <c r="K998" s="17"/>
      <c r="L998" s="17"/>
      <c r="M998" s="17"/>
      <c r="N998" s="17"/>
      <c r="O998" s="17"/>
      <c r="P998" s="17"/>
      <c r="Q998" s="17"/>
    </row>
    <row r="999" spans="1:17">
      <c r="A999" s="556" t="s">
        <v>3565</v>
      </c>
      <c r="B999" s="557"/>
      <c r="C999" s="558" t="s">
        <v>1752</v>
      </c>
      <c r="D999" s="556" t="s">
        <v>1694</v>
      </c>
      <c r="E999" s="17" t="s">
        <v>4434</v>
      </c>
      <c r="F999" s="17">
        <v>3</v>
      </c>
      <c r="G999" s="17">
        <v>3</v>
      </c>
      <c r="H999" s="17" t="s">
        <v>3338</v>
      </c>
      <c r="I999" s="17"/>
      <c r="J999" s="17"/>
      <c r="K999" s="17"/>
      <c r="L999" s="17"/>
      <c r="M999" s="17"/>
      <c r="N999" s="17"/>
      <c r="O999" s="17"/>
      <c r="P999" s="17"/>
      <c r="Q999" s="17"/>
    </row>
    <row r="1000" spans="1:17">
      <c r="A1000" s="556" t="s">
        <v>3565</v>
      </c>
      <c r="B1000" s="557"/>
      <c r="C1000" s="558" t="s">
        <v>1752</v>
      </c>
      <c r="D1000" s="556" t="s">
        <v>4426</v>
      </c>
      <c r="E1000" s="17" t="s">
        <v>4435</v>
      </c>
      <c r="F1000" s="17">
        <v>3</v>
      </c>
      <c r="G1000" s="17">
        <v>5</v>
      </c>
      <c r="H1000" s="17" t="s">
        <v>2992</v>
      </c>
      <c r="I1000" s="17">
        <v>0</v>
      </c>
      <c r="J1000" s="17"/>
      <c r="K1000" s="17"/>
      <c r="L1000" s="17"/>
      <c r="M1000" s="17"/>
      <c r="N1000" s="17"/>
      <c r="O1000" s="17"/>
      <c r="P1000" s="17"/>
      <c r="Q1000" s="17"/>
    </row>
    <row r="1001" spans="1:17">
      <c r="A1001" s="556" t="s">
        <v>3565</v>
      </c>
      <c r="B1001" s="557"/>
      <c r="C1001" s="558" t="s">
        <v>1752</v>
      </c>
      <c r="D1001" s="556" t="s">
        <v>4324</v>
      </c>
      <c r="E1001" s="17" t="s">
        <v>4436</v>
      </c>
      <c r="F1001" s="17">
        <v>3</v>
      </c>
      <c r="G1001" s="17">
        <v>6</v>
      </c>
      <c r="H1001" s="17" t="s">
        <v>3450</v>
      </c>
      <c r="I1001" s="17"/>
      <c r="J1001" s="17"/>
      <c r="K1001" s="17"/>
      <c r="L1001" s="17"/>
      <c r="M1001" s="17"/>
      <c r="N1001" s="17"/>
      <c r="O1001" s="17"/>
      <c r="P1001" s="17"/>
      <c r="Q1001" s="17"/>
    </row>
    <row r="1002" spans="1:17">
      <c r="A1002" s="556" t="s">
        <v>3565</v>
      </c>
      <c r="B1002" s="557"/>
      <c r="C1002" s="558" t="s">
        <v>1753</v>
      </c>
      <c r="D1002" s="556" t="s">
        <v>1693</v>
      </c>
      <c r="E1002" s="17" t="s">
        <v>4437</v>
      </c>
      <c r="F1002" s="17">
        <v>4</v>
      </c>
      <c r="G1002" s="17">
        <v>1</v>
      </c>
      <c r="H1002" s="17" t="s">
        <v>3525</v>
      </c>
      <c r="I1002" s="17"/>
      <c r="J1002" s="17"/>
      <c r="K1002" s="17"/>
      <c r="L1002" s="17"/>
      <c r="M1002" s="17"/>
      <c r="N1002" s="17"/>
      <c r="O1002" s="17"/>
      <c r="P1002" s="17"/>
      <c r="Q1002" s="17"/>
    </row>
    <row r="1003" spans="1:17">
      <c r="A1003" s="556" t="s">
        <v>3565</v>
      </c>
      <c r="B1003" s="557"/>
      <c r="C1003" s="558" t="s">
        <v>1753</v>
      </c>
      <c r="D1003" s="556" t="s">
        <v>1694</v>
      </c>
      <c r="E1003" s="17" t="s">
        <v>4438</v>
      </c>
      <c r="F1003" s="17">
        <v>4</v>
      </c>
      <c r="G1003" s="17">
        <v>3</v>
      </c>
      <c r="H1003" s="17" t="s">
        <v>3340</v>
      </c>
      <c r="I1003" s="17"/>
      <c r="J1003" s="17"/>
      <c r="K1003" s="17"/>
      <c r="L1003" s="17"/>
      <c r="M1003" s="17"/>
      <c r="N1003" s="17"/>
      <c r="O1003" s="17"/>
      <c r="P1003" s="17"/>
      <c r="Q1003" s="17"/>
    </row>
    <row r="1004" spans="1:17">
      <c r="A1004" s="556" t="s">
        <v>3565</v>
      </c>
      <c r="B1004" s="557"/>
      <c r="C1004" s="558" t="s">
        <v>1753</v>
      </c>
      <c r="D1004" s="556" t="s">
        <v>4426</v>
      </c>
      <c r="E1004" s="17" t="s">
        <v>4439</v>
      </c>
      <c r="F1004" s="17">
        <v>4</v>
      </c>
      <c r="G1004" s="17">
        <v>5</v>
      </c>
      <c r="H1004" s="17" t="s">
        <v>3342</v>
      </c>
      <c r="I1004" s="17">
        <v>0</v>
      </c>
      <c r="J1004" s="17"/>
      <c r="K1004" s="17"/>
      <c r="L1004" s="17"/>
      <c r="M1004" s="17"/>
      <c r="N1004" s="17"/>
      <c r="O1004" s="17"/>
      <c r="P1004" s="17"/>
      <c r="Q1004" s="17"/>
    </row>
    <row r="1005" spans="1:17">
      <c r="A1005" s="556" t="s">
        <v>3565</v>
      </c>
      <c r="B1005" s="557"/>
      <c r="C1005" s="558" t="s">
        <v>1753</v>
      </c>
      <c r="D1005" s="556" t="s">
        <v>4324</v>
      </c>
      <c r="E1005" s="17" t="s">
        <v>4440</v>
      </c>
      <c r="F1005" s="17">
        <v>4</v>
      </c>
      <c r="G1005" s="17">
        <v>6</v>
      </c>
      <c r="H1005" s="17" t="s">
        <v>3451</v>
      </c>
      <c r="I1005" s="17"/>
      <c r="J1005" s="17"/>
      <c r="K1005" s="17"/>
      <c r="L1005" s="17"/>
      <c r="M1005" s="17"/>
      <c r="N1005" s="17"/>
      <c r="O1005" s="17"/>
      <c r="P1005" s="17"/>
      <c r="Q1005" s="17"/>
    </row>
    <row r="1006" spans="1:17">
      <c r="A1006" s="556" t="s">
        <v>3565</v>
      </c>
      <c r="B1006" s="557"/>
      <c r="C1006" s="558" t="s">
        <v>1754</v>
      </c>
      <c r="D1006" s="556" t="s">
        <v>1693</v>
      </c>
      <c r="E1006" s="17" t="s">
        <v>4441</v>
      </c>
      <c r="F1006" s="17">
        <v>5</v>
      </c>
      <c r="G1006" s="17">
        <v>1</v>
      </c>
      <c r="H1006" s="17" t="s">
        <v>3697</v>
      </c>
      <c r="I1006" s="17"/>
      <c r="J1006" s="17"/>
      <c r="K1006" s="17"/>
      <c r="L1006" s="17"/>
      <c r="M1006" s="17"/>
      <c r="N1006" s="17"/>
      <c r="O1006" s="17"/>
      <c r="P1006" s="17"/>
      <c r="Q1006" s="17"/>
    </row>
    <row r="1007" spans="1:17">
      <c r="A1007" s="556" t="s">
        <v>3565</v>
      </c>
      <c r="B1007" s="557"/>
      <c r="C1007" s="558" t="s">
        <v>1754</v>
      </c>
      <c r="D1007" s="556" t="s">
        <v>1694</v>
      </c>
      <c r="E1007" s="17" t="s">
        <v>4442</v>
      </c>
      <c r="F1007" s="17">
        <v>5</v>
      </c>
      <c r="G1007" s="17">
        <v>3</v>
      </c>
      <c r="H1007" s="17" t="s">
        <v>3344</v>
      </c>
      <c r="I1007" s="17"/>
      <c r="J1007" s="17"/>
      <c r="K1007" s="17"/>
      <c r="L1007" s="17"/>
      <c r="M1007" s="17"/>
      <c r="N1007" s="17"/>
      <c r="O1007" s="17"/>
      <c r="P1007" s="17"/>
      <c r="Q1007" s="17"/>
    </row>
    <row r="1008" spans="1:17">
      <c r="A1008" s="556" t="s">
        <v>3565</v>
      </c>
      <c r="B1008" s="557"/>
      <c r="C1008" s="558" t="s">
        <v>1754</v>
      </c>
      <c r="D1008" s="556" t="s">
        <v>4426</v>
      </c>
      <c r="E1008" s="17" t="s">
        <v>4443</v>
      </c>
      <c r="F1008" s="17">
        <v>5</v>
      </c>
      <c r="G1008" s="17">
        <v>5</v>
      </c>
      <c r="H1008" s="17" t="s">
        <v>3346</v>
      </c>
      <c r="I1008" s="17">
        <v>0</v>
      </c>
      <c r="J1008" s="17"/>
      <c r="K1008" s="17"/>
      <c r="L1008" s="17"/>
      <c r="M1008" s="17"/>
      <c r="N1008" s="17"/>
      <c r="O1008" s="17"/>
      <c r="P1008" s="17"/>
      <c r="Q1008" s="17"/>
    </row>
    <row r="1009" spans="1:17">
      <c r="A1009" s="556" t="s">
        <v>3565</v>
      </c>
      <c r="B1009" s="557"/>
      <c r="C1009" s="558" t="s">
        <v>1754</v>
      </c>
      <c r="D1009" s="556" t="s">
        <v>4324</v>
      </c>
      <c r="E1009" s="17" t="s">
        <v>4444</v>
      </c>
      <c r="F1009" s="17">
        <v>5</v>
      </c>
      <c r="G1009" s="17">
        <v>6</v>
      </c>
      <c r="H1009" s="17" t="s">
        <v>3452</v>
      </c>
      <c r="I1009" s="17"/>
      <c r="J1009" s="17"/>
      <c r="K1009" s="17"/>
      <c r="L1009" s="17"/>
      <c r="M1009" s="17"/>
      <c r="N1009" s="17"/>
      <c r="O1009" s="17"/>
      <c r="P1009" s="17"/>
      <c r="Q1009" s="17"/>
    </row>
    <row r="1010" spans="1:17">
      <c r="A1010" s="556" t="s">
        <v>3565</v>
      </c>
      <c r="B1010" s="557"/>
      <c r="C1010" s="558" t="s">
        <v>1755</v>
      </c>
      <c r="D1010" s="556" t="s">
        <v>1693</v>
      </c>
      <c r="E1010" s="17" t="s">
        <v>4445</v>
      </c>
      <c r="F1010" s="17">
        <v>6</v>
      </c>
      <c r="G1010" s="17">
        <v>1</v>
      </c>
      <c r="H1010" s="17" t="s">
        <v>7772</v>
      </c>
      <c r="I1010" s="17"/>
      <c r="J1010" s="17"/>
      <c r="K1010" s="17"/>
      <c r="L1010" s="17"/>
      <c r="M1010" s="17"/>
      <c r="N1010" s="17"/>
      <c r="O1010" s="17"/>
      <c r="P1010" s="17"/>
      <c r="Q1010" s="17"/>
    </row>
    <row r="1011" spans="1:17">
      <c r="A1011" s="556" t="s">
        <v>3565</v>
      </c>
      <c r="B1011" s="557"/>
      <c r="C1011" s="558" t="s">
        <v>1755</v>
      </c>
      <c r="D1011" s="556" t="s">
        <v>1694</v>
      </c>
      <c r="E1011" s="17" t="s">
        <v>4446</v>
      </c>
      <c r="F1011" s="17">
        <v>6</v>
      </c>
      <c r="G1011" s="17">
        <v>3</v>
      </c>
      <c r="H1011" s="17" t="s">
        <v>3348</v>
      </c>
      <c r="I1011" s="17"/>
      <c r="J1011" s="17"/>
      <c r="K1011" s="17"/>
      <c r="L1011" s="17"/>
      <c r="M1011" s="17"/>
      <c r="N1011" s="17"/>
      <c r="O1011" s="17"/>
      <c r="P1011" s="17"/>
      <c r="Q1011" s="17"/>
    </row>
    <row r="1012" spans="1:17">
      <c r="A1012" s="556" t="s">
        <v>3565</v>
      </c>
      <c r="B1012" s="557"/>
      <c r="C1012" s="558" t="s">
        <v>1755</v>
      </c>
      <c r="D1012" s="556" t="s">
        <v>4426</v>
      </c>
      <c r="E1012" s="17" t="s">
        <v>4447</v>
      </c>
      <c r="F1012" s="17">
        <v>6</v>
      </c>
      <c r="G1012" s="17">
        <v>5</v>
      </c>
      <c r="H1012" s="17" t="s">
        <v>3350</v>
      </c>
      <c r="I1012" s="17">
        <v>0</v>
      </c>
      <c r="J1012" s="17"/>
      <c r="K1012" s="17"/>
      <c r="L1012" s="17"/>
      <c r="M1012" s="17"/>
      <c r="N1012" s="17"/>
      <c r="O1012" s="17"/>
      <c r="P1012" s="17"/>
      <c r="Q1012" s="17"/>
    </row>
    <row r="1013" spans="1:17">
      <c r="A1013" s="556" t="s">
        <v>3565</v>
      </c>
      <c r="B1013" s="557"/>
      <c r="C1013" s="558" t="s">
        <v>1755</v>
      </c>
      <c r="D1013" s="556" t="s">
        <v>4324</v>
      </c>
      <c r="E1013" s="17" t="s">
        <v>4448</v>
      </c>
      <c r="F1013" s="17">
        <v>6</v>
      </c>
      <c r="G1013" s="17">
        <v>6</v>
      </c>
      <c r="H1013" s="17" t="s">
        <v>3453</v>
      </c>
      <c r="I1013" s="17"/>
      <c r="J1013" s="17"/>
      <c r="K1013" s="17"/>
      <c r="L1013" s="17"/>
      <c r="M1013" s="17"/>
      <c r="N1013" s="17"/>
      <c r="O1013" s="17"/>
      <c r="P1013" s="17"/>
      <c r="Q1013" s="17"/>
    </row>
    <row r="1014" spans="1:17">
      <c r="A1014" s="556" t="s">
        <v>3565</v>
      </c>
      <c r="B1014" s="557"/>
      <c r="C1014" s="558" t="s">
        <v>1756</v>
      </c>
      <c r="D1014" s="556" t="s">
        <v>1693</v>
      </c>
      <c r="E1014" s="17" t="s">
        <v>4449</v>
      </c>
      <c r="F1014" s="17">
        <v>7</v>
      </c>
      <c r="G1014" s="17">
        <v>1</v>
      </c>
      <c r="H1014" s="17" t="s">
        <v>7774</v>
      </c>
      <c r="I1014" s="17"/>
      <c r="J1014" s="17"/>
      <c r="K1014" s="17"/>
      <c r="L1014" s="17"/>
      <c r="M1014" s="17"/>
      <c r="N1014" s="17"/>
      <c r="O1014" s="17"/>
      <c r="P1014" s="17"/>
      <c r="Q1014" s="17"/>
    </row>
    <row r="1015" spans="1:17">
      <c r="A1015" s="556" t="s">
        <v>3565</v>
      </c>
      <c r="B1015" s="557"/>
      <c r="C1015" s="558" t="s">
        <v>1756</v>
      </c>
      <c r="D1015" s="556" t="s">
        <v>1694</v>
      </c>
      <c r="E1015" s="17" t="s">
        <v>4450</v>
      </c>
      <c r="F1015" s="17">
        <v>7</v>
      </c>
      <c r="G1015" s="17">
        <v>3</v>
      </c>
      <c r="H1015" s="17" t="s">
        <v>3352</v>
      </c>
      <c r="I1015" s="17"/>
      <c r="J1015" s="17"/>
      <c r="K1015" s="17"/>
      <c r="L1015" s="17"/>
      <c r="M1015" s="17"/>
      <c r="N1015" s="17"/>
      <c r="O1015" s="17"/>
      <c r="P1015" s="17"/>
      <c r="Q1015" s="17"/>
    </row>
    <row r="1016" spans="1:17">
      <c r="A1016" s="556" t="s">
        <v>3565</v>
      </c>
      <c r="B1016" s="557"/>
      <c r="C1016" s="558" t="s">
        <v>1756</v>
      </c>
      <c r="D1016" s="556" t="s">
        <v>4426</v>
      </c>
      <c r="E1016" s="17" t="s">
        <v>4451</v>
      </c>
      <c r="F1016" s="17">
        <v>7</v>
      </c>
      <c r="G1016" s="17">
        <v>5</v>
      </c>
      <c r="H1016" s="17" t="s">
        <v>3354</v>
      </c>
      <c r="I1016" s="17">
        <v>0</v>
      </c>
      <c r="J1016" s="17"/>
      <c r="K1016" s="17"/>
      <c r="L1016" s="17"/>
      <c r="M1016" s="17"/>
      <c r="N1016" s="17"/>
      <c r="O1016" s="17"/>
      <c r="P1016" s="17"/>
      <c r="Q1016" s="17"/>
    </row>
    <row r="1017" spans="1:17">
      <c r="A1017" s="556" t="s">
        <v>3565</v>
      </c>
      <c r="B1017" s="557"/>
      <c r="C1017" s="558" t="s">
        <v>1756</v>
      </c>
      <c r="D1017" s="556" t="s">
        <v>4324</v>
      </c>
      <c r="E1017" s="17" t="s">
        <v>4452</v>
      </c>
      <c r="F1017" s="17">
        <v>7</v>
      </c>
      <c r="G1017" s="17">
        <v>6</v>
      </c>
      <c r="H1017" s="17" t="s">
        <v>3454</v>
      </c>
      <c r="I1017" s="17"/>
      <c r="J1017" s="17"/>
      <c r="K1017" s="17"/>
      <c r="L1017" s="17"/>
      <c r="M1017" s="17"/>
      <c r="N1017" s="17"/>
      <c r="O1017" s="17"/>
      <c r="P1017" s="17"/>
      <c r="Q1017" s="17"/>
    </row>
    <row r="1018" spans="1:17">
      <c r="A1018" s="556" t="s">
        <v>3565</v>
      </c>
      <c r="B1018" s="557"/>
      <c r="C1018" s="558" t="s">
        <v>1757</v>
      </c>
      <c r="D1018" s="556" t="s">
        <v>1693</v>
      </c>
      <c r="E1018" s="17" t="s">
        <v>4453</v>
      </c>
      <c r="F1018" s="17">
        <v>8</v>
      </c>
      <c r="G1018" s="17">
        <v>1</v>
      </c>
      <c r="H1018" s="17" t="s">
        <v>7776</v>
      </c>
      <c r="I1018" s="17"/>
      <c r="J1018" s="17"/>
      <c r="K1018" s="17"/>
      <c r="L1018" s="17"/>
      <c r="M1018" s="17"/>
      <c r="N1018" s="17"/>
      <c r="O1018" s="17"/>
      <c r="P1018" s="17"/>
      <c r="Q1018" s="17"/>
    </row>
    <row r="1019" spans="1:17">
      <c r="A1019" s="556" t="s">
        <v>3565</v>
      </c>
      <c r="B1019" s="557"/>
      <c r="C1019" s="558" t="s">
        <v>1757</v>
      </c>
      <c r="D1019" s="556" t="s">
        <v>1694</v>
      </c>
      <c r="E1019" s="17" t="s">
        <v>4454</v>
      </c>
      <c r="F1019" s="17">
        <v>8</v>
      </c>
      <c r="G1019" s="17">
        <v>3</v>
      </c>
      <c r="H1019" s="17" t="s">
        <v>3356</v>
      </c>
      <c r="I1019" s="17"/>
      <c r="J1019" s="17"/>
      <c r="K1019" s="17"/>
      <c r="L1019" s="17"/>
      <c r="M1019" s="17"/>
      <c r="N1019" s="17"/>
      <c r="O1019" s="17"/>
      <c r="P1019" s="17"/>
      <c r="Q1019" s="17"/>
    </row>
    <row r="1020" spans="1:17">
      <c r="A1020" s="556" t="s">
        <v>3565</v>
      </c>
      <c r="B1020" s="557"/>
      <c r="C1020" s="558" t="s">
        <v>1757</v>
      </c>
      <c r="D1020" s="556" t="s">
        <v>4426</v>
      </c>
      <c r="E1020" s="17" t="s">
        <v>4455</v>
      </c>
      <c r="F1020" s="17">
        <v>8</v>
      </c>
      <c r="G1020" s="17">
        <v>5</v>
      </c>
      <c r="H1020" s="17" t="s">
        <v>3358</v>
      </c>
      <c r="I1020" s="17">
        <v>0</v>
      </c>
      <c r="J1020" s="17"/>
      <c r="K1020" s="17"/>
      <c r="L1020" s="17"/>
      <c r="M1020" s="17"/>
      <c r="N1020" s="17"/>
      <c r="O1020" s="17"/>
      <c r="P1020" s="17"/>
      <c r="Q1020" s="17"/>
    </row>
    <row r="1021" spans="1:17">
      <c r="A1021" s="556" t="s">
        <v>3565</v>
      </c>
      <c r="B1021" s="557"/>
      <c r="C1021" s="558" t="s">
        <v>1757</v>
      </c>
      <c r="D1021" s="556" t="s">
        <v>4324</v>
      </c>
      <c r="E1021" s="17" t="s">
        <v>4456</v>
      </c>
      <c r="F1021" s="17">
        <v>8</v>
      </c>
      <c r="G1021" s="17">
        <v>6</v>
      </c>
      <c r="H1021" s="17" t="s">
        <v>3455</v>
      </c>
      <c r="I1021" s="17"/>
      <c r="J1021" s="17"/>
      <c r="K1021" s="17"/>
      <c r="L1021" s="17"/>
      <c r="M1021" s="17"/>
      <c r="N1021" s="17"/>
      <c r="O1021" s="17"/>
      <c r="P1021" s="17"/>
      <c r="Q1021" s="17"/>
    </row>
    <row r="1022" spans="1:17">
      <c r="A1022" s="556" t="s">
        <v>3565</v>
      </c>
      <c r="B1022" s="557"/>
      <c r="C1022" s="558" t="s">
        <v>1758</v>
      </c>
      <c r="D1022" s="556" t="s">
        <v>1693</v>
      </c>
      <c r="E1022" s="17" t="s">
        <v>4457</v>
      </c>
      <c r="F1022" s="17">
        <v>9</v>
      </c>
      <c r="G1022" s="17">
        <v>1</v>
      </c>
      <c r="H1022" s="17" t="s">
        <v>7778</v>
      </c>
      <c r="I1022" s="17">
        <v>0</v>
      </c>
      <c r="J1022" s="17"/>
      <c r="K1022" s="17"/>
      <c r="L1022" s="17"/>
      <c r="M1022" s="17"/>
      <c r="N1022" s="17"/>
      <c r="O1022" s="17"/>
      <c r="P1022" s="17"/>
      <c r="Q1022" s="17"/>
    </row>
    <row r="1023" spans="1:17">
      <c r="A1023" s="556" t="s">
        <v>3565</v>
      </c>
      <c r="B1023" s="557"/>
      <c r="C1023" s="558" t="s">
        <v>1758</v>
      </c>
      <c r="D1023" s="556" t="s">
        <v>1694</v>
      </c>
      <c r="E1023" s="17" t="s">
        <v>4458</v>
      </c>
      <c r="F1023" s="17">
        <v>9</v>
      </c>
      <c r="G1023" s="17">
        <v>3</v>
      </c>
      <c r="H1023" s="17" t="s">
        <v>3360</v>
      </c>
      <c r="I1023" s="17">
        <v>0</v>
      </c>
      <c r="J1023" s="17"/>
      <c r="K1023" s="17"/>
      <c r="L1023" s="17"/>
      <c r="M1023" s="17"/>
      <c r="N1023" s="17"/>
      <c r="O1023" s="17"/>
      <c r="P1023" s="17"/>
      <c r="Q1023" s="17"/>
    </row>
    <row r="1024" spans="1:17">
      <c r="A1024" s="556" t="s">
        <v>3565</v>
      </c>
      <c r="B1024" s="557"/>
      <c r="C1024" s="558" t="s">
        <v>1758</v>
      </c>
      <c r="D1024" s="556" t="s">
        <v>4426</v>
      </c>
      <c r="E1024" s="17" t="s">
        <v>4459</v>
      </c>
      <c r="F1024" s="17">
        <v>9</v>
      </c>
      <c r="G1024" s="17">
        <v>5</v>
      </c>
      <c r="H1024" s="17" t="s">
        <v>3361</v>
      </c>
      <c r="I1024" s="17">
        <v>0</v>
      </c>
      <c r="J1024" s="17"/>
      <c r="K1024" s="17"/>
      <c r="L1024" s="17"/>
      <c r="M1024" s="17"/>
      <c r="N1024" s="17"/>
      <c r="O1024" s="17"/>
      <c r="P1024" s="17"/>
      <c r="Q1024" s="17"/>
    </row>
    <row r="1025" spans="1:17">
      <c r="A1025" s="556" t="s">
        <v>3565</v>
      </c>
      <c r="B1025" s="557"/>
      <c r="C1025" s="558" t="s">
        <v>1758</v>
      </c>
      <c r="D1025" s="556" t="s">
        <v>4324</v>
      </c>
      <c r="E1025" s="17" t="s">
        <v>4460</v>
      </c>
      <c r="F1025" s="17">
        <v>9</v>
      </c>
      <c r="G1025" s="17">
        <v>6</v>
      </c>
      <c r="H1025" s="17" t="s">
        <v>3456</v>
      </c>
      <c r="I1025" s="17"/>
      <c r="J1025" s="17"/>
      <c r="K1025" s="17"/>
      <c r="L1025" s="17"/>
      <c r="M1025" s="17"/>
      <c r="N1025" s="17"/>
      <c r="O1025" s="17"/>
      <c r="P1025" s="17"/>
      <c r="Q1025" s="17"/>
    </row>
    <row r="1026" spans="1:17">
      <c r="A1026" s="556" t="s">
        <v>3565</v>
      </c>
      <c r="B1026" s="557"/>
      <c r="C1026" s="558" t="s">
        <v>1759</v>
      </c>
      <c r="D1026" s="556" t="s">
        <v>1693</v>
      </c>
      <c r="E1026" s="17" t="s">
        <v>4461</v>
      </c>
      <c r="F1026" s="17">
        <v>10</v>
      </c>
      <c r="G1026" s="17">
        <v>1</v>
      </c>
      <c r="H1026" s="17" t="s">
        <v>7779</v>
      </c>
      <c r="I1026" s="17"/>
      <c r="J1026" s="17"/>
      <c r="K1026" s="17"/>
      <c r="L1026" s="17"/>
      <c r="M1026" s="17"/>
      <c r="N1026" s="17"/>
      <c r="O1026" s="17"/>
      <c r="P1026" s="17"/>
      <c r="Q1026" s="17"/>
    </row>
    <row r="1027" spans="1:17">
      <c r="A1027" s="556" t="s">
        <v>3565</v>
      </c>
      <c r="B1027" s="557"/>
      <c r="C1027" s="558" t="s">
        <v>1759</v>
      </c>
      <c r="D1027" s="556" t="s">
        <v>1694</v>
      </c>
      <c r="E1027" s="17" t="s">
        <v>4462</v>
      </c>
      <c r="F1027" s="17">
        <v>10</v>
      </c>
      <c r="G1027" s="17">
        <v>3</v>
      </c>
      <c r="H1027" s="17" t="s">
        <v>3363</v>
      </c>
      <c r="I1027" s="17"/>
      <c r="J1027" s="17"/>
      <c r="K1027" s="17"/>
      <c r="L1027" s="17"/>
      <c r="M1027" s="17"/>
      <c r="N1027" s="17"/>
      <c r="O1027" s="17"/>
      <c r="P1027" s="17"/>
      <c r="Q1027" s="17"/>
    </row>
    <row r="1028" spans="1:17">
      <c r="A1028" s="556" t="s">
        <v>3565</v>
      </c>
      <c r="B1028" s="557"/>
      <c r="C1028" s="558" t="s">
        <v>1759</v>
      </c>
      <c r="D1028" s="556" t="s">
        <v>4426</v>
      </c>
      <c r="E1028" s="17" t="s">
        <v>4463</v>
      </c>
      <c r="F1028" s="17">
        <v>10</v>
      </c>
      <c r="G1028" s="17">
        <v>5</v>
      </c>
      <c r="H1028" s="17" t="s">
        <v>3365</v>
      </c>
      <c r="I1028" s="17">
        <v>0</v>
      </c>
      <c r="J1028" s="17"/>
      <c r="K1028" s="17"/>
      <c r="L1028" s="17"/>
      <c r="M1028" s="17"/>
      <c r="N1028" s="17"/>
      <c r="O1028" s="17"/>
      <c r="P1028" s="17"/>
      <c r="Q1028" s="17"/>
    </row>
    <row r="1029" spans="1:17">
      <c r="A1029" s="556" t="s">
        <v>3565</v>
      </c>
      <c r="B1029" s="557"/>
      <c r="C1029" s="558" t="s">
        <v>1759</v>
      </c>
      <c r="D1029" s="556" t="s">
        <v>4324</v>
      </c>
      <c r="E1029" s="17" t="s">
        <v>4464</v>
      </c>
      <c r="F1029" s="17">
        <v>10</v>
      </c>
      <c r="G1029" s="17">
        <v>6</v>
      </c>
      <c r="H1029" s="17" t="s">
        <v>3457</v>
      </c>
      <c r="I1029" s="17"/>
      <c r="J1029" s="17"/>
      <c r="K1029" s="17"/>
      <c r="L1029" s="17"/>
      <c r="M1029" s="17"/>
      <c r="N1029" s="17"/>
      <c r="O1029" s="17"/>
      <c r="P1029" s="17"/>
      <c r="Q1029" s="17"/>
    </row>
    <row r="1030" spans="1:17">
      <c r="A1030" s="556" t="s">
        <v>3565</v>
      </c>
      <c r="B1030" s="557"/>
      <c r="C1030" s="558" t="s">
        <v>1735</v>
      </c>
      <c r="D1030" s="556" t="s">
        <v>1693</v>
      </c>
      <c r="E1030" s="17" t="s">
        <v>4465</v>
      </c>
      <c r="F1030" s="17">
        <v>11</v>
      </c>
      <c r="G1030" s="17">
        <v>1</v>
      </c>
      <c r="H1030" s="17" t="s">
        <v>7781</v>
      </c>
      <c r="I1030" s="17">
        <v>0</v>
      </c>
      <c r="J1030" s="17"/>
      <c r="K1030" s="17"/>
      <c r="L1030" s="17"/>
      <c r="M1030" s="17"/>
      <c r="N1030" s="17"/>
      <c r="O1030" s="17"/>
      <c r="P1030" s="17"/>
      <c r="Q1030" s="17"/>
    </row>
    <row r="1031" spans="1:17">
      <c r="A1031" s="556" t="s">
        <v>3565</v>
      </c>
      <c r="B1031" s="557"/>
      <c r="C1031" s="558" t="s">
        <v>1735</v>
      </c>
      <c r="D1031" s="556" t="s">
        <v>1694</v>
      </c>
      <c r="E1031" s="17" t="s">
        <v>4466</v>
      </c>
      <c r="F1031" s="17">
        <v>11</v>
      </c>
      <c r="G1031" s="17">
        <v>3</v>
      </c>
      <c r="H1031" s="17" t="s">
        <v>3367</v>
      </c>
      <c r="I1031" s="17">
        <v>0</v>
      </c>
      <c r="J1031" s="17"/>
      <c r="K1031" s="17"/>
      <c r="L1031" s="17"/>
      <c r="M1031" s="17"/>
      <c r="N1031" s="17"/>
      <c r="O1031" s="17"/>
      <c r="P1031" s="17"/>
      <c r="Q1031" s="17"/>
    </row>
    <row r="1032" spans="1:17">
      <c r="A1032" s="556" t="s">
        <v>3565</v>
      </c>
      <c r="B1032" s="557"/>
      <c r="C1032" s="558" t="s">
        <v>1735</v>
      </c>
      <c r="D1032" s="556" t="s">
        <v>4426</v>
      </c>
      <c r="E1032" s="17" t="s">
        <v>4467</v>
      </c>
      <c r="F1032" s="17">
        <v>11</v>
      </c>
      <c r="G1032" s="17">
        <v>5</v>
      </c>
      <c r="H1032" s="17" t="s">
        <v>3369</v>
      </c>
      <c r="I1032" s="17">
        <v>0</v>
      </c>
      <c r="J1032" s="17"/>
      <c r="K1032" s="17"/>
      <c r="L1032" s="17"/>
      <c r="M1032" s="17"/>
      <c r="N1032" s="17"/>
      <c r="O1032" s="17"/>
      <c r="P1032" s="17"/>
      <c r="Q1032" s="17"/>
    </row>
    <row r="1033" spans="1:17">
      <c r="A1033" s="556" t="s">
        <v>3565</v>
      </c>
      <c r="B1033" s="557"/>
      <c r="C1033" s="558" t="s">
        <v>1735</v>
      </c>
      <c r="D1033" s="556" t="s">
        <v>4324</v>
      </c>
      <c r="E1033" s="17" t="s">
        <v>4468</v>
      </c>
      <c r="F1033" s="17">
        <v>11</v>
      </c>
      <c r="G1033" s="17">
        <v>6</v>
      </c>
      <c r="H1033" s="17" t="s">
        <v>3458</v>
      </c>
      <c r="I1033" s="17"/>
      <c r="J1033" s="17"/>
      <c r="K1033" s="17"/>
      <c r="L1033" s="17"/>
      <c r="M1033" s="17"/>
      <c r="N1033" s="17"/>
      <c r="O1033" s="17"/>
      <c r="P1033" s="17"/>
      <c r="Q1033" s="17"/>
    </row>
    <row r="1034" spans="1:17">
      <c r="A1034" s="556" t="s">
        <v>3567</v>
      </c>
      <c r="B1034" s="557"/>
      <c r="C1034" s="558" t="s">
        <v>1768</v>
      </c>
      <c r="D1034" s="556" t="s">
        <v>1693</v>
      </c>
      <c r="E1034" s="17" t="s">
        <v>4469</v>
      </c>
      <c r="F1034" s="17">
        <v>1</v>
      </c>
      <c r="G1034" s="17">
        <v>1</v>
      </c>
      <c r="H1034" s="17" t="s">
        <v>3696</v>
      </c>
      <c r="I1034" s="17"/>
      <c r="J1034" s="17"/>
      <c r="K1034" s="17"/>
      <c r="L1034" s="17"/>
      <c r="M1034" s="17"/>
      <c r="N1034" s="17"/>
      <c r="O1034" s="17"/>
      <c r="P1034" s="17"/>
      <c r="Q1034" s="17"/>
    </row>
    <row r="1035" spans="1:17">
      <c r="A1035" s="556" t="s">
        <v>3567</v>
      </c>
      <c r="B1035" s="557"/>
      <c r="C1035" s="558" t="s">
        <v>1768</v>
      </c>
      <c r="D1035" s="556" t="s">
        <v>1694</v>
      </c>
      <c r="E1035" s="17" t="s">
        <v>4470</v>
      </c>
      <c r="F1035" s="17">
        <v>1</v>
      </c>
      <c r="G1035" s="17">
        <v>2</v>
      </c>
      <c r="H1035" s="17" t="s">
        <v>3692</v>
      </c>
      <c r="I1035" s="17"/>
      <c r="J1035" s="17"/>
      <c r="K1035" s="17"/>
      <c r="L1035" s="17"/>
      <c r="M1035" s="17"/>
      <c r="N1035" s="17"/>
      <c r="O1035" s="17"/>
      <c r="P1035" s="17"/>
      <c r="Q1035" s="17"/>
    </row>
    <row r="1036" spans="1:17">
      <c r="A1036" s="556" t="s">
        <v>3567</v>
      </c>
      <c r="B1036" s="557"/>
      <c r="C1036" s="558" t="s">
        <v>1768</v>
      </c>
      <c r="D1036" s="556" t="s">
        <v>4324</v>
      </c>
      <c r="E1036" s="17" t="s">
        <v>4471</v>
      </c>
      <c r="F1036" s="17">
        <v>1</v>
      </c>
      <c r="G1036" s="17">
        <v>3</v>
      </c>
      <c r="H1036" s="17" t="s">
        <v>3701</v>
      </c>
      <c r="I1036" s="17"/>
      <c r="J1036" s="17"/>
      <c r="K1036" s="17"/>
      <c r="L1036" s="17"/>
      <c r="M1036" s="17"/>
      <c r="N1036" s="17"/>
      <c r="O1036" s="17"/>
      <c r="P1036" s="17"/>
      <c r="Q1036" s="17"/>
    </row>
    <row r="1037" spans="1:17">
      <c r="A1037" s="556" t="s">
        <v>3567</v>
      </c>
      <c r="B1037" s="557"/>
      <c r="C1037" s="558" t="s">
        <v>1768</v>
      </c>
      <c r="D1037" s="556" t="s">
        <v>4326</v>
      </c>
      <c r="E1037" s="17" t="s">
        <v>4472</v>
      </c>
      <c r="F1037" s="17">
        <v>1</v>
      </c>
      <c r="G1037" s="17">
        <v>4</v>
      </c>
      <c r="H1037" s="17" t="s">
        <v>3714</v>
      </c>
      <c r="I1037" s="17"/>
      <c r="J1037" s="17"/>
      <c r="K1037" s="17"/>
      <c r="L1037" s="17"/>
      <c r="M1037" s="17"/>
      <c r="N1037" s="17"/>
      <c r="O1037" s="17"/>
      <c r="P1037" s="17"/>
      <c r="Q1037" s="17"/>
    </row>
    <row r="1038" spans="1:17">
      <c r="A1038" s="556" t="s">
        <v>3567</v>
      </c>
      <c r="B1038" s="557"/>
      <c r="C1038" s="558" t="s">
        <v>1768</v>
      </c>
      <c r="D1038" s="556" t="s">
        <v>9326</v>
      </c>
      <c r="E1038" s="17" t="s">
        <v>4473</v>
      </c>
      <c r="F1038" s="17">
        <v>1</v>
      </c>
      <c r="G1038" s="17">
        <v>5</v>
      </c>
      <c r="H1038" s="17" t="s">
        <v>3720</v>
      </c>
      <c r="I1038" s="17"/>
      <c r="J1038" s="17"/>
      <c r="K1038" s="17"/>
      <c r="L1038" s="17"/>
      <c r="M1038" s="17"/>
      <c r="N1038" s="17"/>
      <c r="O1038" s="17"/>
      <c r="P1038" s="17"/>
      <c r="Q1038" s="17"/>
    </row>
    <row r="1039" spans="1:17">
      <c r="A1039" s="556" t="s">
        <v>3567</v>
      </c>
      <c r="B1039" s="557"/>
      <c r="C1039" s="558" t="s">
        <v>1768</v>
      </c>
      <c r="D1039" s="556" t="s">
        <v>9327</v>
      </c>
      <c r="E1039" s="17" t="s">
        <v>4474</v>
      </c>
      <c r="F1039" s="17">
        <v>1</v>
      </c>
      <c r="G1039" s="17">
        <v>6</v>
      </c>
      <c r="H1039" s="17" t="s">
        <v>3721</v>
      </c>
      <c r="I1039" s="17"/>
      <c r="J1039" s="17"/>
      <c r="K1039" s="17"/>
      <c r="L1039" s="17"/>
      <c r="M1039" s="17"/>
      <c r="N1039" s="17"/>
      <c r="O1039" s="17"/>
      <c r="P1039" s="17"/>
      <c r="Q1039" s="17"/>
    </row>
    <row r="1040" spans="1:17">
      <c r="A1040" s="556" t="s">
        <v>3567</v>
      </c>
      <c r="B1040" s="557"/>
      <c r="C1040" s="558" t="s">
        <v>4475</v>
      </c>
      <c r="D1040" s="556" t="s">
        <v>1693</v>
      </c>
      <c r="E1040" s="17" t="s">
        <v>4476</v>
      </c>
      <c r="F1040" s="17">
        <v>2</v>
      </c>
      <c r="G1040" s="17">
        <v>1</v>
      </c>
      <c r="H1040" s="17" t="s">
        <v>3517</v>
      </c>
      <c r="I1040" s="17"/>
      <c r="J1040" s="17"/>
      <c r="K1040" s="17"/>
      <c r="L1040" s="17"/>
      <c r="M1040" s="17"/>
      <c r="N1040" s="17"/>
      <c r="O1040" s="17"/>
      <c r="P1040" s="17"/>
      <c r="Q1040" s="17"/>
    </row>
    <row r="1041" spans="1:17">
      <c r="A1041" s="556" t="s">
        <v>3567</v>
      </c>
      <c r="B1041" s="557"/>
      <c r="C1041" s="558" t="s">
        <v>4475</v>
      </c>
      <c r="D1041" s="556" t="s">
        <v>1694</v>
      </c>
      <c r="E1041" s="17" t="s">
        <v>4477</v>
      </c>
      <c r="F1041" s="17">
        <v>2</v>
      </c>
      <c r="G1041" s="17">
        <v>2</v>
      </c>
      <c r="H1041" s="17" t="s">
        <v>3518</v>
      </c>
      <c r="I1041" s="17"/>
      <c r="J1041" s="17"/>
      <c r="K1041" s="17"/>
      <c r="L1041" s="17"/>
      <c r="M1041" s="17"/>
      <c r="N1041" s="17"/>
      <c r="O1041" s="17"/>
      <c r="P1041" s="17"/>
      <c r="Q1041" s="17"/>
    </row>
    <row r="1042" spans="1:17">
      <c r="A1042" s="556" t="s">
        <v>3567</v>
      </c>
      <c r="B1042" s="557"/>
      <c r="C1042" s="558" t="s">
        <v>4475</v>
      </c>
      <c r="D1042" s="556" t="s">
        <v>4324</v>
      </c>
      <c r="E1042" s="17" t="s">
        <v>4478</v>
      </c>
      <c r="F1042" s="17">
        <v>2</v>
      </c>
      <c r="G1042" s="17">
        <v>3</v>
      </c>
      <c r="H1042" s="17" t="s">
        <v>3519</v>
      </c>
      <c r="I1042" s="17"/>
      <c r="J1042" s="17"/>
      <c r="K1042" s="17"/>
      <c r="L1042" s="17"/>
      <c r="M1042" s="17"/>
      <c r="N1042" s="17"/>
      <c r="O1042" s="17"/>
      <c r="P1042" s="17"/>
      <c r="Q1042" s="17"/>
    </row>
    <row r="1043" spans="1:17">
      <c r="A1043" s="556" t="s">
        <v>3567</v>
      </c>
      <c r="B1043" s="557"/>
      <c r="C1043" s="558" t="s">
        <v>4475</v>
      </c>
      <c r="D1043" s="556" t="s">
        <v>4326</v>
      </c>
      <c r="E1043" s="17" t="s">
        <v>4479</v>
      </c>
      <c r="F1043" s="17">
        <v>2</v>
      </c>
      <c r="G1043" s="17">
        <v>4</v>
      </c>
      <c r="H1043" s="17" t="s">
        <v>3520</v>
      </c>
      <c r="I1043" s="17"/>
      <c r="J1043" s="17"/>
      <c r="K1043" s="17"/>
      <c r="L1043" s="17"/>
      <c r="M1043" s="17"/>
      <c r="N1043" s="17"/>
      <c r="O1043" s="17"/>
      <c r="P1043" s="17"/>
      <c r="Q1043" s="17"/>
    </row>
    <row r="1044" spans="1:17">
      <c r="A1044" s="556" t="s">
        <v>3567</v>
      </c>
      <c r="B1044" s="557"/>
      <c r="C1044" s="558" t="s">
        <v>4475</v>
      </c>
      <c r="D1044" s="556" t="s">
        <v>9326</v>
      </c>
      <c r="E1044" s="17" t="s">
        <v>4480</v>
      </c>
      <c r="F1044" s="17">
        <v>2</v>
      </c>
      <c r="G1044" s="17">
        <v>5</v>
      </c>
      <c r="H1044" s="17" t="s">
        <v>3521</v>
      </c>
      <c r="I1044" s="17"/>
      <c r="J1044" s="17"/>
      <c r="K1044" s="17"/>
      <c r="L1044" s="17"/>
      <c r="M1044" s="17"/>
      <c r="N1044" s="17"/>
      <c r="O1044" s="17"/>
      <c r="P1044" s="17"/>
      <c r="Q1044" s="17"/>
    </row>
    <row r="1045" spans="1:17">
      <c r="A1045" s="556" t="s">
        <v>3567</v>
      </c>
      <c r="B1045" s="557"/>
      <c r="C1045" s="558" t="s">
        <v>4475</v>
      </c>
      <c r="D1045" s="556" t="s">
        <v>9327</v>
      </c>
      <c r="E1045" s="17" t="s">
        <v>4481</v>
      </c>
      <c r="F1045" s="17">
        <v>2</v>
      </c>
      <c r="G1045" s="17">
        <v>6</v>
      </c>
      <c r="H1045" s="17" t="s">
        <v>3505</v>
      </c>
      <c r="I1045" s="17"/>
      <c r="J1045" s="17"/>
      <c r="K1045" s="17"/>
      <c r="L1045" s="17"/>
      <c r="M1045" s="17"/>
      <c r="N1045" s="17"/>
      <c r="O1045" s="17"/>
      <c r="P1045" s="17"/>
      <c r="Q1045" s="17"/>
    </row>
    <row r="1046" spans="1:17">
      <c r="A1046" s="556" t="s">
        <v>3567</v>
      </c>
      <c r="B1046" s="557"/>
      <c r="C1046" s="558" t="s">
        <v>1770</v>
      </c>
      <c r="D1046" s="556" t="s">
        <v>1693</v>
      </c>
      <c r="E1046" s="17" t="s">
        <v>4482</v>
      </c>
      <c r="F1046" s="17">
        <v>3</v>
      </c>
      <c r="G1046" s="17">
        <v>1</v>
      </c>
      <c r="H1046" s="17" t="s">
        <v>3326</v>
      </c>
      <c r="I1046" s="17"/>
      <c r="J1046" s="17"/>
      <c r="K1046" s="17"/>
      <c r="L1046" s="17"/>
      <c r="M1046" s="17"/>
      <c r="N1046" s="17"/>
      <c r="O1046" s="17"/>
      <c r="P1046" s="17"/>
      <c r="Q1046" s="17"/>
    </row>
    <row r="1047" spans="1:17">
      <c r="A1047" s="556" t="s">
        <v>3567</v>
      </c>
      <c r="B1047" s="557"/>
      <c r="C1047" s="558" t="s">
        <v>1770</v>
      </c>
      <c r="D1047" s="556" t="s">
        <v>1694</v>
      </c>
      <c r="E1047" s="17" t="s">
        <v>4483</v>
      </c>
      <c r="F1047" s="17">
        <v>3</v>
      </c>
      <c r="G1047" s="17">
        <v>2</v>
      </c>
      <c r="H1047" s="17" t="s">
        <v>2990</v>
      </c>
      <c r="I1047" s="17"/>
      <c r="J1047" s="17"/>
      <c r="K1047" s="17"/>
      <c r="L1047" s="17"/>
      <c r="M1047" s="17"/>
      <c r="N1047" s="17"/>
      <c r="O1047" s="17"/>
      <c r="P1047" s="17"/>
      <c r="Q1047" s="17"/>
    </row>
    <row r="1048" spans="1:17">
      <c r="A1048" s="556" t="s">
        <v>3567</v>
      </c>
      <c r="B1048" s="557"/>
      <c r="C1048" s="558" t="s">
        <v>1770</v>
      </c>
      <c r="D1048" s="556" t="s">
        <v>4324</v>
      </c>
      <c r="E1048" s="17" t="s">
        <v>4484</v>
      </c>
      <c r="F1048" s="17">
        <v>3</v>
      </c>
      <c r="G1048" s="17">
        <v>3</v>
      </c>
      <c r="H1048" s="17" t="s">
        <v>3338</v>
      </c>
      <c r="I1048" s="17"/>
      <c r="J1048" s="17"/>
      <c r="K1048" s="17"/>
      <c r="L1048" s="17"/>
      <c r="M1048" s="17"/>
      <c r="N1048" s="17"/>
      <c r="O1048" s="17"/>
      <c r="P1048" s="17"/>
      <c r="Q1048" s="17"/>
    </row>
    <row r="1049" spans="1:17">
      <c r="A1049" s="556" t="s">
        <v>3567</v>
      </c>
      <c r="B1049" s="557"/>
      <c r="C1049" s="558" t="s">
        <v>1770</v>
      </c>
      <c r="D1049" s="556" t="s">
        <v>4326</v>
      </c>
      <c r="E1049" s="17" t="s">
        <v>4485</v>
      </c>
      <c r="F1049" s="17">
        <v>3</v>
      </c>
      <c r="G1049" s="17">
        <v>4</v>
      </c>
      <c r="H1049" s="17" t="s">
        <v>2991</v>
      </c>
      <c r="I1049" s="17"/>
      <c r="J1049" s="17"/>
      <c r="K1049" s="17"/>
      <c r="L1049" s="17"/>
      <c r="M1049" s="17"/>
      <c r="N1049" s="17"/>
      <c r="O1049" s="17"/>
      <c r="P1049" s="17"/>
      <c r="Q1049" s="17"/>
    </row>
    <row r="1050" spans="1:17">
      <c r="A1050" s="556" t="s">
        <v>3567</v>
      </c>
      <c r="B1050" s="557"/>
      <c r="C1050" s="558" t="s">
        <v>1770</v>
      </c>
      <c r="D1050" s="556" t="s">
        <v>9326</v>
      </c>
      <c r="E1050" s="17" t="s">
        <v>4486</v>
      </c>
      <c r="F1050" s="17">
        <v>3</v>
      </c>
      <c r="G1050" s="17">
        <v>5</v>
      </c>
      <c r="H1050" s="17" t="s">
        <v>2992</v>
      </c>
      <c r="I1050" s="17"/>
      <c r="J1050" s="17"/>
      <c r="K1050" s="17"/>
      <c r="L1050" s="17"/>
      <c r="M1050" s="17"/>
      <c r="N1050" s="17"/>
      <c r="O1050" s="17"/>
      <c r="P1050" s="17"/>
      <c r="Q1050" s="17"/>
    </row>
    <row r="1051" spans="1:17">
      <c r="A1051" s="556" t="s">
        <v>3567</v>
      </c>
      <c r="B1051" s="557"/>
      <c r="C1051" s="558" t="s">
        <v>1770</v>
      </c>
      <c r="D1051" s="556" t="s">
        <v>9327</v>
      </c>
      <c r="E1051" s="17" t="s">
        <v>4487</v>
      </c>
      <c r="F1051" s="17">
        <v>3</v>
      </c>
      <c r="G1051" s="17">
        <v>6</v>
      </c>
      <c r="H1051" s="17" t="s">
        <v>3450</v>
      </c>
      <c r="I1051" s="17"/>
      <c r="J1051" s="17"/>
      <c r="K1051" s="17"/>
      <c r="L1051" s="17"/>
      <c r="M1051" s="17"/>
      <c r="N1051" s="17"/>
      <c r="O1051" s="17"/>
      <c r="P1051" s="17"/>
      <c r="Q1051" s="17"/>
    </row>
    <row r="1052" spans="1:17">
      <c r="A1052" s="556" t="s">
        <v>3567</v>
      </c>
      <c r="B1052" s="557"/>
      <c r="C1052" s="558" t="s">
        <v>1771</v>
      </c>
      <c r="D1052" s="556" t="s">
        <v>1693</v>
      </c>
      <c r="E1052" s="17" t="s">
        <v>4488</v>
      </c>
      <c r="F1052" s="17">
        <v>4</v>
      </c>
      <c r="G1052" s="17">
        <v>1</v>
      </c>
      <c r="H1052" s="17" t="s">
        <v>3525</v>
      </c>
      <c r="I1052" s="17"/>
      <c r="J1052" s="17"/>
      <c r="K1052" s="17"/>
      <c r="L1052" s="17"/>
      <c r="M1052" s="17"/>
      <c r="N1052" s="17"/>
      <c r="O1052" s="17"/>
      <c r="P1052" s="17"/>
      <c r="Q1052" s="17"/>
    </row>
    <row r="1053" spans="1:17">
      <c r="A1053" s="556" t="s">
        <v>3567</v>
      </c>
      <c r="B1053" s="557"/>
      <c r="C1053" s="558" t="s">
        <v>1771</v>
      </c>
      <c r="D1053" s="556" t="s">
        <v>1694</v>
      </c>
      <c r="E1053" s="17" t="s">
        <v>4489</v>
      </c>
      <c r="F1053" s="17">
        <v>4</v>
      </c>
      <c r="G1053" s="17">
        <v>2</v>
      </c>
      <c r="H1053" s="17" t="s">
        <v>3339</v>
      </c>
      <c r="I1053" s="17"/>
      <c r="J1053" s="17"/>
      <c r="K1053" s="17"/>
      <c r="L1053" s="17"/>
      <c r="M1053" s="17"/>
      <c r="N1053" s="17"/>
      <c r="O1053" s="17"/>
      <c r="P1053" s="17"/>
      <c r="Q1053" s="17"/>
    </row>
    <row r="1054" spans="1:17">
      <c r="A1054" s="556" t="s">
        <v>3567</v>
      </c>
      <c r="B1054" s="557"/>
      <c r="C1054" s="558" t="s">
        <v>1771</v>
      </c>
      <c r="D1054" s="556" t="s">
        <v>4324</v>
      </c>
      <c r="E1054" s="17" t="s">
        <v>4490</v>
      </c>
      <c r="F1054" s="17">
        <v>4</v>
      </c>
      <c r="G1054" s="17">
        <v>3</v>
      </c>
      <c r="H1054" s="17" t="s">
        <v>3340</v>
      </c>
      <c r="I1054" s="17"/>
      <c r="J1054" s="17"/>
      <c r="K1054" s="17"/>
      <c r="L1054" s="17"/>
      <c r="M1054" s="17"/>
      <c r="N1054" s="17"/>
      <c r="O1054" s="17"/>
      <c r="P1054" s="17"/>
      <c r="Q1054" s="17"/>
    </row>
    <row r="1055" spans="1:17">
      <c r="A1055" s="556" t="s">
        <v>3567</v>
      </c>
      <c r="B1055" s="557"/>
      <c r="C1055" s="558" t="s">
        <v>1771</v>
      </c>
      <c r="D1055" s="556" t="s">
        <v>4326</v>
      </c>
      <c r="E1055" s="17" t="s">
        <v>4491</v>
      </c>
      <c r="F1055" s="17">
        <v>4</v>
      </c>
      <c r="G1055" s="17">
        <v>4</v>
      </c>
      <c r="H1055" s="17" t="s">
        <v>3341</v>
      </c>
      <c r="I1055" s="17"/>
      <c r="J1055" s="17"/>
      <c r="K1055" s="17"/>
      <c r="L1055" s="17"/>
      <c r="M1055" s="17"/>
      <c r="N1055" s="17"/>
      <c r="O1055" s="17"/>
      <c r="P1055" s="17"/>
      <c r="Q1055" s="17"/>
    </row>
    <row r="1056" spans="1:17">
      <c r="A1056" s="556" t="s">
        <v>3567</v>
      </c>
      <c r="B1056" s="557"/>
      <c r="C1056" s="558" t="s">
        <v>1771</v>
      </c>
      <c r="D1056" s="556" t="s">
        <v>9326</v>
      </c>
      <c r="E1056" s="17" t="s">
        <v>4492</v>
      </c>
      <c r="F1056" s="17">
        <v>4</v>
      </c>
      <c r="G1056" s="17">
        <v>5</v>
      </c>
      <c r="H1056" s="17" t="s">
        <v>3342</v>
      </c>
      <c r="I1056" s="17"/>
      <c r="J1056" s="17"/>
      <c r="K1056" s="17"/>
      <c r="L1056" s="17"/>
      <c r="M1056" s="17"/>
      <c r="N1056" s="17"/>
      <c r="O1056" s="17"/>
      <c r="P1056" s="17"/>
      <c r="Q1056" s="17"/>
    </row>
    <row r="1057" spans="1:17">
      <c r="A1057" s="556" t="s">
        <v>3567</v>
      </c>
      <c r="B1057" s="557"/>
      <c r="C1057" s="558" t="s">
        <v>1771</v>
      </c>
      <c r="D1057" s="556" t="s">
        <v>9327</v>
      </c>
      <c r="E1057" s="17" t="s">
        <v>4493</v>
      </c>
      <c r="F1057" s="17">
        <v>4</v>
      </c>
      <c r="G1057" s="17">
        <v>6</v>
      </c>
      <c r="H1057" s="17" t="s">
        <v>3451</v>
      </c>
      <c r="I1057" s="17"/>
      <c r="J1057" s="17"/>
      <c r="K1057" s="17"/>
      <c r="L1057" s="17"/>
      <c r="M1057" s="17"/>
      <c r="N1057" s="17"/>
      <c r="O1057" s="17"/>
      <c r="P1057" s="17"/>
      <c r="Q1057" s="17"/>
    </row>
    <row r="1058" spans="1:17">
      <c r="A1058" s="556" t="s">
        <v>3567</v>
      </c>
      <c r="B1058" s="557"/>
      <c r="C1058" s="558" t="s">
        <v>1772</v>
      </c>
      <c r="D1058" s="556" t="s">
        <v>1693</v>
      </c>
      <c r="E1058" s="17" t="s">
        <v>4494</v>
      </c>
      <c r="F1058" s="17">
        <v>5</v>
      </c>
      <c r="G1058" s="17">
        <v>1</v>
      </c>
      <c r="H1058" s="17" t="s">
        <v>3697</v>
      </c>
      <c r="I1058" s="17"/>
      <c r="J1058" s="17"/>
      <c r="K1058" s="17"/>
      <c r="L1058" s="17"/>
      <c r="M1058" s="17"/>
      <c r="N1058" s="17"/>
      <c r="O1058" s="17"/>
      <c r="P1058" s="17"/>
      <c r="Q1058" s="17"/>
    </row>
    <row r="1059" spans="1:17">
      <c r="A1059" s="556" t="s">
        <v>3567</v>
      </c>
      <c r="B1059" s="557"/>
      <c r="C1059" s="558" t="s">
        <v>1772</v>
      </c>
      <c r="D1059" s="556" t="s">
        <v>1694</v>
      </c>
      <c r="E1059" s="17" t="s">
        <v>4495</v>
      </c>
      <c r="F1059" s="17">
        <v>5</v>
      </c>
      <c r="G1059" s="17">
        <v>2</v>
      </c>
      <c r="H1059" s="17" t="s">
        <v>3343</v>
      </c>
      <c r="I1059" s="17"/>
      <c r="J1059" s="17"/>
      <c r="K1059" s="17"/>
      <c r="L1059" s="17"/>
      <c r="M1059" s="17"/>
      <c r="N1059" s="17"/>
      <c r="O1059" s="17"/>
      <c r="P1059" s="17"/>
      <c r="Q1059" s="17"/>
    </row>
    <row r="1060" spans="1:17">
      <c r="A1060" s="556" t="s">
        <v>3567</v>
      </c>
      <c r="B1060" s="557"/>
      <c r="C1060" s="558" t="s">
        <v>1772</v>
      </c>
      <c r="D1060" s="556" t="s">
        <v>4324</v>
      </c>
      <c r="E1060" s="17" t="s">
        <v>4496</v>
      </c>
      <c r="F1060" s="17">
        <v>5</v>
      </c>
      <c r="G1060" s="17">
        <v>3</v>
      </c>
      <c r="H1060" s="17" t="s">
        <v>3344</v>
      </c>
      <c r="I1060" s="17"/>
      <c r="J1060" s="17"/>
      <c r="K1060" s="17"/>
      <c r="L1060" s="17"/>
      <c r="M1060" s="17"/>
      <c r="N1060" s="17"/>
      <c r="O1060" s="17"/>
      <c r="P1060" s="17"/>
      <c r="Q1060" s="17"/>
    </row>
    <row r="1061" spans="1:17">
      <c r="A1061" s="556" t="s">
        <v>3567</v>
      </c>
      <c r="B1061" s="557"/>
      <c r="C1061" s="558" t="s">
        <v>1772</v>
      </c>
      <c r="D1061" s="556" t="s">
        <v>4326</v>
      </c>
      <c r="E1061" s="17" t="s">
        <v>4497</v>
      </c>
      <c r="F1061" s="17">
        <v>5</v>
      </c>
      <c r="G1061" s="17">
        <v>4</v>
      </c>
      <c r="H1061" s="17" t="s">
        <v>3345</v>
      </c>
      <c r="I1061" s="17"/>
      <c r="J1061" s="17"/>
      <c r="K1061" s="17"/>
      <c r="L1061" s="17"/>
      <c r="M1061" s="17"/>
      <c r="N1061" s="17"/>
      <c r="O1061" s="17"/>
      <c r="P1061" s="17"/>
      <c r="Q1061" s="17"/>
    </row>
    <row r="1062" spans="1:17">
      <c r="A1062" s="556" t="s">
        <v>3567</v>
      </c>
      <c r="B1062" s="557"/>
      <c r="C1062" s="558" t="s">
        <v>1772</v>
      </c>
      <c r="D1062" s="556" t="s">
        <v>9326</v>
      </c>
      <c r="E1062" s="17" t="s">
        <v>4498</v>
      </c>
      <c r="F1062" s="17">
        <v>5</v>
      </c>
      <c r="G1062" s="17">
        <v>5</v>
      </c>
      <c r="H1062" s="17" t="s">
        <v>3346</v>
      </c>
      <c r="I1062" s="17"/>
      <c r="J1062" s="17"/>
      <c r="K1062" s="17"/>
      <c r="L1062" s="17"/>
      <c r="M1062" s="17"/>
      <c r="N1062" s="17"/>
      <c r="O1062" s="17"/>
      <c r="P1062" s="17"/>
      <c r="Q1062" s="17"/>
    </row>
    <row r="1063" spans="1:17">
      <c r="A1063" s="556" t="s">
        <v>3567</v>
      </c>
      <c r="B1063" s="557"/>
      <c r="C1063" s="558" t="s">
        <v>1772</v>
      </c>
      <c r="D1063" s="556" t="s">
        <v>9327</v>
      </c>
      <c r="E1063" s="17" t="s">
        <v>4499</v>
      </c>
      <c r="F1063" s="17">
        <v>5</v>
      </c>
      <c r="G1063" s="17">
        <v>6</v>
      </c>
      <c r="H1063" s="17" t="s">
        <v>3452</v>
      </c>
      <c r="I1063" s="17"/>
      <c r="J1063" s="17"/>
      <c r="K1063" s="17"/>
      <c r="L1063" s="17"/>
      <c r="M1063" s="17"/>
      <c r="N1063" s="17"/>
      <c r="O1063" s="17"/>
      <c r="P1063" s="17"/>
      <c r="Q1063" s="17"/>
    </row>
    <row r="1064" spans="1:17">
      <c r="A1064" s="556" t="s">
        <v>3567</v>
      </c>
      <c r="B1064" s="557"/>
      <c r="C1064" s="558" t="s">
        <v>1773</v>
      </c>
      <c r="D1064" s="556" t="s">
        <v>1693</v>
      </c>
      <c r="E1064" s="17" t="s">
        <v>4500</v>
      </c>
      <c r="F1064" s="17">
        <v>6</v>
      </c>
      <c r="G1064" s="17">
        <v>1</v>
      </c>
      <c r="H1064" s="17" t="s">
        <v>7772</v>
      </c>
      <c r="I1064" s="17"/>
      <c r="J1064" s="17"/>
      <c r="K1064" s="17"/>
      <c r="L1064" s="17"/>
      <c r="M1064" s="17"/>
      <c r="N1064" s="17"/>
      <c r="O1064" s="17"/>
      <c r="P1064" s="17"/>
      <c r="Q1064" s="17"/>
    </row>
    <row r="1065" spans="1:17">
      <c r="A1065" s="556" t="s">
        <v>3567</v>
      </c>
      <c r="B1065" s="557"/>
      <c r="C1065" s="558" t="s">
        <v>1773</v>
      </c>
      <c r="D1065" s="556" t="s">
        <v>1694</v>
      </c>
      <c r="E1065" s="17" t="s">
        <v>4501</v>
      </c>
      <c r="F1065" s="17">
        <v>6</v>
      </c>
      <c r="G1065" s="17">
        <v>2</v>
      </c>
      <c r="H1065" s="17" t="s">
        <v>3347</v>
      </c>
      <c r="I1065" s="17"/>
      <c r="J1065" s="17"/>
      <c r="K1065" s="17"/>
      <c r="L1065" s="17"/>
      <c r="M1065" s="17"/>
      <c r="N1065" s="17"/>
      <c r="O1065" s="17"/>
      <c r="P1065" s="17"/>
      <c r="Q1065" s="17"/>
    </row>
    <row r="1066" spans="1:17">
      <c r="A1066" s="556" t="s">
        <v>3567</v>
      </c>
      <c r="B1066" s="557"/>
      <c r="C1066" s="558" t="s">
        <v>1773</v>
      </c>
      <c r="D1066" s="556" t="s">
        <v>4324</v>
      </c>
      <c r="E1066" s="17" t="s">
        <v>4502</v>
      </c>
      <c r="F1066" s="17">
        <v>6</v>
      </c>
      <c r="G1066" s="17">
        <v>3</v>
      </c>
      <c r="H1066" s="17" t="s">
        <v>3348</v>
      </c>
      <c r="I1066" s="17"/>
      <c r="J1066" s="17"/>
      <c r="K1066" s="17"/>
      <c r="L1066" s="17"/>
      <c r="M1066" s="17"/>
      <c r="N1066" s="17"/>
      <c r="O1066" s="17"/>
      <c r="P1066" s="17"/>
      <c r="Q1066" s="17"/>
    </row>
    <row r="1067" spans="1:17">
      <c r="A1067" s="556" t="s">
        <v>3567</v>
      </c>
      <c r="B1067" s="557"/>
      <c r="C1067" s="558" t="s">
        <v>1773</v>
      </c>
      <c r="D1067" s="556" t="s">
        <v>4326</v>
      </c>
      <c r="E1067" s="17" t="s">
        <v>4503</v>
      </c>
      <c r="F1067" s="17">
        <v>6</v>
      </c>
      <c r="G1067" s="17">
        <v>4</v>
      </c>
      <c r="H1067" s="17" t="s">
        <v>3349</v>
      </c>
      <c r="I1067" s="17"/>
      <c r="J1067" s="17"/>
      <c r="K1067" s="17"/>
      <c r="L1067" s="17"/>
      <c r="M1067" s="17"/>
      <c r="N1067" s="17"/>
      <c r="O1067" s="17"/>
      <c r="P1067" s="17"/>
      <c r="Q1067" s="17"/>
    </row>
    <row r="1068" spans="1:17">
      <c r="A1068" s="556" t="s">
        <v>3567</v>
      </c>
      <c r="B1068" s="557"/>
      <c r="C1068" s="558" t="s">
        <v>1773</v>
      </c>
      <c r="D1068" s="556" t="s">
        <v>9326</v>
      </c>
      <c r="E1068" s="17" t="s">
        <v>4504</v>
      </c>
      <c r="F1068" s="17">
        <v>6</v>
      </c>
      <c r="G1068" s="17">
        <v>5</v>
      </c>
      <c r="H1068" s="17" t="s">
        <v>3350</v>
      </c>
      <c r="I1068" s="17"/>
      <c r="J1068" s="17"/>
      <c r="K1068" s="17"/>
      <c r="L1068" s="17"/>
      <c r="M1068" s="17"/>
      <c r="N1068" s="17"/>
      <c r="O1068" s="17"/>
      <c r="P1068" s="17"/>
      <c r="Q1068" s="17"/>
    </row>
    <row r="1069" spans="1:17">
      <c r="A1069" s="556" t="s">
        <v>3567</v>
      </c>
      <c r="B1069" s="557"/>
      <c r="C1069" s="558" t="s">
        <v>1773</v>
      </c>
      <c r="D1069" s="556" t="s">
        <v>9327</v>
      </c>
      <c r="E1069" s="17" t="s">
        <v>4505</v>
      </c>
      <c r="F1069" s="17">
        <v>6</v>
      </c>
      <c r="G1069" s="17">
        <v>6</v>
      </c>
      <c r="H1069" s="17" t="s">
        <v>3453</v>
      </c>
      <c r="I1069" s="17"/>
      <c r="J1069" s="17"/>
      <c r="K1069" s="17"/>
      <c r="L1069" s="17"/>
      <c r="M1069" s="17"/>
      <c r="N1069" s="17"/>
      <c r="O1069" s="17"/>
      <c r="P1069" s="17"/>
      <c r="Q1069" s="17"/>
    </row>
    <row r="1070" spans="1:17">
      <c r="A1070" s="556" t="s">
        <v>3567</v>
      </c>
      <c r="B1070" s="557"/>
      <c r="C1070" s="558" t="s">
        <v>1774</v>
      </c>
      <c r="D1070" s="556" t="s">
        <v>1693</v>
      </c>
      <c r="E1070" s="17" t="s">
        <v>4506</v>
      </c>
      <c r="F1070" s="17">
        <v>7</v>
      </c>
      <c r="G1070" s="17">
        <v>1</v>
      </c>
      <c r="H1070" s="17" t="s">
        <v>7774</v>
      </c>
      <c r="I1070" s="17"/>
      <c r="J1070" s="17"/>
      <c r="K1070" s="17"/>
      <c r="L1070" s="17"/>
      <c r="M1070" s="17"/>
      <c r="N1070" s="17"/>
      <c r="O1070" s="17"/>
      <c r="P1070" s="17"/>
      <c r="Q1070" s="17"/>
    </row>
    <row r="1071" spans="1:17">
      <c r="A1071" s="556" t="s">
        <v>3567</v>
      </c>
      <c r="B1071" s="557"/>
      <c r="C1071" s="558" t="s">
        <v>1774</v>
      </c>
      <c r="D1071" s="556" t="s">
        <v>1694</v>
      </c>
      <c r="E1071" s="17" t="s">
        <v>4507</v>
      </c>
      <c r="F1071" s="17">
        <v>7</v>
      </c>
      <c r="G1071" s="17">
        <v>2</v>
      </c>
      <c r="H1071" s="17" t="s">
        <v>3351</v>
      </c>
      <c r="I1071" s="17"/>
      <c r="J1071" s="17"/>
      <c r="K1071" s="17"/>
      <c r="L1071" s="17"/>
      <c r="M1071" s="17"/>
      <c r="N1071" s="17"/>
      <c r="O1071" s="17"/>
      <c r="P1071" s="17"/>
      <c r="Q1071" s="17"/>
    </row>
    <row r="1072" spans="1:17">
      <c r="A1072" s="556" t="s">
        <v>3567</v>
      </c>
      <c r="B1072" s="557"/>
      <c r="C1072" s="558" t="s">
        <v>1774</v>
      </c>
      <c r="D1072" s="556" t="s">
        <v>4324</v>
      </c>
      <c r="E1072" s="17" t="s">
        <v>4508</v>
      </c>
      <c r="F1072" s="17">
        <v>7</v>
      </c>
      <c r="G1072" s="17">
        <v>3</v>
      </c>
      <c r="H1072" s="17" t="s">
        <v>3352</v>
      </c>
      <c r="I1072" s="17"/>
      <c r="J1072" s="17"/>
      <c r="K1072" s="17"/>
      <c r="L1072" s="17"/>
      <c r="M1072" s="17"/>
      <c r="N1072" s="17"/>
      <c r="O1072" s="17"/>
      <c r="P1072" s="17"/>
      <c r="Q1072" s="17"/>
    </row>
    <row r="1073" spans="1:17">
      <c r="A1073" s="556" t="s">
        <v>3567</v>
      </c>
      <c r="B1073" s="557"/>
      <c r="C1073" s="558" t="s">
        <v>1774</v>
      </c>
      <c r="D1073" s="556" t="s">
        <v>4326</v>
      </c>
      <c r="E1073" s="17" t="s">
        <v>4509</v>
      </c>
      <c r="F1073" s="17">
        <v>7</v>
      </c>
      <c r="G1073" s="17">
        <v>4</v>
      </c>
      <c r="H1073" s="17" t="s">
        <v>3353</v>
      </c>
      <c r="I1073" s="17"/>
      <c r="J1073" s="17"/>
      <c r="K1073" s="17"/>
      <c r="L1073" s="17"/>
      <c r="M1073" s="17"/>
      <c r="N1073" s="17"/>
      <c r="O1073" s="17"/>
      <c r="P1073" s="17"/>
      <c r="Q1073" s="17"/>
    </row>
    <row r="1074" spans="1:17">
      <c r="A1074" s="556" t="s">
        <v>3567</v>
      </c>
      <c r="B1074" s="557"/>
      <c r="C1074" s="558" t="s">
        <v>1774</v>
      </c>
      <c r="D1074" s="556" t="s">
        <v>9326</v>
      </c>
      <c r="E1074" s="17" t="s">
        <v>4510</v>
      </c>
      <c r="F1074" s="17">
        <v>7</v>
      </c>
      <c r="G1074" s="17">
        <v>5</v>
      </c>
      <c r="H1074" s="17" t="s">
        <v>3354</v>
      </c>
      <c r="I1074" s="17"/>
      <c r="J1074" s="17"/>
      <c r="K1074" s="17"/>
      <c r="L1074" s="17"/>
      <c r="M1074" s="17"/>
      <c r="N1074" s="17"/>
      <c r="O1074" s="17"/>
      <c r="P1074" s="17"/>
      <c r="Q1074" s="17"/>
    </row>
    <row r="1075" spans="1:17">
      <c r="A1075" s="556" t="s">
        <v>3567</v>
      </c>
      <c r="B1075" s="557"/>
      <c r="C1075" s="558" t="s">
        <v>1774</v>
      </c>
      <c r="D1075" s="556" t="s">
        <v>9327</v>
      </c>
      <c r="E1075" s="17" t="s">
        <v>4511</v>
      </c>
      <c r="F1075" s="17">
        <v>7</v>
      </c>
      <c r="G1075" s="17">
        <v>6</v>
      </c>
      <c r="H1075" s="17" t="s">
        <v>3454</v>
      </c>
      <c r="I1075" s="17"/>
      <c r="J1075" s="17"/>
      <c r="K1075" s="17"/>
      <c r="L1075" s="17"/>
      <c r="M1075" s="17"/>
      <c r="N1075" s="17"/>
      <c r="O1075" s="17"/>
      <c r="P1075" s="17"/>
      <c r="Q1075" s="17"/>
    </row>
    <row r="1076" spans="1:17">
      <c r="A1076" s="556" t="s">
        <v>3567</v>
      </c>
      <c r="B1076" s="557"/>
      <c r="C1076" s="558" t="s">
        <v>1775</v>
      </c>
      <c r="D1076" s="556" t="s">
        <v>1693</v>
      </c>
      <c r="E1076" s="17" t="s">
        <v>4512</v>
      </c>
      <c r="F1076" s="17">
        <v>8</v>
      </c>
      <c r="G1076" s="17">
        <v>1</v>
      </c>
      <c r="H1076" s="17" t="s">
        <v>7776</v>
      </c>
      <c r="I1076" s="17"/>
      <c r="J1076" s="17"/>
      <c r="K1076" s="17"/>
      <c r="L1076" s="17"/>
      <c r="M1076" s="17"/>
      <c r="N1076" s="17"/>
      <c r="O1076" s="17"/>
      <c r="P1076" s="17"/>
      <c r="Q1076" s="17"/>
    </row>
    <row r="1077" spans="1:17">
      <c r="A1077" s="556" t="s">
        <v>3567</v>
      </c>
      <c r="B1077" s="557"/>
      <c r="C1077" s="558" t="s">
        <v>1775</v>
      </c>
      <c r="D1077" s="556" t="s">
        <v>1694</v>
      </c>
      <c r="E1077" s="17" t="s">
        <v>4513</v>
      </c>
      <c r="F1077" s="17">
        <v>8</v>
      </c>
      <c r="G1077" s="17">
        <v>2</v>
      </c>
      <c r="H1077" s="17" t="s">
        <v>3355</v>
      </c>
      <c r="I1077" s="17"/>
      <c r="J1077" s="17"/>
      <c r="K1077" s="17"/>
      <c r="L1077" s="17"/>
      <c r="M1077" s="17"/>
      <c r="N1077" s="17"/>
      <c r="O1077" s="17"/>
      <c r="P1077" s="17"/>
      <c r="Q1077" s="17"/>
    </row>
    <row r="1078" spans="1:17">
      <c r="A1078" s="556" t="s">
        <v>3567</v>
      </c>
      <c r="B1078" s="557"/>
      <c r="C1078" s="558" t="s">
        <v>1775</v>
      </c>
      <c r="D1078" s="556" t="s">
        <v>4324</v>
      </c>
      <c r="E1078" s="17" t="s">
        <v>4514</v>
      </c>
      <c r="F1078" s="17">
        <v>8</v>
      </c>
      <c r="G1078" s="17">
        <v>3</v>
      </c>
      <c r="H1078" s="17" t="s">
        <v>3356</v>
      </c>
      <c r="I1078" s="17"/>
      <c r="J1078" s="17"/>
      <c r="K1078" s="17"/>
      <c r="L1078" s="17"/>
      <c r="M1078" s="17"/>
      <c r="N1078" s="17"/>
      <c r="O1078" s="17"/>
      <c r="P1078" s="17"/>
      <c r="Q1078" s="17"/>
    </row>
    <row r="1079" spans="1:17">
      <c r="A1079" s="556" t="s">
        <v>3567</v>
      </c>
      <c r="B1079" s="557"/>
      <c r="C1079" s="558" t="s">
        <v>1775</v>
      </c>
      <c r="D1079" s="556" t="s">
        <v>4326</v>
      </c>
      <c r="E1079" s="17" t="s">
        <v>4515</v>
      </c>
      <c r="F1079" s="17">
        <v>8</v>
      </c>
      <c r="G1079" s="17">
        <v>4</v>
      </c>
      <c r="H1079" s="17" t="s">
        <v>3357</v>
      </c>
      <c r="I1079" s="17"/>
      <c r="J1079" s="17"/>
      <c r="K1079" s="17"/>
      <c r="L1079" s="17"/>
      <c r="M1079" s="17"/>
      <c r="N1079" s="17"/>
      <c r="O1079" s="17"/>
      <c r="P1079" s="17"/>
      <c r="Q1079" s="17"/>
    </row>
    <row r="1080" spans="1:17">
      <c r="A1080" s="556" t="s">
        <v>3567</v>
      </c>
      <c r="B1080" s="557"/>
      <c r="C1080" s="558" t="s">
        <v>1775</v>
      </c>
      <c r="D1080" s="556" t="s">
        <v>9326</v>
      </c>
      <c r="E1080" s="17" t="s">
        <v>4516</v>
      </c>
      <c r="F1080" s="17">
        <v>8</v>
      </c>
      <c r="G1080" s="17">
        <v>5</v>
      </c>
      <c r="H1080" s="17" t="s">
        <v>3358</v>
      </c>
      <c r="I1080" s="17"/>
      <c r="J1080" s="17"/>
      <c r="K1080" s="17"/>
      <c r="L1080" s="17"/>
      <c r="M1080" s="17"/>
      <c r="N1080" s="17"/>
      <c r="O1080" s="17"/>
      <c r="P1080" s="17"/>
      <c r="Q1080" s="17"/>
    </row>
    <row r="1081" spans="1:17">
      <c r="A1081" s="556" t="s">
        <v>3567</v>
      </c>
      <c r="B1081" s="557"/>
      <c r="C1081" s="558" t="s">
        <v>1775</v>
      </c>
      <c r="D1081" s="556" t="s">
        <v>9327</v>
      </c>
      <c r="E1081" s="17" t="s">
        <v>4517</v>
      </c>
      <c r="F1081" s="17">
        <v>8</v>
      </c>
      <c r="G1081" s="17">
        <v>6</v>
      </c>
      <c r="H1081" s="17" t="s">
        <v>3455</v>
      </c>
      <c r="I1081" s="17"/>
      <c r="J1081" s="17"/>
      <c r="K1081" s="17"/>
      <c r="L1081" s="17"/>
      <c r="M1081" s="17"/>
      <c r="N1081" s="17"/>
      <c r="O1081" s="17"/>
      <c r="P1081" s="17"/>
      <c r="Q1081" s="17"/>
    </row>
    <row r="1082" spans="1:17">
      <c r="A1082" s="556" t="s">
        <v>3567</v>
      </c>
      <c r="B1082" s="557"/>
      <c r="C1082" s="558" t="s">
        <v>1776</v>
      </c>
      <c r="D1082" s="556" t="s">
        <v>1693</v>
      </c>
      <c r="E1082" s="17" t="s">
        <v>4518</v>
      </c>
      <c r="F1082" s="17">
        <v>9</v>
      </c>
      <c r="G1082" s="17">
        <v>1</v>
      </c>
      <c r="H1082" s="17" t="s">
        <v>7778</v>
      </c>
      <c r="I1082" s="17">
        <v>0</v>
      </c>
      <c r="J1082" s="17"/>
      <c r="K1082" s="17"/>
      <c r="L1082" s="17"/>
      <c r="M1082" s="17"/>
      <c r="N1082" s="17"/>
      <c r="O1082" s="17"/>
      <c r="P1082" s="17"/>
      <c r="Q1082" s="17"/>
    </row>
    <row r="1083" spans="1:17">
      <c r="A1083" s="556" t="s">
        <v>3567</v>
      </c>
      <c r="B1083" s="557"/>
      <c r="C1083" s="558" t="s">
        <v>1776</v>
      </c>
      <c r="D1083" s="556" t="s">
        <v>1694</v>
      </c>
      <c r="E1083" s="17" t="s">
        <v>4519</v>
      </c>
      <c r="F1083" s="17">
        <v>9</v>
      </c>
      <c r="G1083" s="17">
        <v>2</v>
      </c>
      <c r="H1083" s="17" t="s">
        <v>3359</v>
      </c>
      <c r="I1083" s="17">
        <v>0</v>
      </c>
      <c r="J1083" s="17"/>
      <c r="K1083" s="17"/>
      <c r="L1083" s="17"/>
      <c r="M1083" s="17"/>
      <c r="N1083" s="17"/>
      <c r="O1083" s="17"/>
      <c r="P1083" s="17"/>
      <c r="Q1083" s="17"/>
    </row>
    <row r="1084" spans="1:17">
      <c r="A1084" s="556" t="s">
        <v>3567</v>
      </c>
      <c r="B1084" s="557"/>
      <c r="C1084" s="558" t="s">
        <v>1776</v>
      </c>
      <c r="D1084" s="556" t="s">
        <v>4324</v>
      </c>
      <c r="E1084" s="17" t="s">
        <v>4520</v>
      </c>
      <c r="F1084" s="17">
        <v>9</v>
      </c>
      <c r="G1084" s="17">
        <v>3</v>
      </c>
      <c r="H1084" s="17" t="s">
        <v>3360</v>
      </c>
      <c r="I1084" s="17"/>
      <c r="J1084" s="17"/>
      <c r="K1084" s="17"/>
      <c r="L1084" s="17"/>
      <c r="M1084" s="17"/>
      <c r="N1084" s="17"/>
      <c r="O1084" s="17"/>
      <c r="P1084" s="17"/>
      <c r="Q1084" s="17"/>
    </row>
    <row r="1085" spans="1:17">
      <c r="A1085" s="556" t="s">
        <v>3567</v>
      </c>
      <c r="B1085" s="557"/>
      <c r="C1085" s="558" t="s">
        <v>1776</v>
      </c>
      <c r="D1085" s="556" t="s">
        <v>4326</v>
      </c>
      <c r="E1085" s="17" t="s">
        <v>4521</v>
      </c>
      <c r="F1085" s="17">
        <v>9</v>
      </c>
      <c r="G1085" s="17">
        <v>4</v>
      </c>
      <c r="H1085" s="17" t="s">
        <v>3327</v>
      </c>
      <c r="I1085" s="17">
        <v>0</v>
      </c>
      <c r="J1085" s="17"/>
      <c r="K1085" s="17"/>
      <c r="L1085" s="17"/>
      <c r="M1085" s="17"/>
      <c r="N1085" s="17"/>
      <c r="O1085" s="17"/>
      <c r="P1085" s="17"/>
      <c r="Q1085" s="17"/>
    </row>
    <row r="1086" spans="1:17">
      <c r="A1086" s="556" t="s">
        <v>3567</v>
      </c>
      <c r="B1086" s="557"/>
      <c r="C1086" s="558" t="s">
        <v>1776</v>
      </c>
      <c r="D1086" s="556" t="s">
        <v>9326</v>
      </c>
      <c r="E1086" s="17" t="s">
        <v>4522</v>
      </c>
      <c r="F1086" s="17">
        <v>9</v>
      </c>
      <c r="G1086" s="17">
        <v>5</v>
      </c>
      <c r="H1086" s="17" t="s">
        <v>3361</v>
      </c>
      <c r="I1086" s="17">
        <v>0</v>
      </c>
      <c r="J1086" s="17"/>
      <c r="K1086" s="17"/>
      <c r="L1086" s="17"/>
      <c r="M1086" s="17"/>
      <c r="N1086" s="17"/>
      <c r="O1086" s="17"/>
      <c r="P1086" s="17"/>
      <c r="Q1086" s="17"/>
    </row>
    <row r="1087" spans="1:17">
      <c r="A1087" s="556" t="s">
        <v>3567</v>
      </c>
      <c r="B1087" s="557"/>
      <c r="C1087" s="558" t="s">
        <v>1776</v>
      </c>
      <c r="D1087" s="556" t="s">
        <v>9327</v>
      </c>
      <c r="E1087" s="17" t="s">
        <v>4523</v>
      </c>
      <c r="F1087" s="17">
        <v>9</v>
      </c>
      <c r="G1087" s="17">
        <v>6</v>
      </c>
      <c r="H1087" s="17" t="s">
        <v>3456</v>
      </c>
      <c r="I1087" s="17">
        <v>0</v>
      </c>
      <c r="J1087" s="17"/>
      <c r="K1087" s="17"/>
      <c r="L1087" s="17"/>
      <c r="M1087" s="17"/>
      <c r="N1087" s="17"/>
      <c r="O1087" s="17"/>
      <c r="P1087" s="17"/>
      <c r="Q1087" s="17"/>
    </row>
    <row r="1088" spans="1:17">
      <c r="A1088" s="556" t="s">
        <v>3567</v>
      </c>
      <c r="B1088" s="557"/>
      <c r="C1088" s="558" t="s">
        <v>1777</v>
      </c>
      <c r="D1088" s="556" t="s">
        <v>1693</v>
      </c>
      <c r="E1088" s="17" t="s">
        <v>4524</v>
      </c>
      <c r="F1088" s="17">
        <v>10</v>
      </c>
      <c r="G1088" s="17">
        <v>1</v>
      </c>
      <c r="H1088" s="17" t="s">
        <v>7779</v>
      </c>
      <c r="I1088" s="17"/>
      <c r="J1088" s="17"/>
      <c r="K1088" s="17"/>
      <c r="L1088" s="17"/>
      <c r="M1088" s="17"/>
      <c r="N1088" s="17"/>
      <c r="O1088" s="17"/>
      <c r="P1088" s="17"/>
      <c r="Q1088" s="17"/>
    </row>
    <row r="1089" spans="1:17">
      <c r="A1089" s="556" t="s">
        <v>3567</v>
      </c>
      <c r="B1089" s="557"/>
      <c r="C1089" s="558" t="s">
        <v>1777</v>
      </c>
      <c r="D1089" s="556" t="s">
        <v>1694</v>
      </c>
      <c r="E1089" s="17" t="s">
        <v>4525</v>
      </c>
      <c r="F1089" s="17">
        <v>10</v>
      </c>
      <c r="G1089" s="17">
        <v>2</v>
      </c>
      <c r="H1089" s="17" t="s">
        <v>3362</v>
      </c>
      <c r="I1089" s="17"/>
      <c r="J1089" s="17"/>
      <c r="K1089" s="17"/>
      <c r="L1089" s="17"/>
      <c r="M1089" s="17"/>
      <c r="N1089" s="17"/>
      <c r="O1089" s="17"/>
      <c r="P1089" s="17"/>
      <c r="Q1089" s="17"/>
    </row>
    <row r="1090" spans="1:17">
      <c r="A1090" s="556" t="s">
        <v>3567</v>
      </c>
      <c r="B1090" s="557"/>
      <c r="C1090" s="558" t="s">
        <v>1777</v>
      </c>
      <c r="D1090" s="556" t="s">
        <v>4324</v>
      </c>
      <c r="E1090" s="17" t="s">
        <v>4526</v>
      </c>
      <c r="F1090" s="17">
        <v>10</v>
      </c>
      <c r="G1090" s="17">
        <v>3</v>
      </c>
      <c r="H1090" s="17" t="s">
        <v>3363</v>
      </c>
      <c r="I1090" s="17"/>
      <c r="J1090" s="17"/>
      <c r="K1090" s="17"/>
      <c r="L1090" s="17"/>
      <c r="M1090" s="17"/>
      <c r="N1090" s="17"/>
      <c r="O1090" s="17"/>
      <c r="P1090" s="17"/>
      <c r="Q1090" s="17"/>
    </row>
    <row r="1091" spans="1:17">
      <c r="A1091" s="556" t="s">
        <v>3567</v>
      </c>
      <c r="B1091" s="557"/>
      <c r="C1091" s="558" t="s">
        <v>1735</v>
      </c>
      <c r="D1091" s="556" t="s">
        <v>1693</v>
      </c>
      <c r="E1091" s="17" t="s">
        <v>4527</v>
      </c>
      <c r="F1091" s="17">
        <v>11</v>
      </c>
      <c r="G1091" s="17">
        <v>1</v>
      </c>
      <c r="H1091" s="17" t="s">
        <v>7781</v>
      </c>
      <c r="I1091" s="17">
        <v>0</v>
      </c>
      <c r="J1091" s="17"/>
      <c r="K1091" s="17"/>
      <c r="L1091" s="17"/>
      <c r="M1091" s="17"/>
      <c r="N1091" s="17"/>
      <c r="O1091" s="17"/>
      <c r="P1091" s="17"/>
      <c r="Q1091" s="17"/>
    </row>
    <row r="1092" spans="1:17">
      <c r="A1092" s="556" t="s">
        <v>3567</v>
      </c>
      <c r="B1092" s="557"/>
      <c r="C1092" s="558" t="s">
        <v>1735</v>
      </c>
      <c r="D1092" s="556" t="s">
        <v>1694</v>
      </c>
      <c r="E1092" s="17" t="s">
        <v>4528</v>
      </c>
      <c r="F1092" s="17">
        <v>11</v>
      </c>
      <c r="G1092" s="17">
        <v>2</v>
      </c>
      <c r="H1092" s="17" t="s">
        <v>3366</v>
      </c>
      <c r="I1092" s="17">
        <v>0</v>
      </c>
      <c r="J1092" s="17"/>
      <c r="K1092" s="17"/>
      <c r="L1092" s="17"/>
      <c r="M1092" s="17"/>
      <c r="N1092" s="17"/>
      <c r="O1092" s="17"/>
      <c r="P1092" s="17"/>
      <c r="Q1092" s="17"/>
    </row>
    <row r="1093" spans="1:17">
      <c r="A1093" s="556" t="s">
        <v>3567</v>
      </c>
      <c r="B1093" s="557"/>
      <c r="C1093" s="558" t="s">
        <v>1735</v>
      </c>
      <c r="D1093" s="556" t="s">
        <v>4324</v>
      </c>
      <c r="E1093" s="17" t="s">
        <v>4529</v>
      </c>
      <c r="F1093" s="17">
        <v>11</v>
      </c>
      <c r="G1093" s="17">
        <v>3</v>
      </c>
      <c r="H1093" s="17" t="s">
        <v>3367</v>
      </c>
      <c r="I1093" s="17"/>
      <c r="J1093" s="17"/>
      <c r="K1093" s="17"/>
      <c r="L1093" s="17"/>
      <c r="M1093" s="17"/>
      <c r="N1093" s="17"/>
      <c r="O1093" s="17"/>
      <c r="P1093" s="17"/>
      <c r="Q1093" s="17"/>
    </row>
    <row r="1094" spans="1:17">
      <c r="A1094" s="556" t="s">
        <v>3567</v>
      </c>
      <c r="B1094" s="557"/>
      <c r="C1094" s="558" t="s">
        <v>1778</v>
      </c>
      <c r="D1094" s="556" t="s">
        <v>1693</v>
      </c>
      <c r="E1094" s="17" t="s">
        <v>4530</v>
      </c>
      <c r="F1094" s="17">
        <v>12</v>
      </c>
      <c r="G1094" s="17">
        <v>1</v>
      </c>
      <c r="H1094" s="17" t="s">
        <v>7783</v>
      </c>
      <c r="I1094" s="17"/>
      <c r="J1094" s="17"/>
      <c r="K1094" s="17"/>
      <c r="L1094" s="17"/>
      <c r="M1094" s="17"/>
      <c r="N1094" s="17"/>
      <c r="O1094" s="17"/>
      <c r="P1094" s="17"/>
      <c r="Q1094" s="17"/>
    </row>
    <row r="1095" spans="1:17">
      <c r="A1095" s="556" t="s">
        <v>3567</v>
      </c>
      <c r="B1095" s="557"/>
      <c r="C1095" s="558" t="s">
        <v>1778</v>
      </c>
      <c r="D1095" s="556" t="s">
        <v>1694</v>
      </c>
      <c r="E1095" s="17" t="s">
        <v>4531</v>
      </c>
      <c r="F1095" s="17">
        <v>12</v>
      </c>
      <c r="G1095" s="17">
        <v>2</v>
      </c>
      <c r="H1095" s="17" t="s">
        <v>3370</v>
      </c>
      <c r="I1095" s="17"/>
      <c r="J1095" s="17"/>
      <c r="K1095" s="17"/>
      <c r="L1095" s="17"/>
      <c r="M1095" s="17"/>
      <c r="N1095" s="17"/>
      <c r="O1095" s="17"/>
      <c r="P1095" s="17"/>
      <c r="Q1095" s="17"/>
    </row>
    <row r="1096" spans="1:17">
      <c r="A1096" s="556" t="s">
        <v>3567</v>
      </c>
      <c r="B1096" s="557"/>
      <c r="C1096" s="558" t="s">
        <v>1778</v>
      </c>
      <c r="D1096" s="556" t="s">
        <v>4324</v>
      </c>
      <c r="E1096" s="17" t="s">
        <v>4532</v>
      </c>
      <c r="F1096" s="17">
        <v>12</v>
      </c>
      <c r="G1096" s="17">
        <v>3</v>
      </c>
      <c r="H1096" s="17" t="s">
        <v>3371</v>
      </c>
      <c r="I1096" s="17"/>
      <c r="J1096" s="17"/>
      <c r="K1096" s="17"/>
      <c r="L1096" s="17"/>
      <c r="M1096" s="17"/>
      <c r="N1096" s="17"/>
      <c r="O1096" s="17"/>
      <c r="P1096" s="17"/>
      <c r="Q1096" s="17"/>
    </row>
    <row r="1097" spans="1:17">
      <c r="A1097" s="556" t="s">
        <v>3567</v>
      </c>
      <c r="B1097" s="557"/>
      <c r="C1097" s="558" t="s">
        <v>1778</v>
      </c>
      <c r="D1097" s="556" t="s">
        <v>4326</v>
      </c>
      <c r="E1097" s="17" t="s">
        <v>4533</v>
      </c>
      <c r="F1097" s="17">
        <v>12</v>
      </c>
      <c r="G1097" s="17">
        <v>4</v>
      </c>
      <c r="H1097" s="17" t="s">
        <v>3372</v>
      </c>
      <c r="I1097" s="17"/>
      <c r="J1097" s="17"/>
      <c r="K1097" s="17"/>
      <c r="L1097" s="17"/>
      <c r="M1097" s="17"/>
      <c r="N1097" s="17"/>
      <c r="O1097" s="17"/>
      <c r="P1097" s="17"/>
      <c r="Q1097" s="17"/>
    </row>
    <row r="1098" spans="1:17">
      <c r="A1098" s="556" t="s">
        <v>3567</v>
      </c>
      <c r="B1098" s="557"/>
      <c r="C1098" s="558" t="s">
        <v>1778</v>
      </c>
      <c r="D1098" s="556" t="s">
        <v>9326</v>
      </c>
      <c r="E1098" s="17" t="s">
        <v>4534</v>
      </c>
      <c r="F1098" s="17">
        <v>12</v>
      </c>
      <c r="G1098" s="17">
        <v>5</v>
      </c>
      <c r="H1098" s="17" t="s">
        <v>3373</v>
      </c>
      <c r="I1098" s="17"/>
      <c r="J1098" s="17"/>
      <c r="K1098" s="17"/>
      <c r="L1098" s="17"/>
      <c r="M1098" s="17"/>
      <c r="N1098" s="17"/>
      <c r="O1098" s="17"/>
      <c r="P1098" s="17"/>
      <c r="Q1098" s="17"/>
    </row>
    <row r="1099" spans="1:17">
      <c r="A1099" s="556" t="s">
        <v>3567</v>
      </c>
      <c r="B1099" s="557"/>
      <c r="C1099" s="558" t="s">
        <v>1778</v>
      </c>
      <c r="D1099" s="556" t="s">
        <v>9327</v>
      </c>
      <c r="E1099" s="17" t="s">
        <v>4535</v>
      </c>
      <c r="F1099" s="17">
        <v>12</v>
      </c>
      <c r="G1099" s="17">
        <v>6</v>
      </c>
      <c r="H1099" s="17" t="s">
        <v>3459</v>
      </c>
      <c r="I1099" s="17"/>
      <c r="J1099" s="17"/>
      <c r="K1099" s="17"/>
      <c r="L1099" s="17"/>
      <c r="M1099" s="17"/>
      <c r="N1099" s="17"/>
      <c r="O1099" s="17"/>
      <c r="P1099" s="17"/>
      <c r="Q1099" s="17"/>
    </row>
    <row r="1100" spans="1:17">
      <c r="A1100" s="556" t="s">
        <v>3567</v>
      </c>
      <c r="B1100" s="557"/>
      <c r="C1100" s="558" t="s">
        <v>1779</v>
      </c>
      <c r="D1100" s="556" t="s">
        <v>1693</v>
      </c>
      <c r="E1100" s="17" t="s">
        <v>4536</v>
      </c>
      <c r="F1100" s="17">
        <v>13</v>
      </c>
      <c r="G1100" s="17">
        <v>1</v>
      </c>
      <c r="H1100" s="17" t="s">
        <v>7785</v>
      </c>
      <c r="I1100" s="17"/>
      <c r="J1100" s="17"/>
      <c r="K1100" s="17"/>
      <c r="L1100" s="17"/>
      <c r="M1100" s="17"/>
      <c r="N1100" s="17"/>
      <c r="O1100" s="17"/>
      <c r="P1100" s="17"/>
      <c r="Q1100" s="17"/>
    </row>
    <row r="1101" spans="1:17">
      <c r="A1101" s="556" t="s">
        <v>3567</v>
      </c>
      <c r="B1101" s="557"/>
      <c r="C1101" s="558" t="s">
        <v>1779</v>
      </c>
      <c r="D1101" s="556" t="s">
        <v>1694</v>
      </c>
      <c r="E1101" s="17" t="s">
        <v>4537</v>
      </c>
      <c r="F1101" s="17">
        <v>13</v>
      </c>
      <c r="G1101" s="17">
        <v>2</v>
      </c>
      <c r="H1101" s="17" t="s">
        <v>3374</v>
      </c>
      <c r="I1101" s="17"/>
      <c r="J1101" s="17"/>
      <c r="K1101" s="17"/>
      <c r="L1101" s="17"/>
      <c r="M1101" s="17"/>
      <c r="N1101" s="17"/>
      <c r="O1101" s="17"/>
      <c r="P1101" s="17"/>
      <c r="Q1101" s="17"/>
    </row>
    <row r="1102" spans="1:17">
      <c r="A1102" s="556" t="s">
        <v>3567</v>
      </c>
      <c r="B1102" s="557"/>
      <c r="C1102" s="558" t="s">
        <v>1779</v>
      </c>
      <c r="D1102" s="556" t="s">
        <v>4324</v>
      </c>
      <c r="E1102" s="17" t="s">
        <v>4538</v>
      </c>
      <c r="F1102" s="17">
        <v>13</v>
      </c>
      <c r="G1102" s="17">
        <v>3</v>
      </c>
      <c r="H1102" s="17" t="s">
        <v>3375</v>
      </c>
      <c r="I1102" s="17"/>
      <c r="J1102" s="17"/>
      <c r="K1102" s="17"/>
      <c r="L1102" s="17"/>
      <c r="M1102" s="17"/>
      <c r="N1102" s="17"/>
      <c r="O1102" s="17"/>
      <c r="P1102" s="17"/>
      <c r="Q1102" s="17"/>
    </row>
    <row r="1103" spans="1:17">
      <c r="A1103" s="556" t="s">
        <v>3567</v>
      </c>
      <c r="B1103" s="557"/>
      <c r="C1103" s="558" t="s">
        <v>1779</v>
      </c>
      <c r="D1103" s="556" t="s">
        <v>4326</v>
      </c>
      <c r="E1103" s="17" t="s">
        <v>4539</v>
      </c>
      <c r="F1103" s="17">
        <v>13</v>
      </c>
      <c r="G1103" s="17">
        <v>4</v>
      </c>
      <c r="H1103" s="17" t="s">
        <v>3376</v>
      </c>
      <c r="I1103" s="17"/>
      <c r="J1103" s="17"/>
      <c r="K1103" s="17"/>
      <c r="L1103" s="17"/>
      <c r="M1103" s="17"/>
      <c r="N1103" s="17"/>
      <c r="O1103" s="17"/>
      <c r="P1103" s="17"/>
      <c r="Q1103" s="17"/>
    </row>
    <row r="1104" spans="1:17">
      <c r="A1104" s="556" t="s">
        <v>3567</v>
      </c>
      <c r="B1104" s="557"/>
      <c r="C1104" s="558" t="s">
        <v>1779</v>
      </c>
      <c r="D1104" s="556" t="s">
        <v>9326</v>
      </c>
      <c r="E1104" s="17" t="s">
        <v>4540</v>
      </c>
      <c r="F1104" s="17">
        <v>13</v>
      </c>
      <c r="G1104" s="17">
        <v>5</v>
      </c>
      <c r="H1104" s="17" t="s">
        <v>3377</v>
      </c>
      <c r="I1104" s="17"/>
      <c r="J1104" s="17"/>
      <c r="K1104" s="17"/>
      <c r="L1104" s="17"/>
      <c r="M1104" s="17"/>
      <c r="N1104" s="17"/>
      <c r="O1104" s="17"/>
      <c r="P1104" s="17"/>
      <c r="Q1104" s="17"/>
    </row>
    <row r="1105" spans="1:17">
      <c r="A1105" s="556" t="s">
        <v>3567</v>
      </c>
      <c r="B1105" s="557"/>
      <c r="C1105" s="558" t="s">
        <v>1779</v>
      </c>
      <c r="D1105" s="556" t="s">
        <v>9327</v>
      </c>
      <c r="E1105" s="17" t="s">
        <v>4541</v>
      </c>
      <c r="F1105" s="17">
        <v>13</v>
      </c>
      <c r="G1105" s="17">
        <v>6</v>
      </c>
      <c r="H1105" s="17" t="s">
        <v>3460</v>
      </c>
      <c r="I1105" s="17"/>
      <c r="J1105" s="17"/>
      <c r="K1105" s="17"/>
      <c r="L1105" s="17"/>
      <c r="M1105" s="17"/>
      <c r="N1105" s="17"/>
      <c r="O1105" s="17"/>
      <c r="P1105" s="17"/>
      <c r="Q1105" s="17"/>
    </row>
    <row r="1106" spans="1:17">
      <c r="A1106" s="556" t="s">
        <v>3567</v>
      </c>
      <c r="B1106" s="557"/>
      <c r="C1106" s="558" t="s">
        <v>1780</v>
      </c>
      <c r="D1106" s="556" t="s">
        <v>1693</v>
      </c>
      <c r="E1106" s="17" t="s">
        <v>4542</v>
      </c>
      <c r="F1106" s="17">
        <v>14</v>
      </c>
      <c r="G1106" s="17">
        <v>1</v>
      </c>
      <c r="H1106" s="17" t="s">
        <v>3695</v>
      </c>
      <c r="I1106" s="17"/>
      <c r="J1106" s="17"/>
      <c r="K1106" s="17"/>
      <c r="L1106" s="17"/>
      <c r="M1106" s="17"/>
      <c r="N1106" s="17"/>
      <c r="O1106" s="17"/>
      <c r="P1106" s="17"/>
      <c r="Q1106" s="17"/>
    </row>
    <row r="1107" spans="1:17">
      <c r="A1107" s="556" t="s">
        <v>3567</v>
      </c>
      <c r="B1107" s="557"/>
      <c r="C1107" s="558" t="s">
        <v>1780</v>
      </c>
      <c r="D1107" s="556" t="s">
        <v>1694</v>
      </c>
      <c r="E1107" s="17" t="s">
        <v>4543</v>
      </c>
      <c r="F1107" s="17">
        <v>14</v>
      </c>
      <c r="G1107" s="17">
        <v>2</v>
      </c>
      <c r="H1107" s="17" t="s">
        <v>3378</v>
      </c>
      <c r="I1107" s="17"/>
      <c r="J1107" s="17"/>
      <c r="K1107" s="17"/>
      <c r="L1107" s="17"/>
      <c r="M1107" s="17"/>
      <c r="N1107" s="17"/>
      <c r="O1107" s="17"/>
      <c r="P1107" s="17"/>
      <c r="Q1107" s="17"/>
    </row>
    <row r="1108" spans="1:17">
      <c r="A1108" s="556" t="s">
        <v>3567</v>
      </c>
      <c r="B1108" s="557"/>
      <c r="C1108" s="558" t="s">
        <v>1780</v>
      </c>
      <c r="D1108" s="556" t="s">
        <v>4324</v>
      </c>
      <c r="E1108" s="17" t="s">
        <v>4544</v>
      </c>
      <c r="F1108" s="17">
        <v>14</v>
      </c>
      <c r="G1108" s="17">
        <v>3</v>
      </c>
      <c r="H1108" s="17" t="s">
        <v>3379</v>
      </c>
      <c r="I1108" s="17"/>
      <c r="J1108" s="17"/>
      <c r="K1108" s="17"/>
      <c r="L1108" s="17"/>
      <c r="M1108" s="17"/>
      <c r="N1108" s="17"/>
      <c r="O1108" s="17"/>
      <c r="P1108" s="17"/>
      <c r="Q1108" s="17"/>
    </row>
    <row r="1109" spans="1:17">
      <c r="A1109" s="556" t="s">
        <v>3567</v>
      </c>
      <c r="B1109" s="557"/>
      <c r="C1109" s="558" t="s">
        <v>1780</v>
      </c>
      <c r="D1109" s="556" t="s">
        <v>4326</v>
      </c>
      <c r="E1109" s="17" t="s">
        <v>4545</v>
      </c>
      <c r="F1109" s="17">
        <v>14</v>
      </c>
      <c r="G1109" s="17">
        <v>4</v>
      </c>
      <c r="H1109" s="17" t="s">
        <v>3380</v>
      </c>
      <c r="I1109" s="17"/>
      <c r="J1109" s="17"/>
      <c r="K1109" s="17"/>
      <c r="L1109" s="17"/>
      <c r="M1109" s="17"/>
      <c r="N1109" s="17"/>
      <c r="O1109" s="17"/>
      <c r="P1109" s="17"/>
      <c r="Q1109" s="17"/>
    </row>
    <row r="1110" spans="1:17">
      <c r="A1110" s="556" t="s">
        <v>3567</v>
      </c>
      <c r="B1110" s="557"/>
      <c r="C1110" s="558" t="s">
        <v>1780</v>
      </c>
      <c r="D1110" s="556" t="s">
        <v>9326</v>
      </c>
      <c r="E1110" s="17" t="s">
        <v>4546</v>
      </c>
      <c r="F1110" s="17">
        <v>14</v>
      </c>
      <c r="G1110" s="17">
        <v>5</v>
      </c>
      <c r="H1110" s="17" t="s">
        <v>3381</v>
      </c>
      <c r="I1110" s="17"/>
      <c r="J1110" s="17"/>
      <c r="K1110" s="17"/>
      <c r="L1110" s="17"/>
      <c r="M1110" s="17"/>
      <c r="N1110" s="17"/>
      <c r="O1110" s="17"/>
      <c r="P1110" s="17"/>
      <c r="Q1110" s="17"/>
    </row>
    <row r="1111" spans="1:17">
      <c r="A1111" s="556" t="s">
        <v>3567</v>
      </c>
      <c r="B1111" s="557"/>
      <c r="C1111" s="558" t="s">
        <v>1780</v>
      </c>
      <c r="D1111" s="556" t="s">
        <v>9327</v>
      </c>
      <c r="E1111" s="17" t="s">
        <v>4547</v>
      </c>
      <c r="F1111" s="17">
        <v>14</v>
      </c>
      <c r="G1111" s="17">
        <v>6</v>
      </c>
      <c r="H1111" s="17" t="s">
        <v>3461</v>
      </c>
      <c r="I1111" s="17"/>
      <c r="J1111" s="17"/>
      <c r="K1111" s="17"/>
      <c r="L1111" s="17"/>
      <c r="M1111" s="17"/>
      <c r="N1111" s="17"/>
      <c r="O1111" s="17"/>
      <c r="P1111" s="17"/>
      <c r="Q1111" s="17"/>
    </row>
    <row r="1112" spans="1:17">
      <c r="A1112" s="556" t="s">
        <v>3567</v>
      </c>
      <c r="B1112" s="557"/>
      <c r="C1112" s="558" t="s">
        <v>1781</v>
      </c>
      <c r="D1112" s="556" t="s">
        <v>1693</v>
      </c>
      <c r="E1112" s="17" t="s">
        <v>4548</v>
      </c>
      <c r="F1112" s="17">
        <v>15</v>
      </c>
      <c r="G1112" s="17">
        <v>1</v>
      </c>
      <c r="H1112" s="17" t="s">
        <v>7788</v>
      </c>
      <c r="I1112" s="17">
        <v>0</v>
      </c>
      <c r="J1112" s="17"/>
      <c r="K1112" s="17"/>
      <c r="L1112" s="17"/>
      <c r="M1112" s="17"/>
      <c r="N1112" s="17"/>
      <c r="O1112" s="17"/>
      <c r="P1112" s="17"/>
      <c r="Q1112" s="17"/>
    </row>
    <row r="1113" spans="1:17">
      <c r="A1113" s="556" t="s">
        <v>3567</v>
      </c>
      <c r="B1113" s="557"/>
      <c r="C1113" s="558" t="s">
        <v>1781</v>
      </c>
      <c r="D1113" s="556" t="s">
        <v>1694</v>
      </c>
      <c r="E1113" s="17" t="s">
        <v>4549</v>
      </c>
      <c r="F1113" s="17">
        <v>15</v>
      </c>
      <c r="G1113" s="17">
        <v>2</v>
      </c>
      <c r="H1113" s="17" t="s">
        <v>3382</v>
      </c>
      <c r="I1113" s="17">
        <v>0</v>
      </c>
      <c r="J1113" s="17"/>
      <c r="K1113" s="17"/>
      <c r="L1113" s="17"/>
      <c r="M1113" s="17"/>
      <c r="N1113" s="17"/>
      <c r="O1113" s="17"/>
      <c r="P1113" s="17"/>
      <c r="Q1113" s="17"/>
    </row>
    <row r="1114" spans="1:17">
      <c r="A1114" s="556" t="s">
        <v>3567</v>
      </c>
      <c r="B1114" s="557"/>
      <c r="C1114" s="558" t="s">
        <v>1781</v>
      </c>
      <c r="D1114" s="556" t="s">
        <v>4324</v>
      </c>
      <c r="E1114" s="17" t="s">
        <v>4550</v>
      </c>
      <c r="F1114" s="17">
        <v>15</v>
      </c>
      <c r="G1114" s="17">
        <v>3</v>
      </c>
      <c r="H1114" s="17" t="s">
        <v>3383</v>
      </c>
      <c r="I1114" s="17"/>
      <c r="J1114" s="17"/>
      <c r="K1114" s="17"/>
      <c r="L1114" s="17"/>
      <c r="M1114" s="17"/>
      <c r="N1114" s="17"/>
      <c r="O1114" s="17"/>
      <c r="P1114" s="17"/>
      <c r="Q1114" s="17"/>
    </row>
    <row r="1115" spans="1:17">
      <c r="A1115" s="556" t="s">
        <v>3567</v>
      </c>
      <c r="B1115" s="557"/>
      <c r="C1115" s="558" t="s">
        <v>1781</v>
      </c>
      <c r="D1115" s="556" t="s">
        <v>4326</v>
      </c>
      <c r="E1115" s="17" t="s">
        <v>4551</v>
      </c>
      <c r="F1115" s="17">
        <v>15</v>
      </c>
      <c r="G1115" s="17">
        <v>4</v>
      </c>
      <c r="H1115" s="17" t="s">
        <v>3384</v>
      </c>
      <c r="I1115" s="17">
        <v>0</v>
      </c>
      <c r="J1115" s="17"/>
      <c r="K1115" s="17"/>
      <c r="L1115" s="17"/>
      <c r="M1115" s="17"/>
      <c r="N1115" s="17"/>
      <c r="O1115" s="17"/>
      <c r="P1115" s="17"/>
      <c r="Q1115" s="17"/>
    </row>
    <row r="1116" spans="1:17">
      <c r="A1116" s="556" t="s">
        <v>3567</v>
      </c>
      <c r="B1116" s="557"/>
      <c r="C1116" s="558" t="s">
        <v>1781</v>
      </c>
      <c r="D1116" s="556" t="s">
        <v>9326</v>
      </c>
      <c r="E1116" s="17" t="s">
        <v>4552</v>
      </c>
      <c r="F1116" s="17">
        <v>15</v>
      </c>
      <c r="G1116" s="17">
        <v>5</v>
      </c>
      <c r="H1116" s="17" t="s">
        <v>3385</v>
      </c>
      <c r="I1116" s="17">
        <v>0</v>
      </c>
      <c r="J1116" s="17"/>
      <c r="K1116" s="17"/>
      <c r="L1116" s="17"/>
      <c r="M1116" s="17"/>
      <c r="N1116" s="17"/>
      <c r="O1116" s="17"/>
      <c r="P1116" s="17"/>
      <c r="Q1116" s="17"/>
    </row>
    <row r="1117" spans="1:17">
      <c r="A1117" s="556" t="s">
        <v>3567</v>
      </c>
      <c r="B1117" s="557"/>
      <c r="C1117" s="558" t="s">
        <v>1781</v>
      </c>
      <c r="D1117" s="556" t="s">
        <v>9327</v>
      </c>
      <c r="E1117" s="17" t="s">
        <v>4553</v>
      </c>
      <c r="F1117" s="17">
        <v>15</v>
      </c>
      <c r="G1117" s="17">
        <v>6</v>
      </c>
      <c r="H1117" s="17" t="s">
        <v>3462</v>
      </c>
      <c r="I1117" s="17">
        <v>0</v>
      </c>
      <c r="J1117" s="17"/>
      <c r="K1117" s="17"/>
      <c r="L1117" s="17"/>
      <c r="M1117" s="17"/>
      <c r="N1117" s="17"/>
      <c r="O1117" s="17"/>
      <c r="P1117" s="17"/>
      <c r="Q1117" s="17"/>
    </row>
    <row r="1118" spans="1:17">
      <c r="A1118" s="556" t="s">
        <v>3568</v>
      </c>
      <c r="B1118" s="557"/>
      <c r="C1118" s="558" t="s">
        <v>1555</v>
      </c>
      <c r="D1118" s="556" t="s">
        <v>1693</v>
      </c>
      <c r="E1118" s="17" t="s">
        <v>4554</v>
      </c>
      <c r="F1118" s="17">
        <v>1</v>
      </c>
      <c r="G1118" s="17">
        <v>1</v>
      </c>
      <c r="H1118" s="17" t="s">
        <v>3696</v>
      </c>
      <c r="I1118" s="17"/>
      <c r="J1118" s="17"/>
      <c r="K1118" s="17"/>
      <c r="L1118" s="17"/>
      <c r="M1118" s="17"/>
      <c r="N1118" s="17"/>
      <c r="O1118" s="17"/>
      <c r="P1118" s="17"/>
      <c r="Q1118" s="17"/>
    </row>
    <row r="1119" spans="1:17">
      <c r="A1119" s="556" t="s">
        <v>3568</v>
      </c>
      <c r="B1119" s="557"/>
      <c r="C1119" s="558" t="s">
        <v>1555</v>
      </c>
      <c r="D1119" s="556" t="s">
        <v>1694</v>
      </c>
      <c r="E1119" s="17" t="s">
        <v>4555</v>
      </c>
      <c r="F1119" s="17">
        <v>1</v>
      </c>
      <c r="G1119" s="17">
        <v>2</v>
      </c>
      <c r="H1119" s="17" t="s">
        <v>3692</v>
      </c>
      <c r="I1119" s="17"/>
      <c r="J1119" s="17"/>
      <c r="K1119" s="17"/>
      <c r="L1119" s="17"/>
      <c r="M1119" s="17"/>
      <c r="N1119" s="17"/>
      <c r="O1119" s="17"/>
      <c r="P1119" s="17"/>
      <c r="Q1119" s="17"/>
    </row>
    <row r="1120" spans="1:17">
      <c r="A1120" s="556" t="s">
        <v>3568</v>
      </c>
      <c r="B1120" s="557"/>
      <c r="C1120" s="558" t="s">
        <v>1555</v>
      </c>
      <c r="D1120" s="556" t="s">
        <v>4324</v>
      </c>
      <c r="E1120" s="17" t="s">
        <v>4556</v>
      </c>
      <c r="F1120" s="17">
        <v>1</v>
      </c>
      <c r="G1120" s="17">
        <v>3</v>
      </c>
      <c r="H1120" s="17" t="s">
        <v>3701</v>
      </c>
      <c r="I1120" s="17"/>
      <c r="J1120" s="17"/>
      <c r="K1120" s="17"/>
      <c r="L1120" s="17"/>
      <c r="M1120" s="17"/>
      <c r="N1120" s="17"/>
      <c r="O1120" s="17"/>
      <c r="P1120" s="17"/>
      <c r="Q1120" s="17"/>
    </row>
    <row r="1121" spans="1:17">
      <c r="A1121" s="556" t="s">
        <v>3568</v>
      </c>
      <c r="B1121" s="557"/>
      <c r="C1121" s="558" t="s">
        <v>1555</v>
      </c>
      <c r="D1121" s="556" t="s">
        <v>4326</v>
      </c>
      <c r="E1121" s="17" t="s">
        <v>4557</v>
      </c>
      <c r="F1121" s="17">
        <v>1</v>
      </c>
      <c r="G1121" s="17">
        <v>4</v>
      </c>
      <c r="H1121" s="17" t="s">
        <v>3714</v>
      </c>
      <c r="I1121" s="17"/>
      <c r="J1121" s="17"/>
      <c r="K1121" s="17"/>
      <c r="L1121" s="17"/>
      <c r="M1121" s="17"/>
      <c r="N1121" s="17"/>
      <c r="O1121" s="17"/>
      <c r="P1121" s="17"/>
      <c r="Q1121" s="17"/>
    </row>
    <row r="1122" spans="1:17">
      <c r="A1122" s="556" t="s">
        <v>3568</v>
      </c>
      <c r="B1122" s="557"/>
      <c r="C1122" s="558" t="s">
        <v>1555</v>
      </c>
      <c r="D1122" s="556" t="s">
        <v>9326</v>
      </c>
      <c r="E1122" s="17" t="s">
        <v>4558</v>
      </c>
      <c r="F1122" s="17">
        <v>1</v>
      </c>
      <c r="G1122" s="17">
        <v>5</v>
      </c>
      <c r="H1122" s="17" t="s">
        <v>3720</v>
      </c>
      <c r="I1122" s="17"/>
      <c r="J1122" s="17"/>
      <c r="K1122" s="17"/>
      <c r="L1122" s="17"/>
      <c r="M1122" s="17"/>
      <c r="N1122" s="17"/>
      <c r="O1122" s="17"/>
      <c r="P1122" s="17"/>
      <c r="Q1122" s="17"/>
    </row>
    <row r="1123" spans="1:17">
      <c r="A1123" s="556" t="s">
        <v>3568</v>
      </c>
      <c r="B1123" s="557"/>
      <c r="C1123" s="558" t="s">
        <v>1555</v>
      </c>
      <c r="D1123" s="556" t="s">
        <v>9327</v>
      </c>
      <c r="E1123" s="17" t="s">
        <v>4559</v>
      </c>
      <c r="F1123" s="17">
        <v>1</v>
      </c>
      <c r="G1123" s="17">
        <v>6</v>
      </c>
      <c r="H1123" s="17" t="s">
        <v>3721</v>
      </c>
      <c r="I1123" s="17"/>
      <c r="J1123" s="17"/>
      <c r="K1123" s="17"/>
      <c r="L1123" s="17"/>
      <c r="M1123" s="17"/>
      <c r="N1123" s="17"/>
      <c r="O1123" s="17"/>
      <c r="P1123" s="17"/>
      <c r="Q1123" s="17"/>
    </row>
    <row r="1124" spans="1:17">
      <c r="A1124" s="556" t="s">
        <v>3568</v>
      </c>
      <c r="B1124" s="557"/>
      <c r="C1124" s="558" t="s">
        <v>1787</v>
      </c>
      <c r="D1124" s="556" t="s">
        <v>1693</v>
      </c>
      <c r="E1124" s="17" t="s">
        <v>4560</v>
      </c>
      <c r="F1124" s="17">
        <v>2</v>
      </c>
      <c r="G1124" s="17">
        <v>1</v>
      </c>
      <c r="H1124" s="17" t="s">
        <v>3517</v>
      </c>
      <c r="I1124" s="17"/>
      <c r="J1124" s="17"/>
      <c r="K1124" s="17"/>
      <c r="L1124" s="17"/>
      <c r="M1124" s="17"/>
      <c r="N1124" s="17"/>
      <c r="O1124" s="17"/>
      <c r="P1124" s="17"/>
      <c r="Q1124" s="17"/>
    </row>
    <row r="1125" spans="1:17">
      <c r="A1125" s="556" t="s">
        <v>3568</v>
      </c>
      <c r="B1125" s="557"/>
      <c r="C1125" s="558" t="s">
        <v>1787</v>
      </c>
      <c r="D1125" s="556" t="s">
        <v>1694</v>
      </c>
      <c r="E1125" s="17" t="s">
        <v>4561</v>
      </c>
      <c r="F1125" s="17">
        <v>2</v>
      </c>
      <c r="G1125" s="17">
        <v>2</v>
      </c>
      <c r="H1125" s="17" t="s">
        <v>3518</v>
      </c>
      <c r="I1125" s="17"/>
      <c r="J1125" s="17"/>
      <c r="K1125" s="17"/>
      <c r="L1125" s="17"/>
      <c r="M1125" s="17"/>
      <c r="N1125" s="17"/>
      <c r="O1125" s="17"/>
      <c r="P1125" s="17"/>
      <c r="Q1125" s="17"/>
    </row>
    <row r="1126" spans="1:17">
      <c r="A1126" s="556" t="s">
        <v>3568</v>
      </c>
      <c r="B1126" s="557"/>
      <c r="C1126" s="558" t="s">
        <v>1787</v>
      </c>
      <c r="D1126" s="556" t="s">
        <v>4324</v>
      </c>
      <c r="E1126" s="17" t="s">
        <v>4562</v>
      </c>
      <c r="F1126" s="17">
        <v>2</v>
      </c>
      <c r="G1126" s="17">
        <v>3</v>
      </c>
      <c r="H1126" s="17" t="s">
        <v>3519</v>
      </c>
      <c r="I1126" s="17"/>
      <c r="J1126" s="17"/>
      <c r="K1126" s="17"/>
      <c r="L1126" s="17"/>
      <c r="M1126" s="17"/>
      <c r="N1126" s="17"/>
      <c r="O1126" s="17"/>
      <c r="P1126" s="17"/>
      <c r="Q1126" s="17"/>
    </row>
    <row r="1127" spans="1:17">
      <c r="A1127" s="556" t="s">
        <v>3568</v>
      </c>
      <c r="B1127" s="557"/>
      <c r="C1127" s="558" t="s">
        <v>1787</v>
      </c>
      <c r="D1127" s="556" t="s">
        <v>4326</v>
      </c>
      <c r="E1127" s="17" t="s">
        <v>4563</v>
      </c>
      <c r="F1127" s="17">
        <v>2</v>
      </c>
      <c r="G1127" s="17">
        <v>4</v>
      </c>
      <c r="H1127" s="17" t="s">
        <v>3520</v>
      </c>
      <c r="I1127" s="17"/>
      <c r="J1127" s="17"/>
      <c r="K1127" s="17"/>
      <c r="L1127" s="17"/>
      <c r="M1127" s="17"/>
      <c r="N1127" s="17"/>
      <c r="O1127" s="17"/>
      <c r="P1127" s="17"/>
      <c r="Q1127" s="17"/>
    </row>
    <row r="1128" spans="1:17">
      <c r="A1128" s="556" t="s">
        <v>3568</v>
      </c>
      <c r="B1128" s="557"/>
      <c r="C1128" s="558" t="s">
        <v>1787</v>
      </c>
      <c r="D1128" s="556" t="s">
        <v>9326</v>
      </c>
      <c r="E1128" s="17" t="s">
        <v>4564</v>
      </c>
      <c r="F1128" s="17">
        <v>2</v>
      </c>
      <c r="G1128" s="17">
        <v>5</v>
      </c>
      <c r="H1128" s="17" t="s">
        <v>3521</v>
      </c>
      <c r="I1128" s="17"/>
      <c r="J1128" s="17"/>
      <c r="K1128" s="17"/>
      <c r="L1128" s="17"/>
      <c r="M1128" s="17"/>
      <c r="N1128" s="17"/>
      <c r="O1128" s="17"/>
      <c r="P1128" s="17"/>
      <c r="Q1128" s="17"/>
    </row>
    <row r="1129" spans="1:17">
      <c r="A1129" s="556" t="s">
        <v>3568</v>
      </c>
      <c r="B1129" s="557"/>
      <c r="C1129" s="558" t="s">
        <v>1787</v>
      </c>
      <c r="D1129" s="556" t="s">
        <v>9327</v>
      </c>
      <c r="E1129" s="17" t="s">
        <v>4565</v>
      </c>
      <c r="F1129" s="17">
        <v>2</v>
      </c>
      <c r="G1129" s="17">
        <v>6</v>
      </c>
      <c r="H1129" s="17" t="s">
        <v>3505</v>
      </c>
      <c r="I1129" s="17"/>
      <c r="J1129" s="17"/>
      <c r="K1129" s="17"/>
      <c r="L1129" s="17"/>
      <c r="M1129" s="17"/>
      <c r="N1129" s="17"/>
      <c r="O1129" s="17"/>
      <c r="P1129" s="17"/>
      <c r="Q1129" s="17"/>
    </row>
    <row r="1130" spans="1:17">
      <c r="A1130" s="556" t="s">
        <v>3568</v>
      </c>
      <c r="B1130" s="557"/>
      <c r="C1130" s="558" t="s">
        <v>1788</v>
      </c>
      <c r="D1130" s="556" t="s">
        <v>1693</v>
      </c>
      <c r="E1130" s="17" t="s">
        <v>4566</v>
      </c>
      <c r="F1130" s="17">
        <v>3</v>
      </c>
      <c r="G1130" s="17">
        <v>1</v>
      </c>
      <c r="H1130" s="17" t="s">
        <v>3326</v>
      </c>
      <c r="I1130" s="17"/>
      <c r="J1130" s="17"/>
      <c r="K1130" s="17"/>
      <c r="L1130" s="17"/>
      <c r="M1130" s="17"/>
      <c r="N1130" s="17"/>
      <c r="O1130" s="17"/>
      <c r="P1130" s="17"/>
      <c r="Q1130" s="17"/>
    </row>
    <row r="1131" spans="1:17">
      <c r="A1131" s="556" t="s">
        <v>3568</v>
      </c>
      <c r="B1131" s="557"/>
      <c r="C1131" s="558" t="s">
        <v>1788</v>
      </c>
      <c r="D1131" s="556" t="s">
        <v>1694</v>
      </c>
      <c r="E1131" s="17" t="s">
        <v>4567</v>
      </c>
      <c r="F1131" s="17">
        <v>3</v>
      </c>
      <c r="G1131" s="17">
        <v>2</v>
      </c>
      <c r="H1131" s="17" t="s">
        <v>2990</v>
      </c>
      <c r="I1131" s="17"/>
      <c r="J1131" s="17"/>
      <c r="K1131" s="17"/>
      <c r="L1131" s="17"/>
      <c r="M1131" s="17"/>
      <c r="N1131" s="17"/>
      <c r="O1131" s="17"/>
      <c r="P1131" s="17"/>
      <c r="Q1131" s="17"/>
    </row>
    <row r="1132" spans="1:17">
      <c r="A1132" s="556" t="s">
        <v>3568</v>
      </c>
      <c r="B1132" s="557"/>
      <c r="C1132" s="558" t="s">
        <v>1788</v>
      </c>
      <c r="D1132" s="556" t="s">
        <v>4324</v>
      </c>
      <c r="E1132" s="17" t="s">
        <v>4568</v>
      </c>
      <c r="F1132" s="17">
        <v>3</v>
      </c>
      <c r="G1132" s="17">
        <v>3</v>
      </c>
      <c r="H1132" s="17" t="s">
        <v>3338</v>
      </c>
      <c r="I1132" s="17"/>
      <c r="J1132" s="17"/>
      <c r="K1132" s="17"/>
      <c r="L1132" s="17"/>
      <c r="M1132" s="17"/>
      <c r="N1132" s="17"/>
      <c r="O1132" s="17"/>
      <c r="P1132" s="17"/>
      <c r="Q1132" s="17"/>
    </row>
    <row r="1133" spans="1:17">
      <c r="A1133" s="556" t="s">
        <v>3568</v>
      </c>
      <c r="B1133" s="557"/>
      <c r="C1133" s="558" t="s">
        <v>1788</v>
      </c>
      <c r="D1133" s="556" t="s">
        <v>4326</v>
      </c>
      <c r="E1133" s="17" t="s">
        <v>4569</v>
      </c>
      <c r="F1133" s="17">
        <v>3</v>
      </c>
      <c r="G1133" s="17">
        <v>4</v>
      </c>
      <c r="H1133" s="17" t="s">
        <v>2991</v>
      </c>
      <c r="I1133" s="17"/>
      <c r="J1133" s="17"/>
      <c r="K1133" s="17"/>
      <c r="L1133" s="17"/>
      <c r="M1133" s="17"/>
      <c r="N1133" s="17"/>
      <c r="O1133" s="17"/>
      <c r="P1133" s="17"/>
      <c r="Q1133" s="17"/>
    </row>
    <row r="1134" spans="1:17">
      <c r="A1134" s="556" t="s">
        <v>3568</v>
      </c>
      <c r="B1134" s="557"/>
      <c r="C1134" s="558" t="s">
        <v>1788</v>
      </c>
      <c r="D1134" s="556" t="s">
        <v>9326</v>
      </c>
      <c r="E1134" s="17" t="s">
        <v>4570</v>
      </c>
      <c r="F1134" s="17">
        <v>3</v>
      </c>
      <c r="G1134" s="17">
        <v>5</v>
      </c>
      <c r="H1134" s="17" t="s">
        <v>2992</v>
      </c>
      <c r="I1134" s="17"/>
      <c r="J1134" s="17"/>
      <c r="K1134" s="17"/>
      <c r="L1134" s="17"/>
      <c r="M1134" s="17"/>
      <c r="N1134" s="17"/>
      <c r="O1134" s="17"/>
      <c r="P1134" s="17"/>
      <c r="Q1134" s="17"/>
    </row>
    <row r="1135" spans="1:17">
      <c r="A1135" s="556" t="s">
        <v>3568</v>
      </c>
      <c r="B1135" s="557"/>
      <c r="C1135" s="558" t="s">
        <v>1788</v>
      </c>
      <c r="D1135" s="556" t="s">
        <v>9327</v>
      </c>
      <c r="E1135" s="17" t="s">
        <v>4571</v>
      </c>
      <c r="F1135" s="17">
        <v>3</v>
      </c>
      <c r="G1135" s="17">
        <v>6</v>
      </c>
      <c r="H1135" s="17" t="s">
        <v>3450</v>
      </c>
      <c r="I1135" s="17"/>
      <c r="J1135" s="17"/>
      <c r="K1135" s="17"/>
      <c r="L1135" s="17"/>
      <c r="M1135" s="17"/>
      <c r="N1135" s="17"/>
      <c r="O1135" s="17"/>
      <c r="P1135" s="17"/>
      <c r="Q1135" s="17"/>
    </row>
    <row r="1136" spans="1:17">
      <c r="A1136" s="556" t="s">
        <v>3568</v>
      </c>
      <c r="B1136" s="557"/>
      <c r="C1136" s="558" t="s">
        <v>1558</v>
      </c>
      <c r="D1136" s="556" t="s">
        <v>1693</v>
      </c>
      <c r="E1136" s="17" t="s">
        <v>4572</v>
      </c>
      <c r="F1136" s="17">
        <v>4</v>
      </c>
      <c r="G1136" s="17">
        <v>1</v>
      </c>
      <c r="H1136" s="17" t="s">
        <v>3525</v>
      </c>
      <c r="I1136" s="17"/>
      <c r="J1136" s="17"/>
      <c r="K1136" s="17"/>
      <c r="L1136" s="17"/>
      <c r="M1136" s="17"/>
      <c r="N1136" s="17"/>
      <c r="O1136" s="17"/>
      <c r="P1136" s="17"/>
      <c r="Q1136" s="17"/>
    </row>
    <row r="1137" spans="1:17">
      <c r="A1137" s="556" t="s">
        <v>3568</v>
      </c>
      <c r="B1137" s="557"/>
      <c r="C1137" s="558" t="s">
        <v>1558</v>
      </c>
      <c r="D1137" s="556" t="s">
        <v>1694</v>
      </c>
      <c r="E1137" s="17" t="s">
        <v>4573</v>
      </c>
      <c r="F1137" s="17">
        <v>4</v>
      </c>
      <c r="G1137" s="17">
        <v>2</v>
      </c>
      <c r="H1137" s="17" t="s">
        <v>3339</v>
      </c>
      <c r="I1137" s="17"/>
      <c r="J1137" s="17"/>
      <c r="K1137" s="17"/>
      <c r="L1137" s="17"/>
      <c r="M1137" s="17"/>
      <c r="N1137" s="17"/>
      <c r="O1137" s="17"/>
      <c r="P1137" s="17"/>
      <c r="Q1137" s="17"/>
    </row>
    <row r="1138" spans="1:17">
      <c r="A1138" s="556" t="s">
        <v>3568</v>
      </c>
      <c r="B1138" s="557"/>
      <c r="C1138" s="558" t="s">
        <v>1558</v>
      </c>
      <c r="D1138" s="556" t="s">
        <v>4324</v>
      </c>
      <c r="E1138" s="17" t="s">
        <v>4574</v>
      </c>
      <c r="F1138" s="17">
        <v>4</v>
      </c>
      <c r="G1138" s="17">
        <v>3</v>
      </c>
      <c r="H1138" s="17" t="s">
        <v>3340</v>
      </c>
      <c r="I1138" s="17"/>
      <c r="J1138" s="17"/>
      <c r="K1138" s="17"/>
      <c r="L1138" s="17"/>
      <c r="M1138" s="17"/>
      <c r="N1138" s="17"/>
      <c r="O1138" s="17"/>
      <c r="P1138" s="17"/>
      <c r="Q1138" s="17"/>
    </row>
    <row r="1139" spans="1:17">
      <c r="A1139" s="556" t="s">
        <v>3568</v>
      </c>
      <c r="B1139" s="557"/>
      <c r="C1139" s="558" t="s">
        <v>1558</v>
      </c>
      <c r="D1139" s="556" t="s">
        <v>4326</v>
      </c>
      <c r="E1139" s="17" t="s">
        <v>4575</v>
      </c>
      <c r="F1139" s="17">
        <v>4</v>
      </c>
      <c r="G1139" s="17">
        <v>4</v>
      </c>
      <c r="H1139" s="17" t="s">
        <v>3341</v>
      </c>
      <c r="I1139" s="17"/>
      <c r="J1139" s="17"/>
      <c r="K1139" s="17"/>
      <c r="L1139" s="17"/>
      <c r="M1139" s="17"/>
      <c r="N1139" s="17"/>
      <c r="O1139" s="17"/>
      <c r="P1139" s="17"/>
      <c r="Q1139" s="17"/>
    </row>
    <row r="1140" spans="1:17">
      <c r="A1140" s="556" t="s">
        <v>3568</v>
      </c>
      <c r="B1140" s="557"/>
      <c r="C1140" s="558" t="s">
        <v>1558</v>
      </c>
      <c r="D1140" s="556" t="s">
        <v>9326</v>
      </c>
      <c r="E1140" s="17" t="s">
        <v>4576</v>
      </c>
      <c r="F1140" s="17">
        <v>4</v>
      </c>
      <c r="G1140" s="17">
        <v>5</v>
      </c>
      <c r="H1140" s="17" t="s">
        <v>3342</v>
      </c>
      <c r="I1140" s="17"/>
      <c r="J1140" s="17"/>
      <c r="K1140" s="17"/>
      <c r="L1140" s="17"/>
      <c r="M1140" s="17"/>
      <c r="N1140" s="17"/>
      <c r="O1140" s="17"/>
      <c r="P1140" s="17"/>
      <c r="Q1140" s="17"/>
    </row>
    <row r="1141" spans="1:17">
      <c r="A1141" s="556" t="s">
        <v>3568</v>
      </c>
      <c r="B1141" s="557"/>
      <c r="C1141" s="558" t="s">
        <v>1558</v>
      </c>
      <c r="D1141" s="556" t="s">
        <v>9327</v>
      </c>
      <c r="E1141" s="17" t="s">
        <v>4577</v>
      </c>
      <c r="F1141" s="17">
        <v>4</v>
      </c>
      <c r="G1141" s="17">
        <v>6</v>
      </c>
      <c r="H1141" s="17" t="s">
        <v>3451</v>
      </c>
      <c r="I1141" s="17"/>
      <c r="J1141" s="17"/>
      <c r="K1141" s="17"/>
      <c r="L1141" s="17"/>
      <c r="M1141" s="17"/>
      <c r="N1141" s="17"/>
      <c r="O1141" s="17"/>
      <c r="P1141" s="17"/>
      <c r="Q1141" s="17"/>
    </row>
    <row r="1142" spans="1:17">
      <c r="A1142" s="556" t="s">
        <v>3568</v>
      </c>
      <c r="B1142" s="557"/>
      <c r="C1142" s="558" t="s">
        <v>1789</v>
      </c>
      <c r="D1142" s="556" t="s">
        <v>1693</v>
      </c>
      <c r="E1142" s="17" t="s">
        <v>4578</v>
      </c>
      <c r="F1142" s="17">
        <v>5</v>
      </c>
      <c r="G1142" s="17">
        <v>1</v>
      </c>
      <c r="H1142" s="17" t="s">
        <v>3697</v>
      </c>
      <c r="I1142" s="17"/>
      <c r="J1142" s="17"/>
      <c r="K1142" s="17"/>
      <c r="L1142" s="17"/>
      <c r="M1142" s="17"/>
      <c r="N1142" s="17"/>
      <c r="O1142" s="17"/>
      <c r="P1142" s="17"/>
      <c r="Q1142" s="17"/>
    </row>
    <row r="1143" spans="1:17">
      <c r="A1143" s="556" t="s">
        <v>3568</v>
      </c>
      <c r="B1143" s="557"/>
      <c r="C1143" s="558" t="s">
        <v>1789</v>
      </c>
      <c r="D1143" s="556" t="s">
        <v>1694</v>
      </c>
      <c r="E1143" s="17" t="s">
        <v>4579</v>
      </c>
      <c r="F1143" s="17">
        <v>5</v>
      </c>
      <c r="G1143" s="17">
        <v>2</v>
      </c>
      <c r="H1143" s="17" t="s">
        <v>3343</v>
      </c>
      <c r="I1143" s="17"/>
      <c r="J1143" s="17"/>
      <c r="K1143" s="17"/>
      <c r="L1143" s="17"/>
      <c r="M1143" s="17"/>
      <c r="N1143" s="17"/>
      <c r="O1143" s="17"/>
      <c r="P1143" s="17"/>
      <c r="Q1143" s="17"/>
    </row>
    <row r="1144" spans="1:17">
      <c r="A1144" s="556" t="s">
        <v>3568</v>
      </c>
      <c r="B1144" s="557"/>
      <c r="C1144" s="558" t="s">
        <v>1789</v>
      </c>
      <c r="D1144" s="556" t="s">
        <v>4324</v>
      </c>
      <c r="E1144" s="17" t="s">
        <v>4580</v>
      </c>
      <c r="F1144" s="17">
        <v>5</v>
      </c>
      <c r="G1144" s="17">
        <v>3</v>
      </c>
      <c r="H1144" s="17" t="s">
        <v>3344</v>
      </c>
      <c r="I1144" s="17"/>
      <c r="J1144" s="17"/>
      <c r="K1144" s="17"/>
      <c r="L1144" s="17"/>
      <c r="M1144" s="17"/>
      <c r="N1144" s="17"/>
      <c r="O1144" s="17"/>
      <c r="P1144" s="17"/>
      <c r="Q1144" s="17"/>
    </row>
    <row r="1145" spans="1:17">
      <c r="A1145" s="556" t="s">
        <v>3568</v>
      </c>
      <c r="B1145" s="557"/>
      <c r="C1145" s="558" t="s">
        <v>1789</v>
      </c>
      <c r="D1145" s="556" t="s">
        <v>4326</v>
      </c>
      <c r="E1145" s="17" t="s">
        <v>4581</v>
      </c>
      <c r="F1145" s="17">
        <v>5</v>
      </c>
      <c r="G1145" s="17">
        <v>4</v>
      </c>
      <c r="H1145" s="17" t="s">
        <v>3345</v>
      </c>
      <c r="I1145" s="17"/>
      <c r="J1145" s="17"/>
      <c r="K1145" s="17"/>
      <c r="L1145" s="17"/>
      <c r="M1145" s="17"/>
      <c r="N1145" s="17"/>
      <c r="O1145" s="17"/>
      <c r="P1145" s="17"/>
      <c r="Q1145" s="17"/>
    </row>
    <row r="1146" spans="1:17">
      <c r="A1146" s="556" t="s">
        <v>3568</v>
      </c>
      <c r="B1146" s="557"/>
      <c r="C1146" s="558" t="s">
        <v>1789</v>
      </c>
      <c r="D1146" s="556" t="s">
        <v>9326</v>
      </c>
      <c r="E1146" s="17" t="s">
        <v>4582</v>
      </c>
      <c r="F1146" s="17">
        <v>5</v>
      </c>
      <c r="G1146" s="17">
        <v>5</v>
      </c>
      <c r="H1146" s="17" t="s">
        <v>3346</v>
      </c>
      <c r="I1146" s="17"/>
      <c r="J1146" s="17"/>
      <c r="K1146" s="17"/>
      <c r="L1146" s="17"/>
      <c r="M1146" s="17"/>
      <c r="N1146" s="17"/>
      <c r="O1146" s="17"/>
      <c r="P1146" s="17"/>
      <c r="Q1146" s="17"/>
    </row>
    <row r="1147" spans="1:17">
      <c r="A1147" s="556" t="s">
        <v>3568</v>
      </c>
      <c r="B1147" s="557"/>
      <c r="C1147" s="558" t="s">
        <v>1789</v>
      </c>
      <c r="D1147" s="556" t="s">
        <v>9327</v>
      </c>
      <c r="E1147" s="17" t="s">
        <v>4583</v>
      </c>
      <c r="F1147" s="17">
        <v>5</v>
      </c>
      <c r="G1147" s="17">
        <v>6</v>
      </c>
      <c r="H1147" s="17" t="s">
        <v>3452</v>
      </c>
      <c r="I1147" s="17"/>
      <c r="J1147" s="17"/>
      <c r="K1147" s="17"/>
      <c r="L1147" s="17"/>
      <c r="M1147" s="17"/>
      <c r="N1147" s="17"/>
      <c r="O1147" s="17"/>
      <c r="P1147" s="17"/>
      <c r="Q1147" s="17"/>
    </row>
    <row r="1148" spans="1:17">
      <c r="A1148" s="556" t="s">
        <v>3568</v>
      </c>
      <c r="B1148" s="557"/>
      <c r="C1148" s="558" t="s">
        <v>4584</v>
      </c>
      <c r="D1148" s="556" t="s">
        <v>1693</v>
      </c>
      <c r="E1148" s="17" t="s">
        <v>4585</v>
      </c>
      <c r="F1148" s="17">
        <v>6</v>
      </c>
      <c r="G1148" s="17">
        <v>1</v>
      </c>
      <c r="H1148" s="17" t="s">
        <v>7772</v>
      </c>
      <c r="I1148" s="17"/>
      <c r="J1148" s="17"/>
      <c r="K1148" s="17"/>
      <c r="L1148" s="17"/>
      <c r="M1148" s="17"/>
      <c r="N1148" s="17"/>
      <c r="O1148" s="17"/>
      <c r="P1148" s="17"/>
      <c r="Q1148" s="17"/>
    </row>
    <row r="1149" spans="1:17">
      <c r="A1149" s="556" t="s">
        <v>3568</v>
      </c>
      <c r="B1149" s="557"/>
      <c r="C1149" s="558" t="s">
        <v>4584</v>
      </c>
      <c r="D1149" s="556" t="s">
        <v>1694</v>
      </c>
      <c r="E1149" s="17" t="s">
        <v>4586</v>
      </c>
      <c r="F1149" s="17">
        <v>6</v>
      </c>
      <c r="G1149" s="17">
        <v>2</v>
      </c>
      <c r="H1149" s="17" t="s">
        <v>3347</v>
      </c>
      <c r="I1149" s="17"/>
      <c r="J1149" s="17"/>
      <c r="K1149" s="17"/>
      <c r="L1149" s="17"/>
      <c r="M1149" s="17"/>
      <c r="N1149" s="17"/>
      <c r="O1149" s="17"/>
      <c r="P1149" s="17"/>
      <c r="Q1149" s="17"/>
    </row>
    <row r="1150" spans="1:17">
      <c r="A1150" s="556" t="s">
        <v>3568</v>
      </c>
      <c r="B1150" s="557"/>
      <c r="C1150" s="558" t="s">
        <v>4584</v>
      </c>
      <c r="D1150" s="556" t="s">
        <v>4324</v>
      </c>
      <c r="E1150" s="17" t="s">
        <v>4587</v>
      </c>
      <c r="F1150" s="17">
        <v>6</v>
      </c>
      <c r="G1150" s="17">
        <v>3</v>
      </c>
      <c r="H1150" s="17" t="s">
        <v>3348</v>
      </c>
      <c r="I1150" s="17"/>
      <c r="J1150" s="17"/>
      <c r="K1150" s="17"/>
      <c r="L1150" s="17"/>
      <c r="M1150" s="17"/>
      <c r="N1150" s="17"/>
      <c r="O1150" s="17"/>
      <c r="P1150" s="17"/>
      <c r="Q1150" s="17"/>
    </row>
    <row r="1151" spans="1:17">
      <c r="A1151" s="556" t="s">
        <v>3568</v>
      </c>
      <c r="B1151" s="557"/>
      <c r="C1151" s="558" t="s">
        <v>4584</v>
      </c>
      <c r="D1151" s="556" t="s">
        <v>4326</v>
      </c>
      <c r="E1151" s="17" t="s">
        <v>4588</v>
      </c>
      <c r="F1151" s="17">
        <v>6</v>
      </c>
      <c r="G1151" s="17">
        <v>4</v>
      </c>
      <c r="H1151" s="17" t="s">
        <v>3349</v>
      </c>
      <c r="I1151" s="17"/>
      <c r="J1151" s="17"/>
      <c r="K1151" s="17"/>
      <c r="L1151" s="17"/>
      <c r="M1151" s="17"/>
      <c r="N1151" s="17"/>
      <c r="O1151" s="17"/>
      <c r="P1151" s="17"/>
      <c r="Q1151" s="17"/>
    </row>
    <row r="1152" spans="1:17">
      <c r="A1152" s="556" t="s">
        <v>3568</v>
      </c>
      <c r="B1152" s="557"/>
      <c r="C1152" s="558" t="s">
        <v>4584</v>
      </c>
      <c r="D1152" s="556" t="s">
        <v>9326</v>
      </c>
      <c r="E1152" s="17" t="s">
        <v>4589</v>
      </c>
      <c r="F1152" s="17">
        <v>6</v>
      </c>
      <c r="G1152" s="17">
        <v>5</v>
      </c>
      <c r="H1152" s="17" t="s">
        <v>3350</v>
      </c>
      <c r="I1152" s="17"/>
      <c r="J1152" s="17"/>
      <c r="K1152" s="17"/>
      <c r="L1152" s="17"/>
      <c r="M1152" s="17"/>
      <c r="N1152" s="17"/>
      <c r="O1152" s="17"/>
      <c r="P1152" s="17"/>
      <c r="Q1152" s="17"/>
    </row>
    <row r="1153" spans="1:17">
      <c r="A1153" s="556" t="s">
        <v>3568</v>
      </c>
      <c r="B1153" s="557"/>
      <c r="C1153" s="558" t="s">
        <v>4584</v>
      </c>
      <c r="D1153" s="556" t="s">
        <v>9327</v>
      </c>
      <c r="E1153" s="17" t="s">
        <v>4590</v>
      </c>
      <c r="F1153" s="17">
        <v>6</v>
      </c>
      <c r="G1153" s="17">
        <v>6</v>
      </c>
      <c r="H1153" s="17" t="s">
        <v>3453</v>
      </c>
      <c r="I1153" s="17"/>
      <c r="J1153" s="17"/>
      <c r="K1153" s="17"/>
      <c r="L1153" s="17"/>
      <c r="M1153" s="17"/>
      <c r="N1153" s="17"/>
      <c r="O1153" s="17"/>
      <c r="P1153" s="17"/>
      <c r="Q1153" s="17"/>
    </row>
    <row r="1154" spans="1:17">
      <c r="A1154" s="556" t="s">
        <v>3568</v>
      </c>
      <c r="B1154" s="557"/>
      <c r="C1154" s="558" t="s">
        <v>1791</v>
      </c>
      <c r="D1154" s="556" t="s">
        <v>1693</v>
      </c>
      <c r="E1154" s="17" t="s">
        <v>4591</v>
      </c>
      <c r="F1154" s="17">
        <v>7</v>
      </c>
      <c r="G1154" s="17">
        <v>1</v>
      </c>
      <c r="H1154" s="17" t="s">
        <v>7774</v>
      </c>
      <c r="I1154" s="17"/>
      <c r="J1154" s="17"/>
      <c r="K1154" s="17"/>
      <c r="L1154" s="17"/>
      <c r="M1154" s="17"/>
      <c r="N1154" s="17"/>
      <c r="O1154" s="17"/>
      <c r="P1154" s="17"/>
      <c r="Q1154" s="17"/>
    </row>
    <row r="1155" spans="1:17">
      <c r="A1155" s="556" t="s">
        <v>3568</v>
      </c>
      <c r="B1155" s="557"/>
      <c r="C1155" s="558" t="s">
        <v>1791</v>
      </c>
      <c r="D1155" s="556" t="s">
        <v>1694</v>
      </c>
      <c r="E1155" s="17" t="s">
        <v>4592</v>
      </c>
      <c r="F1155" s="17">
        <v>7</v>
      </c>
      <c r="G1155" s="17">
        <v>2</v>
      </c>
      <c r="H1155" s="17" t="s">
        <v>3351</v>
      </c>
      <c r="I1155" s="17"/>
      <c r="J1155" s="17"/>
      <c r="K1155" s="17"/>
      <c r="L1155" s="17"/>
      <c r="M1155" s="17"/>
      <c r="N1155" s="17"/>
      <c r="O1155" s="17"/>
      <c r="P1155" s="17"/>
      <c r="Q1155" s="17"/>
    </row>
    <row r="1156" spans="1:17">
      <c r="A1156" s="556" t="s">
        <v>3568</v>
      </c>
      <c r="B1156" s="557"/>
      <c r="C1156" s="558" t="s">
        <v>1791</v>
      </c>
      <c r="D1156" s="556" t="s">
        <v>4324</v>
      </c>
      <c r="E1156" s="17" t="s">
        <v>4593</v>
      </c>
      <c r="F1156" s="17">
        <v>7</v>
      </c>
      <c r="G1156" s="17">
        <v>3</v>
      </c>
      <c r="H1156" s="17" t="s">
        <v>3352</v>
      </c>
      <c r="I1156" s="17"/>
      <c r="J1156" s="17"/>
      <c r="K1156" s="17"/>
      <c r="L1156" s="17"/>
      <c r="M1156" s="17"/>
      <c r="N1156" s="17"/>
      <c r="O1156" s="17"/>
      <c r="P1156" s="17"/>
      <c r="Q1156" s="17"/>
    </row>
    <row r="1157" spans="1:17">
      <c r="A1157" s="556" t="s">
        <v>3568</v>
      </c>
      <c r="B1157" s="557"/>
      <c r="C1157" s="558" t="s">
        <v>1791</v>
      </c>
      <c r="D1157" s="556" t="s">
        <v>4326</v>
      </c>
      <c r="E1157" s="17" t="s">
        <v>4594</v>
      </c>
      <c r="F1157" s="17">
        <v>7</v>
      </c>
      <c r="G1157" s="17">
        <v>4</v>
      </c>
      <c r="H1157" s="17" t="s">
        <v>3353</v>
      </c>
      <c r="I1157" s="17"/>
      <c r="J1157" s="17"/>
      <c r="K1157" s="17"/>
      <c r="L1157" s="17"/>
      <c r="M1157" s="17"/>
      <c r="N1157" s="17"/>
      <c r="O1157" s="17"/>
      <c r="P1157" s="17"/>
      <c r="Q1157" s="17"/>
    </row>
    <row r="1158" spans="1:17">
      <c r="A1158" s="556" t="s">
        <v>3568</v>
      </c>
      <c r="B1158" s="557"/>
      <c r="C1158" s="558" t="s">
        <v>1791</v>
      </c>
      <c r="D1158" s="556" t="s">
        <v>9326</v>
      </c>
      <c r="E1158" s="17" t="s">
        <v>4595</v>
      </c>
      <c r="F1158" s="17">
        <v>7</v>
      </c>
      <c r="G1158" s="17">
        <v>5</v>
      </c>
      <c r="H1158" s="17" t="s">
        <v>3354</v>
      </c>
      <c r="I1158" s="17"/>
      <c r="J1158" s="17"/>
      <c r="K1158" s="17"/>
      <c r="L1158" s="17"/>
      <c r="M1158" s="17"/>
      <c r="N1158" s="17"/>
      <c r="O1158" s="17"/>
      <c r="P1158" s="17"/>
      <c r="Q1158" s="17"/>
    </row>
    <row r="1159" spans="1:17">
      <c r="A1159" s="556" t="s">
        <v>3568</v>
      </c>
      <c r="B1159" s="557"/>
      <c r="C1159" s="558" t="s">
        <v>1791</v>
      </c>
      <c r="D1159" s="556" t="s">
        <v>9327</v>
      </c>
      <c r="E1159" s="17" t="s">
        <v>4596</v>
      </c>
      <c r="F1159" s="17">
        <v>7</v>
      </c>
      <c r="G1159" s="17">
        <v>6</v>
      </c>
      <c r="H1159" s="17" t="s">
        <v>3454</v>
      </c>
      <c r="I1159" s="17"/>
      <c r="J1159" s="17"/>
      <c r="K1159" s="17"/>
      <c r="L1159" s="17"/>
      <c r="M1159" s="17"/>
      <c r="N1159" s="17"/>
      <c r="O1159" s="17"/>
      <c r="P1159" s="17"/>
      <c r="Q1159" s="17"/>
    </row>
    <row r="1160" spans="1:17">
      <c r="A1160" s="556" t="s">
        <v>3568</v>
      </c>
      <c r="B1160" s="557"/>
      <c r="C1160" s="558" t="s">
        <v>1792</v>
      </c>
      <c r="D1160" s="556" t="s">
        <v>1693</v>
      </c>
      <c r="E1160" s="17" t="s">
        <v>4597</v>
      </c>
      <c r="F1160" s="17">
        <v>8</v>
      </c>
      <c r="G1160" s="17">
        <v>1</v>
      </c>
      <c r="H1160" s="17" t="s">
        <v>7776</v>
      </c>
      <c r="I1160" s="17"/>
      <c r="J1160" s="17"/>
      <c r="K1160" s="17"/>
      <c r="L1160" s="17"/>
      <c r="M1160" s="17"/>
      <c r="N1160" s="17"/>
      <c r="O1160" s="17"/>
      <c r="P1160" s="17"/>
      <c r="Q1160" s="17"/>
    </row>
    <row r="1161" spans="1:17">
      <c r="A1161" s="556" t="s">
        <v>3568</v>
      </c>
      <c r="B1161" s="557"/>
      <c r="C1161" s="558" t="s">
        <v>1792</v>
      </c>
      <c r="D1161" s="556" t="s">
        <v>1694</v>
      </c>
      <c r="E1161" s="17" t="s">
        <v>4598</v>
      </c>
      <c r="F1161" s="17">
        <v>8</v>
      </c>
      <c r="G1161" s="17">
        <v>2</v>
      </c>
      <c r="H1161" s="17" t="s">
        <v>3355</v>
      </c>
      <c r="I1161" s="17"/>
      <c r="J1161" s="17"/>
      <c r="K1161" s="17"/>
      <c r="L1161" s="17"/>
      <c r="M1161" s="17"/>
      <c r="N1161" s="17"/>
      <c r="O1161" s="17"/>
      <c r="P1161" s="17"/>
      <c r="Q1161" s="17"/>
    </row>
    <row r="1162" spans="1:17">
      <c r="A1162" s="556" t="s">
        <v>3568</v>
      </c>
      <c r="B1162" s="557"/>
      <c r="C1162" s="558" t="s">
        <v>1792</v>
      </c>
      <c r="D1162" s="556" t="s">
        <v>4324</v>
      </c>
      <c r="E1162" s="17" t="s">
        <v>4599</v>
      </c>
      <c r="F1162" s="17">
        <v>8</v>
      </c>
      <c r="G1162" s="17">
        <v>3</v>
      </c>
      <c r="H1162" s="17" t="s">
        <v>3356</v>
      </c>
      <c r="I1162" s="17"/>
      <c r="J1162" s="17"/>
      <c r="K1162" s="17"/>
      <c r="L1162" s="17"/>
      <c r="M1162" s="17"/>
      <c r="N1162" s="17"/>
      <c r="O1162" s="17"/>
      <c r="P1162" s="17"/>
      <c r="Q1162" s="17"/>
    </row>
    <row r="1163" spans="1:17">
      <c r="A1163" s="556" t="s">
        <v>3568</v>
      </c>
      <c r="B1163" s="557"/>
      <c r="C1163" s="558" t="s">
        <v>1792</v>
      </c>
      <c r="D1163" s="556" t="s">
        <v>4326</v>
      </c>
      <c r="E1163" s="17" t="s">
        <v>4600</v>
      </c>
      <c r="F1163" s="17">
        <v>8</v>
      </c>
      <c r="G1163" s="17">
        <v>4</v>
      </c>
      <c r="H1163" s="17" t="s">
        <v>3357</v>
      </c>
      <c r="I1163" s="17"/>
      <c r="J1163" s="17"/>
      <c r="K1163" s="17"/>
      <c r="L1163" s="17"/>
      <c r="M1163" s="17"/>
      <c r="N1163" s="17"/>
      <c r="O1163" s="17"/>
      <c r="P1163" s="17"/>
      <c r="Q1163" s="17"/>
    </row>
    <row r="1164" spans="1:17">
      <c r="A1164" s="556" t="s">
        <v>3568</v>
      </c>
      <c r="B1164" s="557"/>
      <c r="C1164" s="558" t="s">
        <v>1792</v>
      </c>
      <c r="D1164" s="556" t="s">
        <v>9326</v>
      </c>
      <c r="E1164" s="17" t="s">
        <v>4601</v>
      </c>
      <c r="F1164" s="17">
        <v>8</v>
      </c>
      <c r="G1164" s="17">
        <v>5</v>
      </c>
      <c r="H1164" s="17" t="s">
        <v>3358</v>
      </c>
      <c r="I1164" s="17"/>
      <c r="J1164" s="17"/>
      <c r="K1164" s="17"/>
      <c r="L1164" s="17"/>
      <c r="M1164" s="17"/>
      <c r="N1164" s="17"/>
      <c r="O1164" s="17"/>
      <c r="P1164" s="17"/>
      <c r="Q1164" s="17"/>
    </row>
    <row r="1165" spans="1:17">
      <c r="A1165" s="556" t="s">
        <v>3568</v>
      </c>
      <c r="B1165" s="557"/>
      <c r="C1165" s="558" t="s">
        <v>1792</v>
      </c>
      <c r="D1165" s="556" t="s">
        <v>9327</v>
      </c>
      <c r="E1165" s="17" t="s">
        <v>4602</v>
      </c>
      <c r="F1165" s="17">
        <v>8</v>
      </c>
      <c r="G1165" s="17">
        <v>6</v>
      </c>
      <c r="H1165" s="17" t="s">
        <v>3455</v>
      </c>
      <c r="I1165" s="17"/>
      <c r="J1165" s="17"/>
      <c r="K1165" s="17"/>
      <c r="L1165" s="17"/>
      <c r="M1165" s="17"/>
      <c r="N1165" s="17"/>
      <c r="O1165" s="17"/>
      <c r="P1165" s="17"/>
      <c r="Q1165" s="17"/>
    </row>
    <row r="1166" spans="1:17">
      <c r="A1166" s="556" t="s">
        <v>3568</v>
      </c>
      <c r="B1166" s="557"/>
      <c r="C1166" s="558" t="s">
        <v>1793</v>
      </c>
      <c r="D1166" s="556" t="s">
        <v>1693</v>
      </c>
      <c r="E1166" s="17" t="s">
        <v>4603</v>
      </c>
      <c r="F1166" s="17">
        <v>9</v>
      </c>
      <c r="G1166" s="17">
        <v>1</v>
      </c>
      <c r="H1166" s="17" t="s">
        <v>7778</v>
      </c>
      <c r="I1166" s="17"/>
      <c r="J1166" s="17"/>
      <c r="K1166" s="17"/>
      <c r="L1166" s="17"/>
      <c r="M1166" s="17"/>
      <c r="N1166" s="17"/>
      <c r="O1166" s="17"/>
      <c r="P1166" s="17"/>
      <c r="Q1166" s="17"/>
    </row>
    <row r="1167" spans="1:17">
      <c r="A1167" s="556" t="s">
        <v>3568</v>
      </c>
      <c r="B1167" s="557"/>
      <c r="C1167" s="558" t="s">
        <v>1793</v>
      </c>
      <c r="D1167" s="556" t="s">
        <v>1694</v>
      </c>
      <c r="E1167" s="17" t="s">
        <v>4604</v>
      </c>
      <c r="F1167" s="17">
        <v>9</v>
      </c>
      <c r="G1167" s="17">
        <v>2</v>
      </c>
      <c r="H1167" s="17" t="s">
        <v>3359</v>
      </c>
      <c r="I1167" s="17"/>
      <c r="J1167" s="17"/>
      <c r="K1167" s="17"/>
      <c r="L1167" s="17"/>
      <c r="M1167" s="17"/>
      <c r="N1167" s="17"/>
      <c r="O1167" s="17"/>
      <c r="P1167" s="17"/>
      <c r="Q1167" s="17"/>
    </row>
    <row r="1168" spans="1:17">
      <c r="A1168" s="556" t="s">
        <v>3568</v>
      </c>
      <c r="B1168" s="557"/>
      <c r="C1168" s="558" t="s">
        <v>1793</v>
      </c>
      <c r="D1168" s="556" t="s">
        <v>4324</v>
      </c>
      <c r="E1168" s="17" t="s">
        <v>4605</v>
      </c>
      <c r="F1168" s="17">
        <v>9</v>
      </c>
      <c r="G1168" s="17">
        <v>3</v>
      </c>
      <c r="H1168" s="17" t="s">
        <v>3360</v>
      </c>
      <c r="I1168" s="17"/>
      <c r="J1168" s="17"/>
      <c r="K1168" s="17"/>
      <c r="L1168" s="17"/>
      <c r="M1168" s="17"/>
      <c r="N1168" s="17"/>
      <c r="O1168" s="17"/>
      <c r="P1168" s="17"/>
      <c r="Q1168" s="17"/>
    </row>
    <row r="1169" spans="1:17">
      <c r="A1169" s="556" t="s">
        <v>3568</v>
      </c>
      <c r="B1169" s="557"/>
      <c r="C1169" s="558" t="s">
        <v>1793</v>
      </c>
      <c r="D1169" s="556" t="s">
        <v>4326</v>
      </c>
      <c r="E1169" s="17" t="s">
        <v>4606</v>
      </c>
      <c r="F1169" s="17">
        <v>9</v>
      </c>
      <c r="G1169" s="17">
        <v>4</v>
      </c>
      <c r="H1169" s="17" t="s">
        <v>3327</v>
      </c>
      <c r="I1169" s="17"/>
      <c r="J1169" s="17"/>
      <c r="K1169" s="17"/>
      <c r="L1169" s="17"/>
      <c r="M1169" s="17"/>
      <c r="N1169" s="17"/>
      <c r="O1169" s="17"/>
      <c r="P1169" s="17"/>
      <c r="Q1169" s="17"/>
    </row>
    <row r="1170" spans="1:17">
      <c r="A1170" s="556" t="s">
        <v>3568</v>
      </c>
      <c r="B1170" s="557"/>
      <c r="C1170" s="558" t="s">
        <v>1793</v>
      </c>
      <c r="D1170" s="556" t="s">
        <v>9326</v>
      </c>
      <c r="E1170" s="17" t="s">
        <v>4607</v>
      </c>
      <c r="F1170" s="17">
        <v>9</v>
      </c>
      <c r="G1170" s="17">
        <v>5</v>
      </c>
      <c r="H1170" s="17" t="s">
        <v>3361</v>
      </c>
      <c r="I1170" s="17"/>
      <c r="J1170" s="17"/>
      <c r="K1170" s="17"/>
      <c r="L1170" s="17"/>
      <c r="M1170" s="17"/>
      <c r="N1170" s="17"/>
      <c r="O1170" s="17"/>
      <c r="P1170" s="17"/>
      <c r="Q1170" s="17"/>
    </row>
    <row r="1171" spans="1:17">
      <c r="A1171" s="556" t="s">
        <v>3568</v>
      </c>
      <c r="B1171" s="557"/>
      <c r="C1171" s="558" t="s">
        <v>1793</v>
      </c>
      <c r="D1171" s="556" t="s">
        <v>9327</v>
      </c>
      <c r="E1171" s="17" t="s">
        <v>4608</v>
      </c>
      <c r="F1171" s="17">
        <v>9</v>
      </c>
      <c r="G1171" s="17">
        <v>6</v>
      </c>
      <c r="H1171" s="17" t="s">
        <v>3456</v>
      </c>
      <c r="I1171" s="17"/>
      <c r="J1171" s="17"/>
      <c r="K1171" s="17"/>
      <c r="L1171" s="17"/>
      <c r="M1171" s="17"/>
      <c r="N1171" s="17"/>
      <c r="O1171" s="17"/>
      <c r="P1171" s="17"/>
      <c r="Q1171" s="17"/>
    </row>
    <row r="1172" spans="1:17">
      <c r="A1172" s="556" t="s">
        <v>3568</v>
      </c>
      <c r="B1172" s="557"/>
      <c r="C1172" s="558" t="s">
        <v>1794</v>
      </c>
      <c r="D1172" s="556" t="s">
        <v>1693</v>
      </c>
      <c r="E1172" s="17" t="s">
        <v>4609</v>
      </c>
      <c r="F1172" s="17">
        <v>10</v>
      </c>
      <c r="G1172" s="17">
        <v>1</v>
      </c>
      <c r="H1172" s="17" t="s">
        <v>7779</v>
      </c>
      <c r="I1172" s="17"/>
      <c r="J1172" s="17"/>
      <c r="K1172" s="17"/>
      <c r="L1172" s="17"/>
      <c r="M1172" s="17"/>
      <c r="N1172" s="17"/>
      <c r="O1172" s="17"/>
      <c r="P1172" s="17"/>
      <c r="Q1172" s="17"/>
    </row>
    <row r="1173" spans="1:17">
      <c r="A1173" s="556" t="s">
        <v>3568</v>
      </c>
      <c r="B1173" s="557"/>
      <c r="C1173" s="558" t="s">
        <v>1794</v>
      </c>
      <c r="D1173" s="556" t="s">
        <v>1694</v>
      </c>
      <c r="E1173" s="17" t="s">
        <v>4610</v>
      </c>
      <c r="F1173" s="17">
        <v>10</v>
      </c>
      <c r="G1173" s="17">
        <v>2</v>
      </c>
      <c r="H1173" s="17" t="s">
        <v>3362</v>
      </c>
      <c r="I1173" s="17"/>
      <c r="J1173" s="17"/>
      <c r="K1173" s="17"/>
      <c r="L1173" s="17"/>
      <c r="M1173" s="17"/>
      <c r="N1173" s="17"/>
      <c r="O1173" s="17"/>
      <c r="P1173" s="17"/>
      <c r="Q1173" s="17"/>
    </row>
    <row r="1174" spans="1:17">
      <c r="A1174" s="556" t="s">
        <v>3568</v>
      </c>
      <c r="B1174" s="557"/>
      <c r="C1174" s="558" t="s">
        <v>1794</v>
      </c>
      <c r="D1174" s="556" t="s">
        <v>4324</v>
      </c>
      <c r="E1174" s="17" t="s">
        <v>4611</v>
      </c>
      <c r="F1174" s="17">
        <v>10</v>
      </c>
      <c r="G1174" s="17">
        <v>3</v>
      </c>
      <c r="H1174" s="17" t="s">
        <v>3363</v>
      </c>
      <c r="I1174" s="17"/>
      <c r="J1174" s="17"/>
      <c r="K1174" s="17"/>
      <c r="L1174" s="17"/>
      <c r="M1174" s="17"/>
      <c r="N1174" s="17"/>
      <c r="O1174" s="17"/>
      <c r="P1174" s="17"/>
      <c r="Q1174" s="17"/>
    </row>
    <row r="1175" spans="1:17">
      <c r="A1175" s="556" t="s">
        <v>3568</v>
      </c>
      <c r="B1175" s="557"/>
      <c r="C1175" s="558" t="s">
        <v>1794</v>
      </c>
      <c r="D1175" s="556" t="s">
        <v>4326</v>
      </c>
      <c r="E1175" s="17" t="s">
        <v>4612</v>
      </c>
      <c r="F1175" s="17">
        <v>10</v>
      </c>
      <c r="G1175" s="17">
        <v>4</v>
      </c>
      <c r="H1175" s="17" t="s">
        <v>3364</v>
      </c>
      <c r="I1175" s="17"/>
      <c r="J1175" s="17"/>
      <c r="K1175" s="17"/>
      <c r="L1175" s="17"/>
      <c r="M1175" s="17"/>
      <c r="N1175" s="17"/>
      <c r="O1175" s="17"/>
      <c r="P1175" s="17"/>
      <c r="Q1175" s="17"/>
    </row>
    <row r="1176" spans="1:17">
      <c r="A1176" s="556" t="s">
        <v>3568</v>
      </c>
      <c r="B1176" s="557"/>
      <c r="C1176" s="558" t="s">
        <v>1794</v>
      </c>
      <c r="D1176" s="556" t="s">
        <v>9326</v>
      </c>
      <c r="E1176" s="17" t="s">
        <v>4613</v>
      </c>
      <c r="F1176" s="17">
        <v>10</v>
      </c>
      <c r="G1176" s="17">
        <v>5</v>
      </c>
      <c r="H1176" s="17" t="s">
        <v>3365</v>
      </c>
      <c r="I1176" s="17"/>
      <c r="J1176" s="17"/>
      <c r="K1176" s="17"/>
      <c r="L1176" s="17"/>
      <c r="M1176" s="17"/>
      <c r="N1176" s="17"/>
      <c r="O1176" s="17"/>
      <c r="P1176" s="17"/>
      <c r="Q1176" s="17"/>
    </row>
    <row r="1177" spans="1:17">
      <c r="A1177" s="556" t="s">
        <v>3568</v>
      </c>
      <c r="B1177" s="557"/>
      <c r="C1177" s="558" t="s">
        <v>1794</v>
      </c>
      <c r="D1177" s="556" t="s">
        <v>9327</v>
      </c>
      <c r="E1177" s="17" t="s">
        <v>4614</v>
      </c>
      <c r="F1177" s="17">
        <v>10</v>
      </c>
      <c r="G1177" s="17">
        <v>6</v>
      </c>
      <c r="H1177" s="17" t="s">
        <v>3457</v>
      </c>
      <c r="I1177" s="17"/>
      <c r="J1177" s="17"/>
      <c r="K1177" s="17"/>
      <c r="L1177" s="17"/>
      <c r="M1177" s="17"/>
      <c r="N1177" s="17"/>
      <c r="O1177" s="17"/>
      <c r="P1177" s="17"/>
      <c r="Q1177" s="17"/>
    </row>
    <row r="1178" spans="1:17">
      <c r="A1178" s="556" t="s">
        <v>3568</v>
      </c>
      <c r="B1178" s="557"/>
      <c r="C1178" s="558" t="s">
        <v>1795</v>
      </c>
      <c r="D1178" s="556" t="s">
        <v>1693</v>
      </c>
      <c r="E1178" s="17" t="s">
        <v>4615</v>
      </c>
      <c r="F1178" s="17">
        <v>11</v>
      </c>
      <c r="G1178" s="17">
        <v>1</v>
      </c>
      <c r="H1178" s="17" t="s">
        <v>7781</v>
      </c>
      <c r="I1178" s="17">
        <v>0</v>
      </c>
      <c r="J1178" s="17"/>
      <c r="K1178" s="17"/>
      <c r="L1178" s="17"/>
      <c r="M1178" s="17"/>
      <c r="N1178" s="17"/>
      <c r="O1178" s="17"/>
      <c r="P1178" s="17"/>
      <c r="Q1178" s="17"/>
    </row>
    <row r="1179" spans="1:17">
      <c r="A1179" s="556" t="s">
        <v>3568</v>
      </c>
      <c r="B1179" s="557"/>
      <c r="C1179" s="558" t="s">
        <v>1795</v>
      </c>
      <c r="D1179" s="556" t="s">
        <v>1694</v>
      </c>
      <c r="E1179" s="17" t="s">
        <v>4616</v>
      </c>
      <c r="F1179" s="17">
        <v>11</v>
      </c>
      <c r="G1179" s="17">
        <v>2</v>
      </c>
      <c r="H1179" s="17" t="s">
        <v>3366</v>
      </c>
      <c r="I1179" s="17">
        <v>0</v>
      </c>
      <c r="J1179" s="17"/>
      <c r="K1179" s="17"/>
      <c r="L1179" s="17"/>
      <c r="M1179" s="17"/>
      <c r="N1179" s="17"/>
      <c r="O1179" s="17"/>
      <c r="P1179" s="17"/>
      <c r="Q1179" s="17"/>
    </row>
    <row r="1180" spans="1:17">
      <c r="A1180" s="556" t="s">
        <v>3568</v>
      </c>
      <c r="B1180" s="557"/>
      <c r="C1180" s="558" t="s">
        <v>1795</v>
      </c>
      <c r="D1180" s="556" t="s">
        <v>4324</v>
      </c>
      <c r="E1180" s="17" t="s">
        <v>4617</v>
      </c>
      <c r="F1180" s="17">
        <v>11</v>
      </c>
      <c r="G1180" s="17">
        <v>3</v>
      </c>
      <c r="H1180" s="17" t="s">
        <v>3367</v>
      </c>
      <c r="I1180" s="17"/>
      <c r="J1180" s="17"/>
      <c r="K1180" s="17"/>
      <c r="L1180" s="17"/>
      <c r="M1180" s="17"/>
      <c r="N1180" s="17"/>
      <c r="O1180" s="17"/>
      <c r="P1180" s="17"/>
      <c r="Q1180" s="17"/>
    </row>
    <row r="1181" spans="1:17">
      <c r="A1181" s="556" t="s">
        <v>3568</v>
      </c>
      <c r="B1181" s="557"/>
      <c r="C1181" s="558" t="s">
        <v>1795</v>
      </c>
      <c r="D1181" s="556" t="s">
        <v>4326</v>
      </c>
      <c r="E1181" s="17" t="s">
        <v>4618</v>
      </c>
      <c r="F1181" s="17">
        <v>11</v>
      </c>
      <c r="G1181" s="17">
        <v>4</v>
      </c>
      <c r="H1181" s="17" t="s">
        <v>3368</v>
      </c>
      <c r="I1181" s="17">
        <v>0</v>
      </c>
      <c r="J1181" s="17"/>
      <c r="K1181" s="17"/>
      <c r="L1181" s="17"/>
      <c r="M1181" s="17"/>
      <c r="N1181" s="17"/>
      <c r="O1181" s="17"/>
      <c r="P1181" s="17"/>
      <c r="Q1181" s="17"/>
    </row>
    <row r="1182" spans="1:17">
      <c r="A1182" s="556" t="s">
        <v>3568</v>
      </c>
      <c r="B1182" s="557"/>
      <c r="C1182" s="558" t="s">
        <v>1795</v>
      </c>
      <c r="D1182" s="556" t="s">
        <v>9326</v>
      </c>
      <c r="E1182" s="17" t="s">
        <v>4619</v>
      </c>
      <c r="F1182" s="17">
        <v>11</v>
      </c>
      <c r="G1182" s="17">
        <v>5</v>
      </c>
      <c r="H1182" s="17" t="s">
        <v>3369</v>
      </c>
      <c r="I1182" s="17">
        <v>0</v>
      </c>
      <c r="J1182" s="17"/>
      <c r="K1182" s="17"/>
      <c r="L1182" s="17"/>
      <c r="M1182" s="17"/>
      <c r="N1182" s="17"/>
      <c r="O1182" s="17"/>
      <c r="P1182" s="17"/>
      <c r="Q1182" s="17"/>
    </row>
    <row r="1183" spans="1:17">
      <c r="A1183" s="556" t="s">
        <v>3568</v>
      </c>
      <c r="B1183" s="557"/>
      <c r="C1183" s="558" t="s">
        <v>1795</v>
      </c>
      <c r="D1183" s="556" t="s">
        <v>9327</v>
      </c>
      <c r="E1183" s="17" t="s">
        <v>4620</v>
      </c>
      <c r="F1183" s="17">
        <v>11</v>
      </c>
      <c r="G1183" s="17">
        <v>6</v>
      </c>
      <c r="H1183" s="17" t="s">
        <v>3458</v>
      </c>
      <c r="I1183" s="17">
        <v>0</v>
      </c>
      <c r="J1183" s="17"/>
      <c r="K1183" s="17"/>
      <c r="L1183" s="17"/>
      <c r="M1183" s="17"/>
      <c r="N1183" s="17"/>
      <c r="O1183" s="17"/>
      <c r="P1183" s="17"/>
      <c r="Q1183" s="17"/>
    </row>
    <row r="1184" spans="1:17">
      <c r="A1184" s="556" t="s">
        <v>3568</v>
      </c>
      <c r="B1184" s="557"/>
      <c r="C1184" s="558" t="s">
        <v>1796</v>
      </c>
      <c r="D1184" s="556" t="s">
        <v>1693</v>
      </c>
      <c r="E1184" s="17" t="s">
        <v>4621</v>
      </c>
      <c r="F1184" s="17">
        <v>12</v>
      </c>
      <c r="G1184" s="17">
        <v>1</v>
      </c>
      <c r="H1184" s="17" t="s">
        <v>7783</v>
      </c>
      <c r="I1184" s="17"/>
      <c r="J1184" s="17"/>
      <c r="K1184" s="17"/>
      <c r="L1184" s="17"/>
      <c r="M1184" s="17"/>
      <c r="N1184" s="17"/>
      <c r="O1184" s="17"/>
      <c r="P1184" s="17"/>
      <c r="Q1184" s="17"/>
    </row>
    <row r="1185" spans="1:17">
      <c r="A1185" s="556" t="s">
        <v>3568</v>
      </c>
      <c r="B1185" s="557"/>
      <c r="C1185" s="558" t="s">
        <v>1796</v>
      </c>
      <c r="D1185" s="556" t="s">
        <v>1694</v>
      </c>
      <c r="E1185" s="17" t="s">
        <v>4622</v>
      </c>
      <c r="F1185" s="17">
        <v>12</v>
      </c>
      <c r="G1185" s="17">
        <v>2</v>
      </c>
      <c r="H1185" s="17" t="s">
        <v>3370</v>
      </c>
      <c r="I1185" s="17"/>
      <c r="J1185" s="17"/>
      <c r="K1185" s="17"/>
      <c r="L1185" s="17"/>
      <c r="M1185" s="17"/>
      <c r="N1185" s="17"/>
      <c r="O1185" s="17"/>
      <c r="P1185" s="17"/>
      <c r="Q1185" s="17"/>
    </row>
    <row r="1186" spans="1:17">
      <c r="A1186" s="556" t="s">
        <v>3568</v>
      </c>
      <c r="B1186" s="557"/>
      <c r="C1186" s="558" t="s">
        <v>1796</v>
      </c>
      <c r="D1186" s="556" t="s">
        <v>4324</v>
      </c>
      <c r="E1186" s="17" t="s">
        <v>4623</v>
      </c>
      <c r="F1186" s="17">
        <v>12</v>
      </c>
      <c r="G1186" s="17">
        <v>3</v>
      </c>
      <c r="H1186" s="17" t="s">
        <v>3371</v>
      </c>
      <c r="I1186" s="17"/>
      <c r="J1186" s="17"/>
      <c r="K1186" s="17"/>
      <c r="L1186" s="17"/>
      <c r="M1186" s="17"/>
      <c r="N1186" s="17"/>
      <c r="O1186" s="17"/>
      <c r="P1186" s="17"/>
      <c r="Q1186" s="17"/>
    </row>
    <row r="1187" spans="1:17">
      <c r="A1187" s="556" t="s">
        <v>3568</v>
      </c>
      <c r="B1187" s="557"/>
      <c r="C1187" s="558" t="s">
        <v>1735</v>
      </c>
      <c r="D1187" s="556" t="s">
        <v>1693</v>
      </c>
      <c r="E1187" s="17" t="s">
        <v>4624</v>
      </c>
      <c r="F1187" s="17">
        <v>13</v>
      </c>
      <c r="G1187" s="17">
        <v>1</v>
      </c>
      <c r="H1187" s="17" t="s">
        <v>7785</v>
      </c>
      <c r="I1187" s="17">
        <v>0</v>
      </c>
      <c r="J1187" s="17"/>
      <c r="K1187" s="17"/>
      <c r="L1187" s="17"/>
      <c r="M1187" s="17"/>
      <c r="N1187" s="17"/>
      <c r="O1187" s="17"/>
      <c r="P1187" s="17"/>
      <c r="Q1187" s="17"/>
    </row>
    <row r="1188" spans="1:17">
      <c r="A1188" s="556" t="s">
        <v>3568</v>
      </c>
      <c r="B1188" s="557"/>
      <c r="C1188" s="558" t="s">
        <v>1735</v>
      </c>
      <c r="D1188" s="556" t="s">
        <v>1694</v>
      </c>
      <c r="E1188" s="17" t="s">
        <v>4625</v>
      </c>
      <c r="F1188" s="17">
        <v>13</v>
      </c>
      <c r="G1188" s="17">
        <v>2</v>
      </c>
      <c r="H1188" s="17" t="s">
        <v>3374</v>
      </c>
      <c r="I1188" s="17">
        <v>0</v>
      </c>
      <c r="J1188" s="17"/>
      <c r="K1188" s="17"/>
      <c r="L1188" s="17"/>
      <c r="M1188" s="17"/>
      <c r="N1188" s="17"/>
      <c r="O1188" s="17"/>
      <c r="P1188" s="17"/>
      <c r="Q1188" s="17"/>
    </row>
    <row r="1189" spans="1:17">
      <c r="A1189" s="556" t="s">
        <v>3568</v>
      </c>
      <c r="B1189" s="557"/>
      <c r="C1189" s="558" t="s">
        <v>1735</v>
      </c>
      <c r="D1189" s="556" t="s">
        <v>4324</v>
      </c>
      <c r="E1189" s="17" t="s">
        <v>4626</v>
      </c>
      <c r="F1189" s="17">
        <v>13</v>
      </c>
      <c r="G1189" s="17">
        <v>3</v>
      </c>
      <c r="H1189" s="17" t="s">
        <v>3375</v>
      </c>
      <c r="I1189" s="17"/>
      <c r="J1189" s="17"/>
      <c r="K1189" s="17"/>
      <c r="L1189" s="17"/>
      <c r="M1189" s="17"/>
      <c r="N1189" s="17"/>
      <c r="O1189" s="17"/>
      <c r="P1189" s="17"/>
      <c r="Q1189" s="17"/>
    </row>
    <row r="1190" spans="1:17">
      <c r="A1190" s="556" t="s">
        <v>3569</v>
      </c>
      <c r="B1190" s="557"/>
      <c r="C1190" s="558" t="s">
        <v>8999</v>
      </c>
      <c r="D1190" s="556" t="s">
        <v>1802</v>
      </c>
      <c r="E1190" s="17" t="s">
        <v>4627</v>
      </c>
      <c r="F1190" s="17">
        <v>1</v>
      </c>
      <c r="G1190" s="17">
        <v>1</v>
      </c>
      <c r="H1190" s="17" t="s">
        <v>3517</v>
      </c>
      <c r="I1190" s="17"/>
      <c r="J1190" s="17"/>
      <c r="K1190" s="17"/>
      <c r="L1190" s="17"/>
      <c r="M1190" s="17"/>
      <c r="N1190" s="17"/>
      <c r="O1190" s="17"/>
      <c r="P1190" s="17"/>
      <c r="Q1190" s="17"/>
    </row>
    <row r="1191" spans="1:17">
      <c r="A1191" s="556" t="s">
        <v>3569</v>
      </c>
      <c r="B1191" s="557"/>
      <c r="C1191" s="558" t="s">
        <v>8999</v>
      </c>
      <c r="D1191" s="556" t="s">
        <v>4628</v>
      </c>
      <c r="E1191" s="17" t="s">
        <v>4629</v>
      </c>
      <c r="F1191" s="17">
        <v>1</v>
      </c>
      <c r="G1191" s="17">
        <v>3</v>
      </c>
      <c r="H1191" s="17" t="s">
        <v>3519</v>
      </c>
      <c r="I1191" s="17"/>
      <c r="J1191" s="17"/>
      <c r="K1191" s="17"/>
      <c r="L1191" s="17"/>
      <c r="M1191" s="17"/>
      <c r="N1191" s="17"/>
      <c r="O1191" s="17"/>
      <c r="P1191" s="17"/>
      <c r="Q1191" s="17"/>
    </row>
    <row r="1192" spans="1:17">
      <c r="A1192" s="556" t="s">
        <v>3569</v>
      </c>
      <c r="B1192" s="557"/>
      <c r="C1192" s="558" t="s">
        <v>8999</v>
      </c>
      <c r="D1192" s="556" t="s">
        <v>4630</v>
      </c>
      <c r="E1192" s="17" t="s">
        <v>4631</v>
      </c>
      <c r="F1192" s="17">
        <v>1</v>
      </c>
      <c r="G1192" s="17">
        <v>5</v>
      </c>
      <c r="H1192" s="17" t="s">
        <v>3521</v>
      </c>
      <c r="I1192" s="17"/>
      <c r="J1192" s="17"/>
      <c r="K1192" s="17"/>
      <c r="L1192" s="17"/>
      <c r="M1192" s="17"/>
      <c r="N1192" s="17"/>
      <c r="O1192" s="17"/>
      <c r="P1192" s="17"/>
      <c r="Q1192" s="17"/>
    </row>
    <row r="1193" spans="1:17">
      <c r="A1193" s="556" t="s">
        <v>3569</v>
      </c>
      <c r="B1193" s="557"/>
      <c r="C1193" s="558" t="s">
        <v>1806</v>
      </c>
      <c r="D1193" s="556" t="s">
        <v>1802</v>
      </c>
      <c r="E1193" s="17" t="s">
        <v>4632</v>
      </c>
      <c r="F1193" s="17">
        <v>2</v>
      </c>
      <c r="G1193" s="17">
        <v>1</v>
      </c>
      <c r="H1193" s="17" t="s">
        <v>3326</v>
      </c>
      <c r="I1193" s="17"/>
      <c r="J1193" s="17"/>
      <c r="K1193" s="17"/>
      <c r="L1193" s="17"/>
      <c r="M1193" s="17"/>
      <c r="N1193" s="17"/>
      <c r="O1193" s="17"/>
      <c r="P1193" s="17"/>
      <c r="Q1193" s="17"/>
    </row>
    <row r="1194" spans="1:17">
      <c r="A1194" s="556" t="s">
        <v>3569</v>
      </c>
      <c r="B1194" s="557"/>
      <c r="C1194" s="558" t="s">
        <v>1806</v>
      </c>
      <c r="D1194" s="556" t="s">
        <v>4628</v>
      </c>
      <c r="E1194" s="17" t="s">
        <v>4633</v>
      </c>
      <c r="F1194" s="17">
        <v>2</v>
      </c>
      <c r="G1194" s="17">
        <v>3</v>
      </c>
      <c r="H1194" s="17" t="s">
        <v>3338</v>
      </c>
      <c r="I1194" s="17"/>
      <c r="J1194" s="17"/>
      <c r="K1194" s="17"/>
      <c r="L1194" s="17"/>
      <c r="M1194" s="17"/>
      <c r="N1194" s="17"/>
      <c r="O1194" s="17"/>
      <c r="P1194" s="17"/>
      <c r="Q1194" s="17"/>
    </row>
    <row r="1195" spans="1:17">
      <c r="A1195" s="556" t="s">
        <v>3569</v>
      </c>
      <c r="B1195" s="557"/>
      <c r="C1195" s="558" t="s">
        <v>1806</v>
      </c>
      <c r="D1195" s="556" t="s">
        <v>4630</v>
      </c>
      <c r="E1195" s="17" t="s">
        <v>4634</v>
      </c>
      <c r="F1195" s="17">
        <v>2</v>
      </c>
      <c r="G1195" s="17">
        <v>5</v>
      </c>
      <c r="H1195" s="17" t="s">
        <v>2992</v>
      </c>
      <c r="I1195" s="17"/>
      <c r="J1195" s="17"/>
      <c r="K1195" s="17"/>
      <c r="L1195" s="17"/>
      <c r="M1195" s="17"/>
      <c r="N1195" s="17"/>
      <c r="O1195" s="17"/>
      <c r="P1195" s="17"/>
      <c r="Q1195" s="17"/>
    </row>
    <row r="1196" spans="1:17">
      <c r="A1196" s="556" t="s">
        <v>3569</v>
      </c>
      <c r="B1196" s="557"/>
      <c r="C1196" s="558" t="s">
        <v>9000</v>
      </c>
      <c r="D1196" s="556" t="s">
        <v>1802</v>
      </c>
      <c r="E1196" s="17" t="s">
        <v>4635</v>
      </c>
      <c r="F1196" s="17">
        <v>34</v>
      </c>
      <c r="G1196" s="17">
        <v>2</v>
      </c>
      <c r="H1196" s="17" t="s">
        <v>7905</v>
      </c>
      <c r="I1196" s="17">
        <v>0</v>
      </c>
      <c r="J1196" s="17"/>
      <c r="K1196" s="17"/>
      <c r="L1196" s="17"/>
      <c r="M1196" s="17"/>
      <c r="N1196" s="17"/>
      <c r="O1196" s="17"/>
      <c r="P1196" s="17"/>
      <c r="Q1196" s="17"/>
    </row>
    <row r="1197" spans="1:17">
      <c r="A1197" s="556" t="s">
        <v>3569</v>
      </c>
      <c r="B1197" s="557"/>
      <c r="C1197" s="558" t="s">
        <v>9000</v>
      </c>
      <c r="D1197" s="556" t="s">
        <v>4628</v>
      </c>
      <c r="E1197" s="17" t="s">
        <v>4636</v>
      </c>
      <c r="F1197" s="17">
        <v>34</v>
      </c>
      <c r="G1197" s="17">
        <v>4</v>
      </c>
      <c r="H1197" s="17" t="s">
        <v>7764</v>
      </c>
      <c r="I1197" s="17">
        <v>0</v>
      </c>
      <c r="J1197" s="17"/>
      <c r="K1197" s="17"/>
      <c r="L1197" s="17"/>
      <c r="M1197" s="17"/>
      <c r="N1197" s="17"/>
      <c r="O1197" s="17"/>
      <c r="P1197" s="17"/>
      <c r="Q1197" s="17"/>
    </row>
    <row r="1198" spans="1:17">
      <c r="A1198" s="556" t="s">
        <v>3569</v>
      </c>
      <c r="B1198" s="557"/>
      <c r="C1198" s="558" t="s">
        <v>9000</v>
      </c>
      <c r="D1198" s="556" t="s">
        <v>4630</v>
      </c>
      <c r="E1198" s="17" t="s">
        <v>4637</v>
      </c>
      <c r="F1198" s="17">
        <v>34</v>
      </c>
      <c r="G1198" s="17">
        <v>6</v>
      </c>
      <c r="H1198" s="17" t="s">
        <v>3486</v>
      </c>
      <c r="I1198" s="17">
        <v>0</v>
      </c>
      <c r="J1198" s="17"/>
      <c r="K1198" s="17"/>
      <c r="L1198" s="17"/>
      <c r="M1198" s="17"/>
      <c r="N1198" s="17"/>
      <c r="O1198" s="17"/>
      <c r="P1198" s="17"/>
      <c r="Q1198" s="17"/>
    </row>
    <row r="1199" spans="1:17">
      <c r="A1199" s="556" t="s">
        <v>3569</v>
      </c>
      <c r="B1199" s="557"/>
      <c r="C1199" s="558" t="s">
        <v>9001</v>
      </c>
      <c r="D1199" s="556" t="s">
        <v>1802</v>
      </c>
      <c r="E1199" s="17" t="s">
        <v>4638</v>
      </c>
      <c r="F1199" s="17">
        <v>35</v>
      </c>
      <c r="G1199" s="17">
        <v>2</v>
      </c>
      <c r="H1199" s="17" t="s">
        <v>7906</v>
      </c>
      <c r="I1199" s="17"/>
      <c r="J1199" s="17"/>
      <c r="K1199" s="17"/>
      <c r="L1199" s="17"/>
      <c r="M1199" s="17"/>
      <c r="N1199" s="17"/>
      <c r="O1199" s="17"/>
      <c r="P1199" s="17"/>
      <c r="Q1199" s="17"/>
    </row>
    <row r="1200" spans="1:17">
      <c r="A1200" s="556" t="s">
        <v>3569</v>
      </c>
      <c r="B1200" s="557"/>
      <c r="C1200" s="558" t="s">
        <v>9001</v>
      </c>
      <c r="D1200" s="556" t="s">
        <v>4628</v>
      </c>
      <c r="E1200" s="17" t="s">
        <v>4639</v>
      </c>
      <c r="F1200" s="17">
        <v>35</v>
      </c>
      <c r="G1200" s="17">
        <v>4</v>
      </c>
      <c r="H1200" s="17" t="s">
        <v>7766</v>
      </c>
      <c r="I1200" s="17"/>
      <c r="J1200" s="17"/>
      <c r="K1200" s="17"/>
      <c r="L1200" s="17"/>
      <c r="M1200" s="17"/>
      <c r="N1200" s="17"/>
      <c r="O1200" s="17"/>
      <c r="P1200" s="17"/>
      <c r="Q1200" s="17"/>
    </row>
    <row r="1201" spans="1:17">
      <c r="A1201" s="556" t="s">
        <v>3569</v>
      </c>
      <c r="B1201" s="557"/>
      <c r="C1201" s="558" t="s">
        <v>9001</v>
      </c>
      <c r="D1201" s="556" t="s">
        <v>4630</v>
      </c>
      <c r="E1201" s="17" t="s">
        <v>4640</v>
      </c>
      <c r="F1201" s="17">
        <v>35</v>
      </c>
      <c r="G1201" s="17">
        <v>6</v>
      </c>
      <c r="H1201" s="17" t="s">
        <v>3488</v>
      </c>
      <c r="I1201" s="17"/>
      <c r="J1201" s="17"/>
      <c r="K1201" s="17"/>
      <c r="L1201" s="17"/>
      <c r="M1201" s="17"/>
      <c r="N1201" s="17"/>
      <c r="O1201" s="17"/>
      <c r="P1201" s="17"/>
      <c r="Q1201" s="17"/>
    </row>
    <row r="1202" spans="1:17">
      <c r="A1202" s="556" t="s">
        <v>3569</v>
      </c>
      <c r="B1202" s="557"/>
      <c r="C1202" s="558" t="s">
        <v>9002</v>
      </c>
      <c r="D1202" s="556" t="s">
        <v>1802</v>
      </c>
      <c r="E1202" s="17" t="s">
        <v>4641</v>
      </c>
      <c r="F1202" s="17">
        <v>36</v>
      </c>
      <c r="G1202" s="17">
        <v>2</v>
      </c>
      <c r="H1202" s="17" t="s">
        <v>7907</v>
      </c>
      <c r="I1202" s="17"/>
      <c r="J1202" s="17"/>
      <c r="K1202" s="17"/>
      <c r="L1202" s="17"/>
      <c r="M1202" s="17"/>
      <c r="N1202" s="17"/>
      <c r="O1202" s="17"/>
      <c r="P1202" s="17"/>
      <c r="Q1202" s="17"/>
    </row>
    <row r="1203" spans="1:17">
      <c r="A1203" s="556" t="s">
        <v>3569</v>
      </c>
      <c r="B1203" s="557"/>
      <c r="C1203" s="558" t="s">
        <v>9002</v>
      </c>
      <c r="D1203" s="556" t="s">
        <v>4628</v>
      </c>
      <c r="E1203" s="17" t="s">
        <v>4642</v>
      </c>
      <c r="F1203" s="17">
        <v>36</v>
      </c>
      <c r="G1203" s="17">
        <v>4</v>
      </c>
      <c r="H1203" s="17" t="s">
        <v>7768</v>
      </c>
      <c r="I1203" s="17"/>
      <c r="J1203" s="17"/>
      <c r="K1203" s="17"/>
      <c r="L1203" s="17"/>
      <c r="M1203" s="17"/>
      <c r="N1203" s="17"/>
      <c r="O1203" s="17"/>
      <c r="P1203" s="17"/>
      <c r="Q1203" s="17"/>
    </row>
    <row r="1204" spans="1:17">
      <c r="A1204" s="556" t="s">
        <v>3569</v>
      </c>
      <c r="B1204" s="557"/>
      <c r="C1204" s="558" t="s">
        <v>9002</v>
      </c>
      <c r="D1204" s="556" t="s">
        <v>4630</v>
      </c>
      <c r="E1204" s="17" t="s">
        <v>4643</v>
      </c>
      <c r="F1204" s="17">
        <v>36</v>
      </c>
      <c r="G1204" s="17">
        <v>6</v>
      </c>
      <c r="H1204" s="17" t="s">
        <v>3490</v>
      </c>
      <c r="I1204" s="17"/>
      <c r="J1204" s="17"/>
      <c r="K1204" s="17"/>
      <c r="L1204" s="17"/>
      <c r="M1204" s="17"/>
      <c r="N1204" s="17"/>
      <c r="O1204" s="17"/>
      <c r="P1204" s="17"/>
      <c r="Q1204" s="17"/>
    </row>
    <row r="1205" spans="1:17">
      <c r="A1205" s="556" t="s">
        <v>3569</v>
      </c>
      <c r="B1205" s="557"/>
      <c r="C1205" s="558" t="s">
        <v>9003</v>
      </c>
      <c r="D1205" s="556" t="s">
        <v>1802</v>
      </c>
      <c r="E1205" s="17" t="s">
        <v>4644</v>
      </c>
      <c r="F1205" s="17">
        <v>37</v>
      </c>
      <c r="G1205" s="17">
        <v>2</v>
      </c>
      <c r="H1205" s="17" t="s">
        <v>7908</v>
      </c>
      <c r="I1205" s="17"/>
      <c r="J1205" s="17"/>
      <c r="K1205" s="17"/>
      <c r="L1205" s="17"/>
      <c r="M1205" s="17"/>
      <c r="N1205" s="17"/>
      <c r="O1205" s="17"/>
      <c r="P1205" s="17"/>
      <c r="Q1205" s="17"/>
    </row>
    <row r="1206" spans="1:17">
      <c r="A1206" s="556" t="s">
        <v>3569</v>
      </c>
      <c r="B1206" s="557"/>
      <c r="C1206" s="558" t="s">
        <v>9003</v>
      </c>
      <c r="D1206" s="556" t="s">
        <v>4628</v>
      </c>
      <c r="E1206" s="17" t="s">
        <v>4645</v>
      </c>
      <c r="F1206" s="17">
        <v>37</v>
      </c>
      <c r="G1206" s="17">
        <v>4</v>
      </c>
      <c r="H1206" s="17" t="s">
        <v>7928</v>
      </c>
      <c r="I1206" s="17"/>
      <c r="J1206" s="17"/>
      <c r="K1206" s="17"/>
      <c r="L1206" s="17"/>
      <c r="M1206" s="17"/>
      <c r="N1206" s="17"/>
      <c r="O1206" s="17"/>
      <c r="P1206" s="17"/>
      <c r="Q1206" s="17"/>
    </row>
    <row r="1207" spans="1:17">
      <c r="A1207" s="556" t="s">
        <v>3569</v>
      </c>
      <c r="B1207" s="557"/>
      <c r="C1207" s="558" t="s">
        <v>9003</v>
      </c>
      <c r="D1207" s="556" t="s">
        <v>4630</v>
      </c>
      <c r="E1207" s="17" t="s">
        <v>4646</v>
      </c>
      <c r="F1207" s="17">
        <v>37</v>
      </c>
      <c r="G1207" s="17">
        <v>6</v>
      </c>
      <c r="H1207" s="17" t="s">
        <v>3492</v>
      </c>
      <c r="I1207" s="17"/>
      <c r="J1207" s="17"/>
      <c r="K1207" s="17"/>
      <c r="L1207" s="17"/>
      <c r="M1207" s="17"/>
      <c r="N1207" s="17"/>
      <c r="O1207" s="17"/>
      <c r="P1207" s="17"/>
      <c r="Q1207" s="17"/>
    </row>
    <row r="1208" spans="1:17">
      <c r="A1208" s="556" t="s">
        <v>3569</v>
      </c>
      <c r="B1208" s="557"/>
      <c r="C1208" s="558" t="s">
        <v>9004</v>
      </c>
      <c r="D1208" s="556" t="s">
        <v>1802</v>
      </c>
      <c r="E1208" s="17" t="s">
        <v>4647</v>
      </c>
      <c r="F1208" s="17">
        <v>38</v>
      </c>
      <c r="G1208" s="17">
        <v>2</v>
      </c>
      <c r="H1208" s="17" t="s">
        <v>7909</v>
      </c>
      <c r="I1208" s="17"/>
      <c r="J1208" s="17"/>
      <c r="K1208" s="17"/>
      <c r="L1208" s="17"/>
      <c r="M1208" s="17"/>
      <c r="N1208" s="17"/>
      <c r="O1208" s="17"/>
      <c r="P1208" s="17"/>
      <c r="Q1208" s="17"/>
    </row>
    <row r="1209" spans="1:17">
      <c r="A1209" s="556" t="s">
        <v>3569</v>
      </c>
      <c r="B1209" s="557"/>
      <c r="C1209" s="558" t="s">
        <v>9004</v>
      </c>
      <c r="D1209" s="556" t="s">
        <v>4628</v>
      </c>
      <c r="E1209" s="17" t="s">
        <v>4648</v>
      </c>
      <c r="F1209" s="17">
        <v>38</v>
      </c>
      <c r="G1209" s="17">
        <v>4</v>
      </c>
      <c r="H1209" s="17" t="s">
        <v>7930</v>
      </c>
      <c r="I1209" s="17"/>
      <c r="J1209" s="17"/>
      <c r="K1209" s="17"/>
      <c r="L1209" s="17"/>
      <c r="M1209" s="17"/>
      <c r="N1209" s="17"/>
      <c r="O1209" s="17"/>
      <c r="P1209" s="17"/>
      <c r="Q1209" s="17"/>
    </row>
    <row r="1210" spans="1:17">
      <c r="A1210" s="556" t="s">
        <v>3569</v>
      </c>
      <c r="B1210" s="557"/>
      <c r="C1210" s="558" t="s">
        <v>9004</v>
      </c>
      <c r="D1210" s="556" t="s">
        <v>4630</v>
      </c>
      <c r="E1210" s="17" t="s">
        <v>4649</v>
      </c>
      <c r="F1210" s="17">
        <v>38</v>
      </c>
      <c r="G1210" s="17">
        <v>6</v>
      </c>
      <c r="H1210" s="17" t="s">
        <v>3494</v>
      </c>
      <c r="I1210" s="17"/>
      <c r="J1210" s="17"/>
      <c r="K1210" s="17"/>
      <c r="L1210" s="17"/>
      <c r="M1210" s="17"/>
      <c r="N1210" s="17"/>
      <c r="O1210" s="17"/>
      <c r="P1210" s="17"/>
      <c r="Q1210" s="17"/>
    </row>
    <row r="1211" spans="1:17">
      <c r="A1211" s="556" t="s">
        <v>3569</v>
      </c>
      <c r="B1211" s="557"/>
      <c r="C1211" s="558" t="s">
        <v>1232</v>
      </c>
      <c r="D1211" s="556" t="s">
        <v>1802</v>
      </c>
      <c r="E1211" s="17" t="s">
        <v>4650</v>
      </c>
      <c r="F1211" s="17">
        <v>39</v>
      </c>
      <c r="G1211" s="17">
        <v>2</v>
      </c>
      <c r="H1211" s="17" t="s">
        <v>7910</v>
      </c>
      <c r="I1211" s="17">
        <v>0</v>
      </c>
      <c r="J1211" s="17"/>
      <c r="K1211" s="17"/>
      <c r="L1211" s="17"/>
      <c r="M1211" s="17"/>
      <c r="N1211" s="17"/>
      <c r="O1211" s="17"/>
      <c r="P1211" s="17"/>
      <c r="Q1211" s="17"/>
    </row>
    <row r="1212" spans="1:17">
      <c r="A1212" s="556" t="s">
        <v>3569</v>
      </c>
      <c r="B1212" s="557"/>
      <c r="C1212" s="558" t="s">
        <v>1232</v>
      </c>
      <c r="D1212" s="556" t="s">
        <v>4628</v>
      </c>
      <c r="E1212" s="17" t="s">
        <v>4651</v>
      </c>
      <c r="F1212" s="17">
        <v>39</v>
      </c>
      <c r="G1212" s="17">
        <v>4</v>
      </c>
      <c r="H1212" s="17" t="s">
        <v>7932</v>
      </c>
      <c r="I1212" s="17">
        <v>0</v>
      </c>
      <c r="J1212" s="17"/>
      <c r="K1212" s="17"/>
      <c r="L1212" s="17"/>
      <c r="M1212" s="17"/>
      <c r="N1212" s="17"/>
      <c r="O1212" s="17"/>
      <c r="P1212" s="17"/>
      <c r="Q1212" s="17"/>
    </row>
    <row r="1213" spans="1:17">
      <c r="A1213" s="556" t="s">
        <v>3569</v>
      </c>
      <c r="B1213" s="557"/>
      <c r="C1213" s="558" t="s">
        <v>1232</v>
      </c>
      <c r="D1213" s="556" t="s">
        <v>4630</v>
      </c>
      <c r="E1213" s="17" t="s">
        <v>4652</v>
      </c>
      <c r="F1213" s="17">
        <v>39</v>
      </c>
      <c r="G1213" s="17">
        <v>6</v>
      </c>
      <c r="H1213" s="17" t="s">
        <v>3496</v>
      </c>
      <c r="I1213" s="17">
        <v>0</v>
      </c>
      <c r="J1213" s="17"/>
      <c r="K1213" s="17"/>
      <c r="L1213" s="17"/>
      <c r="M1213" s="17"/>
      <c r="N1213" s="17"/>
      <c r="O1213" s="17"/>
      <c r="P1213" s="17"/>
      <c r="Q1213" s="17"/>
    </row>
    <row r="1214" spans="1:17">
      <c r="A1214" s="556" t="s">
        <v>3573</v>
      </c>
      <c r="B1214" s="557"/>
      <c r="C1214" s="570" t="s">
        <v>9521</v>
      </c>
      <c r="D1214" s="556" t="s">
        <v>1808</v>
      </c>
      <c r="E1214" s="17" t="s">
        <v>4653</v>
      </c>
      <c r="F1214" s="17">
        <v>1</v>
      </c>
      <c r="G1214" s="17">
        <v>1</v>
      </c>
      <c r="H1214" s="17" t="s">
        <v>3452</v>
      </c>
      <c r="I1214" s="17"/>
      <c r="J1214" s="17"/>
      <c r="K1214" s="17"/>
      <c r="L1214" s="17"/>
      <c r="M1214" s="17"/>
      <c r="N1214" s="17"/>
      <c r="O1214" s="17"/>
      <c r="P1214" s="17"/>
      <c r="Q1214" s="17"/>
    </row>
    <row r="1215" spans="1:17">
      <c r="A1215" s="556" t="s">
        <v>3574</v>
      </c>
      <c r="B1215" s="557"/>
      <c r="C1215" s="558" t="s">
        <v>8999</v>
      </c>
      <c r="D1215" s="556" t="s">
        <v>1811</v>
      </c>
      <c r="E1215" s="17" t="s">
        <v>4654</v>
      </c>
      <c r="F1215" s="17">
        <v>1</v>
      </c>
      <c r="G1215" s="17">
        <v>1</v>
      </c>
      <c r="H1215" s="17" t="s">
        <v>3517</v>
      </c>
      <c r="I1215" s="17"/>
      <c r="J1215" s="17"/>
      <c r="K1215" s="17"/>
      <c r="L1215" s="17"/>
      <c r="M1215" s="17"/>
      <c r="N1215" s="17"/>
      <c r="O1215" s="17"/>
      <c r="P1215" s="17"/>
      <c r="Q1215" s="17"/>
    </row>
    <row r="1216" spans="1:17">
      <c r="A1216" s="556" t="s">
        <v>3574</v>
      </c>
      <c r="B1216" s="557"/>
      <c r="C1216" s="558" t="s">
        <v>1806</v>
      </c>
      <c r="D1216" s="556" t="s">
        <v>1811</v>
      </c>
      <c r="E1216" s="17" t="s">
        <v>4655</v>
      </c>
      <c r="F1216" s="17">
        <v>2</v>
      </c>
      <c r="G1216" s="17">
        <v>1</v>
      </c>
      <c r="H1216" s="17" t="s">
        <v>3326</v>
      </c>
      <c r="I1216" s="17"/>
      <c r="J1216" s="17"/>
      <c r="K1216" s="17"/>
      <c r="L1216" s="17"/>
      <c r="M1216" s="17"/>
      <c r="N1216" s="17"/>
      <c r="O1216" s="17"/>
      <c r="P1216" s="17"/>
      <c r="Q1216" s="17"/>
    </row>
    <row r="1217" spans="1:17">
      <c r="A1217" s="556" t="s">
        <v>3574</v>
      </c>
      <c r="B1217" s="557"/>
      <c r="C1217" s="558" t="s">
        <v>1813</v>
      </c>
      <c r="D1217" s="556" t="s">
        <v>1811</v>
      </c>
      <c r="E1217" s="17" t="s">
        <v>4656</v>
      </c>
      <c r="F1217" s="17">
        <v>4</v>
      </c>
      <c r="G1217" s="17">
        <v>4</v>
      </c>
      <c r="H1217" s="17" t="s">
        <v>3345</v>
      </c>
      <c r="I1217" s="17"/>
      <c r="J1217" s="17"/>
      <c r="K1217" s="17"/>
      <c r="L1217" s="17"/>
      <c r="M1217" s="17"/>
      <c r="N1217" s="17"/>
      <c r="O1217" s="17"/>
      <c r="P1217" s="17"/>
      <c r="Q1217" s="17"/>
    </row>
    <row r="1218" spans="1:17">
      <c r="A1218" s="556" t="s">
        <v>3574</v>
      </c>
      <c r="B1218" s="557"/>
      <c r="C1218" s="558" t="s">
        <v>9000</v>
      </c>
      <c r="D1218" s="556" t="s">
        <v>1811</v>
      </c>
      <c r="E1218" s="17" t="s">
        <v>4657</v>
      </c>
      <c r="F1218" s="17">
        <v>5</v>
      </c>
      <c r="G1218" s="17">
        <v>4</v>
      </c>
      <c r="H1218" s="17" t="s">
        <v>3349</v>
      </c>
      <c r="I1218" s="17">
        <v>0</v>
      </c>
      <c r="J1218" s="17"/>
      <c r="K1218" s="17"/>
      <c r="L1218" s="17"/>
      <c r="M1218" s="17"/>
      <c r="N1218" s="17"/>
      <c r="O1218" s="17"/>
      <c r="P1218" s="17"/>
      <c r="Q1218" s="17"/>
    </row>
    <row r="1219" spans="1:17">
      <c r="A1219" s="556" t="s">
        <v>3574</v>
      </c>
      <c r="B1219" s="557"/>
      <c r="C1219" s="558" t="s">
        <v>9001</v>
      </c>
      <c r="D1219" s="556" t="s">
        <v>1811</v>
      </c>
      <c r="E1219" s="17" t="s">
        <v>4658</v>
      </c>
      <c r="F1219" s="17">
        <v>6</v>
      </c>
      <c r="G1219" s="17">
        <v>4</v>
      </c>
      <c r="H1219" s="17" t="s">
        <v>3353</v>
      </c>
      <c r="I1219" s="17"/>
      <c r="J1219" s="17"/>
      <c r="K1219" s="17"/>
      <c r="L1219" s="17"/>
      <c r="M1219" s="17"/>
      <c r="N1219" s="17"/>
      <c r="O1219" s="17"/>
      <c r="P1219" s="17"/>
      <c r="Q1219" s="17"/>
    </row>
    <row r="1220" spans="1:17">
      <c r="A1220" s="556" t="s">
        <v>3574</v>
      </c>
      <c r="B1220" s="557"/>
      <c r="C1220" s="558" t="s">
        <v>9002</v>
      </c>
      <c r="D1220" s="556" t="s">
        <v>1811</v>
      </c>
      <c r="E1220" s="17" t="s">
        <v>4659</v>
      </c>
      <c r="F1220" s="17">
        <v>7</v>
      </c>
      <c r="G1220" s="17">
        <v>4</v>
      </c>
      <c r="H1220" s="17" t="s">
        <v>3357</v>
      </c>
      <c r="I1220" s="17"/>
      <c r="J1220" s="17"/>
      <c r="K1220" s="17"/>
      <c r="L1220" s="17"/>
      <c r="M1220" s="17"/>
      <c r="N1220" s="17"/>
      <c r="O1220" s="17"/>
      <c r="P1220" s="17"/>
      <c r="Q1220" s="17"/>
    </row>
    <row r="1221" spans="1:17">
      <c r="A1221" s="556" t="s">
        <v>3574</v>
      </c>
      <c r="B1221" s="557"/>
      <c r="C1221" s="558" t="s">
        <v>9003</v>
      </c>
      <c r="D1221" s="556" t="s">
        <v>1811</v>
      </c>
      <c r="E1221" s="17" t="s">
        <v>4660</v>
      </c>
      <c r="F1221" s="17">
        <v>8</v>
      </c>
      <c r="G1221" s="17">
        <v>4</v>
      </c>
      <c r="H1221" s="17" t="s">
        <v>3327</v>
      </c>
      <c r="I1221" s="17"/>
      <c r="J1221" s="17"/>
      <c r="K1221" s="17"/>
      <c r="L1221" s="17"/>
      <c r="M1221" s="17"/>
      <c r="N1221" s="17"/>
      <c r="O1221" s="17"/>
      <c r="P1221" s="17"/>
      <c r="Q1221" s="17"/>
    </row>
    <row r="1222" spans="1:17">
      <c r="A1222" s="556" t="s">
        <v>3574</v>
      </c>
      <c r="B1222" s="557"/>
      <c r="C1222" s="558" t="s">
        <v>9004</v>
      </c>
      <c r="D1222" s="556" t="s">
        <v>1811</v>
      </c>
      <c r="E1222" s="17" t="s">
        <v>4661</v>
      </c>
      <c r="F1222" s="17">
        <v>9</v>
      </c>
      <c r="G1222" s="17">
        <v>4</v>
      </c>
      <c r="H1222" s="17" t="s">
        <v>3364</v>
      </c>
      <c r="I1222" s="17"/>
      <c r="J1222" s="17"/>
      <c r="K1222" s="17"/>
      <c r="L1222" s="17"/>
      <c r="M1222" s="17"/>
      <c r="N1222" s="17"/>
      <c r="O1222" s="17"/>
      <c r="P1222" s="17"/>
      <c r="Q1222" s="17"/>
    </row>
    <row r="1223" spans="1:17">
      <c r="A1223" s="556" t="s">
        <v>3574</v>
      </c>
      <c r="B1223" s="557"/>
      <c r="C1223" s="558" t="s">
        <v>1232</v>
      </c>
      <c r="D1223" s="556" t="s">
        <v>1811</v>
      </c>
      <c r="E1223" s="17" t="s">
        <v>4662</v>
      </c>
      <c r="F1223" s="17">
        <v>10</v>
      </c>
      <c r="G1223" s="17">
        <v>4</v>
      </c>
      <c r="H1223" s="17" t="s">
        <v>3368</v>
      </c>
      <c r="I1223" s="17">
        <v>0</v>
      </c>
      <c r="J1223" s="17"/>
      <c r="K1223" s="17"/>
      <c r="L1223" s="17"/>
      <c r="M1223" s="17"/>
      <c r="N1223" s="17"/>
      <c r="O1223" s="17"/>
      <c r="P1223" s="17"/>
      <c r="Q1223" s="17"/>
    </row>
    <row r="1224" spans="1:17">
      <c r="A1224" s="556" t="s">
        <v>3576</v>
      </c>
      <c r="B1224" s="557"/>
      <c r="C1224" s="558" t="s">
        <v>8999</v>
      </c>
      <c r="D1224" s="556" t="s">
        <v>1816</v>
      </c>
      <c r="E1224" s="17" t="s">
        <v>4663</v>
      </c>
      <c r="F1224" s="17">
        <v>1</v>
      </c>
      <c r="G1224" s="17">
        <v>1</v>
      </c>
      <c r="H1224" s="17" t="s">
        <v>3517</v>
      </c>
      <c r="I1224" s="17"/>
      <c r="J1224" s="17"/>
      <c r="K1224" s="17"/>
      <c r="L1224" s="17"/>
      <c r="M1224" s="17"/>
      <c r="N1224" s="17"/>
      <c r="O1224" s="17"/>
      <c r="P1224" s="17"/>
      <c r="Q1224" s="17"/>
    </row>
    <row r="1225" spans="1:17">
      <c r="A1225" s="556" t="s">
        <v>3576</v>
      </c>
      <c r="B1225" s="557"/>
      <c r="C1225" s="558" t="s">
        <v>1806</v>
      </c>
      <c r="D1225" s="556" t="s">
        <v>1816</v>
      </c>
      <c r="E1225" s="17" t="s">
        <v>4664</v>
      </c>
      <c r="F1225" s="17">
        <v>2</v>
      </c>
      <c r="G1225" s="17">
        <v>1</v>
      </c>
      <c r="H1225" s="17" t="s">
        <v>3326</v>
      </c>
      <c r="I1225" s="17"/>
      <c r="J1225" s="17"/>
      <c r="K1225" s="17"/>
      <c r="L1225" s="17"/>
      <c r="M1225" s="17"/>
      <c r="N1225" s="17"/>
      <c r="O1225" s="17"/>
      <c r="P1225" s="17"/>
      <c r="Q1225" s="17"/>
    </row>
    <row r="1226" spans="1:17">
      <c r="A1226" s="556" t="s">
        <v>3576</v>
      </c>
      <c r="B1226" s="557"/>
      <c r="C1226" s="558" t="s">
        <v>1817</v>
      </c>
      <c r="D1226" s="556" t="s">
        <v>1816</v>
      </c>
      <c r="E1226" s="17" t="s">
        <v>4665</v>
      </c>
      <c r="F1226" s="17">
        <v>4</v>
      </c>
      <c r="G1226" s="17">
        <v>4</v>
      </c>
      <c r="H1226" s="17" t="s">
        <v>3345</v>
      </c>
      <c r="I1226" s="17"/>
      <c r="J1226" s="17"/>
      <c r="K1226" s="17"/>
      <c r="L1226" s="17"/>
      <c r="M1226" s="17"/>
      <c r="N1226" s="17"/>
      <c r="O1226" s="17"/>
      <c r="P1226" s="17"/>
      <c r="Q1226" s="17"/>
    </row>
    <row r="1227" spans="1:17">
      <c r="A1227" s="556" t="s">
        <v>3576</v>
      </c>
      <c r="B1227" s="557"/>
      <c r="C1227" s="558" t="s">
        <v>9000</v>
      </c>
      <c r="D1227" s="556" t="s">
        <v>1816</v>
      </c>
      <c r="E1227" s="17" t="s">
        <v>4666</v>
      </c>
      <c r="F1227" s="17">
        <v>5</v>
      </c>
      <c r="G1227" s="17">
        <v>4</v>
      </c>
      <c r="H1227" s="17" t="s">
        <v>3349</v>
      </c>
      <c r="I1227" s="17">
        <v>0</v>
      </c>
      <c r="J1227" s="17"/>
      <c r="K1227" s="17"/>
      <c r="L1227" s="17"/>
      <c r="M1227" s="17"/>
      <c r="N1227" s="17"/>
      <c r="O1227" s="17"/>
      <c r="P1227" s="17"/>
      <c r="Q1227" s="17"/>
    </row>
    <row r="1228" spans="1:17">
      <c r="A1228" s="556" t="s">
        <v>3576</v>
      </c>
      <c r="B1228" s="557"/>
      <c r="C1228" s="558" t="s">
        <v>9001</v>
      </c>
      <c r="D1228" s="556" t="s">
        <v>1816</v>
      </c>
      <c r="E1228" s="17" t="s">
        <v>4667</v>
      </c>
      <c r="F1228" s="17">
        <v>6</v>
      </c>
      <c r="G1228" s="17">
        <v>4</v>
      </c>
      <c r="H1228" s="17" t="s">
        <v>3353</v>
      </c>
      <c r="I1228" s="17"/>
      <c r="J1228" s="17"/>
      <c r="K1228" s="17"/>
      <c r="L1228" s="17"/>
      <c r="M1228" s="17"/>
      <c r="N1228" s="17"/>
      <c r="O1228" s="17"/>
      <c r="P1228" s="17"/>
      <c r="Q1228" s="17"/>
    </row>
    <row r="1229" spans="1:17">
      <c r="A1229" s="556" t="s">
        <v>3576</v>
      </c>
      <c r="B1229" s="557"/>
      <c r="C1229" s="558" t="s">
        <v>9002</v>
      </c>
      <c r="D1229" s="556" t="s">
        <v>1816</v>
      </c>
      <c r="E1229" s="17" t="s">
        <v>4668</v>
      </c>
      <c r="F1229" s="17">
        <v>7</v>
      </c>
      <c r="G1229" s="17">
        <v>4</v>
      </c>
      <c r="H1229" s="17" t="s">
        <v>3357</v>
      </c>
      <c r="I1229" s="17"/>
      <c r="J1229" s="17"/>
      <c r="K1229" s="17"/>
      <c r="L1229" s="17"/>
      <c r="M1229" s="17"/>
      <c r="N1229" s="17"/>
      <c r="O1229" s="17"/>
      <c r="P1229" s="17"/>
      <c r="Q1229" s="17"/>
    </row>
    <row r="1230" spans="1:17">
      <c r="A1230" s="556" t="s">
        <v>3576</v>
      </c>
      <c r="B1230" s="557"/>
      <c r="C1230" s="558" t="s">
        <v>9003</v>
      </c>
      <c r="D1230" s="556" t="s">
        <v>1816</v>
      </c>
      <c r="E1230" s="17" t="s">
        <v>4669</v>
      </c>
      <c r="F1230" s="17">
        <v>8</v>
      </c>
      <c r="G1230" s="17">
        <v>4</v>
      </c>
      <c r="H1230" s="17" t="s">
        <v>3327</v>
      </c>
      <c r="I1230" s="17"/>
      <c r="J1230" s="17"/>
      <c r="K1230" s="17"/>
      <c r="L1230" s="17"/>
      <c r="M1230" s="17"/>
      <c r="N1230" s="17"/>
      <c r="O1230" s="17"/>
      <c r="P1230" s="17"/>
      <c r="Q1230" s="17"/>
    </row>
    <row r="1231" spans="1:17">
      <c r="A1231" s="556" t="s">
        <v>3576</v>
      </c>
      <c r="B1231" s="557"/>
      <c r="C1231" s="558" t="s">
        <v>9004</v>
      </c>
      <c r="D1231" s="556" t="s">
        <v>1816</v>
      </c>
      <c r="E1231" s="17" t="s">
        <v>4670</v>
      </c>
      <c r="F1231" s="17">
        <v>9</v>
      </c>
      <c r="G1231" s="17">
        <v>4</v>
      </c>
      <c r="H1231" s="17" t="s">
        <v>3364</v>
      </c>
      <c r="I1231" s="17"/>
      <c r="J1231" s="17"/>
      <c r="K1231" s="17"/>
      <c r="L1231" s="17"/>
      <c r="M1231" s="17"/>
      <c r="N1231" s="17"/>
      <c r="O1231" s="17"/>
      <c r="P1231" s="17"/>
      <c r="Q1231" s="17"/>
    </row>
    <row r="1232" spans="1:17">
      <c r="A1232" s="556" t="s">
        <v>3576</v>
      </c>
      <c r="B1232" s="557"/>
      <c r="C1232" s="558" t="s">
        <v>1232</v>
      </c>
      <c r="D1232" s="556" t="s">
        <v>1816</v>
      </c>
      <c r="E1232" s="17" t="s">
        <v>4671</v>
      </c>
      <c r="F1232" s="17">
        <v>10</v>
      </c>
      <c r="G1232" s="17">
        <v>4</v>
      </c>
      <c r="H1232" s="17" t="s">
        <v>3368</v>
      </c>
      <c r="I1232" s="17">
        <v>0</v>
      </c>
      <c r="J1232" s="17"/>
      <c r="K1232" s="17"/>
      <c r="L1232" s="17"/>
      <c r="M1232" s="17"/>
      <c r="N1232" s="17"/>
      <c r="O1232" s="17"/>
      <c r="P1232" s="17"/>
      <c r="Q1232" s="17"/>
    </row>
    <row r="1233" spans="1:17">
      <c r="A1233" s="556" t="s">
        <v>3578</v>
      </c>
      <c r="B1233" s="557"/>
      <c r="C1233" s="558" t="s">
        <v>1820</v>
      </c>
      <c r="D1233" s="556" t="s">
        <v>1693</v>
      </c>
      <c r="E1233" s="17" t="s">
        <v>4672</v>
      </c>
      <c r="F1233" s="17">
        <v>1</v>
      </c>
      <c r="G1233" s="17">
        <v>1</v>
      </c>
      <c r="H1233" s="17" t="s">
        <v>3696</v>
      </c>
      <c r="I1233" s="17"/>
      <c r="J1233" s="17"/>
      <c r="K1233" s="17"/>
      <c r="L1233" s="17"/>
      <c r="M1233" s="17"/>
      <c r="N1233" s="17"/>
      <c r="O1233" s="17"/>
      <c r="P1233" s="17"/>
      <c r="Q1233" s="17"/>
    </row>
    <row r="1234" spans="1:17">
      <c r="A1234" s="556" t="s">
        <v>3578</v>
      </c>
      <c r="B1234" s="557"/>
      <c r="C1234" s="558" t="s">
        <v>1820</v>
      </c>
      <c r="D1234" s="556" t="s">
        <v>1694</v>
      </c>
      <c r="E1234" s="17" t="s">
        <v>4673</v>
      </c>
      <c r="F1234" s="17">
        <v>1</v>
      </c>
      <c r="G1234" s="17">
        <v>3</v>
      </c>
      <c r="H1234" s="17" t="s">
        <v>3701</v>
      </c>
      <c r="I1234" s="17"/>
      <c r="J1234" s="17"/>
      <c r="K1234" s="17"/>
      <c r="L1234" s="17"/>
      <c r="M1234" s="17"/>
      <c r="N1234" s="17"/>
      <c r="O1234" s="17"/>
      <c r="P1234" s="17"/>
      <c r="Q1234" s="17"/>
    </row>
    <row r="1235" spans="1:17">
      <c r="A1235" s="556" t="s">
        <v>3578</v>
      </c>
      <c r="B1235" s="557"/>
      <c r="C1235" s="558" t="s">
        <v>1820</v>
      </c>
      <c r="D1235" s="556" t="s">
        <v>4324</v>
      </c>
      <c r="E1235" s="17" t="s">
        <v>4674</v>
      </c>
      <c r="F1235" s="17">
        <v>1</v>
      </c>
      <c r="G1235" s="17">
        <v>5</v>
      </c>
      <c r="H1235" s="17" t="s">
        <v>3720</v>
      </c>
      <c r="I1235" s="17"/>
      <c r="J1235" s="17"/>
      <c r="K1235" s="17"/>
      <c r="L1235" s="17"/>
      <c r="M1235" s="17"/>
      <c r="N1235" s="17"/>
      <c r="O1235" s="17"/>
      <c r="P1235" s="17"/>
      <c r="Q1235" s="17"/>
    </row>
    <row r="1236" spans="1:17">
      <c r="A1236" s="556" t="s">
        <v>3578</v>
      </c>
      <c r="B1236" s="557"/>
      <c r="C1236" s="558" t="s">
        <v>1821</v>
      </c>
      <c r="D1236" s="556" t="s">
        <v>1693</v>
      </c>
      <c r="E1236" s="17" t="s">
        <v>4675</v>
      </c>
      <c r="F1236" s="17">
        <v>2</v>
      </c>
      <c r="G1236" s="17">
        <v>1</v>
      </c>
      <c r="H1236" s="17" t="s">
        <v>3517</v>
      </c>
      <c r="I1236" s="17"/>
      <c r="J1236" s="17"/>
      <c r="K1236" s="17"/>
      <c r="L1236" s="17"/>
      <c r="M1236" s="17"/>
      <c r="N1236" s="17"/>
      <c r="O1236" s="17"/>
      <c r="P1236" s="17"/>
      <c r="Q1236" s="17"/>
    </row>
    <row r="1237" spans="1:17">
      <c r="A1237" s="556" t="s">
        <v>3578</v>
      </c>
      <c r="B1237" s="557"/>
      <c r="C1237" s="558" t="s">
        <v>1821</v>
      </c>
      <c r="D1237" s="556" t="s">
        <v>1694</v>
      </c>
      <c r="E1237" s="17" t="s">
        <v>4676</v>
      </c>
      <c r="F1237" s="17">
        <v>2</v>
      </c>
      <c r="G1237" s="17">
        <v>3</v>
      </c>
      <c r="H1237" s="17" t="s">
        <v>3519</v>
      </c>
      <c r="I1237" s="17"/>
      <c r="J1237" s="17"/>
      <c r="K1237" s="17"/>
      <c r="L1237" s="17"/>
      <c r="M1237" s="17"/>
      <c r="N1237" s="17"/>
      <c r="O1237" s="17"/>
      <c r="P1237" s="17"/>
      <c r="Q1237" s="17"/>
    </row>
    <row r="1238" spans="1:17">
      <c r="A1238" s="556" t="s">
        <v>3578</v>
      </c>
      <c r="B1238" s="557"/>
      <c r="C1238" s="558" t="s">
        <v>1821</v>
      </c>
      <c r="D1238" s="556" t="s">
        <v>4324</v>
      </c>
      <c r="E1238" s="17" t="s">
        <v>4677</v>
      </c>
      <c r="F1238" s="17">
        <v>2</v>
      </c>
      <c r="G1238" s="17">
        <v>5</v>
      </c>
      <c r="H1238" s="17" t="s">
        <v>3521</v>
      </c>
      <c r="I1238" s="17"/>
      <c r="J1238" s="17"/>
      <c r="K1238" s="17"/>
      <c r="L1238" s="17"/>
      <c r="M1238" s="17"/>
      <c r="N1238" s="17"/>
      <c r="O1238" s="17"/>
      <c r="P1238" s="17"/>
      <c r="Q1238" s="17"/>
    </row>
    <row r="1239" spans="1:17">
      <c r="A1239" s="556" t="s">
        <v>3578</v>
      </c>
      <c r="B1239" s="557"/>
      <c r="C1239" s="558" t="s">
        <v>1822</v>
      </c>
      <c r="D1239" s="556" t="s">
        <v>1693</v>
      </c>
      <c r="E1239" s="17" t="s">
        <v>4678</v>
      </c>
      <c r="F1239" s="17">
        <v>3</v>
      </c>
      <c r="G1239" s="17">
        <v>1</v>
      </c>
      <c r="H1239" s="17" t="s">
        <v>3326</v>
      </c>
      <c r="I1239" s="17"/>
      <c r="J1239" s="17"/>
      <c r="K1239" s="17"/>
      <c r="L1239" s="17"/>
      <c r="M1239" s="17"/>
      <c r="N1239" s="17"/>
      <c r="O1239" s="17"/>
      <c r="P1239" s="17"/>
      <c r="Q1239" s="17"/>
    </row>
    <row r="1240" spans="1:17">
      <c r="A1240" s="556" t="s">
        <v>3578</v>
      </c>
      <c r="B1240" s="557"/>
      <c r="C1240" s="558" t="s">
        <v>1822</v>
      </c>
      <c r="D1240" s="556" t="s">
        <v>1694</v>
      </c>
      <c r="E1240" s="17" t="s">
        <v>4679</v>
      </c>
      <c r="F1240" s="17">
        <v>3</v>
      </c>
      <c r="G1240" s="17">
        <v>3</v>
      </c>
      <c r="H1240" s="17" t="s">
        <v>3338</v>
      </c>
      <c r="I1240" s="17"/>
      <c r="J1240" s="17"/>
      <c r="K1240" s="17"/>
      <c r="L1240" s="17"/>
      <c r="M1240" s="17"/>
      <c r="N1240" s="17"/>
      <c r="O1240" s="17"/>
      <c r="P1240" s="17"/>
      <c r="Q1240" s="17"/>
    </row>
    <row r="1241" spans="1:17">
      <c r="A1241" s="556" t="s">
        <v>3578</v>
      </c>
      <c r="B1241" s="557"/>
      <c r="C1241" s="558" t="s">
        <v>1822</v>
      </c>
      <c r="D1241" s="556" t="s">
        <v>4324</v>
      </c>
      <c r="E1241" s="17" t="s">
        <v>4680</v>
      </c>
      <c r="F1241" s="17">
        <v>3</v>
      </c>
      <c r="G1241" s="17">
        <v>5</v>
      </c>
      <c r="H1241" s="17" t="s">
        <v>2992</v>
      </c>
      <c r="I1241" s="17"/>
      <c r="J1241" s="17"/>
      <c r="K1241" s="17"/>
      <c r="L1241" s="17"/>
      <c r="M1241" s="17"/>
      <c r="N1241" s="17"/>
      <c r="O1241" s="17"/>
      <c r="P1241" s="17"/>
      <c r="Q1241" s="17"/>
    </row>
    <row r="1242" spans="1:17">
      <c r="A1242" s="556" t="s">
        <v>3578</v>
      </c>
      <c r="B1242" s="557"/>
      <c r="C1242" s="558" t="s">
        <v>1823</v>
      </c>
      <c r="D1242" s="556" t="s">
        <v>1693</v>
      </c>
      <c r="E1242" s="17" t="s">
        <v>4681</v>
      </c>
      <c r="F1242" s="17">
        <v>4</v>
      </c>
      <c r="G1242" s="17">
        <v>1</v>
      </c>
      <c r="H1242" s="17" t="s">
        <v>3525</v>
      </c>
      <c r="I1242" s="17"/>
      <c r="J1242" s="17"/>
      <c r="K1242" s="17"/>
      <c r="L1242" s="17"/>
      <c r="M1242" s="17"/>
      <c r="N1242" s="17"/>
      <c r="O1242" s="17"/>
      <c r="P1242" s="17"/>
      <c r="Q1242" s="17"/>
    </row>
    <row r="1243" spans="1:17">
      <c r="A1243" s="556" t="s">
        <v>3578</v>
      </c>
      <c r="B1243" s="557"/>
      <c r="C1243" s="558" t="s">
        <v>1823</v>
      </c>
      <c r="D1243" s="556" t="s">
        <v>1694</v>
      </c>
      <c r="E1243" s="17" t="s">
        <v>4682</v>
      </c>
      <c r="F1243" s="17">
        <v>4</v>
      </c>
      <c r="G1243" s="17">
        <v>3</v>
      </c>
      <c r="H1243" s="17" t="s">
        <v>3340</v>
      </c>
      <c r="I1243" s="17"/>
      <c r="J1243" s="17"/>
      <c r="K1243" s="17"/>
      <c r="L1243" s="17"/>
      <c r="M1243" s="17"/>
      <c r="N1243" s="17"/>
      <c r="O1243" s="17"/>
      <c r="P1243" s="17"/>
      <c r="Q1243" s="17"/>
    </row>
    <row r="1244" spans="1:17">
      <c r="A1244" s="556" t="s">
        <v>3578</v>
      </c>
      <c r="B1244" s="557"/>
      <c r="C1244" s="558" t="s">
        <v>1823</v>
      </c>
      <c r="D1244" s="556" t="s">
        <v>4324</v>
      </c>
      <c r="E1244" s="17" t="s">
        <v>4683</v>
      </c>
      <c r="F1244" s="17">
        <v>4</v>
      </c>
      <c r="G1244" s="17">
        <v>5</v>
      </c>
      <c r="H1244" s="17" t="s">
        <v>3342</v>
      </c>
      <c r="I1244" s="17"/>
      <c r="J1244" s="17"/>
      <c r="K1244" s="17"/>
      <c r="L1244" s="17"/>
      <c r="M1244" s="17"/>
      <c r="N1244" s="17"/>
      <c r="O1244" s="17"/>
      <c r="P1244" s="17"/>
      <c r="Q1244" s="17"/>
    </row>
    <row r="1245" spans="1:17">
      <c r="A1245" s="556" t="s">
        <v>3578</v>
      </c>
      <c r="B1245" s="557"/>
      <c r="C1245" s="558" t="s">
        <v>1824</v>
      </c>
      <c r="D1245" s="556" t="s">
        <v>1693</v>
      </c>
      <c r="E1245" s="17" t="s">
        <v>4684</v>
      </c>
      <c r="F1245" s="17">
        <v>5</v>
      </c>
      <c r="G1245" s="17">
        <v>1</v>
      </c>
      <c r="H1245" s="17" t="s">
        <v>3697</v>
      </c>
      <c r="I1245" s="17"/>
      <c r="J1245" s="17"/>
      <c r="K1245" s="17"/>
      <c r="L1245" s="17"/>
      <c r="M1245" s="17"/>
      <c r="N1245" s="17"/>
      <c r="O1245" s="17"/>
      <c r="P1245" s="17"/>
      <c r="Q1245" s="17"/>
    </row>
    <row r="1246" spans="1:17">
      <c r="A1246" s="556" t="s">
        <v>3578</v>
      </c>
      <c r="B1246" s="557"/>
      <c r="C1246" s="558" t="s">
        <v>1824</v>
      </c>
      <c r="D1246" s="556" t="s">
        <v>1694</v>
      </c>
      <c r="E1246" s="17" t="s">
        <v>4685</v>
      </c>
      <c r="F1246" s="17">
        <v>5</v>
      </c>
      <c r="G1246" s="17">
        <v>3</v>
      </c>
      <c r="H1246" s="17" t="s">
        <v>3344</v>
      </c>
      <c r="I1246" s="17"/>
      <c r="J1246" s="17"/>
      <c r="K1246" s="17"/>
      <c r="L1246" s="17"/>
      <c r="M1246" s="17"/>
      <c r="N1246" s="17"/>
      <c r="O1246" s="17"/>
      <c r="P1246" s="17"/>
      <c r="Q1246" s="17"/>
    </row>
    <row r="1247" spans="1:17">
      <c r="A1247" s="556" t="s">
        <v>3578</v>
      </c>
      <c r="B1247" s="557"/>
      <c r="C1247" s="558" t="s">
        <v>1824</v>
      </c>
      <c r="D1247" s="556" t="s">
        <v>4324</v>
      </c>
      <c r="E1247" s="17" t="s">
        <v>4686</v>
      </c>
      <c r="F1247" s="17">
        <v>5</v>
      </c>
      <c r="G1247" s="17">
        <v>5</v>
      </c>
      <c r="H1247" s="17" t="s">
        <v>3346</v>
      </c>
      <c r="I1247" s="17"/>
      <c r="J1247" s="17"/>
      <c r="K1247" s="17"/>
      <c r="L1247" s="17"/>
      <c r="M1247" s="17"/>
      <c r="N1247" s="17"/>
      <c r="O1247" s="17"/>
      <c r="P1247" s="17"/>
      <c r="Q1247" s="17"/>
    </row>
    <row r="1248" spans="1:17">
      <c r="A1248" s="556" t="s">
        <v>3578</v>
      </c>
      <c r="B1248" s="557"/>
      <c r="C1248" s="558" t="s">
        <v>1704</v>
      </c>
      <c r="D1248" s="556" t="s">
        <v>1693</v>
      </c>
      <c r="E1248" s="17" t="s">
        <v>4687</v>
      </c>
      <c r="F1248" s="17">
        <v>6</v>
      </c>
      <c r="G1248" s="17">
        <v>1</v>
      </c>
      <c r="H1248" s="17" t="s">
        <v>7772</v>
      </c>
      <c r="I1248" s="17"/>
      <c r="J1248" s="17"/>
      <c r="K1248" s="17"/>
      <c r="L1248" s="17"/>
      <c r="M1248" s="17"/>
      <c r="N1248" s="17"/>
      <c r="O1248" s="17"/>
      <c r="P1248" s="17"/>
      <c r="Q1248" s="17"/>
    </row>
    <row r="1249" spans="1:17">
      <c r="A1249" s="556" t="s">
        <v>3578</v>
      </c>
      <c r="B1249" s="557"/>
      <c r="C1249" s="558" t="s">
        <v>1704</v>
      </c>
      <c r="D1249" s="556" t="s">
        <v>1694</v>
      </c>
      <c r="E1249" s="17" t="s">
        <v>4688</v>
      </c>
      <c r="F1249" s="17">
        <v>6</v>
      </c>
      <c r="G1249" s="17">
        <v>3</v>
      </c>
      <c r="H1249" s="17" t="s">
        <v>3348</v>
      </c>
      <c r="I1249" s="17"/>
      <c r="J1249" s="17"/>
      <c r="K1249" s="17"/>
      <c r="L1249" s="17"/>
      <c r="M1249" s="17"/>
      <c r="N1249" s="17"/>
      <c r="O1249" s="17"/>
      <c r="P1249" s="17"/>
      <c r="Q1249" s="17"/>
    </row>
    <row r="1250" spans="1:17">
      <c r="A1250" s="556" t="s">
        <v>3578</v>
      </c>
      <c r="B1250" s="557"/>
      <c r="C1250" s="558" t="s">
        <v>1704</v>
      </c>
      <c r="D1250" s="556" t="s">
        <v>4324</v>
      </c>
      <c r="E1250" s="17" t="s">
        <v>4689</v>
      </c>
      <c r="F1250" s="17">
        <v>6</v>
      </c>
      <c r="G1250" s="17">
        <v>5</v>
      </c>
      <c r="H1250" s="17" t="s">
        <v>3350</v>
      </c>
      <c r="I1250" s="17"/>
      <c r="J1250" s="17"/>
      <c r="K1250" s="17"/>
      <c r="L1250" s="17"/>
      <c r="M1250" s="17"/>
      <c r="N1250" s="17"/>
      <c r="O1250" s="17"/>
      <c r="P1250" s="17"/>
      <c r="Q1250" s="17"/>
    </row>
    <row r="1251" spans="1:17">
      <c r="A1251" s="556" t="s">
        <v>3578</v>
      </c>
      <c r="B1251" s="557"/>
      <c r="C1251" s="558" t="s">
        <v>1825</v>
      </c>
      <c r="D1251" s="556" t="s">
        <v>1693</v>
      </c>
      <c r="E1251" s="17" t="s">
        <v>4690</v>
      </c>
      <c r="F1251" s="17">
        <v>7</v>
      </c>
      <c r="G1251" s="17">
        <v>1</v>
      </c>
      <c r="H1251" s="17" t="s">
        <v>7774</v>
      </c>
      <c r="I1251" s="17"/>
      <c r="J1251" s="17"/>
      <c r="K1251" s="17"/>
      <c r="L1251" s="17"/>
      <c r="M1251" s="17"/>
      <c r="N1251" s="17"/>
      <c r="O1251" s="17"/>
      <c r="P1251" s="17"/>
      <c r="Q1251" s="17"/>
    </row>
    <row r="1252" spans="1:17">
      <c r="A1252" s="556" t="s">
        <v>3578</v>
      </c>
      <c r="B1252" s="557"/>
      <c r="C1252" s="558" t="s">
        <v>1825</v>
      </c>
      <c r="D1252" s="556" t="s">
        <v>1694</v>
      </c>
      <c r="E1252" s="17" t="s">
        <v>4691</v>
      </c>
      <c r="F1252" s="17">
        <v>7</v>
      </c>
      <c r="G1252" s="17">
        <v>3</v>
      </c>
      <c r="H1252" s="17" t="s">
        <v>3352</v>
      </c>
      <c r="I1252" s="17"/>
      <c r="J1252" s="17"/>
      <c r="K1252" s="17"/>
      <c r="L1252" s="17"/>
      <c r="M1252" s="17"/>
      <c r="N1252" s="17"/>
      <c r="O1252" s="17"/>
      <c r="P1252" s="17"/>
      <c r="Q1252" s="17"/>
    </row>
    <row r="1253" spans="1:17">
      <c r="A1253" s="556" t="s">
        <v>3578</v>
      </c>
      <c r="B1253" s="557"/>
      <c r="C1253" s="558" t="s">
        <v>1825</v>
      </c>
      <c r="D1253" s="556" t="s">
        <v>4324</v>
      </c>
      <c r="E1253" s="17" t="s">
        <v>4692</v>
      </c>
      <c r="F1253" s="17">
        <v>7</v>
      </c>
      <c r="G1253" s="17">
        <v>5</v>
      </c>
      <c r="H1253" s="17" t="s">
        <v>3354</v>
      </c>
      <c r="I1253" s="17"/>
      <c r="J1253" s="17"/>
      <c r="K1253" s="17"/>
      <c r="L1253" s="17"/>
      <c r="M1253" s="17"/>
      <c r="N1253" s="17"/>
      <c r="O1253" s="17"/>
      <c r="P1253" s="17"/>
      <c r="Q1253" s="17"/>
    </row>
    <row r="1254" spans="1:17">
      <c r="A1254" s="556" t="s">
        <v>3578</v>
      </c>
      <c r="B1254" s="557"/>
      <c r="C1254" s="558" t="s">
        <v>1826</v>
      </c>
      <c r="D1254" s="556" t="s">
        <v>1693</v>
      </c>
      <c r="E1254" s="17" t="s">
        <v>4693</v>
      </c>
      <c r="F1254" s="17">
        <v>8</v>
      </c>
      <c r="G1254" s="17">
        <v>1</v>
      </c>
      <c r="H1254" s="17" t="s">
        <v>7776</v>
      </c>
      <c r="I1254" s="17">
        <v>0</v>
      </c>
      <c r="J1254" s="17"/>
      <c r="K1254" s="17"/>
      <c r="L1254" s="17"/>
      <c r="M1254" s="17"/>
      <c r="N1254" s="17"/>
      <c r="O1254" s="17"/>
      <c r="P1254" s="17"/>
      <c r="Q1254" s="17"/>
    </row>
    <row r="1255" spans="1:17">
      <c r="A1255" s="556" t="s">
        <v>3578</v>
      </c>
      <c r="B1255" s="557"/>
      <c r="C1255" s="558" t="s">
        <v>1826</v>
      </c>
      <c r="D1255" s="556" t="s">
        <v>1694</v>
      </c>
      <c r="E1255" s="17" t="s">
        <v>4694</v>
      </c>
      <c r="F1255" s="17">
        <v>8</v>
      </c>
      <c r="G1255" s="17">
        <v>3</v>
      </c>
      <c r="H1255" s="17" t="s">
        <v>3356</v>
      </c>
      <c r="I1255" s="17">
        <v>0</v>
      </c>
      <c r="J1255" s="17"/>
      <c r="K1255" s="17"/>
      <c r="L1255" s="17"/>
      <c r="M1255" s="17"/>
      <c r="N1255" s="17"/>
      <c r="O1255" s="17"/>
      <c r="P1255" s="17"/>
      <c r="Q1255" s="17"/>
    </row>
    <row r="1256" spans="1:17">
      <c r="A1256" s="556" t="s">
        <v>3578</v>
      </c>
      <c r="B1256" s="557"/>
      <c r="C1256" s="558" t="s">
        <v>1826</v>
      </c>
      <c r="D1256" s="556" t="s">
        <v>4324</v>
      </c>
      <c r="E1256" s="17" t="s">
        <v>4695</v>
      </c>
      <c r="F1256" s="17">
        <v>8</v>
      </c>
      <c r="G1256" s="17">
        <v>5</v>
      </c>
      <c r="H1256" s="17" t="s">
        <v>3358</v>
      </c>
      <c r="I1256" s="17"/>
      <c r="J1256" s="17"/>
      <c r="K1256" s="17"/>
      <c r="L1256" s="17"/>
      <c r="M1256" s="17"/>
      <c r="N1256" s="17"/>
      <c r="O1256" s="17"/>
      <c r="P1256" s="17"/>
      <c r="Q1256" s="17"/>
    </row>
    <row r="1257" spans="1:17">
      <c r="A1257" s="556" t="s">
        <v>3578</v>
      </c>
      <c r="B1257" s="557"/>
      <c r="C1257" s="558" t="s">
        <v>1827</v>
      </c>
      <c r="D1257" s="556" t="s">
        <v>1693</v>
      </c>
      <c r="E1257" s="17" t="s">
        <v>4696</v>
      </c>
      <c r="F1257" s="17">
        <v>9</v>
      </c>
      <c r="G1257" s="17">
        <v>1</v>
      </c>
      <c r="H1257" s="17" t="s">
        <v>7778</v>
      </c>
      <c r="I1257" s="17"/>
      <c r="J1257" s="17"/>
      <c r="K1257" s="17"/>
      <c r="L1257" s="17"/>
      <c r="M1257" s="17"/>
      <c r="N1257" s="17"/>
      <c r="O1257" s="17"/>
      <c r="P1257" s="17"/>
      <c r="Q1257" s="17"/>
    </row>
    <row r="1258" spans="1:17">
      <c r="A1258" s="556" t="s">
        <v>3578</v>
      </c>
      <c r="B1258" s="557"/>
      <c r="C1258" s="558" t="s">
        <v>1827</v>
      </c>
      <c r="D1258" s="556" t="s">
        <v>1694</v>
      </c>
      <c r="E1258" s="17" t="s">
        <v>4697</v>
      </c>
      <c r="F1258" s="17">
        <v>9</v>
      </c>
      <c r="G1258" s="17">
        <v>3</v>
      </c>
      <c r="H1258" s="17" t="s">
        <v>3360</v>
      </c>
      <c r="I1258" s="17"/>
      <c r="J1258" s="17"/>
      <c r="K1258" s="17"/>
      <c r="L1258" s="17"/>
      <c r="M1258" s="17"/>
      <c r="N1258" s="17"/>
      <c r="O1258" s="17"/>
      <c r="P1258" s="17"/>
      <c r="Q1258" s="17"/>
    </row>
    <row r="1259" spans="1:17">
      <c r="A1259" s="556" t="s">
        <v>3578</v>
      </c>
      <c r="B1259" s="557"/>
      <c r="C1259" s="558" t="s">
        <v>1827</v>
      </c>
      <c r="D1259" s="556" t="s">
        <v>4324</v>
      </c>
      <c r="E1259" s="17" t="s">
        <v>4698</v>
      </c>
      <c r="F1259" s="17">
        <v>9</v>
      </c>
      <c r="G1259" s="17">
        <v>5</v>
      </c>
      <c r="H1259" s="17" t="s">
        <v>3361</v>
      </c>
      <c r="I1259" s="17"/>
      <c r="J1259" s="17"/>
      <c r="K1259" s="17"/>
      <c r="L1259" s="17"/>
      <c r="M1259" s="17"/>
      <c r="N1259" s="17"/>
      <c r="O1259" s="17"/>
      <c r="P1259" s="17"/>
      <c r="Q1259" s="17"/>
    </row>
    <row r="1260" spans="1:17">
      <c r="A1260" s="556" t="s">
        <v>3578</v>
      </c>
      <c r="B1260" s="557"/>
      <c r="C1260" s="558" t="s">
        <v>1735</v>
      </c>
      <c r="D1260" s="556" t="s">
        <v>1693</v>
      </c>
      <c r="E1260" s="17" t="s">
        <v>4699</v>
      </c>
      <c r="F1260" s="17">
        <v>10</v>
      </c>
      <c r="G1260" s="17">
        <v>1</v>
      </c>
      <c r="H1260" s="17" t="s">
        <v>7779</v>
      </c>
      <c r="I1260" s="17">
        <v>0</v>
      </c>
      <c r="J1260" s="17"/>
      <c r="K1260" s="17"/>
      <c r="L1260" s="17"/>
      <c r="M1260" s="17"/>
      <c r="N1260" s="17"/>
      <c r="O1260" s="17"/>
      <c r="P1260" s="17"/>
      <c r="Q1260" s="17"/>
    </row>
    <row r="1261" spans="1:17">
      <c r="A1261" s="556" t="s">
        <v>3578</v>
      </c>
      <c r="B1261" s="557"/>
      <c r="C1261" s="558" t="s">
        <v>1735</v>
      </c>
      <c r="D1261" s="556" t="s">
        <v>1694</v>
      </c>
      <c r="E1261" s="17" t="s">
        <v>4700</v>
      </c>
      <c r="F1261" s="17">
        <v>10</v>
      </c>
      <c r="G1261" s="17">
        <v>3</v>
      </c>
      <c r="H1261" s="17" t="s">
        <v>3363</v>
      </c>
      <c r="I1261" s="17">
        <v>0</v>
      </c>
      <c r="J1261" s="17"/>
      <c r="K1261" s="17"/>
      <c r="L1261" s="17"/>
      <c r="M1261" s="17"/>
      <c r="N1261" s="17"/>
      <c r="O1261" s="17"/>
      <c r="P1261" s="17"/>
      <c r="Q1261" s="17"/>
    </row>
    <row r="1262" spans="1:17">
      <c r="A1262" s="556" t="s">
        <v>3578</v>
      </c>
      <c r="B1262" s="557"/>
      <c r="C1262" s="558" t="s">
        <v>1735</v>
      </c>
      <c r="D1262" s="556" t="s">
        <v>4324</v>
      </c>
      <c r="E1262" s="17" t="s">
        <v>4701</v>
      </c>
      <c r="F1262" s="17">
        <v>10</v>
      </c>
      <c r="G1262" s="17">
        <v>5</v>
      </c>
      <c r="H1262" s="17" t="s">
        <v>3365</v>
      </c>
      <c r="I1262" s="17"/>
      <c r="J1262" s="17"/>
      <c r="K1262" s="17"/>
      <c r="L1262" s="17"/>
      <c r="M1262" s="17"/>
      <c r="N1262" s="17"/>
      <c r="O1262" s="17"/>
      <c r="P1262" s="17"/>
      <c r="Q1262" s="17"/>
    </row>
    <row r="1263" spans="1:17">
      <c r="A1263" s="556" t="s">
        <v>3579</v>
      </c>
      <c r="B1263" s="557"/>
      <c r="C1263" s="558" t="s">
        <v>1832</v>
      </c>
      <c r="D1263" s="556" t="s">
        <v>1693</v>
      </c>
      <c r="E1263" s="17" t="s">
        <v>4702</v>
      </c>
      <c r="F1263" s="17">
        <v>1</v>
      </c>
      <c r="G1263" s="17">
        <v>1</v>
      </c>
      <c r="H1263" s="17" t="s">
        <v>3696</v>
      </c>
      <c r="I1263" s="17"/>
      <c r="J1263" s="17"/>
      <c r="K1263" s="17"/>
      <c r="L1263" s="17"/>
      <c r="M1263" s="17"/>
      <c r="N1263" s="17"/>
      <c r="O1263" s="17"/>
      <c r="P1263" s="17"/>
      <c r="Q1263" s="17"/>
    </row>
    <row r="1264" spans="1:17">
      <c r="A1264" s="556" t="s">
        <v>3579</v>
      </c>
      <c r="B1264" s="557"/>
      <c r="C1264" s="558" t="s">
        <v>1832</v>
      </c>
      <c r="D1264" s="556" t="s">
        <v>1694</v>
      </c>
      <c r="E1264" s="17" t="s">
        <v>4703</v>
      </c>
      <c r="F1264" s="17">
        <v>1</v>
      </c>
      <c r="G1264" s="17">
        <v>3</v>
      </c>
      <c r="H1264" s="17" t="s">
        <v>3701</v>
      </c>
      <c r="I1264" s="17"/>
      <c r="J1264" s="17"/>
      <c r="K1264" s="17"/>
      <c r="L1264" s="17"/>
      <c r="M1264" s="17"/>
      <c r="N1264" s="17"/>
      <c r="O1264" s="17"/>
      <c r="P1264" s="17"/>
      <c r="Q1264" s="17"/>
    </row>
    <row r="1265" spans="1:17">
      <c r="A1265" s="556" t="s">
        <v>3579</v>
      </c>
      <c r="B1265" s="557"/>
      <c r="C1265" s="558" t="s">
        <v>1832</v>
      </c>
      <c r="D1265" s="556" t="s">
        <v>4324</v>
      </c>
      <c r="E1265" s="17" t="s">
        <v>4704</v>
      </c>
      <c r="F1265" s="17">
        <v>1</v>
      </c>
      <c r="G1265" s="17">
        <v>5</v>
      </c>
      <c r="H1265" s="17" t="s">
        <v>3720</v>
      </c>
      <c r="I1265" s="17"/>
      <c r="J1265" s="17"/>
      <c r="K1265" s="17"/>
      <c r="L1265" s="17"/>
      <c r="M1265" s="17"/>
      <c r="N1265" s="17"/>
      <c r="O1265" s="17"/>
      <c r="P1265" s="17"/>
      <c r="Q1265" s="17"/>
    </row>
    <row r="1266" spans="1:17">
      <c r="A1266" s="556" t="s">
        <v>3579</v>
      </c>
      <c r="B1266" s="557"/>
      <c r="C1266" s="558" t="s">
        <v>1833</v>
      </c>
      <c r="D1266" s="556" t="s">
        <v>1693</v>
      </c>
      <c r="E1266" s="17" t="s">
        <v>4705</v>
      </c>
      <c r="F1266" s="17">
        <v>2</v>
      </c>
      <c r="G1266" s="17">
        <v>1</v>
      </c>
      <c r="H1266" s="17" t="s">
        <v>3517</v>
      </c>
      <c r="I1266" s="17"/>
      <c r="J1266" s="17"/>
      <c r="K1266" s="17"/>
      <c r="L1266" s="17"/>
      <c r="M1266" s="17"/>
      <c r="N1266" s="17"/>
      <c r="O1266" s="17"/>
      <c r="P1266" s="17"/>
      <c r="Q1266" s="17"/>
    </row>
    <row r="1267" spans="1:17">
      <c r="A1267" s="556" t="s">
        <v>3579</v>
      </c>
      <c r="B1267" s="557"/>
      <c r="C1267" s="558" t="s">
        <v>1833</v>
      </c>
      <c r="D1267" s="556" t="s">
        <v>1694</v>
      </c>
      <c r="E1267" s="17" t="s">
        <v>4706</v>
      </c>
      <c r="F1267" s="17">
        <v>2</v>
      </c>
      <c r="G1267" s="17">
        <v>3</v>
      </c>
      <c r="H1267" s="17" t="s">
        <v>3519</v>
      </c>
      <c r="I1267" s="17"/>
      <c r="J1267" s="17"/>
      <c r="K1267" s="17"/>
      <c r="L1267" s="17"/>
      <c r="M1267" s="17"/>
      <c r="N1267" s="17"/>
      <c r="O1267" s="17"/>
      <c r="P1267" s="17"/>
      <c r="Q1267" s="17"/>
    </row>
    <row r="1268" spans="1:17">
      <c r="A1268" s="556" t="s">
        <v>3579</v>
      </c>
      <c r="B1268" s="557"/>
      <c r="C1268" s="558" t="s">
        <v>1833</v>
      </c>
      <c r="D1268" s="556" t="s">
        <v>4324</v>
      </c>
      <c r="E1268" s="17" t="s">
        <v>4707</v>
      </c>
      <c r="F1268" s="17">
        <v>2</v>
      </c>
      <c r="G1268" s="17">
        <v>5</v>
      </c>
      <c r="H1268" s="17" t="s">
        <v>3521</v>
      </c>
      <c r="I1268" s="17"/>
      <c r="J1268" s="17"/>
      <c r="K1268" s="17"/>
      <c r="L1268" s="17"/>
      <c r="M1268" s="17"/>
      <c r="N1268" s="17"/>
      <c r="O1268" s="17"/>
      <c r="P1268" s="17"/>
      <c r="Q1268" s="17"/>
    </row>
    <row r="1269" spans="1:17">
      <c r="A1269" s="556" t="s">
        <v>3579</v>
      </c>
      <c r="B1269" s="557"/>
      <c r="C1269" s="558" t="s">
        <v>1834</v>
      </c>
      <c r="D1269" s="556" t="s">
        <v>1693</v>
      </c>
      <c r="E1269" s="17" t="s">
        <v>4708</v>
      </c>
      <c r="F1269" s="17">
        <v>3</v>
      </c>
      <c r="G1269" s="17">
        <v>1</v>
      </c>
      <c r="H1269" s="17" t="s">
        <v>3326</v>
      </c>
      <c r="I1269" s="17"/>
      <c r="J1269" s="17"/>
      <c r="K1269" s="17"/>
      <c r="L1269" s="17"/>
      <c r="M1269" s="17"/>
      <c r="N1269" s="17"/>
      <c r="O1269" s="17"/>
      <c r="P1269" s="17"/>
      <c r="Q1269" s="17"/>
    </row>
    <row r="1270" spans="1:17">
      <c r="A1270" s="556" t="s">
        <v>3579</v>
      </c>
      <c r="B1270" s="557"/>
      <c r="C1270" s="558" t="s">
        <v>1834</v>
      </c>
      <c r="D1270" s="556" t="s">
        <v>1694</v>
      </c>
      <c r="E1270" s="17" t="s">
        <v>4709</v>
      </c>
      <c r="F1270" s="17">
        <v>3</v>
      </c>
      <c r="G1270" s="17">
        <v>3</v>
      </c>
      <c r="H1270" s="17" t="s">
        <v>3338</v>
      </c>
      <c r="I1270" s="17"/>
      <c r="J1270" s="17"/>
      <c r="K1270" s="17"/>
      <c r="L1270" s="17"/>
      <c r="M1270" s="17"/>
      <c r="N1270" s="17"/>
      <c r="O1270" s="17"/>
      <c r="P1270" s="17"/>
      <c r="Q1270" s="17"/>
    </row>
    <row r="1271" spans="1:17">
      <c r="A1271" s="556" t="s">
        <v>3579</v>
      </c>
      <c r="B1271" s="557"/>
      <c r="C1271" s="558" t="s">
        <v>1834</v>
      </c>
      <c r="D1271" s="556" t="s">
        <v>4324</v>
      </c>
      <c r="E1271" s="17" t="s">
        <v>4710</v>
      </c>
      <c r="F1271" s="17">
        <v>3</v>
      </c>
      <c r="G1271" s="17">
        <v>5</v>
      </c>
      <c r="H1271" s="17" t="s">
        <v>2992</v>
      </c>
      <c r="I1271" s="17"/>
      <c r="J1271" s="17"/>
      <c r="K1271" s="17"/>
      <c r="L1271" s="17"/>
      <c r="M1271" s="17"/>
      <c r="N1271" s="17"/>
      <c r="O1271" s="17"/>
      <c r="P1271" s="17"/>
      <c r="Q1271" s="17"/>
    </row>
    <row r="1272" spans="1:17">
      <c r="A1272" s="556" t="s">
        <v>3579</v>
      </c>
      <c r="B1272" s="557"/>
      <c r="C1272" s="558" t="s">
        <v>1835</v>
      </c>
      <c r="D1272" s="556" t="s">
        <v>1693</v>
      </c>
      <c r="E1272" s="17" t="s">
        <v>4711</v>
      </c>
      <c r="F1272" s="17">
        <v>4</v>
      </c>
      <c r="G1272" s="17">
        <v>1</v>
      </c>
      <c r="H1272" s="17" t="s">
        <v>3525</v>
      </c>
      <c r="I1272" s="17"/>
      <c r="J1272" s="17"/>
      <c r="K1272" s="17"/>
      <c r="L1272" s="17"/>
      <c r="M1272" s="17"/>
      <c r="N1272" s="17"/>
      <c r="O1272" s="17"/>
      <c r="P1272" s="17"/>
      <c r="Q1272" s="17"/>
    </row>
    <row r="1273" spans="1:17">
      <c r="A1273" s="556" t="s">
        <v>3579</v>
      </c>
      <c r="B1273" s="557"/>
      <c r="C1273" s="558" t="s">
        <v>1835</v>
      </c>
      <c r="D1273" s="556" t="s">
        <v>1694</v>
      </c>
      <c r="E1273" s="17" t="s">
        <v>4712</v>
      </c>
      <c r="F1273" s="17">
        <v>4</v>
      </c>
      <c r="G1273" s="17">
        <v>3</v>
      </c>
      <c r="H1273" s="17" t="s">
        <v>3340</v>
      </c>
      <c r="I1273" s="17"/>
      <c r="J1273" s="17"/>
      <c r="K1273" s="17"/>
      <c r="L1273" s="17"/>
      <c r="M1273" s="17"/>
      <c r="N1273" s="17"/>
      <c r="O1273" s="17"/>
      <c r="P1273" s="17"/>
      <c r="Q1273" s="17"/>
    </row>
    <row r="1274" spans="1:17">
      <c r="A1274" s="556" t="s">
        <v>3579</v>
      </c>
      <c r="B1274" s="557"/>
      <c r="C1274" s="558" t="s">
        <v>1835</v>
      </c>
      <c r="D1274" s="556" t="s">
        <v>4324</v>
      </c>
      <c r="E1274" s="17" t="s">
        <v>4713</v>
      </c>
      <c r="F1274" s="17">
        <v>4</v>
      </c>
      <c r="G1274" s="17">
        <v>5</v>
      </c>
      <c r="H1274" s="17" t="s">
        <v>3342</v>
      </c>
      <c r="I1274" s="17"/>
      <c r="J1274" s="17"/>
      <c r="K1274" s="17"/>
      <c r="L1274" s="17"/>
      <c r="M1274" s="17"/>
      <c r="N1274" s="17"/>
      <c r="O1274" s="17"/>
      <c r="P1274" s="17"/>
      <c r="Q1274" s="17"/>
    </row>
    <row r="1275" spans="1:17">
      <c r="A1275" s="556" t="s">
        <v>3579</v>
      </c>
      <c r="B1275" s="557"/>
      <c r="C1275" s="558" t="s">
        <v>1836</v>
      </c>
      <c r="D1275" s="556" t="s">
        <v>1693</v>
      </c>
      <c r="E1275" s="17" t="s">
        <v>4714</v>
      </c>
      <c r="F1275" s="17">
        <v>5</v>
      </c>
      <c r="G1275" s="17">
        <v>1</v>
      </c>
      <c r="H1275" s="17" t="s">
        <v>3697</v>
      </c>
      <c r="I1275" s="17"/>
      <c r="J1275" s="17"/>
      <c r="K1275" s="17"/>
      <c r="L1275" s="17"/>
      <c r="M1275" s="17"/>
      <c r="N1275" s="17"/>
      <c r="O1275" s="17"/>
      <c r="P1275" s="17"/>
      <c r="Q1275" s="17"/>
    </row>
    <row r="1276" spans="1:17">
      <c r="A1276" s="556" t="s">
        <v>3579</v>
      </c>
      <c r="B1276" s="557"/>
      <c r="C1276" s="558" t="s">
        <v>1836</v>
      </c>
      <c r="D1276" s="556" t="s">
        <v>1694</v>
      </c>
      <c r="E1276" s="17" t="s">
        <v>4715</v>
      </c>
      <c r="F1276" s="17">
        <v>5</v>
      </c>
      <c r="G1276" s="17">
        <v>3</v>
      </c>
      <c r="H1276" s="17" t="s">
        <v>3344</v>
      </c>
      <c r="I1276" s="17"/>
      <c r="J1276" s="17"/>
      <c r="K1276" s="17"/>
      <c r="L1276" s="17"/>
      <c r="M1276" s="17"/>
      <c r="N1276" s="17"/>
      <c r="O1276" s="17"/>
      <c r="P1276" s="17"/>
      <c r="Q1276" s="17"/>
    </row>
    <row r="1277" spans="1:17">
      <c r="A1277" s="556" t="s">
        <v>3579</v>
      </c>
      <c r="B1277" s="557"/>
      <c r="C1277" s="558" t="s">
        <v>1836</v>
      </c>
      <c r="D1277" s="556" t="s">
        <v>4324</v>
      </c>
      <c r="E1277" s="17" t="s">
        <v>4716</v>
      </c>
      <c r="F1277" s="17">
        <v>5</v>
      </c>
      <c r="G1277" s="17">
        <v>5</v>
      </c>
      <c r="H1277" s="17" t="s">
        <v>3346</v>
      </c>
      <c r="I1277" s="17"/>
      <c r="J1277" s="17"/>
      <c r="K1277" s="17"/>
      <c r="L1277" s="17"/>
      <c r="M1277" s="17"/>
      <c r="N1277" s="17"/>
      <c r="O1277" s="17"/>
      <c r="P1277" s="17"/>
      <c r="Q1277" s="17"/>
    </row>
    <row r="1278" spans="1:17">
      <c r="A1278" s="556" t="s">
        <v>3579</v>
      </c>
      <c r="B1278" s="557"/>
      <c r="C1278" s="558" t="s">
        <v>1837</v>
      </c>
      <c r="D1278" s="556" t="s">
        <v>1693</v>
      </c>
      <c r="E1278" s="17" t="s">
        <v>4717</v>
      </c>
      <c r="F1278" s="17">
        <v>6</v>
      </c>
      <c r="G1278" s="17">
        <v>1</v>
      </c>
      <c r="H1278" s="17" t="s">
        <v>7772</v>
      </c>
      <c r="I1278" s="17"/>
      <c r="J1278" s="17"/>
      <c r="K1278" s="17"/>
      <c r="L1278" s="17"/>
      <c r="M1278" s="17"/>
      <c r="N1278" s="17"/>
      <c r="O1278" s="17"/>
      <c r="P1278" s="17"/>
      <c r="Q1278" s="17"/>
    </row>
    <row r="1279" spans="1:17">
      <c r="A1279" s="556" t="s">
        <v>3579</v>
      </c>
      <c r="B1279" s="557"/>
      <c r="C1279" s="558" t="s">
        <v>1837</v>
      </c>
      <c r="D1279" s="556" t="s">
        <v>1694</v>
      </c>
      <c r="E1279" s="17" t="s">
        <v>4718</v>
      </c>
      <c r="F1279" s="17">
        <v>6</v>
      </c>
      <c r="G1279" s="17">
        <v>3</v>
      </c>
      <c r="H1279" s="17" t="s">
        <v>3348</v>
      </c>
      <c r="I1279" s="17"/>
      <c r="J1279" s="17"/>
      <c r="K1279" s="17"/>
      <c r="L1279" s="17"/>
      <c r="M1279" s="17"/>
      <c r="N1279" s="17"/>
      <c r="O1279" s="17"/>
      <c r="P1279" s="17"/>
      <c r="Q1279" s="17"/>
    </row>
    <row r="1280" spans="1:17">
      <c r="A1280" s="556" t="s">
        <v>3579</v>
      </c>
      <c r="B1280" s="557"/>
      <c r="C1280" s="558" t="s">
        <v>1837</v>
      </c>
      <c r="D1280" s="556" t="s">
        <v>4324</v>
      </c>
      <c r="E1280" s="17" t="s">
        <v>4719</v>
      </c>
      <c r="F1280" s="17">
        <v>6</v>
      </c>
      <c r="G1280" s="17">
        <v>5</v>
      </c>
      <c r="H1280" s="17" t="s">
        <v>3350</v>
      </c>
      <c r="I1280" s="17"/>
      <c r="J1280" s="17"/>
      <c r="K1280" s="17"/>
      <c r="L1280" s="17"/>
      <c r="M1280" s="17"/>
      <c r="N1280" s="17"/>
      <c r="O1280" s="17"/>
      <c r="P1280" s="17"/>
      <c r="Q1280" s="17"/>
    </row>
    <row r="1281" spans="1:17">
      <c r="A1281" s="556" t="s">
        <v>3579</v>
      </c>
      <c r="B1281" s="557"/>
      <c r="C1281" s="558" t="s">
        <v>1838</v>
      </c>
      <c r="D1281" s="556" t="s">
        <v>1693</v>
      </c>
      <c r="E1281" s="17" t="s">
        <v>4720</v>
      </c>
      <c r="F1281" s="17">
        <v>7</v>
      </c>
      <c r="G1281" s="17">
        <v>1</v>
      </c>
      <c r="H1281" s="17" t="s">
        <v>7774</v>
      </c>
      <c r="I1281" s="17">
        <v>0</v>
      </c>
      <c r="J1281" s="17"/>
      <c r="K1281" s="17"/>
      <c r="L1281" s="17"/>
      <c r="M1281" s="17"/>
      <c r="N1281" s="17"/>
      <c r="O1281" s="17"/>
      <c r="P1281" s="17"/>
      <c r="Q1281" s="17"/>
    </row>
    <row r="1282" spans="1:17">
      <c r="A1282" s="556" t="s">
        <v>3579</v>
      </c>
      <c r="B1282" s="557"/>
      <c r="C1282" s="558" t="s">
        <v>1838</v>
      </c>
      <c r="D1282" s="556" t="s">
        <v>1694</v>
      </c>
      <c r="E1282" s="17" t="s">
        <v>4721</v>
      </c>
      <c r="F1282" s="17">
        <v>7</v>
      </c>
      <c r="G1282" s="17">
        <v>3</v>
      </c>
      <c r="H1282" s="17" t="s">
        <v>3352</v>
      </c>
      <c r="I1282" s="17">
        <v>0</v>
      </c>
      <c r="J1282" s="17"/>
      <c r="K1282" s="17"/>
      <c r="L1282" s="17"/>
      <c r="M1282" s="17"/>
      <c r="N1282" s="17"/>
      <c r="O1282" s="17"/>
      <c r="P1282" s="17"/>
      <c r="Q1282" s="17"/>
    </row>
    <row r="1283" spans="1:17">
      <c r="A1283" s="556" t="s">
        <v>3579</v>
      </c>
      <c r="B1283" s="557"/>
      <c r="C1283" s="558" t="s">
        <v>1838</v>
      </c>
      <c r="D1283" s="556" t="s">
        <v>4324</v>
      </c>
      <c r="E1283" s="17" t="s">
        <v>4722</v>
      </c>
      <c r="F1283" s="17">
        <v>7</v>
      </c>
      <c r="G1283" s="17">
        <v>5</v>
      </c>
      <c r="H1283" s="17" t="s">
        <v>3354</v>
      </c>
      <c r="I1283" s="17"/>
      <c r="J1283" s="17"/>
      <c r="K1283" s="17"/>
      <c r="L1283" s="17"/>
      <c r="M1283" s="17"/>
      <c r="N1283" s="17"/>
      <c r="O1283" s="17"/>
      <c r="P1283" s="17"/>
      <c r="Q1283" s="17"/>
    </row>
    <row r="1284" spans="1:17">
      <c r="A1284" s="556" t="s">
        <v>3579</v>
      </c>
      <c r="B1284" s="557"/>
      <c r="C1284" s="558" t="s">
        <v>1839</v>
      </c>
      <c r="D1284" s="556" t="s">
        <v>1693</v>
      </c>
      <c r="E1284" s="17" t="s">
        <v>4723</v>
      </c>
      <c r="F1284" s="17">
        <v>8</v>
      </c>
      <c r="G1284" s="17">
        <v>1</v>
      </c>
      <c r="H1284" s="17" t="s">
        <v>7776</v>
      </c>
      <c r="I1284" s="17"/>
      <c r="J1284" s="17"/>
      <c r="K1284" s="17"/>
      <c r="L1284" s="17"/>
      <c r="M1284" s="17"/>
      <c r="N1284" s="17"/>
      <c r="O1284" s="17"/>
      <c r="P1284" s="17"/>
      <c r="Q1284" s="17"/>
    </row>
    <row r="1285" spans="1:17">
      <c r="A1285" s="556" t="s">
        <v>3579</v>
      </c>
      <c r="B1285" s="557"/>
      <c r="C1285" s="558" t="s">
        <v>1839</v>
      </c>
      <c r="D1285" s="556" t="s">
        <v>1694</v>
      </c>
      <c r="E1285" s="17" t="s">
        <v>4724</v>
      </c>
      <c r="F1285" s="17">
        <v>8</v>
      </c>
      <c r="G1285" s="17">
        <v>3</v>
      </c>
      <c r="H1285" s="17" t="s">
        <v>3356</v>
      </c>
      <c r="I1285" s="17"/>
      <c r="J1285" s="17"/>
      <c r="K1285" s="17"/>
      <c r="L1285" s="17"/>
      <c r="M1285" s="17"/>
      <c r="N1285" s="17"/>
      <c r="O1285" s="17"/>
      <c r="P1285" s="17"/>
      <c r="Q1285" s="17"/>
    </row>
    <row r="1286" spans="1:17">
      <c r="A1286" s="556" t="s">
        <v>3579</v>
      </c>
      <c r="B1286" s="557"/>
      <c r="C1286" s="558" t="s">
        <v>1839</v>
      </c>
      <c r="D1286" s="556" t="s">
        <v>4324</v>
      </c>
      <c r="E1286" s="17" t="s">
        <v>4725</v>
      </c>
      <c r="F1286" s="17">
        <v>8</v>
      </c>
      <c r="G1286" s="17">
        <v>5</v>
      </c>
      <c r="H1286" s="17" t="s">
        <v>3358</v>
      </c>
      <c r="I1286" s="17"/>
      <c r="J1286" s="17"/>
      <c r="K1286" s="17"/>
      <c r="L1286" s="17"/>
      <c r="M1286" s="17"/>
      <c r="N1286" s="17"/>
      <c r="O1286" s="17"/>
      <c r="P1286" s="17"/>
      <c r="Q1286" s="17"/>
    </row>
    <row r="1287" spans="1:17">
      <c r="A1287" s="556" t="s">
        <v>3579</v>
      </c>
      <c r="B1287" s="557"/>
      <c r="C1287" s="558" t="s">
        <v>1735</v>
      </c>
      <c r="D1287" s="556" t="s">
        <v>1693</v>
      </c>
      <c r="E1287" s="17" t="s">
        <v>4726</v>
      </c>
      <c r="F1287" s="17">
        <v>9</v>
      </c>
      <c r="G1287" s="17">
        <v>1</v>
      </c>
      <c r="H1287" s="17" t="s">
        <v>7778</v>
      </c>
      <c r="I1287" s="17">
        <v>0</v>
      </c>
      <c r="J1287" s="17"/>
      <c r="K1287" s="17"/>
      <c r="L1287" s="17"/>
      <c r="M1287" s="17"/>
      <c r="N1287" s="17"/>
      <c r="O1287" s="17"/>
      <c r="P1287" s="17"/>
      <c r="Q1287" s="17"/>
    </row>
    <row r="1288" spans="1:17">
      <c r="A1288" s="556" t="s">
        <v>3579</v>
      </c>
      <c r="B1288" s="557"/>
      <c r="C1288" s="558" t="s">
        <v>1735</v>
      </c>
      <c r="D1288" s="556" t="s">
        <v>1694</v>
      </c>
      <c r="E1288" s="17" t="s">
        <v>4727</v>
      </c>
      <c r="F1288" s="17">
        <v>9</v>
      </c>
      <c r="G1288" s="17">
        <v>3</v>
      </c>
      <c r="H1288" s="17" t="s">
        <v>3360</v>
      </c>
      <c r="I1288" s="17">
        <v>0</v>
      </c>
      <c r="J1288" s="17"/>
      <c r="K1288" s="17"/>
      <c r="L1288" s="17"/>
      <c r="M1288" s="17"/>
      <c r="N1288" s="17"/>
      <c r="O1288" s="17"/>
      <c r="P1288" s="17"/>
      <c r="Q1288" s="17"/>
    </row>
    <row r="1289" spans="1:17">
      <c r="A1289" s="556" t="s">
        <v>3579</v>
      </c>
      <c r="B1289" s="557"/>
      <c r="C1289" s="558" t="s">
        <v>1735</v>
      </c>
      <c r="D1289" s="556" t="s">
        <v>4324</v>
      </c>
      <c r="E1289" s="17" t="s">
        <v>4728</v>
      </c>
      <c r="F1289" s="17">
        <v>9</v>
      </c>
      <c r="G1289" s="17">
        <v>5</v>
      </c>
      <c r="H1289" s="17" t="s">
        <v>3361</v>
      </c>
      <c r="I1289" s="17"/>
      <c r="J1289" s="17"/>
      <c r="K1289" s="17"/>
      <c r="L1289" s="17"/>
      <c r="M1289" s="17"/>
      <c r="N1289" s="17"/>
      <c r="O1289" s="17"/>
      <c r="P1289" s="17"/>
      <c r="Q1289" s="17"/>
    </row>
    <row r="1290" spans="1:17">
      <c r="A1290" s="556" t="s">
        <v>3580</v>
      </c>
      <c r="B1290" s="557"/>
      <c r="C1290" s="558" t="s">
        <v>1843</v>
      </c>
      <c r="D1290" s="556" t="s">
        <v>1693</v>
      </c>
      <c r="E1290" s="17" t="s">
        <v>4729</v>
      </c>
      <c r="F1290" s="17">
        <v>1</v>
      </c>
      <c r="G1290" s="17">
        <v>1</v>
      </c>
      <c r="H1290" s="17" t="s">
        <v>3696</v>
      </c>
      <c r="I1290" s="17"/>
      <c r="J1290" s="17"/>
      <c r="K1290" s="17"/>
      <c r="L1290" s="17"/>
      <c r="M1290" s="17"/>
      <c r="N1290" s="17"/>
      <c r="O1290" s="17"/>
      <c r="P1290" s="17"/>
      <c r="Q1290" s="17"/>
    </row>
    <row r="1291" spans="1:17">
      <c r="A1291" s="556" t="s">
        <v>3580</v>
      </c>
      <c r="B1291" s="557"/>
      <c r="C1291" s="558" t="s">
        <v>1843</v>
      </c>
      <c r="D1291" s="556" t="s">
        <v>1694</v>
      </c>
      <c r="E1291" s="17" t="s">
        <v>4730</v>
      </c>
      <c r="F1291" s="17">
        <v>1</v>
      </c>
      <c r="G1291" s="17">
        <v>3</v>
      </c>
      <c r="H1291" s="17" t="s">
        <v>3701</v>
      </c>
      <c r="I1291" s="17"/>
      <c r="J1291" s="17"/>
      <c r="K1291" s="17"/>
      <c r="L1291" s="17"/>
      <c r="M1291" s="17"/>
      <c r="N1291" s="17"/>
      <c r="O1291" s="17"/>
      <c r="P1291" s="17"/>
      <c r="Q1291" s="17"/>
    </row>
    <row r="1292" spans="1:17">
      <c r="A1292" s="556" t="s">
        <v>3580</v>
      </c>
      <c r="B1292" s="557"/>
      <c r="C1292" s="558" t="s">
        <v>1843</v>
      </c>
      <c r="D1292" s="556" t="s">
        <v>4324</v>
      </c>
      <c r="E1292" s="17" t="s">
        <v>4731</v>
      </c>
      <c r="F1292" s="17">
        <v>1</v>
      </c>
      <c r="G1292" s="17">
        <v>5</v>
      </c>
      <c r="H1292" s="17" t="s">
        <v>3720</v>
      </c>
      <c r="I1292" s="17"/>
      <c r="J1292" s="17"/>
      <c r="K1292" s="17"/>
      <c r="L1292" s="17"/>
      <c r="M1292" s="17"/>
      <c r="N1292" s="17"/>
      <c r="O1292" s="17"/>
      <c r="P1292" s="17"/>
      <c r="Q1292" s="17"/>
    </row>
    <row r="1293" spans="1:17">
      <c r="A1293" s="556" t="s">
        <v>3580</v>
      </c>
      <c r="B1293" s="557"/>
      <c r="C1293" s="558" t="s">
        <v>1844</v>
      </c>
      <c r="D1293" s="556" t="s">
        <v>1693</v>
      </c>
      <c r="E1293" s="17" t="s">
        <v>4732</v>
      </c>
      <c r="F1293" s="17">
        <v>2</v>
      </c>
      <c r="G1293" s="17">
        <v>1</v>
      </c>
      <c r="H1293" s="17" t="s">
        <v>3517</v>
      </c>
      <c r="I1293" s="17"/>
      <c r="J1293" s="17"/>
      <c r="K1293" s="17"/>
      <c r="L1293" s="17"/>
      <c r="M1293" s="17"/>
      <c r="N1293" s="17"/>
      <c r="O1293" s="17"/>
      <c r="P1293" s="17"/>
      <c r="Q1293" s="17"/>
    </row>
    <row r="1294" spans="1:17">
      <c r="A1294" s="556" t="s">
        <v>3580</v>
      </c>
      <c r="B1294" s="557"/>
      <c r="C1294" s="558" t="s">
        <v>1844</v>
      </c>
      <c r="D1294" s="556" t="s">
        <v>1694</v>
      </c>
      <c r="E1294" s="17" t="s">
        <v>4733</v>
      </c>
      <c r="F1294" s="17">
        <v>2</v>
      </c>
      <c r="G1294" s="17">
        <v>3</v>
      </c>
      <c r="H1294" s="17" t="s">
        <v>3519</v>
      </c>
      <c r="I1294" s="17"/>
      <c r="J1294" s="17"/>
      <c r="K1294" s="17"/>
      <c r="L1294" s="17"/>
      <c r="M1294" s="17"/>
      <c r="N1294" s="17"/>
      <c r="O1294" s="17"/>
      <c r="P1294" s="17"/>
      <c r="Q1294" s="17"/>
    </row>
    <row r="1295" spans="1:17">
      <c r="A1295" s="556" t="s">
        <v>3580</v>
      </c>
      <c r="B1295" s="557"/>
      <c r="C1295" s="558" t="s">
        <v>1844</v>
      </c>
      <c r="D1295" s="556" t="s">
        <v>4324</v>
      </c>
      <c r="E1295" s="17" t="s">
        <v>4734</v>
      </c>
      <c r="F1295" s="17">
        <v>2</v>
      </c>
      <c r="G1295" s="17">
        <v>5</v>
      </c>
      <c r="H1295" s="17" t="s">
        <v>3521</v>
      </c>
      <c r="I1295" s="17"/>
      <c r="J1295" s="17"/>
      <c r="K1295" s="17"/>
      <c r="L1295" s="17"/>
      <c r="M1295" s="17"/>
      <c r="N1295" s="17"/>
      <c r="O1295" s="17"/>
      <c r="P1295" s="17"/>
      <c r="Q1295" s="17"/>
    </row>
    <row r="1296" spans="1:17">
      <c r="A1296" s="556" t="s">
        <v>3580</v>
      </c>
      <c r="B1296" s="557"/>
      <c r="C1296" s="558" t="s">
        <v>1845</v>
      </c>
      <c r="D1296" s="556" t="s">
        <v>1693</v>
      </c>
      <c r="E1296" s="17" t="s">
        <v>4735</v>
      </c>
      <c r="F1296" s="17">
        <v>3</v>
      </c>
      <c r="G1296" s="17">
        <v>1</v>
      </c>
      <c r="H1296" s="17" t="s">
        <v>3326</v>
      </c>
      <c r="I1296" s="17"/>
      <c r="J1296" s="17"/>
      <c r="K1296" s="17"/>
      <c r="L1296" s="17"/>
      <c r="M1296" s="17"/>
      <c r="N1296" s="17"/>
      <c r="O1296" s="17"/>
      <c r="P1296" s="17"/>
      <c r="Q1296" s="17"/>
    </row>
    <row r="1297" spans="1:17">
      <c r="A1297" s="556" t="s">
        <v>3580</v>
      </c>
      <c r="B1297" s="557"/>
      <c r="C1297" s="558" t="s">
        <v>1845</v>
      </c>
      <c r="D1297" s="556" t="s">
        <v>1694</v>
      </c>
      <c r="E1297" s="17" t="s">
        <v>4736</v>
      </c>
      <c r="F1297" s="17">
        <v>3</v>
      </c>
      <c r="G1297" s="17">
        <v>3</v>
      </c>
      <c r="H1297" s="17" t="s">
        <v>3338</v>
      </c>
      <c r="I1297" s="17"/>
      <c r="J1297" s="17"/>
      <c r="K1297" s="17"/>
      <c r="L1297" s="17"/>
      <c r="M1297" s="17"/>
      <c r="N1297" s="17"/>
      <c r="O1297" s="17"/>
      <c r="P1297" s="17"/>
      <c r="Q1297" s="17"/>
    </row>
    <row r="1298" spans="1:17">
      <c r="A1298" s="556" t="s">
        <v>3580</v>
      </c>
      <c r="B1298" s="557"/>
      <c r="C1298" s="558" t="s">
        <v>1845</v>
      </c>
      <c r="D1298" s="556" t="s">
        <v>4324</v>
      </c>
      <c r="E1298" s="17" t="s">
        <v>4737</v>
      </c>
      <c r="F1298" s="17">
        <v>3</v>
      </c>
      <c r="G1298" s="17">
        <v>5</v>
      </c>
      <c r="H1298" s="17" t="s">
        <v>2992</v>
      </c>
      <c r="I1298" s="17"/>
      <c r="J1298" s="17"/>
      <c r="K1298" s="17"/>
      <c r="L1298" s="17"/>
      <c r="M1298" s="17"/>
      <c r="N1298" s="17"/>
      <c r="O1298" s="17"/>
      <c r="P1298" s="17"/>
      <c r="Q1298" s="17"/>
    </row>
    <row r="1299" spans="1:17">
      <c r="A1299" s="556" t="s">
        <v>3580</v>
      </c>
      <c r="B1299" s="557"/>
      <c r="C1299" s="558" t="s">
        <v>1846</v>
      </c>
      <c r="D1299" s="556" t="s">
        <v>1693</v>
      </c>
      <c r="E1299" s="17" t="s">
        <v>4738</v>
      </c>
      <c r="F1299" s="17">
        <v>4</v>
      </c>
      <c r="G1299" s="17">
        <v>1</v>
      </c>
      <c r="H1299" s="17" t="s">
        <v>3525</v>
      </c>
      <c r="I1299" s="17"/>
      <c r="J1299" s="17"/>
      <c r="K1299" s="17"/>
      <c r="L1299" s="17"/>
      <c r="M1299" s="17"/>
      <c r="N1299" s="17"/>
      <c r="O1299" s="17"/>
      <c r="P1299" s="17"/>
      <c r="Q1299" s="17"/>
    </row>
    <row r="1300" spans="1:17">
      <c r="A1300" s="556" t="s">
        <v>3580</v>
      </c>
      <c r="B1300" s="557"/>
      <c r="C1300" s="558" t="s">
        <v>1846</v>
      </c>
      <c r="D1300" s="556" t="s">
        <v>1694</v>
      </c>
      <c r="E1300" s="17" t="s">
        <v>4739</v>
      </c>
      <c r="F1300" s="17">
        <v>4</v>
      </c>
      <c r="G1300" s="17">
        <v>3</v>
      </c>
      <c r="H1300" s="17" t="s">
        <v>3340</v>
      </c>
      <c r="I1300" s="17"/>
      <c r="J1300" s="17"/>
      <c r="K1300" s="17"/>
      <c r="L1300" s="17"/>
      <c r="M1300" s="17"/>
      <c r="N1300" s="17"/>
      <c r="O1300" s="17"/>
      <c r="P1300" s="17"/>
      <c r="Q1300" s="17"/>
    </row>
    <row r="1301" spans="1:17">
      <c r="A1301" s="556" t="s">
        <v>3580</v>
      </c>
      <c r="B1301" s="557"/>
      <c r="C1301" s="558" t="s">
        <v>1846</v>
      </c>
      <c r="D1301" s="556" t="s">
        <v>4324</v>
      </c>
      <c r="E1301" s="17" t="s">
        <v>4740</v>
      </c>
      <c r="F1301" s="17">
        <v>4</v>
      </c>
      <c r="G1301" s="17">
        <v>5</v>
      </c>
      <c r="H1301" s="17" t="s">
        <v>3342</v>
      </c>
      <c r="I1301" s="17"/>
      <c r="J1301" s="17"/>
      <c r="K1301" s="17"/>
      <c r="L1301" s="17"/>
      <c r="M1301" s="17"/>
      <c r="N1301" s="17"/>
      <c r="O1301" s="17"/>
      <c r="P1301" s="17"/>
      <c r="Q1301" s="17"/>
    </row>
    <row r="1302" spans="1:17">
      <c r="A1302" s="556" t="s">
        <v>3580</v>
      </c>
      <c r="B1302" s="557"/>
      <c r="C1302" s="558" t="s">
        <v>1847</v>
      </c>
      <c r="D1302" s="556" t="s">
        <v>1693</v>
      </c>
      <c r="E1302" s="17" t="s">
        <v>4741</v>
      </c>
      <c r="F1302" s="17">
        <v>5</v>
      </c>
      <c r="G1302" s="17">
        <v>1</v>
      </c>
      <c r="H1302" s="17" t="s">
        <v>3697</v>
      </c>
      <c r="I1302" s="17"/>
      <c r="J1302" s="17"/>
      <c r="K1302" s="17"/>
      <c r="L1302" s="17"/>
      <c r="M1302" s="17"/>
      <c r="N1302" s="17"/>
      <c r="O1302" s="17"/>
      <c r="P1302" s="17"/>
      <c r="Q1302" s="17"/>
    </row>
    <row r="1303" spans="1:17">
      <c r="A1303" s="556" t="s">
        <v>3580</v>
      </c>
      <c r="B1303" s="557"/>
      <c r="C1303" s="558" t="s">
        <v>1847</v>
      </c>
      <c r="D1303" s="556" t="s">
        <v>1694</v>
      </c>
      <c r="E1303" s="17" t="s">
        <v>4742</v>
      </c>
      <c r="F1303" s="17">
        <v>5</v>
      </c>
      <c r="G1303" s="17">
        <v>3</v>
      </c>
      <c r="H1303" s="17" t="s">
        <v>3344</v>
      </c>
      <c r="I1303" s="17"/>
      <c r="J1303" s="17"/>
      <c r="K1303" s="17"/>
      <c r="L1303" s="17"/>
      <c r="M1303" s="17"/>
      <c r="N1303" s="17"/>
      <c r="O1303" s="17"/>
      <c r="P1303" s="17"/>
      <c r="Q1303" s="17"/>
    </row>
    <row r="1304" spans="1:17">
      <c r="A1304" s="556" t="s">
        <v>3580</v>
      </c>
      <c r="B1304" s="557"/>
      <c r="C1304" s="558" t="s">
        <v>1847</v>
      </c>
      <c r="D1304" s="556" t="s">
        <v>4324</v>
      </c>
      <c r="E1304" s="17" t="s">
        <v>4743</v>
      </c>
      <c r="F1304" s="17">
        <v>5</v>
      </c>
      <c r="G1304" s="17">
        <v>5</v>
      </c>
      <c r="H1304" s="17" t="s">
        <v>3346</v>
      </c>
      <c r="I1304" s="17"/>
      <c r="J1304" s="17"/>
      <c r="K1304" s="17"/>
      <c r="L1304" s="17"/>
      <c r="M1304" s="17"/>
      <c r="N1304" s="17"/>
      <c r="O1304" s="17"/>
      <c r="P1304" s="17"/>
      <c r="Q1304" s="17"/>
    </row>
    <row r="1305" spans="1:17">
      <c r="A1305" s="556" t="s">
        <v>3580</v>
      </c>
      <c r="B1305" s="557"/>
      <c r="C1305" s="558" t="s">
        <v>1848</v>
      </c>
      <c r="D1305" s="556" t="s">
        <v>1693</v>
      </c>
      <c r="E1305" s="17" t="s">
        <v>4744</v>
      </c>
      <c r="F1305" s="17">
        <v>6</v>
      </c>
      <c r="G1305" s="17">
        <v>1</v>
      </c>
      <c r="H1305" s="17" t="s">
        <v>7772</v>
      </c>
      <c r="I1305" s="17"/>
      <c r="J1305" s="17"/>
      <c r="K1305" s="17"/>
      <c r="L1305" s="17"/>
      <c r="M1305" s="17"/>
      <c r="N1305" s="17"/>
      <c r="O1305" s="17"/>
      <c r="P1305" s="17"/>
      <c r="Q1305" s="17"/>
    </row>
    <row r="1306" spans="1:17">
      <c r="A1306" s="556" t="s">
        <v>3580</v>
      </c>
      <c r="B1306" s="557"/>
      <c r="C1306" s="558" t="s">
        <v>1848</v>
      </c>
      <c r="D1306" s="556" t="s">
        <v>1694</v>
      </c>
      <c r="E1306" s="17" t="s">
        <v>4745</v>
      </c>
      <c r="F1306" s="17">
        <v>6</v>
      </c>
      <c r="G1306" s="17">
        <v>3</v>
      </c>
      <c r="H1306" s="17" t="s">
        <v>3348</v>
      </c>
      <c r="I1306" s="17"/>
      <c r="J1306" s="17"/>
      <c r="K1306" s="17"/>
      <c r="L1306" s="17"/>
      <c r="M1306" s="17"/>
      <c r="N1306" s="17"/>
      <c r="O1306" s="17"/>
      <c r="P1306" s="17"/>
      <c r="Q1306" s="17"/>
    </row>
    <row r="1307" spans="1:17">
      <c r="A1307" s="556" t="s">
        <v>3580</v>
      </c>
      <c r="B1307" s="557"/>
      <c r="C1307" s="558" t="s">
        <v>1848</v>
      </c>
      <c r="D1307" s="556" t="s">
        <v>4324</v>
      </c>
      <c r="E1307" s="17" t="s">
        <v>4746</v>
      </c>
      <c r="F1307" s="17">
        <v>6</v>
      </c>
      <c r="G1307" s="17">
        <v>5</v>
      </c>
      <c r="H1307" s="17" t="s">
        <v>3350</v>
      </c>
      <c r="I1307" s="17"/>
      <c r="J1307" s="17"/>
      <c r="K1307" s="17"/>
      <c r="L1307" s="17"/>
      <c r="M1307" s="17"/>
      <c r="N1307" s="17"/>
      <c r="O1307" s="17"/>
      <c r="P1307" s="17"/>
      <c r="Q1307" s="17"/>
    </row>
    <row r="1308" spans="1:17">
      <c r="A1308" s="556" t="s">
        <v>3580</v>
      </c>
      <c r="B1308" s="557"/>
      <c r="C1308" s="558" t="s">
        <v>1849</v>
      </c>
      <c r="D1308" s="556" t="s">
        <v>1693</v>
      </c>
      <c r="E1308" s="17" t="s">
        <v>4747</v>
      </c>
      <c r="F1308" s="17">
        <v>7</v>
      </c>
      <c r="G1308" s="17">
        <v>1</v>
      </c>
      <c r="H1308" s="17" t="s">
        <v>7774</v>
      </c>
      <c r="I1308" s="17"/>
      <c r="J1308" s="17"/>
      <c r="K1308" s="17"/>
      <c r="L1308" s="17"/>
      <c r="M1308" s="17"/>
      <c r="N1308" s="17"/>
      <c r="O1308" s="17"/>
      <c r="P1308" s="17"/>
      <c r="Q1308" s="17"/>
    </row>
    <row r="1309" spans="1:17">
      <c r="A1309" s="556" t="s">
        <v>3580</v>
      </c>
      <c r="B1309" s="557"/>
      <c r="C1309" s="558" t="s">
        <v>1849</v>
      </c>
      <c r="D1309" s="556" t="s">
        <v>1694</v>
      </c>
      <c r="E1309" s="17" t="s">
        <v>4748</v>
      </c>
      <c r="F1309" s="17">
        <v>7</v>
      </c>
      <c r="G1309" s="17">
        <v>3</v>
      </c>
      <c r="H1309" s="17" t="s">
        <v>3352</v>
      </c>
      <c r="I1309" s="17"/>
      <c r="J1309" s="17"/>
      <c r="K1309" s="17"/>
      <c r="L1309" s="17"/>
      <c r="M1309" s="17"/>
      <c r="N1309" s="17"/>
      <c r="O1309" s="17"/>
      <c r="P1309" s="17"/>
      <c r="Q1309" s="17"/>
    </row>
    <row r="1310" spans="1:17">
      <c r="A1310" s="556" t="s">
        <v>3580</v>
      </c>
      <c r="B1310" s="557"/>
      <c r="C1310" s="558" t="s">
        <v>1849</v>
      </c>
      <c r="D1310" s="556" t="s">
        <v>4324</v>
      </c>
      <c r="E1310" s="17" t="s">
        <v>4749</v>
      </c>
      <c r="F1310" s="17">
        <v>7</v>
      </c>
      <c r="G1310" s="17">
        <v>5</v>
      </c>
      <c r="H1310" s="17" t="s">
        <v>3354</v>
      </c>
      <c r="I1310" s="17"/>
      <c r="J1310" s="17"/>
      <c r="K1310" s="17"/>
      <c r="L1310" s="17"/>
      <c r="M1310" s="17"/>
      <c r="N1310" s="17"/>
      <c r="O1310" s="17"/>
      <c r="P1310" s="17"/>
      <c r="Q1310" s="17"/>
    </row>
    <row r="1311" spans="1:17">
      <c r="A1311" s="556" t="s">
        <v>3580</v>
      </c>
      <c r="B1311" s="557"/>
      <c r="C1311" s="558" t="s">
        <v>1850</v>
      </c>
      <c r="D1311" s="556" t="s">
        <v>1693</v>
      </c>
      <c r="E1311" s="17" t="s">
        <v>4750</v>
      </c>
      <c r="F1311" s="17">
        <v>8</v>
      </c>
      <c r="G1311" s="17">
        <v>1</v>
      </c>
      <c r="H1311" s="17" t="s">
        <v>7776</v>
      </c>
      <c r="I1311" s="17"/>
      <c r="J1311" s="17"/>
      <c r="K1311" s="17"/>
      <c r="L1311" s="17"/>
      <c r="M1311" s="17"/>
      <c r="N1311" s="17"/>
      <c r="O1311" s="17"/>
      <c r="P1311" s="17"/>
      <c r="Q1311" s="17"/>
    </row>
    <row r="1312" spans="1:17">
      <c r="A1312" s="556" t="s">
        <v>3580</v>
      </c>
      <c r="B1312" s="557"/>
      <c r="C1312" s="558" t="s">
        <v>1850</v>
      </c>
      <c r="D1312" s="556" t="s">
        <v>1694</v>
      </c>
      <c r="E1312" s="17" t="s">
        <v>4751</v>
      </c>
      <c r="F1312" s="17">
        <v>8</v>
      </c>
      <c r="G1312" s="17">
        <v>3</v>
      </c>
      <c r="H1312" s="17" t="s">
        <v>3356</v>
      </c>
      <c r="I1312" s="17"/>
      <c r="J1312" s="17"/>
      <c r="K1312" s="17"/>
      <c r="L1312" s="17"/>
      <c r="M1312" s="17"/>
      <c r="N1312" s="17"/>
      <c r="O1312" s="17"/>
      <c r="P1312" s="17"/>
      <c r="Q1312" s="17"/>
    </row>
    <row r="1313" spans="1:17">
      <c r="A1313" s="556" t="s">
        <v>3580</v>
      </c>
      <c r="B1313" s="557"/>
      <c r="C1313" s="558" t="s">
        <v>1850</v>
      </c>
      <c r="D1313" s="556" t="s">
        <v>4324</v>
      </c>
      <c r="E1313" s="17" t="s">
        <v>4752</v>
      </c>
      <c r="F1313" s="17">
        <v>8</v>
      </c>
      <c r="G1313" s="17">
        <v>5</v>
      </c>
      <c r="H1313" s="17" t="s">
        <v>3358</v>
      </c>
      <c r="I1313" s="17"/>
      <c r="J1313" s="17"/>
      <c r="K1313" s="17"/>
      <c r="L1313" s="17"/>
      <c r="M1313" s="17"/>
      <c r="N1313" s="17"/>
      <c r="O1313" s="17"/>
      <c r="P1313" s="17"/>
      <c r="Q1313" s="17"/>
    </row>
    <row r="1314" spans="1:17">
      <c r="A1314" s="556" t="s">
        <v>3580</v>
      </c>
      <c r="B1314" s="557"/>
      <c r="C1314" s="558" t="s">
        <v>1851</v>
      </c>
      <c r="D1314" s="556" t="s">
        <v>1693</v>
      </c>
      <c r="E1314" s="17" t="s">
        <v>4753</v>
      </c>
      <c r="F1314" s="17">
        <v>9</v>
      </c>
      <c r="G1314" s="17">
        <v>1</v>
      </c>
      <c r="H1314" s="17" t="s">
        <v>7778</v>
      </c>
      <c r="I1314" s="17"/>
      <c r="J1314" s="17"/>
      <c r="K1314" s="17"/>
      <c r="L1314" s="17"/>
      <c r="M1314" s="17"/>
      <c r="N1314" s="17"/>
      <c r="O1314" s="17"/>
      <c r="P1314" s="17"/>
      <c r="Q1314" s="17"/>
    </row>
    <row r="1315" spans="1:17">
      <c r="A1315" s="556" t="s">
        <v>3580</v>
      </c>
      <c r="B1315" s="557"/>
      <c r="C1315" s="558" t="s">
        <v>1851</v>
      </c>
      <c r="D1315" s="556" t="s">
        <v>1694</v>
      </c>
      <c r="E1315" s="17" t="s">
        <v>4754</v>
      </c>
      <c r="F1315" s="17">
        <v>9</v>
      </c>
      <c r="G1315" s="17">
        <v>3</v>
      </c>
      <c r="H1315" s="17" t="s">
        <v>3360</v>
      </c>
      <c r="I1315" s="17"/>
      <c r="J1315" s="17"/>
      <c r="K1315" s="17"/>
      <c r="L1315" s="17"/>
      <c r="M1315" s="17"/>
      <c r="N1315" s="17"/>
      <c r="O1315" s="17"/>
      <c r="P1315" s="17"/>
      <c r="Q1315" s="17"/>
    </row>
    <row r="1316" spans="1:17">
      <c r="A1316" s="556" t="s">
        <v>3580</v>
      </c>
      <c r="B1316" s="557"/>
      <c r="C1316" s="558" t="s">
        <v>1851</v>
      </c>
      <c r="D1316" s="556" t="s">
        <v>4324</v>
      </c>
      <c r="E1316" s="17" t="s">
        <v>4755</v>
      </c>
      <c r="F1316" s="17">
        <v>9</v>
      </c>
      <c r="G1316" s="17">
        <v>5</v>
      </c>
      <c r="H1316" s="17" t="s">
        <v>3361</v>
      </c>
      <c r="I1316" s="17"/>
      <c r="J1316" s="17"/>
      <c r="K1316" s="17"/>
      <c r="L1316" s="17"/>
      <c r="M1316" s="17"/>
      <c r="N1316" s="17"/>
      <c r="O1316" s="17"/>
      <c r="P1316" s="17"/>
      <c r="Q1316" s="17"/>
    </row>
    <row r="1317" spans="1:17">
      <c r="A1317" s="556" t="s">
        <v>3580</v>
      </c>
      <c r="B1317" s="557"/>
      <c r="C1317" s="558" t="s">
        <v>1852</v>
      </c>
      <c r="D1317" s="556" t="s">
        <v>1693</v>
      </c>
      <c r="E1317" s="17" t="s">
        <v>4756</v>
      </c>
      <c r="F1317" s="17">
        <v>10</v>
      </c>
      <c r="G1317" s="17">
        <v>1</v>
      </c>
      <c r="H1317" s="17" t="s">
        <v>7779</v>
      </c>
      <c r="I1317" s="17"/>
      <c r="J1317" s="17"/>
      <c r="K1317" s="17"/>
      <c r="L1317" s="17"/>
      <c r="M1317" s="17"/>
      <c r="N1317" s="17"/>
      <c r="O1317" s="17"/>
      <c r="P1317" s="17"/>
      <c r="Q1317" s="17"/>
    </row>
    <row r="1318" spans="1:17">
      <c r="A1318" s="556" t="s">
        <v>3580</v>
      </c>
      <c r="B1318" s="557"/>
      <c r="C1318" s="558" t="s">
        <v>1852</v>
      </c>
      <c r="D1318" s="556" t="s">
        <v>1694</v>
      </c>
      <c r="E1318" s="17" t="s">
        <v>4757</v>
      </c>
      <c r="F1318" s="17">
        <v>10</v>
      </c>
      <c r="G1318" s="17">
        <v>3</v>
      </c>
      <c r="H1318" s="17" t="s">
        <v>3363</v>
      </c>
      <c r="I1318" s="17"/>
      <c r="J1318" s="17"/>
      <c r="K1318" s="17"/>
      <c r="L1318" s="17"/>
      <c r="M1318" s="17"/>
      <c r="N1318" s="17"/>
      <c r="O1318" s="17"/>
      <c r="P1318" s="17"/>
      <c r="Q1318" s="17"/>
    </row>
    <row r="1319" spans="1:17">
      <c r="A1319" s="556" t="s">
        <v>3580</v>
      </c>
      <c r="B1319" s="557"/>
      <c r="C1319" s="558" t="s">
        <v>1852</v>
      </c>
      <c r="D1319" s="556" t="s">
        <v>4324</v>
      </c>
      <c r="E1319" s="17" t="s">
        <v>4758</v>
      </c>
      <c r="F1319" s="17">
        <v>10</v>
      </c>
      <c r="G1319" s="17">
        <v>5</v>
      </c>
      <c r="H1319" s="17" t="s">
        <v>3365</v>
      </c>
      <c r="I1319" s="17"/>
      <c r="J1319" s="17"/>
      <c r="K1319" s="17"/>
      <c r="L1319" s="17"/>
      <c r="M1319" s="17"/>
      <c r="N1319" s="17"/>
      <c r="O1319" s="17"/>
      <c r="P1319" s="17"/>
      <c r="Q1319" s="17"/>
    </row>
    <row r="1320" spans="1:17">
      <c r="A1320" s="556" t="s">
        <v>3580</v>
      </c>
      <c r="B1320" s="557"/>
      <c r="C1320" s="558" t="s">
        <v>1853</v>
      </c>
      <c r="D1320" s="556" t="s">
        <v>1693</v>
      </c>
      <c r="E1320" s="17" t="s">
        <v>4759</v>
      </c>
      <c r="F1320" s="17">
        <v>11</v>
      </c>
      <c r="G1320" s="17">
        <v>1</v>
      </c>
      <c r="H1320" s="17" t="s">
        <v>7781</v>
      </c>
      <c r="I1320" s="17"/>
      <c r="J1320" s="17"/>
      <c r="K1320" s="17"/>
      <c r="L1320" s="17"/>
      <c r="M1320" s="17"/>
      <c r="N1320" s="17"/>
      <c r="O1320" s="17"/>
      <c r="P1320" s="17"/>
      <c r="Q1320" s="17"/>
    </row>
    <row r="1321" spans="1:17">
      <c r="A1321" s="556" t="s">
        <v>3580</v>
      </c>
      <c r="B1321" s="557"/>
      <c r="C1321" s="558" t="s">
        <v>1853</v>
      </c>
      <c r="D1321" s="556" t="s">
        <v>1694</v>
      </c>
      <c r="E1321" s="17" t="s">
        <v>4760</v>
      </c>
      <c r="F1321" s="17">
        <v>11</v>
      </c>
      <c r="G1321" s="17">
        <v>3</v>
      </c>
      <c r="H1321" s="17" t="s">
        <v>3367</v>
      </c>
      <c r="I1321" s="17"/>
      <c r="J1321" s="17"/>
      <c r="K1321" s="17"/>
      <c r="L1321" s="17"/>
      <c r="M1321" s="17"/>
      <c r="N1321" s="17"/>
      <c r="O1321" s="17"/>
      <c r="P1321" s="17"/>
      <c r="Q1321" s="17"/>
    </row>
    <row r="1322" spans="1:17">
      <c r="A1322" s="556" t="s">
        <v>3580</v>
      </c>
      <c r="B1322" s="557"/>
      <c r="C1322" s="558" t="s">
        <v>1853</v>
      </c>
      <c r="D1322" s="556" t="s">
        <v>4324</v>
      </c>
      <c r="E1322" s="17" t="s">
        <v>4761</v>
      </c>
      <c r="F1322" s="17">
        <v>11</v>
      </c>
      <c r="G1322" s="17">
        <v>5</v>
      </c>
      <c r="H1322" s="17" t="s">
        <v>3369</v>
      </c>
      <c r="I1322" s="17"/>
      <c r="J1322" s="17"/>
      <c r="K1322" s="17"/>
      <c r="L1322" s="17"/>
      <c r="M1322" s="17"/>
      <c r="N1322" s="17"/>
      <c r="O1322" s="17"/>
      <c r="P1322" s="17"/>
      <c r="Q1322" s="17"/>
    </row>
    <row r="1323" spans="1:17">
      <c r="A1323" s="556" t="s">
        <v>3580</v>
      </c>
      <c r="B1323" s="557"/>
      <c r="C1323" s="558" t="s">
        <v>1854</v>
      </c>
      <c r="D1323" s="556" t="s">
        <v>1693</v>
      </c>
      <c r="E1323" s="17" t="s">
        <v>4762</v>
      </c>
      <c r="F1323" s="17">
        <v>12</v>
      </c>
      <c r="G1323" s="17">
        <v>1</v>
      </c>
      <c r="H1323" s="17" t="s">
        <v>7783</v>
      </c>
      <c r="I1323" s="17"/>
      <c r="J1323" s="17"/>
      <c r="K1323" s="17"/>
      <c r="L1323" s="17"/>
      <c r="M1323" s="17"/>
      <c r="N1323" s="17"/>
      <c r="O1323" s="17"/>
      <c r="P1323" s="17"/>
      <c r="Q1323" s="17"/>
    </row>
    <row r="1324" spans="1:17">
      <c r="A1324" s="556" t="s">
        <v>3580</v>
      </c>
      <c r="B1324" s="557"/>
      <c r="C1324" s="558" t="s">
        <v>1854</v>
      </c>
      <c r="D1324" s="556" t="s">
        <v>1694</v>
      </c>
      <c r="E1324" s="17" t="s">
        <v>4763</v>
      </c>
      <c r="F1324" s="17">
        <v>12</v>
      </c>
      <c r="G1324" s="17">
        <v>3</v>
      </c>
      <c r="H1324" s="17" t="s">
        <v>3371</v>
      </c>
      <c r="I1324" s="17"/>
      <c r="J1324" s="17"/>
      <c r="K1324" s="17"/>
      <c r="L1324" s="17"/>
      <c r="M1324" s="17"/>
      <c r="N1324" s="17"/>
      <c r="O1324" s="17"/>
      <c r="P1324" s="17"/>
      <c r="Q1324" s="17"/>
    </row>
    <row r="1325" spans="1:17">
      <c r="A1325" s="556" t="s">
        <v>3580</v>
      </c>
      <c r="B1325" s="557"/>
      <c r="C1325" s="558" t="s">
        <v>1854</v>
      </c>
      <c r="D1325" s="556" t="s">
        <v>4324</v>
      </c>
      <c r="E1325" s="17" t="s">
        <v>4764</v>
      </c>
      <c r="F1325" s="17">
        <v>12</v>
      </c>
      <c r="G1325" s="17">
        <v>5</v>
      </c>
      <c r="H1325" s="17" t="s">
        <v>3373</v>
      </c>
      <c r="I1325" s="17"/>
      <c r="J1325" s="17"/>
      <c r="K1325" s="17"/>
      <c r="L1325" s="17"/>
      <c r="M1325" s="17"/>
      <c r="N1325" s="17"/>
      <c r="O1325" s="17"/>
      <c r="P1325" s="17"/>
      <c r="Q1325" s="17"/>
    </row>
    <row r="1326" spans="1:17">
      <c r="A1326" s="556" t="s">
        <v>3580</v>
      </c>
      <c r="B1326" s="557"/>
      <c r="C1326" s="558" t="s">
        <v>1855</v>
      </c>
      <c r="D1326" s="556" t="s">
        <v>1693</v>
      </c>
      <c r="E1326" s="17" t="s">
        <v>4765</v>
      </c>
      <c r="F1326" s="17">
        <v>13</v>
      </c>
      <c r="G1326" s="17">
        <v>1</v>
      </c>
      <c r="H1326" s="17" t="s">
        <v>7785</v>
      </c>
      <c r="I1326" s="17">
        <v>0</v>
      </c>
      <c r="J1326" s="17"/>
      <c r="K1326" s="17"/>
      <c r="L1326" s="17"/>
      <c r="M1326" s="17"/>
      <c r="N1326" s="17"/>
      <c r="O1326" s="17"/>
      <c r="P1326" s="17"/>
      <c r="Q1326" s="17"/>
    </row>
    <row r="1327" spans="1:17">
      <c r="A1327" s="556" t="s">
        <v>3580</v>
      </c>
      <c r="B1327" s="557"/>
      <c r="C1327" s="558" t="s">
        <v>1855</v>
      </c>
      <c r="D1327" s="556" t="s">
        <v>1694</v>
      </c>
      <c r="E1327" s="17" t="s">
        <v>4766</v>
      </c>
      <c r="F1327" s="17">
        <v>13</v>
      </c>
      <c r="G1327" s="17">
        <v>3</v>
      </c>
      <c r="H1327" s="17" t="s">
        <v>3375</v>
      </c>
      <c r="I1327" s="17">
        <v>0</v>
      </c>
      <c r="J1327" s="17"/>
      <c r="K1327" s="17"/>
      <c r="L1327" s="17"/>
      <c r="M1327" s="17"/>
      <c r="N1327" s="17"/>
      <c r="O1327" s="17"/>
      <c r="P1327" s="17"/>
      <c r="Q1327" s="17"/>
    </row>
    <row r="1328" spans="1:17">
      <c r="A1328" s="556" t="s">
        <v>3580</v>
      </c>
      <c r="B1328" s="557"/>
      <c r="C1328" s="558" t="s">
        <v>1855</v>
      </c>
      <c r="D1328" s="556" t="s">
        <v>4324</v>
      </c>
      <c r="E1328" s="17" t="s">
        <v>4767</v>
      </c>
      <c r="F1328" s="17">
        <v>13</v>
      </c>
      <c r="G1328" s="17">
        <v>5</v>
      </c>
      <c r="H1328" s="17" t="s">
        <v>3377</v>
      </c>
      <c r="I1328" s="17"/>
      <c r="J1328" s="17"/>
      <c r="K1328" s="17"/>
      <c r="L1328" s="17"/>
      <c r="M1328" s="17"/>
      <c r="N1328" s="17"/>
      <c r="O1328" s="17"/>
      <c r="P1328" s="17"/>
      <c r="Q1328" s="17"/>
    </row>
    <row r="1329" spans="1:17">
      <c r="A1329" s="556" t="s">
        <v>3580</v>
      </c>
      <c r="B1329" s="557"/>
      <c r="C1329" s="558" t="s">
        <v>1856</v>
      </c>
      <c r="D1329" s="556" t="s">
        <v>1693</v>
      </c>
      <c r="E1329" s="17" t="s">
        <v>4768</v>
      </c>
      <c r="F1329" s="17">
        <v>14</v>
      </c>
      <c r="G1329" s="17">
        <v>1</v>
      </c>
      <c r="H1329" s="17" t="s">
        <v>3695</v>
      </c>
      <c r="I1329" s="17"/>
      <c r="J1329" s="17"/>
      <c r="K1329" s="17"/>
      <c r="L1329" s="17"/>
      <c r="M1329" s="17"/>
      <c r="N1329" s="17"/>
      <c r="O1329" s="17"/>
      <c r="P1329" s="17"/>
      <c r="Q1329" s="17"/>
    </row>
    <row r="1330" spans="1:17">
      <c r="A1330" s="556" t="s">
        <v>3580</v>
      </c>
      <c r="B1330" s="557"/>
      <c r="C1330" s="558" t="s">
        <v>1856</v>
      </c>
      <c r="D1330" s="556" t="s">
        <v>1694</v>
      </c>
      <c r="E1330" s="17" t="s">
        <v>4769</v>
      </c>
      <c r="F1330" s="17">
        <v>14</v>
      </c>
      <c r="G1330" s="17">
        <v>3</v>
      </c>
      <c r="H1330" s="17" t="s">
        <v>3379</v>
      </c>
      <c r="I1330" s="17"/>
      <c r="J1330" s="17"/>
      <c r="K1330" s="17"/>
      <c r="L1330" s="17"/>
      <c r="M1330" s="17"/>
      <c r="N1330" s="17"/>
      <c r="O1330" s="17"/>
      <c r="P1330" s="17"/>
      <c r="Q1330" s="17"/>
    </row>
    <row r="1331" spans="1:17">
      <c r="A1331" s="556" t="s">
        <v>3580</v>
      </c>
      <c r="B1331" s="557"/>
      <c r="C1331" s="558" t="s">
        <v>1856</v>
      </c>
      <c r="D1331" s="556" t="s">
        <v>4324</v>
      </c>
      <c r="E1331" s="17" t="s">
        <v>4770</v>
      </c>
      <c r="F1331" s="17">
        <v>14</v>
      </c>
      <c r="G1331" s="17">
        <v>5</v>
      </c>
      <c r="H1331" s="17" t="s">
        <v>3381</v>
      </c>
      <c r="I1331" s="17"/>
      <c r="J1331" s="17"/>
      <c r="K1331" s="17"/>
      <c r="L1331" s="17"/>
      <c r="M1331" s="17"/>
      <c r="N1331" s="17"/>
      <c r="O1331" s="17"/>
      <c r="P1331" s="17"/>
      <c r="Q1331" s="17"/>
    </row>
    <row r="1332" spans="1:17">
      <c r="A1332" s="556" t="s">
        <v>3580</v>
      </c>
      <c r="B1332" s="557"/>
      <c r="C1332" s="558" t="s">
        <v>1735</v>
      </c>
      <c r="D1332" s="556" t="s">
        <v>1693</v>
      </c>
      <c r="E1332" s="17" t="s">
        <v>4771</v>
      </c>
      <c r="F1332" s="17">
        <v>15</v>
      </c>
      <c r="G1332" s="17">
        <v>1</v>
      </c>
      <c r="H1332" s="17" t="s">
        <v>7788</v>
      </c>
      <c r="I1332" s="17">
        <v>0</v>
      </c>
      <c r="J1332" s="17"/>
      <c r="K1332" s="17"/>
      <c r="L1332" s="17"/>
      <c r="M1332" s="17"/>
      <c r="N1332" s="17"/>
      <c r="O1332" s="17"/>
      <c r="P1332" s="17"/>
      <c r="Q1332" s="17"/>
    </row>
    <row r="1333" spans="1:17">
      <c r="A1333" s="556" t="s">
        <v>3580</v>
      </c>
      <c r="B1333" s="557"/>
      <c r="C1333" s="558" t="s">
        <v>1735</v>
      </c>
      <c r="D1333" s="556" t="s">
        <v>1694</v>
      </c>
      <c r="E1333" s="17" t="s">
        <v>4772</v>
      </c>
      <c r="F1333" s="17">
        <v>15</v>
      </c>
      <c r="G1333" s="17">
        <v>3</v>
      </c>
      <c r="H1333" s="17" t="s">
        <v>3383</v>
      </c>
      <c r="I1333" s="17">
        <v>0</v>
      </c>
      <c r="J1333" s="17"/>
      <c r="K1333" s="17"/>
      <c r="L1333" s="17"/>
      <c r="M1333" s="17"/>
      <c r="N1333" s="17"/>
      <c r="O1333" s="17"/>
      <c r="P1333" s="17"/>
      <c r="Q1333" s="17"/>
    </row>
    <row r="1334" spans="1:17">
      <c r="A1334" s="556" t="s">
        <v>3580</v>
      </c>
      <c r="B1334" s="557"/>
      <c r="C1334" s="558" t="s">
        <v>1735</v>
      </c>
      <c r="D1334" s="556" t="s">
        <v>4324</v>
      </c>
      <c r="E1334" s="17" t="s">
        <v>4773</v>
      </c>
      <c r="F1334" s="17">
        <v>15</v>
      </c>
      <c r="G1334" s="17">
        <v>5</v>
      </c>
      <c r="H1334" s="17" t="s">
        <v>3385</v>
      </c>
      <c r="I1334" s="17"/>
      <c r="J1334" s="17"/>
      <c r="K1334" s="17"/>
      <c r="L1334" s="17"/>
      <c r="M1334" s="17"/>
      <c r="N1334" s="17"/>
      <c r="O1334" s="17"/>
      <c r="P1334" s="17"/>
      <c r="Q1334" s="17"/>
    </row>
    <row r="1335" spans="1:17">
      <c r="A1335" s="556" t="s">
        <v>2969</v>
      </c>
      <c r="B1335" s="557"/>
      <c r="C1335" s="558" t="s">
        <v>2988</v>
      </c>
      <c r="D1335" s="556" t="s">
        <v>2535</v>
      </c>
      <c r="E1335" s="17" t="s">
        <v>3276</v>
      </c>
      <c r="F1335" s="17">
        <v>1</v>
      </c>
      <c r="G1335" s="17">
        <v>1</v>
      </c>
      <c r="H1335" s="17" t="s">
        <v>2996</v>
      </c>
      <c r="I1335" s="17"/>
      <c r="J1335" s="17"/>
      <c r="K1335" s="17"/>
      <c r="L1335" s="17"/>
      <c r="M1335" s="17"/>
      <c r="N1335" s="17"/>
      <c r="O1335" s="17"/>
      <c r="P1335" s="17"/>
      <c r="Q1335" s="17"/>
    </row>
    <row r="1336" spans="1:17">
      <c r="A1336" s="556" t="s">
        <v>9257</v>
      </c>
      <c r="B1336" s="557"/>
      <c r="C1336" s="558" t="s">
        <v>9258</v>
      </c>
      <c r="D1336" s="556" t="s">
        <v>2535</v>
      </c>
      <c r="E1336" s="559" t="s">
        <v>9279</v>
      </c>
      <c r="F1336" s="17">
        <v>1</v>
      </c>
      <c r="G1336" s="17">
        <v>1</v>
      </c>
      <c r="H1336" s="564" t="s">
        <v>7804</v>
      </c>
      <c r="I1336" s="567">
        <v>0</v>
      </c>
      <c r="J1336" s="17"/>
      <c r="K1336" s="17"/>
      <c r="L1336" s="17"/>
      <c r="M1336" s="17"/>
      <c r="N1336" s="17"/>
      <c r="O1336" s="17"/>
      <c r="P1336" s="17"/>
      <c r="Q1336" s="17"/>
    </row>
    <row r="1337" spans="1:17">
      <c r="A1337" s="556" t="s">
        <v>3588</v>
      </c>
      <c r="B1337" s="557"/>
      <c r="C1337" s="558" t="s">
        <v>1905</v>
      </c>
      <c r="D1337" s="556" t="s">
        <v>1693</v>
      </c>
      <c r="E1337" s="17" t="s">
        <v>4774</v>
      </c>
      <c r="F1337" s="17">
        <v>1</v>
      </c>
      <c r="G1337" s="17">
        <v>1</v>
      </c>
      <c r="H1337" s="17" t="s">
        <v>3692</v>
      </c>
      <c r="I1337" s="17"/>
      <c r="J1337" s="17"/>
      <c r="K1337" s="17"/>
      <c r="L1337" s="17"/>
      <c r="M1337" s="17"/>
      <c r="N1337" s="17"/>
      <c r="O1337" s="17"/>
      <c r="P1337" s="17"/>
      <c r="Q1337" s="17"/>
    </row>
    <row r="1338" spans="1:17">
      <c r="A1338" s="556" t="s">
        <v>3588</v>
      </c>
      <c r="B1338" s="557"/>
      <c r="C1338" s="558" t="s">
        <v>1905</v>
      </c>
      <c r="D1338" s="556" t="s">
        <v>1694</v>
      </c>
      <c r="E1338" s="17" t="s">
        <v>4775</v>
      </c>
      <c r="F1338" s="17">
        <v>1</v>
      </c>
      <c r="G1338" s="17">
        <v>2</v>
      </c>
      <c r="H1338" s="17" t="s">
        <v>3701</v>
      </c>
      <c r="I1338" s="17"/>
      <c r="J1338" s="17"/>
      <c r="K1338" s="17"/>
      <c r="L1338" s="17"/>
      <c r="M1338" s="17"/>
      <c r="N1338" s="17"/>
      <c r="O1338" s="17"/>
      <c r="P1338" s="17"/>
      <c r="Q1338" s="17"/>
    </row>
    <row r="1339" spans="1:17">
      <c r="A1339" s="556" t="s">
        <v>3588</v>
      </c>
      <c r="B1339" s="557"/>
      <c r="C1339" s="558" t="s">
        <v>1905</v>
      </c>
      <c r="D1339" s="556" t="s">
        <v>4426</v>
      </c>
      <c r="E1339" s="17" t="s">
        <v>4776</v>
      </c>
      <c r="F1339" s="17">
        <v>1</v>
      </c>
      <c r="G1339" s="17">
        <v>3</v>
      </c>
      <c r="H1339" s="17" t="s">
        <v>3714</v>
      </c>
      <c r="I1339" s="17">
        <v>0</v>
      </c>
      <c r="J1339" s="17"/>
      <c r="K1339" s="17"/>
      <c r="L1339" s="17"/>
      <c r="M1339" s="17"/>
      <c r="N1339" s="17"/>
      <c r="O1339" s="17"/>
      <c r="P1339" s="17"/>
      <c r="Q1339" s="17"/>
    </row>
    <row r="1340" spans="1:17">
      <c r="A1340" s="556" t="s">
        <v>3588</v>
      </c>
      <c r="B1340" s="557"/>
      <c r="C1340" s="558" t="s">
        <v>1906</v>
      </c>
      <c r="D1340" s="556" t="s">
        <v>1693</v>
      </c>
      <c r="E1340" s="17" t="s">
        <v>4777</v>
      </c>
      <c r="F1340" s="17">
        <v>2</v>
      </c>
      <c r="G1340" s="17">
        <v>1</v>
      </c>
      <c r="H1340" s="17" t="s">
        <v>3518</v>
      </c>
      <c r="I1340" s="17"/>
      <c r="J1340" s="17"/>
      <c r="K1340" s="17"/>
      <c r="L1340" s="17"/>
      <c r="M1340" s="17"/>
      <c r="N1340" s="17"/>
      <c r="O1340" s="17"/>
      <c r="P1340" s="17"/>
      <c r="Q1340" s="17"/>
    </row>
    <row r="1341" spans="1:17">
      <c r="A1341" s="556" t="s">
        <v>3588</v>
      </c>
      <c r="B1341" s="557"/>
      <c r="C1341" s="558" t="s">
        <v>1906</v>
      </c>
      <c r="D1341" s="556" t="s">
        <v>1694</v>
      </c>
      <c r="E1341" s="17" t="s">
        <v>4778</v>
      </c>
      <c r="F1341" s="17">
        <v>2</v>
      </c>
      <c r="G1341" s="17">
        <v>2</v>
      </c>
      <c r="H1341" s="17" t="s">
        <v>3519</v>
      </c>
      <c r="I1341" s="17"/>
      <c r="J1341" s="17"/>
      <c r="K1341" s="17"/>
      <c r="L1341" s="17"/>
      <c r="M1341" s="17"/>
      <c r="N1341" s="17"/>
      <c r="O1341" s="17"/>
      <c r="P1341" s="17"/>
      <c r="Q1341" s="17"/>
    </row>
    <row r="1342" spans="1:17">
      <c r="A1342" s="556" t="s">
        <v>3588</v>
      </c>
      <c r="B1342" s="557"/>
      <c r="C1342" s="558" t="s">
        <v>1906</v>
      </c>
      <c r="D1342" s="556" t="s">
        <v>4426</v>
      </c>
      <c r="E1342" s="17" t="s">
        <v>4779</v>
      </c>
      <c r="F1342" s="17">
        <v>2</v>
      </c>
      <c r="G1342" s="17">
        <v>3</v>
      </c>
      <c r="H1342" s="17" t="s">
        <v>3520</v>
      </c>
      <c r="I1342" s="17">
        <v>0</v>
      </c>
      <c r="J1342" s="17"/>
      <c r="K1342" s="17"/>
      <c r="L1342" s="17"/>
      <c r="M1342" s="17"/>
      <c r="N1342" s="17"/>
      <c r="O1342" s="17"/>
      <c r="P1342" s="17"/>
      <c r="Q1342" s="17"/>
    </row>
    <row r="1343" spans="1:17">
      <c r="A1343" s="556" t="s">
        <v>3588</v>
      </c>
      <c r="B1343" s="557"/>
      <c r="C1343" s="558" t="s">
        <v>1907</v>
      </c>
      <c r="D1343" s="556" t="s">
        <v>1693</v>
      </c>
      <c r="E1343" s="17" t="s">
        <v>4780</v>
      </c>
      <c r="F1343" s="17">
        <v>3</v>
      </c>
      <c r="G1343" s="17">
        <v>1</v>
      </c>
      <c r="H1343" s="17" t="s">
        <v>2990</v>
      </c>
      <c r="I1343" s="17"/>
      <c r="J1343" s="17"/>
      <c r="K1343" s="17"/>
      <c r="L1343" s="17"/>
      <c r="M1343" s="17"/>
      <c r="N1343" s="17"/>
      <c r="O1343" s="17"/>
      <c r="P1343" s="17"/>
      <c r="Q1343" s="17"/>
    </row>
    <row r="1344" spans="1:17">
      <c r="A1344" s="556" t="s">
        <v>3588</v>
      </c>
      <c r="B1344" s="557"/>
      <c r="C1344" s="558" t="s">
        <v>1907</v>
      </c>
      <c r="D1344" s="556" t="s">
        <v>1694</v>
      </c>
      <c r="E1344" s="17" t="s">
        <v>4781</v>
      </c>
      <c r="F1344" s="17">
        <v>3</v>
      </c>
      <c r="G1344" s="17">
        <v>2</v>
      </c>
      <c r="H1344" s="17" t="s">
        <v>3338</v>
      </c>
      <c r="I1344" s="17"/>
      <c r="J1344" s="17"/>
      <c r="K1344" s="17"/>
      <c r="L1344" s="17"/>
      <c r="M1344" s="17"/>
      <c r="N1344" s="17"/>
      <c r="O1344" s="17"/>
      <c r="P1344" s="17"/>
      <c r="Q1344" s="17"/>
    </row>
    <row r="1345" spans="1:17">
      <c r="A1345" s="556" t="s">
        <v>3588</v>
      </c>
      <c r="B1345" s="557"/>
      <c r="C1345" s="558" t="s">
        <v>1907</v>
      </c>
      <c r="D1345" s="556" t="s">
        <v>4426</v>
      </c>
      <c r="E1345" s="17" t="s">
        <v>4782</v>
      </c>
      <c r="F1345" s="17">
        <v>3</v>
      </c>
      <c r="G1345" s="17">
        <v>3</v>
      </c>
      <c r="H1345" s="17" t="s">
        <v>2991</v>
      </c>
      <c r="I1345" s="17">
        <v>0</v>
      </c>
      <c r="J1345" s="17"/>
      <c r="K1345" s="17"/>
      <c r="L1345" s="17"/>
      <c r="M1345" s="17"/>
      <c r="N1345" s="17"/>
      <c r="O1345" s="17"/>
      <c r="P1345" s="17"/>
      <c r="Q1345" s="17"/>
    </row>
    <row r="1346" spans="1:17">
      <c r="A1346" s="556" t="s">
        <v>3588</v>
      </c>
      <c r="B1346" s="557"/>
      <c r="C1346" s="558" t="s">
        <v>1908</v>
      </c>
      <c r="D1346" s="556" t="s">
        <v>1693</v>
      </c>
      <c r="E1346" s="17" t="s">
        <v>4783</v>
      </c>
      <c r="F1346" s="17">
        <v>4</v>
      </c>
      <c r="G1346" s="17">
        <v>1</v>
      </c>
      <c r="H1346" s="17" t="s">
        <v>3339</v>
      </c>
      <c r="I1346" s="17"/>
      <c r="J1346" s="17"/>
      <c r="K1346" s="17"/>
      <c r="L1346" s="17"/>
      <c r="M1346" s="17"/>
      <c r="N1346" s="17"/>
      <c r="O1346" s="17"/>
      <c r="P1346" s="17"/>
      <c r="Q1346" s="17"/>
    </row>
    <row r="1347" spans="1:17">
      <c r="A1347" s="556" t="s">
        <v>3588</v>
      </c>
      <c r="B1347" s="557"/>
      <c r="C1347" s="558" t="s">
        <v>1908</v>
      </c>
      <c r="D1347" s="556" t="s">
        <v>1694</v>
      </c>
      <c r="E1347" s="17" t="s">
        <v>4784</v>
      </c>
      <c r="F1347" s="17">
        <v>4</v>
      </c>
      <c r="G1347" s="17">
        <v>2</v>
      </c>
      <c r="H1347" s="17" t="s">
        <v>3340</v>
      </c>
      <c r="I1347" s="17"/>
      <c r="J1347" s="17"/>
      <c r="K1347" s="17"/>
      <c r="L1347" s="17"/>
      <c r="M1347" s="17"/>
      <c r="N1347" s="17"/>
      <c r="O1347" s="17"/>
      <c r="P1347" s="17"/>
      <c r="Q1347" s="17"/>
    </row>
    <row r="1348" spans="1:17">
      <c r="A1348" s="556" t="s">
        <v>3588</v>
      </c>
      <c r="B1348" s="557"/>
      <c r="C1348" s="558" t="s">
        <v>1908</v>
      </c>
      <c r="D1348" s="556" t="s">
        <v>4426</v>
      </c>
      <c r="E1348" s="17" t="s">
        <v>4785</v>
      </c>
      <c r="F1348" s="17">
        <v>4</v>
      </c>
      <c r="G1348" s="17">
        <v>3</v>
      </c>
      <c r="H1348" s="17" t="s">
        <v>3341</v>
      </c>
      <c r="I1348" s="17">
        <v>0</v>
      </c>
      <c r="J1348" s="17"/>
      <c r="K1348" s="17"/>
      <c r="L1348" s="17"/>
      <c r="M1348" s="17"/>
      <c r="N1348" s="17"/>
      <c r="O1348" s="17"/>
      <c r="P1348" s="17"/>
      <c r="Q1348" s="17"/>
    </row>
    <row r="1349" spans="1:17">
      <c r="A1349" s="556" t="s">
        <v>3588</v>
      </c>
      <c r="B1349" s="557"/>
      <c r="C1349" s="558" t="s">
        <v>1909</v>
      </c>
      <c r="D1349" s="556" t="s">
        <v>1693</v>
      </c>
      <c r="E1349" s="17" t="s">
        <v>4786</v>
      </c>
      <c r="F1349" s="17">
        <v>5</v>
      </c>
      <c r="G1349" s="17">
        <v>1</v>
      </c>
      <c r="H1349" s="17" t="s">
        <v>3343</v>
      </c>
      <c r="I1349" s="17"/>
      <c r="J1349" s="17"/>
      <c r="K1349" s="17"/>
      <c r="L1349" s="17"/>
      <c r="M1349" s="17"/>
      <c r="N1349" s="17"/>
      <c r="O1349" s="17"/>
      <c r="P1349" s="17"/>
      <c r="Q1349" s="17"/>
    </row>
    <row r="1350" spans="1:17">
      <c r="A1350" s="556" t="s">
        <v>3588</v>
      </c>
      <c r="B1350" s="557"/>
      <c r="C1350" s="558" t="s">
        <v>1909</v>
      </c>
      <c r="D1350" s="556" t="s">
        <v>1694</v>
      </c>
      <c r="E1350" s="17" t="s">
        <v>4787</v>
      </c>
      <c r="F1350" s="17">
        <v>5</v>
      </c>
      <c r="G1350" s="17">
        <v>2</v>
      </c>
      <c r="H1350" s="17" t="s">
        <v>3344</v>
      </c>
      <c r="I1350" s="17"/>
      <c r="J1350" s="17"/>
      <c r="K1350" s="17"/>
      <c r="L1350" s="17"/>
      <c r="M1350" s="17"/>
      <c r="N1350" s="17"/>
      <c r="O1350" s="17"/>
      <c r="P1350" s="17"/>
      <c r="Q1350" s="17"/>
    </row>
    <row r="1351" spans="1:17">
      <c r="A1351" s="556" t="s">
        <v>3588</v>
      </c>
      <c r="B1351" s="557"/>
      <c r="C1351" s="558" t="s">
        <v>1909</v>
      </c>
      <c r="D1351" s="556" t="s">
        <v>4426</v>
      </c>
      <c r="E1351" s="17" t="s">
        <v>4788</v>
      </c>
      <c r="F1351" s="17">
        <v>5</v>
      </c>
      <c r="G1351" s="17">
        <v>3</v>
      </c>
      <c r="H1351" s="17" t="s">
        <v>3345</v>
      </c>
      <c r="I1351" s="17">
        <v>0</v>
      </c>
      <c r="J1351" s="17"/>
      <c r="K1351" s="17"/>
      <c r="L1351" s="17"/>
      <c r="M1351" s="17"/>
      <c r="N1351" s="17"/>
      <c r="O1351" s="17"/>
      <c r="P1351" s="17"/>
      <c r="Q1351" s="17"/>
    </row>
    <row r="1352" spans="1:17">
      <c r="A1352" s="556" t="s">
        <v>3588</v>
      </c>
      <c r="B1352" s="557"/>
      <c r="C1352" s="558" t="s">
        <v>1910</v>
      </c>
      <c r="D1352" s="556" t="s">
        <v>1693</v>
      </c>
      <c r="E1352" s="17" t="s">
        <v>4789</v>
      </c>
      <c r="F1352" s="17">
        <v>6</v>
      </c>
      <c r="G1352" s="17">
        <v>1</v>
      </c>
      <c r="H1352" s="17" t="s">
        <v>3347</v>
      </c>
      <c r="I1352" s="17">
        <v>0</v>
      </c>
      <c r="J1352" s="17"/>
      <c r="K1352" s="17"/>
      <c r="L1352" s="17"/>
      <c r="M1352" s="17"/>
      <c r="N1352" s="17"/>
      <c r="O1352" s="17"/>
      <c r="P1352" s="17"/>
      <c r="Q1352" s="17"/>
    </row>
    <row r="1353" spans="1:17">
      <c r="A1353" s="556" t="s">
        <v>3588</v>
      </c>
      <c r="B1353" s="557"/>
      <c r="C1353" s="558" t="s">
        <v>1910</v>
      </c>
      <c r="D1353" s="556" t="s">
        <v>1694</v>
      </c>
      <c r="E1353" s="17" t="s">
        <v>4790</v>
      </c>
      <c r="F1353" s="17">
        <v>6</v>
      </c>
      <c r="G1353" s="17">
        <v>2</v>
      </c>
      <c r="H1353" s="17" t="s">
        <v>3348</v>
      </c>
      <c r="I1353" s="17">
        <v>0</v>
      </c>
      <c r="J1353" s="17"/>
      <c r="K1353" s="17"/>
      <c r="L1353" s="17"/>
      <c r="M1353" s="17"/>
      <c r="N1353" s="17"/>
      <c r="O1353" s="17"/>
      <c r="P1353" s="17"/>
      <c r="Q1353" s="17"/>
    </row>
    <row r="1354" spans="1:17">
      <c r="A1354" s="556" t="s">
        <v>3588</v>
      </c>
      <c r="B1354" s="557"/>
      <c r="C1354" s="558" t="s">
        <v>1910</v>
      </c>
      <c r="D1354" s="556" t="s">
        <v>4426</v>
      </c>
      <c r="E1354" s="17" t="s">
        <v>4791</v>
      </c>
      <c r="F1354" s="17">
        <v>6</v>
      </c>
      <c r="G1354" s="17">
        <v>3</v>
      </c>
      <c r="H1354" s="17" t="s">
        <v>3349</v>
      </c>
      <c r="I1354" s="17">
        <v>0</v>
      </c>
      <c r="J1354" s="17"/>
      <c r="K1354" s="17"/>
      <c r="L1354" s="17"/>
      <c r="M1354" s="17"/>
      <c r="N1354" s="17"/>
      <c r="O1354" s="17"/>
      <c r="P1354" s="17"/>
      <c r="Q1354" s="17"/>
    </row>
    <row r="1355" spans="1:17">
      <c r="A1355" s="556" t="s">
        <v>3588</v>
      </c>
      <c r="B1355" s="557"/>
      <c r="C1355" s="558" t="s">
        <v>1911</v>
      </c>
      <c r="D1355" s="556" t="s">
        <v>1693</v>
      </c>
      <c r="E1355" s="17" t="s">
        <v>4792</v>
      </c>
      <c r="F1355" s="17">
        <v>7</v>
      </c>
      <c r="G1355" s="17">
        <v>1</v>
      </c>
      <c r="H1355" s="17" t="s">
        <v>3351</v>
      </c>
      <c r="I1355" s="17"/>
      <c r="J1355" s="17"/>
      <c r="K1355" s="17"/>
      <c r="L1355" s="17"/>
      <c r="M1355" s="17"/>
      <c r="N1355" s="17"/>
      <c r="O1355" s="17"/>
      <c r="P1355" s="17"/>
      <c r="Q1355" s="17"/>
    </row>
    <row r="1356" spans="1:17">
      <c r="A1356" s="556" t="s">
        <v>3588</v>
      </c>
      <c r="B1356" s="557"/>
      <c r="C1356" s="558" t="s">
        <v>1911</v>
      </c>
      <c r="D1356" s="556" t="s">
        <v>1694</v>
      </c>
      <c r="E1356" s="17" t="s">
        <v>4793</v>
      </c>
      <c r="F1356" s="17">
        <v>7</v>
      </c>
      <c r="G1356" s="17">
        <v>2</v>
      </c>
      <c r="H1356" s="17" t="s">
        <v>3352</v>
      </c>
      <c r="I1356" s="17"/>
      <c r="J1356" s="17"/>
      <c r="K1356" s="17"/>
      <c r="L1356" s="17"/>
      <c r="M1356" s="17"/>
      <c r="N1356" s="17"/>
      <c r="O1356" s="17"/>
      <c r="P1356" s="17"/>
      <c r="Q1356" s="17"/>
    </row>
    <row r="1357" spans="1:17">
      <c r="A1357" s="556" t="s">
        <v>3588</v>
      </c>
      <c r="B1357" s="557"/>
      <c r="C1357" s="558" t="s">
        <v>1911</v>
      </c>
      <c r="D1357" s="556" t="s">
        <v>4426</v>
      </c>
      <c r="E1357" s="17" t="s">
        <v>4794</v>
      </c>
      <c r="F1357" s="17">
        <v>7</v>
      </c>
      <c r="G1357" s="17">
        <v>3</v>
      </c>
      <c r="H1357" s="17" t="s">
        <v>3353</v>
      </c>
      <c r="I1357" s="17">
        <v>0</v>
      </c>
      <c r="J1357" s="17"/>
      <c r="K1357" s="17"/>
      <c r="L1357" s="17"/>
      <c r="M1357" s="17"/>
      <c r="N1357" s="17"/>
      <c r="O1357" s="17"/>
      <c r="P1357" s="17"/>
      <c r="Q1357" s="17"/>
    </row>
    <row r="1358" spans="1:17">
      <c r="A1358" s="556" t="s">
        <v>3588</v>
      </c>
      <c r="B1358" s="557"/>
      <c r="C1358" s="558" t="s">
        <v>1912</v>
      </c>
      <c r="D1358" s="556" t="s">
        <v>1693</v>
      </c>
      <c r="E1358" s="17" t="s">
        <v>4795</v>
      </c>
      <c r="F1358" s="17">
        <v>8</v>
      </c>
      <c r="G1358" s="17">
        <v>1</v>
      </c>
      <c r="H1358" s="17" t="s">
        <v>3355</v>
      </c>
      <c r="I1358" s="17"/>
      <c r="J1358" s="17"/>
      <c r="K1358" s="17"/>
      <c r="L1358" s="17"/>
      <c r="M1358" s="17"/>
      <c r="N1358" s="17"/>
      <c r="O1358" s="17"/>
      <c r="P1358" s="17"/>
      <c r="Q1358" s="17"/>
    </row>
    <row r="1359" spans="1:17">
      <c r="A1359" s="556" t="s">
        <v>3588</v>
      </c>
      <c r="B1359" s="557"/>
      <c r="C1359" s="558" t="s">
        <v>1912</v>
      </c>
      <c r="D1359" s="556" t="s">
        <v>1694</v>
      </c>
      <c r="E1359" s="17" t="s">
        <v>4796</v>
      </c>
      <c r="F1359" s="17">
        <v>8</v>
      </c>
      <c r="G1359" s="17">
        <v>2</v>
      </c>
      <c r="H1359" s="17" t="s">
        <v>3356</v>
      </c>
      <c r="I1359" s="17"/>
      <c r="J1359" s="17"/>
      <c r="K1359" s="17"/>
      <c r="L1359" s="17"/>
      <c r="M1359" s="17"/>
      <c r="N1359" s="17"/>
      <c r="O1359" s="17"/>
      <c r="P1359" s="17"/>
      <c r="Q1359" s="17"/>
    </row>
    <row r="1360" spans="1:17">
      <c r="A1360" s="556" t="s">
        <v>3588</v>
      </c>
      <c r="B1360" s="557"/>
      <c r="C1360" s="558" t="s">
        <v>1912</v>
      </c>
      <c r="D1360" s="556" t="s">
        <v>4426</v>
      </c>
      <c r="E1360" s="17" t="s">
        <v>4797</v>
      </c>
      <c r="F1360" s="17">
        <v>8</v>
      </c>
      <c r="G1360" s="17">
        <v>3</v>
      </c>
      <c r="H1360" s="17" t="s">
        <v>3357</v>
      </c>
      <c r="I1360" s="17">
        <v>0</v>
      </c>
      <c r="J1360" s="17"/>
      <c r="K1360" s="17"/>
      <c r="L1360" s="17"/>
      <c r="M1360" s="17"/>
      <c r="N1360" s="17"/>
      <c r="O1360" s="17"/>
      <c r="P1360" s="17"/>
      <c r="Q1360" s="17"/>
    </row>
    <row r="1361" spans="1:17">
      <c r="A1361" s="556" t="s">
        <v>3588</v>
      </c>
      <c r="B1361" s="557"/>
      <c r="C1361" s="558" t="s">
        <v>1913</v>
      </c>
      <c r="D1361" s="556" t="s">
        <v>1693</v>
      </c>
      <c r="E1361" s="17" t="s">
        <v>4798</v>
      </c>
      <c r="F1361" s="17">
        <v>9</v>
      </c>
      <c r="G1361" s="17">
        <v>1</v>
      </c>
      <c r="H1361" s="17" t="s">
        <v>3359</v>
      </c>
      <c r="I1361" s="17"/>
      <c r="J1361" s="17"/>
      <c r="K1361" s="17"/>
      <c r="L1361" s="17"/>
      <c r="M1361" s="17"/>
      <c r="N1361" s="17"/>
      <c r="O1361" s="17"/>
      <c r="P1361" s="17"/>
      <c r="Q1361" s="17"/>
    </row>
    <row r="1362" spans="1:17">
      <c r="A1362" s="556" t="s">
        <v>3588</v>
      </c>
      <c r="B1362" s="557"/>
      <c r="C1362" s="558" t="s">
        <v>1913</v>
      </c>
      <c r="D1362" s="556" t="s">
        <v>1694</v>
      </c>
      <c r="E1362" s="17" t="s">
        <v>4799</v>
      </c>
      <c r="F1362" s="17">
        <v>9</v>
      </c>
      <c r="G1362" s="17">
        <v>2</v>
      </c>
      <c r="H1362" s="17" t="s">
        <v>3360</v>
      </c>
      <c r="I1362" s="17"/>
      <c r="J1362" s="17"/>
      <c r="K1362" s="17"/>
      <c r="L1362" s="17"/>
      <c r="M1362" s="17"/>
      <c r="N1362" s="17"/>
      <c r="O1362" s="17"/>
      <c r="P1362" s="17"/>
      <c r="Q1362" s="17"/>
    </row>
    <row r="1363" spans="1:17">
      <c r="A1363" s="556" t="s">
        <v>3588</v>
      </c>
      <c r="B1363" s="557"/>
      <c r="C1363" s="558" t="s">
        <v>1913</v>
      </c>
      <c r="D1363" s="556" t="s">
        <v>4426</v>
      </c>
      <c r="E1363" s="17" t="s">
        <v>4800</v>
      </c>
      <c r="F1363" s="17">
        <v>9</v>
      </c>
      <c r="G1363" s="17">
        <v>3</v>
      </c>
      <c r="H1363" s="17" t="s">
        <v>3327</v>
      </c>
      <c r="I1363" s="17">
        <v>0</v>
      </c>
      <c r="J1363" s="17"/>
      <c r="K1363" s="17"/>
      <c r="L1363" s="17"/>
      <c r="M1363" s="17"/>
      <c r="N1363" s="17"/>
      <c r="O1363" s="17"/>
      <c r="P1363" s="17"/>
      <c r="Q1363" s="17"/>
    </row>
    <row r="1364" spans="1:17">
      <c r="A1364" s="556" t="s">
        <v>3588</v>
      </c>
      <c r="B1364" s="557"/>
      <c r="C1364" s="558" t="s">
        <v>8740</v>
      </c>
      <c r="D1364" s="556" t="s">
        <v>1693</v>
      </c>
      <c r="E1364" s="17" t="s">
        <v>4801</v>
      </c>
      <c r="F1364" s="17">
        <v>10</v>
      </c>
      <c r="G1364" s="17">
        <v>1</v>
      </c>
      <c r="H1364" s="17" t="s">
        <v>3362</v>
      </c>
      <c r="I1364" s="17"/>
      <c r="J1364" s="17"/>
      <c r="K1364" s="17"/>
      <c r="L1364" s="17"/>
      <c r="M1364" s="17"/>
      <c r="N1364" s="17"/>
      <c r="O1364" s="17"/>
      <c r="P1364" s="17"/>
      <c r="Q1364" s="17"/>
    </row>
    <row r="1365" spans="1:17">
      <c r="A1365" s="556" t="s">
        <v>3588</v>
      </c>
      <c r="B1365" s="557"/>
      <c r="C1365" s="558" t="s">
        <v>8740</v>
      </c>
      <c r="D1365" s="556" t="s">
        <v>1694</v>
      </c>
      <c r="E1365" s="17" t="s">
        <v>4802</v>
      </c>
      <c r="F1365" s="17">
        <v>10</v>
      </c>
      <c r="G1365" s="17">
        <v>2</v>
      </c>
      <c r="H1365" s="17" t="s">
        <v>3363</v>
      </c>
      <c r="I1365" s="17"/>
      <c r="J1365" s="17"/>
      <c r="K1365" s="17"/>
      <c r="L1365" s="17"/>
      <c r="M1365" s="17"/>
      <c r="N1365" s="17"/>
      <c r="O1365" s="17"/>
      <c r="P1365" s="17"/>
      <c r="Q1365" s="17"/>
    </row>
    <row r="1366" spans="1:17">
      <c r="A1366" s="556" t="s">
        <v>3588</v>
      </c>
      <c r="B1366" s="557"/>
      <c r="C1366" s="558" t="s">
        <v>8740</v>
      </c>
      <c r="D1366" s="556" t="s">
        <v>4426</v>
      </c>
      <c r="E1366" s="17" t="s">
        <v>4803</v>
      </c>
      <c r="F1366" s="17">
        <v>10</v>
      </c>
      <c r="G1366" s="17">
        <v>3</v>
      </c>
      <c r="H1366" s="17" t="s">
        <v>3364</v>
      </c>
      <c r="I1366" s="17">
        <v>0</v>
      </c>
      <c r="J1366" s="17"/>
      <c r="K1366" s="17"/>
      <c r="L1366" s="17"/>
      <c r="M1366" s="17"/>
      <c r="N1366" s="17"/>
      <c r="O1366" s="17"/>
      <c r="P1366" s="17"/>
      <c r="Q1366" s="17"/>
    </row>
    <row r="1367" spans="1:17">
      <c r="A1367" s="556" t="s">
        <v>3588</v>
      </c>
      <c r="B1367" s="557"/>
      <c r="C1367" s="558" t="s">
        <v>1915</v>
      </c>
      <c r="D1367" s="556" t="s">
        <v>1693</v>
      </c>
      <c r="E1367" s="17" t="s">
        <v>4804</v>
      </c>
      <c r="F1367" s="17">
        <v>11</v>
      </c>
      <c r="G1367" s="17">
        <v>1</v>
      </c>
      <c r="H1367" s="17" t="s">
        <v>3366</v>
      </c>
      <c r="I1367" s="17"/>
      <c r="J1367" s="17"/>
      <c r="K1367" s="17"/>
      <c r="L1367" s="17"/>
      <c r="M1367" s="17"/>
      <c r="N1367" s="17"/>
      <c r="O1367" s="17"/>
      <c r="P1367" s="17"/>
      <c r="Q1367" s="17"/>
    </row>
    <row r="1368" spans="1:17">
      <c r="A1368" s="556" t="s">
        <v>3588</v>
      </c>
      <c r="B1368" s="557"/>
      <c r="C1368" s="558" t="s">
        <v>1915</v>
      </c>
      <c r="D1368" s="556" t="s">
        <v>1694</v>
      </c>
      <c r="E1368" s="17" t="s">
        <v>4805</v>
      </c>
      <c r="F1368" s="17">
        <v>11</v>
      </c>
      <c r="G1368" s="17">
        <v>2</v>
      </c>
      <c r="H1368" s="17" t="s">
        <v>3367</v>
      </c>
      <c r="I1368" s="17"/>
      <c r="J1368" s="17"/>
      <c r="K1368" s="17"/>
      <c r="L1368" s="17"/>
      <c r="M1368" s="17"/>
      <c r="N1368" s="17"/>
      <c r="O1368" s="17"/>
      <c r="P1368" s="17"/>
      <c r="Q1368" s="17"/>
    </row>
    <row r="1369" spans="1:17">
      <c r="A1369" s="556" t="s">
        <v>3588</v>
      </c>
      <c r="B1369" s="557"/>
      <c r="C1369" s="558" t="s">
        <v>1915</v>
      </c>
      <c r="D1369" s="556" t="s">
        <v>4426</v>
      </c>
      <c r="E1369" s="17" t="s">
        <v>4806</v>
      </c>
      <c r="F1369" s="17">
        <v>11</v>
      </c>
      <c r="G1369" s="17">
        <v>3</v>
      </c>
      <c r="H1369" s="17" t="s">
        <v>3368</v>
      </c>
      <c r="I1369" s="17">
        <v>0</v>
      </c>
      <c r="J1369" s="17"/>
      <c r="K1369" s="17"/>
      <c r="L1369" s="17"/>
      <c r="M1369" s="17"/>
      <c r="N1369" s="17"/>
      <c r="O1369" s="17"/>
      <c r="P1369" s="17"/>
      <c r="Q1369" s="17"/>
    </row>
    <row r="1370" spans="1:17">
      <c r="A1370" s="556" t="s">
        <v>3588</v>
      </c>
      <c r="B1370" s="557"/>
      <c r="C1370" s="558" t="s">
        <v>1916</v>
      </c>
      <c r="D1370" s="556" t="s">
        <v>1693</v>
      </c>
      <c r="E1370" s="17" t="s">
        <v>4807</v>
      </c>
      <c r="F1370" s="17">
        <v>12</v>
      </c>
      <c r="G1370" s="17">
        <v>1</v>
      </c>
      <c r="H1370" s="17" t="s">
        <v>3370</v>
      </c>
      <c r="I1370" s="17">
        <v>0</v>
      </c>
      <c r="J1370" s="17"/>
      <c r="K1370" s="17"/>
      <c r="L1370" s="17"/>
      <c r="M1370" s="17"/>
      <c r="N1370" s="17"/>
      <c r="O1370" s="17"/>
      <c r="P1370" s="17"/>
      <c r="Q1370" s="17"/>
    </row>
    <row r="1371" spans="1:17">
      <c r="A1371" s="556" t="s">
        <v>3588</v>
      </c>
      <c r="B1371" s="557"/>
      <c r="C1371" s="558" t="s">
        <v>1916</v>
      </c>
      <c r="D1371" s="556" t="s">
        <v>1694</v>
      </c>
      <c r="E1371" s="17" t="s">
        <v>4808</v>
      </c>
      <c r="F1371" s="17">
        <v>12</v>
      </c>
      <c r="G1371" s="17">
        <v>2</v>
      </c>
      <c r="H1371" s="17" t="s">
        <v>3371</v>
      </c>
      <c r="I1371" s="17">
        <v>0</v>
      </c>
      <c r="J1371" s="17"/>
      <c r="K1371" s="17"/>
      <c r="L1371" s="17"/>
      <c r="M1371" s="17"/>
      <c r="N1371" s="17"/>
      <c r="O1371" s="17"/>
      <c r="P1371" s="17"/>
      <c r="Q1371" s="17"/>
    </row>
    <row r="1372" spans="1:17">
      <c r="A1372" s="556" t="s">
        <v>3588</v>
      </c>
      <c r="B1372" s="557"/>
      <c r="C1372" s="558" t="s">
        <v>1916</v>
      </c>
      <c r="D1372" s="556" t="s">
        <v>4426</v>
      </c>
      <c r="E1372" s="17" t="s">
        <v>4809</v>
      </c>
      <c r="F1372" s="17">
        <v>12</v>
      </c>
      <c r="G1372" s="17">
        <v>3</v>
      </c>
      <c r="H1372" s="17" t="s">
        <v>3372</v>
      </c>
      <c r="I1372" s="17">
        <v>0</v>
      </c>
      <c r="J1372" s="17"/>
      <c r="K1372" s="17"/>
      <c r="L1372" s="17"/>
      <c r="M1372" s="17"/>
      <c r="N1372" s="17"/>
      <c r="O1372" s="17"/>
      <c r="P1372" s="17"/>
      <c r="Q1372" s="17"/>
    </row>
    <row r="1373" spans="1:17">
      <c r="A1373" s="556" t="s">
        <v>3588</v>
      </c>
      <c r="B1373" s="557"/>
      <c r="C1373" s="558" t="s">
        <v>1146</v>
      </c>
      <c r="D1373" s="556" t="s">
        <v>1693</v>
      </c>
      <c r="E1373" s="17" t="s">
        <v>4810</v>
      </c>
      <c r="F1373" s="17">
        <v>13</v>
      </c>
      <c r="G1373" s="17">
        <v>1</v>
      </c>
      <c r="H1373" s="17" t="s">
        <v>3374</v>
      </c>
      <c r="I1373" s="17"/>
      <c r="J1373" s="17"/>
      <c r="K1373" s="17"/>
      <c r="L1373" s="17"/>
      <c r="M1373" s="17"/>
      <c r="N1373" s="17"/>
      <c r="O1373" s="17"/>
      <c r="P1373" s="17"/>
      <c r="Q1373" s="17"/>
    </row>
    <row r="1374" spans="1:17">
      <c r="A1374" s="556" t="s">
        <v>3588</v>
      </c>
      <c r="B1374" s="557"/>
      <c r="C1374" s="558" t="s">
        <v>1146</v>
      </c>
      <c r="D1374" s="556" t="s">
        <v>1694</v>
      </c>
      <c r="E1374" s="17" t="s">
        <v>4811</v>
      </c>
      <c r="F1374" s="17">
        <v>13</v>
      </c>
      <c r="G1374" s="17">
        <v>2</v>
      </c>
      <c r="H1374" s="17" t="s">
        <v>3375</v>
      </c>
      <c r="I1374" s="17"/>
      <c r="J1374" s="17"/>
      <c r="K1374" s="17"/>
      <c r="L1374" s="17"/>
      <c r="M1374" s="17"/>
      <c r="N1374" s="17"/>
      <c r="O1374" s="17"/>
      <c r="P1374" s="17"/>
      <c r="Q1374" s="17"/>
    </row>
    <row r="1375" spans="1:17">
      <c r="A1375" s="556" t="s">
        <v>3588</v>
      </c>
      <c r="B1375" s="557"/>
      <c r="C1375" s="558" t="s">
        <v>1146</v>
      </c>
      <c r="D1375" s="556" t="s">
        <v>4426</v>
      </c>
      <c r="E1375" s="17" t="s">
        <v>4812</v>
      </c>
      <c r="F1375" s="17">
        <v>13</v>
      </c>
      <c r="G1375" s="17">
        <v>3</v>
      </c>
      <c r="H1375" s="17" t="s">
        <v>3376</v>
      </c>
      <c r="I1375" s="17">
        <v>0</v>
      </c>
      <c r="J1375" s="17"/>
      <c r="K1375" s="17"/>
      <c r="L1375" s="17"/>
      <c r="M1375" s="17"/>
      <c r="N1375" s="17"/>
      <c r="O1375" s="17"/>
      <c r="P1375" s="17"/>
      <c r="Q1375" s="17"/>
    </row>
    <row r="1376" spans="1:17">
      <c r="A1376" s="556" t="s">
        <v>3588</v>
      </c>
      <c r="B1376" s="557"/>
      <c r="C1376" s="558" t="s">
        <v>1917</v>
      </c>
      <c r="D1376" s="556" t="s">
        <v>1693</v>
      </c>
      <c r="E1376" s="17" t="s">
        <v>4813</v>
      </c>
      <c r="F1376" s="17">
        <v>14</v>
      </c>
      <c r="G1376" s="17">
        <v>1</v>
      </c>
      <c r="H1376" s="17" t="s">
        <v>3378</v>
      </c>
      <c r="I1376" s="17"/>
      <c r="J1376" s="17"/>
      <c r="K1376" s="17"/>
      <c r="L1376" s="17"/>
      <c r="M1376" s="17"/>
      <c r="N1376" s="17"/>
      <c r="O1376" s="17"/>
      <c r="P1376" s="17"/>
      <c r="Q1376" s="17"/>
    </row>
    <row r="1377" spans="1:17">
      <c r="A1377" s="556" t="s">
        <v>3588</v>
      </c>
      <c r="B1377" s="557"/>
      <c r="C1377" s="558" t="s">
        <v>1917</v>
      </c>
      <c r="D1377" s="556" t="s">
        <v>1694</v>
      </c>
      <c r="E1377" s="17" t="s">
        <v>4814</v>
      </c>
      <c r="F1377" s="17">
        <v>14</v>
      </c>
      <c r="G1377" s="17">
        <v>2</v>
      </c>
      <c r="H1377" s="17" t="s">
        <v>3379</v>
      </c>
      <c r="I1377" s="17"/>
      <c r="J1377" s="17"/>
      <c r="K1377" s="17"/>
      <c r="L1377" s="17"/>
      <c r="M1377" s="17"/>
      <c r="N1377" s="17"/>
      <c r="O1377" s="17"/>
      <c r="P1377" s="17"/>
      <c r="Q1377" s="17"/>
    </row>
    <row r="1378" spans="1:17">
      <c r="A1378" s="556" t="s">
        <v>3588</v>
      </c>
      <c r="B1378" s="557"/>
      <c r="C1378" s="558" t="s">
        <v>1917</v>
      </c>
      <c r="D1378" s="556" t="s">
        <v>4426</v>
      </c>
      <c r="E1378" s="17" t="s">
        <v>4815</v>
      </c>
      <c r="F1378" s="17">
        <v>14</v>
      </c>
      <c r="G1378" s="17">
        <v>3</v>
      </c>
      <c r="H1378" s="17" t="s">
        <v>3380</v>
      </c>
      <c r="I1378" s="17">
        <v>0</v>
      </c>
      <c r="J1378" s="17"/>
      <c r="K1378" s="17"/>
      <c r="L1378" s="17"/>
      <c r="M1378" s="17"/>
      <c r="N1378" s="17"/>
      <c r="O1378" s="17"/>
      <c r="P1378" s="17"/>
      <c r="Q1378" s="17"/>
    </row>
    <row r="1379" spans="1:17">
      <c r="A1379" s="556" t="s">
        <v>3590</v>
      </c>
      <c r="B1379" s="557"/>
      <c r="C1379" s="558" t="s">
        <v>1927</v>
      </c>
      <c r="D1379" s="556" t="s">
        <v>1693</v>
      </c>
      <c r="E1379" s="17" t="s">
        <v>4816</v>
      </c>
      <c r="F1379" s="17">
        <v>1</v>
      </c>
      <c r="G1379" s="17">
        <v>1</v>
      </c>
      <c r="H1379" s="17" t="s">
        <v>3696</v>
      </c>
      <c r="I1379" s="17"/>
      <c r="J1379" s="17"/>
      <c r="K1379" s="17"/>
      <c r="L1379" s="17"/>
      <c r="M1379" s="17"/>
      <c r="N1379" s="17"/>
      <c r="O1379" s="17"/>
      <c r="P1379" s="17"/>
      <c r="Q1379" s="17"/>
    </row>
    <row r="1380" spans="1:17">
      <c r="A1380" s="556" t="s">
        <v>3590</v>
      </c>
      <c r="B1380" s="557"/>
      <c r="C1380" s="558" t="s">
        <v>1927</v>
      </c>
      <c r="D1380" s="556" t="s">
        <v>1694</v>
      </c>
      <c r="E1380" s="17" t="s">
        <v>4817</v>
      </c>
      <c r="F1380" s="17">
        <v>1</v>
      </c>
      <c r="G1380" s="17">
        <v>2</v>
      </c>
      <c r="H1380" s="17" t="s">
        <v>3692</v>
      </c>
      <c r="I1380" s="17"/>
      <c r="J1380" s="17"/>
      <c r="K1380" s="17"/>
      <c r="L1380" s="17"/>
      <c r="M1380" s="17"/>
      <c r="N1380" s="17"/>
      <c r="O1380" s="17"/>
      <c r="P1380" s="17"/>
      <c r="Q1380" s="17"/>
    </row>
    <row r="1381" spans="1:17">
      <c r="A1381" s="556" t="s">
        <v>3590</v>
      </c>
      <c r="B1381" s="557"/>
      <c r="C1381" s="558" t="s">
        <v>1927</v>
      </c>
      <c r="D1381" s="556" t="s">
        <v>4426</v>
      </c>
      <c r="E1381" s="17" t="s">
        <v>4818</v>
      </c>
      <c r="F1381" s="17">
        <v>1</v>
      </c>
      <c r="G1381" s="17">
        <v>3</v>
      </c>
      <c r="H1381" s="17" t="s">
        <v>3701</v>
      </c>
      <c r="I1381" s="17">
        <v>0</v>
      </c>
      <c r="J1381" s="17"/>
      <c r="K1381" s="17"/>
      <c r="L1381" s="17"/>
      <c r="M1381" s="17"/>
      <c r="N1381" s="17"/>
      <c r="O1381" s="17"/>
      <c r="P1381" s="17"/>
      <c r="Q1381" s="17"/>
    </row>
    <row r="1382" spans="1:17">
      <c r="A1382" s="556" t="s">
        <v>3590</v>
      </c>
      <c r="B1382" s="557"/>
      <c r="C1382" s="558" t="s">
        <v>1927</v>
      </c>
      <c r="D1382" s="556" t="s">
        <v>4324</v>
      </c>
      <c r="E1382" s="17" t="s">
        <v>4819</v>
      </c>
      <c r="F1382" s="17">
        <v>1</v>
      </c>
      <c r="G1382" s="17">
        <v>4</v>
      </c>
      <c r="H1382" s="17" t="s">
        <v>3714</v>
      </c>
      <c r="I1382" s="17"/>
      <c r="J1382" s="17"/>
      <c r="K1382" s="17"/>
      <c r="L1382" s="17"/>
      <c r="M1382" s="17"/>
      <c r="N1382" s="17"/>
      <c r="O1382" s="17"/>
      <c r="P1382" s="17"/>
      <c r="Q1382" s="17"/>
    </row>
    <row r="1383" spans="1:17">
      <c r="A1383" s="556" t="s">
        <v>3590</v>
      </c>
      <c r="B1383" s="557"/>
      <c r="C1383" s="558" t="s">
        <v>1927</v>
      </c>
      <c r="D1383" s="556" t="s">
        <v>4820</v>
      </c>
      <c r="E1383" s="17" t="s">
        <v>4821</v>
      </c>
      <c r="F1383" s="17">
        <v>1</v>
      </c>
      <c r="G1383" s="17">
        <v>5</v>
      </c>
      <c r="H1383" s="17" t="s">
        <v>3720</v>
      </c>
      <c r="I1383" s="17"/>
      <c r="J1383" s="17"/>
      <c r="K1383" s="17"/>
      <c r="L1383" s="17"/>
      <c r="M1383" s="17"/>
      <c r="N1383" s="17"/>
      <c r="O1383" s="17"/>
      <c r="P1383" s="17"/>
      <c r="Q1383" s="17"/>
    </row>
    <row r="1384" spans="1:17">
      <c r="A1384" s="556" t="s">
        <v>3590</v>
      </c>
      <c r="B1384" s="557"/>
      <c r="C1384" s="558" t="s">
        <v>1927</v>
      </c>
      <c r="D1384" s="556" t="s">
        <v>4822</v>
      </c>
      <c r="E1384" s="17" t="s">
        <v>4823</v>
      </c>
      <c r="F1384" s="17">
        <v>1</v>
      </c>
      <c r="G1384" s="17">
        <v>6</v>
      </c>
      <c r="H1384" s="17" t="s">
        <v>3721</v>
      </c>
      <c r="I1384" s="17"/>
      <c r="J1384" s="17"/>
      <c r="K1384" s="17"/>
      <c r="L1384" s="17"/>
      <c r="M1384" s="17"/>
      <c r="N1384" s="17"/>
      <c r="O1384" s="17"/>
      <c r="P1384" s="17"/>
      <c r="Q1384" s="17"/>
    </row>
    <row r="1385" spans="1:17">
      <c r="A1385" s="556" t="s">
        <v>3590</v>
      </c>
      <c r="B1385" s="557"/>
      <c r="C1385" s="558" t="s">
        <v>1928</v>
      </c>
      <c r="D1385" s="556" t="s">
        <v>1693</v>
      </c>
      <c r="E1385" s="17" t="s">
        <v>4824</v>
      </c>
      <c r="F1385" s="17">
        <v>2</v>
      </c>
      <c r="G1385" s="17">
        <v>1</v>
      </c>
      <c r="H1385" s="17" t="s">
        <v>3517</v>
      </c>
      <c r="I1385" s="17"/>
      <c r="J1385" s="17"/>
      <c r="K1385" s="17"/>
      <c r="L1385" s="17"/>
      <c r="M1385" s="17"/>
      <c r="N1385" s="17"/>
      <c r="O1385" s="17"/>
      <c r="P1385" s="17"/>
      <c r="Q1385" s="17"/>
    </row>
    <row r="1386" spans="1:17">
      <c r="A1386" s="556" t="s">
        <v>3590</v>
      </c>
      <c r="B1386" s="557"/>
      <c r="C1386" s="558" t="s">
        <v>1928</v>
      </c>
      <c r="D1386" s="556" t="s">
        <v>1694</v>
      </c>
      <c r="E1386" s="17" t="s">
        <v>4825</v>
      </c>
      <c r="F1386" s="17">
        <v>2</v>
      </c>
      <c r="G1386" s="17">
        <v>2</v>
      </c>
      <c r="H1386" s="17" t="s">
        <v>3518</v>
      </c>
      <c r="I1386" s="17"/>
      <c r="J1386" s="17"/>
      <c r="K1386" s="17"/>
      <c r="L1386" s="17"/>
      <c r="M1386" s="17"/>
      <c r="N1386" s="17"/>
      <c r="O1386" s="17"/>
      <c r="P1386" s="17"/>
      <c r="Q1386" s="17"/>
    </row>
    <row r="1387" spans="1:17">
      <c r="A1387" s="556" t="s">
        <v>3590</v>
      </c>
      <c r="B1387" s="557"/>
      <c r="C1387" s="558" t="s">
        <v>1928</v>
      </c>
      <c r="D1387" s="556" t="s">
        <v>4426</v>
      </c>
      <c r="E1387" s="17" t="s">
        <v>4826</v>
      </c>
      <c r="F1387" s="17">
        <v>2</v>
      </c>
      <c r="G1387" s="17">
        <v>3</v>
      </c>
      <c r="H1387" s="17" t="s">
        <v>3519</v>
      </c>
      <c r="I1387" s="17">
        <v>0</v>
      </c>
      <c r="J1387" s="17"/>
      <c r="K1387" s="17"/>
      <c r="L1387" s="17"/>
      <c r="M1387" s="17"/>
      <c r="N1387" s="17"/>
      <c r="O1387" s="17"/>
      <c r="P1387" s="17"/>
      <c r="Q1387" s="17"/>
    </row>
    <row r="1388" spans="1:17">
      <c r="A1388" s="556" t="s">
        <v>3590</v>
      </c>
      <c r="B1388" s="557"/>
      <c r="C1388" s="558" t="s">
        <v>1928</v>
      </c>
      <c r="D1388" s="556" t="s">
        <v>4324</v>
      </c>
      <c r="E1388" s="17" t="s">
        <v>4827</v>
      </c>
      <c r="F1388" s="17">
        <v>2</v>
      </c>
      <c r="G1388" s="17">
        <v>4</v>
      </c>
      <c r="H1388" s="17" t="s">
        <v>3520</v>
      </c>
      <c r="I1388" s="17"/>
      <c r="J1388" s="17"/>
      <c r="K1388" s="17"/>
      <c r="L1388" s="17"/>
      <c r="M1388" s="17"/>
      <c r="N1388" s="17"/>
      <c r="O1388" s="17"/>
      <c r="P1388" s="17"/>
      <c r="Q1388" s="17"/>
    </row>
    <row r="1389" spans="1:17">
      <c r="A1389" s="556" t="s">
        <v>3590</v>
      </c>
      <c r="B1389" s="557"/>
      <c r="C1389" s="558" t="s">
        <v>1928</v>
      </c>
      <c r="D1389" s="556" t="s">
        <v>4820</v>
      </c>
      <c r="E1389" s="17" t="s">
        <v>4828</v>
      </c>
      <c r="F1389" s="17">
        <v>2</v>
      </c>
      <c r="G1389" s="17">
        <v>5</v>
      </c>
      <c r="H1389" s="17" t="s">
        <v>3521</v>
      </c>
      <c r="I1389" s="17"/>
      <c r="J1389" s="17"/>
      <c r="K1389" s="17"/>
      <c r="L1389" s="17"/>
      <c r="M1389" s="17"/>
      <c r="N1389" s="17"/>
      <c r="O1389" s="17"/>
      <c r="P1389" s="17"/>
      <c r="Q1389" s="17"/>
    </row>
    <row r="1390" spans="1:17">
      <c r="A1390" s="556" t="s">
        <v>3590</v>
      </c>
      <c r="B1390" s="557"/>
      <c r="C1390" s="558" t="s">
        <v>1928</v>
      </c>
      <c r="D1390" s="556" t="s">
        <v>4822</v>
      </c>
      <c r="E1390" s="17" t="s">
        <v>4829</v>
      </c>
      <c r="F1390" s="17">
        <v>2</v>
      </c>
      <c r="G1390" s="17">
        <v>6</v>
      </c>
      <c r="H1390" s="17" t="s">
        <v>3505</v>
      </c>
      <c r="I1390" s="17"/>
      <c r="J1390" s="17"/>
      <c r="K1390" s="17"/>
      <c r="L1390" s="17"/>
      <c r="M1390" s="17"/>
      <c r="N1390" s="17"/>
      <c r="O1390" s="17"/>
      <c r="P1390" s="17"/>
      <c r="Q1390" s="17"/>
    </row>
    <row r="1391" spans="1:17">
      <c r="A1391" s="556" t="s">
        <v>3590</v>
      </c>
      <c r="B1391" s="557"/>
      <c r="C1391" s="558" t="s">
        <v>1929</v>
      </c>
      <c r="D1391" s="556" t="s">
        <v>1693</v>
      </c>
      <c r="E1391" s="17" t="s">
        <v>4830</v>
      </c>
      <c r="F1391" s="17">
        <v>3</v>
      </c>
      <c r="G1391" s="17">
        <v>1</v>
      </c>
      <c r="H1391" s="17" t="s">
        <v>3326</v>
      </c>
      <c r="I1391" s="17"/>
      <c r="J1391" s="17"/>
      <c r="K1391" s="17"/>
      <c r="L1391" s="17"/>
      <c r="M1391" s="17"/>
      <c r="N1391" s="17"/>
      <c r="O1391" s="17"/>
      <c r="P1391" s="17"/>
      <c r="Q1391" s="17"/>
    </row>
    <row r="1392" spans="1:17">
      <c r="A1392" s="556" t="s">
        <v>3590</v>
      </c>
      <c r="B1392" s="557"/>
      <c r="C1392" s="558" t="s">
        <v>1929</v>
      </c>
      <c r="D1392" s="556" t="s">
        <v>1694</v>
      </c>
      <c r="E1392" s="17" t="s">
        <v>4831</v>
      </c>
      <c r="F1392" s="17">
        <v>3</v>
      </c>
      <c r="G1392" s="17">
        <v>2</v>
      </c>
      <c r="H1392" s="17" t="s">
        <v>2990</v>
      </c>
      <c r="I1392" s="17"/>
      <c r="J1392" s="17"/>
      <c r="K1392" s="17"/>
      <c r="L1392" s="17"/>
      <c r="M1392" s="17"/>
      <c r="N1392" s="17"/>
      <c r="O1392" s="17"/>
      <c r="P1392" s="17"/>
      <c r="Q1392" s="17"/>
    </row>
    <row r="1393" spans="1:17">
      <c r="A1393" s="556" t="s">
        <v>3590</v>
      </c>
      <c r="B1393" s="557"/>
      <c r="C1393" s="558" t="s">
        <v>1929</v>
      </c>
      <c r="D1393" s="556" t="s">
        <v>4426</v>
      </c>
      <c r="E1393" s="17" t="s">
        <v>4832</v>
      </c>
      <c r="F1393" s="17">
        <v>3</v>
      </c>
      <c r="G1393" s="17">
        <v>3</v>
      </c>
      <c r="H1393" s="17" t="s">
        <v>3338</v>
      </c>
      <c r="I1393" s="17">
        <v>0</v>
      </c>
      <c r="J1393" s="17"/>
      <c r="K1393" s="17"/>
      <c r="L1393" s="17"/>
      <c r="M1393" s="17"/>
      <c r="N1393" s="17"/>
      <c r="O1393" s="17"/>
      <c r="P1393" s="17"/>
      <c r="Q1393" s="17"/>
    </row>
    <row r="1394" spans="1:17">
      <c r="A1394" s="556" t="s">
        <v>3590</v>
      </c>
      <c r="B1394" s="557"/>
      <c r="C1394" s="558" t="s">
        <v>1929</v>
      </c>
      <c r="D1394" s="556" t="s">
        <v>4324</v>
      </c>
      <c r="E1394" s="17" t="s">
        <v>4833</v>
      </c>
      <c r="F1394" s="17">
        <v>3</v>
      </c>
      <c r="G1394" s="17">
        <v>4</v>
      </c>
      <c r="H1394" s="17" t="s">
        <v>2991</v>
      </c>
      <c r="I1394" s="17"/>
      <c r="J1394" s="17"/>
      <c r="K1394" s="17"/>
      <c r="L1394" s="17"/>
      <c r="M1394" s="17"/>
      <c r="N1394" s="17"/>
      <c r="O1394" s="17"/>
      <c r="P1394" s="17"/>
      <c r="Q1394" s="17"/>
    </row>
    <row r="1395" spans="1:17">
      <c r="A1395" s="556" t="s">
        <v>3590</v>
      </c>
      <c r="B1395" s="557"/>
      <c r="C1395" s="558" t="s">
        <v>1929</v>
      </c>
      <c r="D1395" s="556" t="s">
        <v>4820</v>
      </c>
      <c r="E1395" s="17" t="s">
        <v>4834</v>
      </c>
      <c r="F1395" s="17">
        <v>3</v>
      </c>
      <c r="G1395" s="17">
        <v>5</v>
      </c>
      <c r="H1395" s="17" t="s">
        <v>2992</v>
      </c>
      <c r="I1395" s="17"/>
      <c r="J1395" s="17"/>
      <c r="K1395" s="17"/>
      <c r="L1395" s="17"/>
      <c r="M1395" s="17"/>
      <c r="N1395" s="17"/>
      <c r="O1395" s="17"/>
      <c r="P1395" s="17"/>
      <c r="Q1395" s="17"/>
    </row>
    <row r="1396" spans="1:17">
      <c r="A1396" s="556" t="s">
        <v>3590</v>
      </c>
      <c r="B1396" s="557"/>
      <c r="C1396" s="558" t="s">
        <v>1929</v>
      </c>
      <c r="D1396" s="556" t="s">
        <v>4822</v>
      </c>
      <c r="E1396" s="17" t="s">
        <v>4835</v>
      </c>
      <c r="F1396" s="17">
        <v>3</v>
      </c>
      <c r="G1396" s="17">
        <v>6</v>
      </c>
      <c r="H1396" s="17" t="s">
        <v>3450</v>
      </c>
      <c r="I1396" s="17"/>
      <c r="J1396" s="17"/>
      <c r="K1396" s="17"/>
      <c r="L1396" s="17"/>
      <c r="M1396" s="17"/>
      <c r="N1396" s="17"/>
      <c r="O1396" s="17"/>
      <c r="P1396" s="17"/>
      <c r="Q1396" s="17"/>
    </row>
    <row r="1397" spans="1:17">
      <c r="A1397" s="556" t="s">
        <v>3590</v>
      </c>
      <c r="B1397" s="557"/>
      <c r="C1397" s="558" t="s">
        <v>1930</v>
      </c>
      <c r="D1397" s="556" t="s">
        <v>1693</v>
      </c>
      <c r="E1397" s="17" t="s">
        <v>4836</v>
      </c>
      <c r="F1397" s="17">
        <v>4</v>
      </c>
      <c r="G1397" s="17">
        <v>1</v>
      </c>
      <c r="H1397" s="17" t="s">
        <v>3525</v>
      </c>
      <c r="I1397" s="17"/>
      <c r="J1397" s="17"/>
      <c r="K1397" s="17"/>
      <c r="L1397" s="17"/>
      <c r="M1397" s="17"/>
      <c r="N1397" s="17"/>
      <c r="O1397" s="17"/>
      <c r="P1397" s="17"/>
      <c r="Q1397" s="17"/>
    </row>
    <row r="1398" spans="1:17">
      <c r="A1398" s="556" t="s">
        <v>3590</v>
      </c>
      <c r="B1398" s="557"/>
      <c r="C1398" s="558" t="s">
        <v>1930</v>
      </c>
      <c r="D1398" s="556" t="s">
        <v>1694</v>
      </c>
      <c r="E1398" s="17" t="s">
        <v>4837</v>
      </c>
      <c r="F1398" s="17">
        <v>4</v>
      </c>
      <c r="G1398" s="17">
        <v>2</v>
      </c>
      <c r="H1398" s="17" t="s">
        <v>3339</v>
      </c>
      <c r="I1398" s="17"/>
      <c r="J1398" s="17"/>
      <c r="K1398" s="17"/>
      <c r="L1398" s="17"/>
      <c r="M1398" s="17"/>
      <c r="N1398" s="17"/>
      <c r="O1398" s="17"/>
      <c r="P1398" s="17"/>
      <c r="Q1398" s="17"/>
    </row>
    <row r="1399" spans="1:17">
      <c r="A1399" s="556" t="s">
        <v>3590</v>
      </c>
      <c r="B1399" s="557"/>
      <c r="C1399" s="558" t="s">
        <v>1930</v>
      </c>
      <c r="D1399" s="556" t="s">
        <v>4426</v>
      </c>
      <c r="E1399" s="17" t="s">
        <v>4838</v>
      </c>
      <c r="F1399" s="17">
        <v>4</v>
      </c>
      <c r="G1399" s="17">
        <v>3</v>
      </c>
      <c r="H1399" s="17" t="s">
        <v>3340</v>
      </c>
      <c r="I1399" s="17">
        <v>0</v>
      </c>
      <c r="J1399" s="17"/>
      <c r="K1399" s="17"/>
      <c r="L1399" s="17"/>
      <c r="M1399" s="17"/>
      <c r="N1399" s="17"/>
      <c r="O1399" s="17"/>
      <c r="P1399" s="17"/>
      <c r="Q1399" s="17"/>
    </row>
    <row r="1400" spans="1:17">
      <c r="A1400" s="556" t="s">
        <v>3590</v>
      </c>
      <c r="B1400" s="557"/>
      <c r="C1400" s="558" t="s">
        <v>1930</v>
      </c>
      <c r="D1400" s="556" t="s">
        <v>4324</v>
      </c>
      <c r="E1400" s="17" t="s">
        <v>4839</v>
      </c>
      <c r="F1400" s="17">
        <v>4</v>
      </c>
      <c r="G1400" s="17">
        <v>4</v>
      </c>
      <c r="H1400" s="17" t="s">
        <v>3341</v>
      </c>
      <c r="I1400" s="17"/>
      <c r="J1400" s="17"/>
      <c r="K1400" s="17"/>
      <c r="L1400" s="17"/>
      <c r="M1400" s="17"/>
      <c r="N1400" s="17"/>
      <c r="O1400" s="17"/>
      <c r="P1400" s="17"/>
      <c r="Q1400" s="17"/>
    </row>
    <row r="1401" spans="1:17">
      <c r="A1401" s="556" t="s">
        <v>3590</v>
      </c>
      <c r="B1401" s="557"/>
      <c r="C1401" s="558" t="s">
        <v>1930</v>
      </c>
      <c r="D1401" s="556" t="s">
        <v>4820</v>
      </c>
      <c r="E1401" s="17" t="s">
        <v>4840</v>
      </c>
      <c r="F1401" s="17">
        <v>4</v>
      </c>
      <c r="G1401" s="17">
        <v>5</v>
      </c>
      <c r="H1401" s="17" t="s">
        <v>3342</v>
      </c>
      <c r="I1401" s="17"/>
      <c r="J1401" s="17"/>
      <c r="K1401" s="17"/>
      <c r="L1401" s="17"/>
      <c r="M1401" s="17"/>
      <c r="N1401" s="17"/>
      <c r="O1401" s="17"/>
      <c r="P1401" s="17"/>
      <c r="Q1401" s="17"/>
    </row>
    <row r="1402" spans="1:17">
      <c r="A1402" s="556" t="s">
        <v>3590</v>
      </c>
      <c r="B1402" s="557"/>
      <c r="C1402" s="558" t="s">
        <v>1930</v>
      </c>
      <c r="D1402" s="556" t="s">
        <v>4822</v>
      </c>
      <c r="E1402" s="17" t="s">
        <v>4841</v>
      </c>
      <c r="F1402" s="17">
        <v>4</v>
      </c>
      <c r="G1402" s="17">
        <v>6</v>
      </c>
      <c r="H1402" s="17" t="s">
        <v>3451</v>
      </c>
      <c r="I1402" s="17"/>
      <c r="J1402" s="17"/>
      <c r="K1402" s="17"/>
      <c r="L1402" s="17"/>
      <c r="M1402" s="17"/>
      <c r="N1402" s="17"/>
      <c r="O1402" s="17"/>
      <c r="P1402" s="17"/>
      <c r="Q1402" s="17"/>
    </row>
    <row r="1403" spans="1:17">
      <c r="A1403" s="556" t="s">
        <v>3590</v>
      </c>
      <c r="B1403" s="557"/>
      <c r="C1403" s="558" t="s">
        <v>1931</v>
      </c>
      <c r="D1403" s="556" t="s">
        <v>1693</v>
      </c>
      <c r="E1403" s="17" t="s">
        <v>4842</v>
      </c>
      <c r="F1403" s="17">
        <v>5</v>
      </c>
      <c r="G1403" s="17">
        <v>1</v>
      </c>
      <c r="H1403" s="17" t="s">
        <v>3697</v>
      </c>
      <c r="I1403" s="17"/>
      <c r="J1403" s="17"/>
      <c r="K1403" s="17"/>
      <c r="L1403" s="17"/>
      <c r="M1403" s="17"/>
      <c r="N1403" s="17"/>
      <c r="O1403" s="17"/>
      <c r="P1403" s="17"/>
      <c r="Q1403" s="17"/>
    </row>
    <row r="1404" spans="1:17">
      <c r="A1404" s="556" t="s">
        <v>3590</v>
      </c>
      <c r="B1404" s="557"/>
      <c r="C1404" s="558" t="s">
        <v>1931</v>
      </c>
      <c r="D1404" s="556" t="s">
        <v>1694</v>
      </c>
      <c r="E1404" s="17" t="s">
        <v>4843</v>
      </c>
      <c r="F1404" s="17">
        <v>5</v>
      </c>
      <c r="G1404" s="17">
        <v>2</v>
      </c>
      <c r="H1404" s="17" t="s">
        <v>3343</v>
      </c>
      <c r="I1404" s="17"/>
      <c r="J1404" s="17"/>
      <c r="K1404" s="17"/>
      <c r="L1404" s="17"/>
      <c r="M1404" s="17"/>
      <c r="N1404" s="17"/>
      <c r="O1404" s="17"/>
      <c r="P1404" s="17"/>
      <c r="Q1404" s="17"/>
    </row>
    <row r="1405" spans="1:17">
      <c r="A1405" s="556" t="s">
        <v>3590</v>
      </c>
      <c r="B1405" s="557"/>
      <c r="C1405" s="558" t="s">
        <v>1931</v>
      </c>
      <c r="D1405" s="556" t="s">
        <v>4426</v>
      </c>
      <c r="E1405" s="17" t="s">
        <v>4844</v>
      </c>
      <c r="F1405" s="17">
        <v>5</v>
      </c>
      <c r="G1405" s="17">
        <v>3</v>
      </c>
      <c r="H1405" s="17" t="s">
        <v>3344</v>
      </c>
      <c r="I1405" s="17">
        <v>0</v>
      </c>
      <c r="J1405" s="17"/>
      <c r="K1405" s="17"/>
      <c r="L1405" s="17"/>
      <c r="M1405" s="17"/>
      <c r="N1405" s="17"/>
      <c r="O1405" s="17"/>
      <c r="P1405" s="17"/>
      <c r="Q1405" s="17"/>
    </row>
    <row r="1406" spans="1:17">
      <c r="A1406" s="556" t="s">
        <v>3590</v>
      </c>
      <c r="B1406" s="557"/>
      <c r="C1406" s="558" t="s">
        <v>1931</v>
      </c>
      <c r="D1406" s="556" t="s">
        <v>4324</v>
      </c>
      <c r="E1406" s="17" t="s">
        <v>4845</v>
      </c>
      <c r="F1406" s="17">
        <v>5</v>
      </c>
      <c r="G1406" s="17">
        <v>4</v>
      </c>
      <c r="H1406" s="17" t="s">
        <v>3345</v>
      </c>
      <c r="I1406" s="17"/>
      <c r="J1406" s="17"/>
      <c r="K1406" s="17"/>
      <c r="L1406" s="17"/>
      <c r="M1406" s="17"/>
      <c r="N1406" s="17"/>
      <c r="O1406" s="17"/>
      <c r="P1406" s="17"/>
      <c r="Q1406" s="17"/>
    </row>
    <row r="1407" spans="1:17">
      <c r="A1407" s="556" t="s">
        <v>3590</v>
      </c>
      <c r="B1407" s="557"/>
      <c r="C1407" s="558" t="s">
        <v>1931</v>
      </c>
      <c r="D1407" s="556" t="s">
        <v>4820</v>
      </c>
      <c r="E1407" s="17" t="s">
        <v>4846</v>
      </c>
      <c r="F1407" s="17">
        <v>5</v>
      </c>
      <c r="G1407" s="17">
        <v>5</v>
      </c>
      <c r="H1407" s="17" t="s">
        <v>3346</v>
      </c>
      <c r="I1407" s="17"/>
      <c r="J1407" s="17"/>
      <c r="K1407" s="17"/>
      <c r="L1407" s="17"/>
      <c r="M1407" s="17"/>
      <c r="N1407" s="17"/>
      <c r="O1407" s="17"/>
      <c r="P1407" s="17"/>
      <c r="Q1407" s="17"/>
    </row>
    <row r="1408" spans="1:17">
      <c r="A1408" s="556" t="s">
        <v>3590</v>
      </c>
      <c r="B1408" s="557"/>
      <c r="C1408" s="558" t="s">
        <v>1931</v>
      </c>
      <c r="D1408" s="556" t="s">
        <v>4822</v>
      </c>
      <c r="E1408" s="17" t="s">
        <v>4847</v>
      </c>
      <c r="F1408" s="17">
        <v>5</v>
      </c>
      <c r="G1408" s="17">
        <v>6</v>
      </c>
      <c r="H1408" s="17" t="s">
        <v>3452</v>
      </c>
      <c r="I1408" s="17"/>
      <c r="J1408" s="17"/>
      <c r="K1408" s="17"/>
      <c r="L1408" s="17"/>
      <c r="M1408" s="17"/>
      <c r="N1408" s="17"/>
      <c r="O1408" s="17"/>
      <c r="P1408" s="17"/>
      <c r="Q1408" s="17"/>
    </row>
    <row r="1409" spans="1:17">
      <c r="A1409" s="556" t="s">
        <v>3590</v>
      </c>
      <c r="B1409" s="557"/>
      <c r="C1409" s="558" t="s">
        <v>1932</v>
      </c>
      <c r="D1409" s="556" t="s">
        <v>1693</v>
      </c>
      <c r="E1409" s="17" t="s">
        <v>4848</v>
      </c>
      <c r="F1409" s="17">
        <v>6</v>
      </c>
      <c r="G1409" s="17">
        <v>1</v>
      </c>
      <c r="H1409" s="17" t="s">
        <v>7772</v>
      </c>
      <c r="I1409" s="17"/>
      <c r="J1409" s="17"/>
      <c r="K1409" s="17"/>
      <c r="L1409" s="17"/>
      <c r="M1409" s="17"/>
      <c r="N1409" s="17"/>
      <c r="O1409" s="17"/>
      <c r="P1409" s="17"/>
      <c r="Q1409" s="17"/>
    </row>
    <row r="1410" spans="1:17">
      <c r="A1410" s="556" t="s">
        <v>3590</v>
      </c>
      <c r="B1410" s="557"/>
      <c r="C1410" s="558" t="s">
        <v>1932</v>
      </c>
      <c r="D1410" s="556" t="s">
        <v>1694</v>
      </c>
      <c r="E1410" s="17" t="s">
        <v>4849</v>
      </c>
      <c r="F1410" s="17">
        <v>6</v>
      </c>
      <c r="G1410" s="17">
        <v>2</v>
      </c>
      <c r="H1410" s="17" t="s">
        <v>3347</v>
      </c>
      <c r="I1410" s="17"/>
      <c r="J1410" s="17"/>
      <c r="K1410" s="17"/>
      <c r="L1410" s="17"/>
      <c r="M1410" s="17"/>
      <c r="N1410" s="17"/>
      <c r="O1410" s="17"/>
      <c r="P1410" s="17"/>
      <c r="Q1410" s="17"/>
    </row>
    <row r="1411" spans="1:17">
      <c r="A1411" s="556" t="s">
        <v>3590</v>
      </c>
      <c r="B1411" s="557"/>
      <c r="C1411" s="558" t="s">
        <v>1932</v>
      </c>
      <c r="D1411" s="556" t="s">
        <v>4426</v>
      </c>
      <c r="E1411" s="17" t="s">
        <v>4850</v>
      </c>
      <c r="F1411" s="17">
        <v>6</v>
      </c>
      <c r="G1411" s="17">
        <v>3</v>
      </c>
      <c r="H1411" s="17" t="s">
        <v>3348</v>
      </c>
      <c r="I1411" s="17">
        <v>0</v>
      </c>
      <c r="J1411" s="17"/>
      <c r="K1411" s="17"/>
      <c r="L1411" s="17"/>
      <c r="M1411" s="17"/>
      <c r="N1411" s="17"/>
      <c r="O1411" s="17"/>
      <c r="P1411" s="17"/>
      <c r="Q1411" s="17"/>
    </row>
    <row r="1412" spans="1:17">
      <c r="A1412" s="556" t="s">
        <v>3590</v>
      </c>
      <c r="B1412" s="557"/>
      <c r="C1412" s="558" t="s">
        <v>1932</v>
      </c>
      <c r="D1412" s="556" t="s">
        <v>4324</v>
      </c>
      <c r="E1412" s="17" t="s">
        <v>4851</v>
      </c>
      <c r="F1412" s="17">
        <v>6</v>
      </c>
      <c r="G1412" s="17">
        <v>4</v>
      </c>
      <c r="H1412" s="17" t="s">
        <v>3349</v>
      </c>
      <c r="I1412" s="17"/>
      <c r="J1412" s="17"/>
      <c r="K1412" s="17"/>
      <c r="L1412" s="17"/>
      <c r="M1412" s="17"/>
      <c r="N1412" s="17"/>
      <c r="O1412" s="17"/>
      <c r="P1412" s="17"/>
      <c r="Q1412" s="17"/>
    </row>
    <row r="1413" spans="1:17">
      <c r="A1413" s="556" t="s">
        <v>3590</v>
      </c>
      <c r="B1413" s="557"/>
      <c r="C1413" s="558" t="s">
        <v>1932</v>
      </c>
      <c r="D1413" s="556" t="s">
        <v>4820</v>
      </c>
      <c r="E1413" s="17" t="s">
        <v>4852</v>
      </c>
      <c r="F1413" s="17">
        <v>6</v>
      </c>
      <c r="G1413" s="17">
        <v>5</v>
      </c>
      <c r="H1413" s="17" t="s">
        <v>3350</v>
      </c>
      <c r="I1413" s="17"/>
      <c r="J1413" s="17"/>
      <c r="K1413" s="17"/>
      <c r="L1413" s="17"/>
      <c r="M1413" s="17"/>
      <c r="N1413" s="17"/>
      <c r="O1413" s="17"/>
      <c r="P1413" s="17"/>
      <c r="Q1413" s="17"/>
    </row>
    <row r="1414" spans="1:17">
      <c r="A1414" s="556" t="s">
        <v>3590</v>
      </c>
      <c r="B1414" s="557"/>
      <c r="C1414" s="558" t="s">
        <v>1932</v>
      </c>
      <c r="D1414" s="556" t="s">
        <v>4822</v>
      </c>
      <c r="E1414" s="17" t="s">
        <v>4853</v>
      </c>
      <c r="F1414" s="17">
        <v>6</v>
      </c>
      <c r="G1414" s="17">
        <v>6</v>
      </c>
      <c r="H1414" s="17" t="s">
        <v>3453</v>
      </c>
      <c r="I1414" s="17"/>
      <c r="J1414" s="17"/>
      <c r="K1414" s="17"/>
      <c r="L1414" s="17"/>
      <c r="M1414" s="17"/>
      <c r="N1414" s="17"/>
      <c r="O1414" s="17"/>
      <c r="P1414" s="17"/>
      <c r="Q1414" s="17"/>
    </row>
    <row r="1415" spans="1:17">
      <c r="A1415" s="556" t="s">
        <v>3590</v>
      </c>
      <c r="B1415" s="557"/>
      <c r="C1415" s="558" t="s">
        <v>1558</v>
      </c>
      <c r="D1415" s="556" t="s">
        <v>1693</v>
      </c>
      <c r="E1415" s="17" t="s">
        <v>4854</v>
      </c>
      <c r="F1415" s="17">
        <v>7</v>
      </c>
      <c r="G1415" s="17">
        <v>1</v>
      </c>
      <c r="H1415" s="17" t="s">
        <v>7774</v>
      </c>
      <c r="I1415" s="17"/>
      <c r="J1415" s="17"/>
      <c r="K1415" s="17"/>
      <c r="L1415" s="17"/>
      <c r="M1415" s="17"/>
      <c r="N1415" s="17"/>
      <c r="O1415" s="17"/>
      <c r="P1415" s="17"/>
      <c r="Q1415" s="17"/>
    </row>
    <row r="1416" spans="1:17">
      <c r="A1416" s="556" t="s">
        <v>3590</v>
      </c>
      <c r="B1416" s="557"/>
      <c r="C1416" s="558" t="s">
        <v>1558</v>
      </c>
      <c r="D1416" s="556" t="s">
        <v>1694</v>
      </c>
      <c r="E1416" s="17" t="s">
        <v>4855</v>
      </c>
      <c r="F1416" s="17">
        <v>7</v>
      </c>
      <c r="G1416" s="17">
        <v>2</v>
      </c>
      <c r="H1416" s="17" t="s">
        <v>3351</v>
      </c>
      <c r="I1416" s="17"/>
      <c r="J1416" s="17"/>
      <c r="K1416" s="17"/>
      <c r="L1416" s="17"/>
      <c r="M1416" s="17"/>
      <c r="N1416" s="17"/>
      <c r="O1416" s="17"/>
      <c r="P1416" s="17"/>
      <c r="Q1416" s="17"/>
    </row>
    <row r="1417" spans="1:17">
      <c r="A1417" s="556" t="s">
        <v>3590</v>
      </c>
      <c r="B1417" s="557"/>
      <c r="C1417" s="558" t="s">
        <v>1558</v>
      </c>
      <c r="D1417" s="556" t="s">
        <v>4426</v>
      </c>
      <c r="E1417" s="17" t="s">
        <v>4856</v>
      </c>
      <c r="F1417" s="17">
        <v>7</v>
      </c>
      <c r="G1417" s="17">
        <v>3</v>
      </c>
      <c r="H1417" s="17" t="s">
        <v>3352</v>
      </c>
      <c r="I1417" s="17">
        <v>0</v>
      </c>
      <c r="J1417" s="17"/>
      <c r="K1417" s="17"/>
      <c r="L1417" s="17"/>
      <c r="M1417" s="17"/>
      <c r="N1417" s="17"/>
      <c r="O1417" s="17"/>
      <c r="P1417" s="17"/>
      <c r="Q1417" s="17"/>
    </row>
    <row r="1418" spans="1:17">
      <c r="A1418" s="556" t="s">
        <v>3590</v>
      </c>
      <c r="B1418" s="557"/>
      <c r="C1418" s="558" t="s">
        <v>1558</v>
      </c>
      <c r="D1418" s="556" t="s">
        <v>4324</v>
      </c>
      <c r="E1418" s="17" t="s">
        <v>4857</v>
      </c>
      <c r="F1418" s="17">
        <v>7</v>
      </c>
      <c r="G1418" s="17">
        <v>4</v>
      </c>
      <c r="H1418" s="17" t="s">
        <v>3353</v>
      </c>
      <c r="I1418" s="17"/>
      <c r="J1418" s="17"/>
      <c r="K1418" s="17"/>
      <c r="L1418" s="17"/>
      <c r="M1418" s="17"/>
      <c r="N1418" s="17"/>
      <c r="O1418" s="17"/>
      <c r="P1418" s="17"/>
      <c r="Q1418" s="17"/>
    </row>
    <row r="1419" spans="1:17">
      <c r="A1419" s="556" t="s">
        <v>3590</v>
      </c>
      <c r="B1419" s="557"/>
      <c r="C1419" s="558" t="s">
        <v>1558</v>
      </c>
      <c r="D1419" s="556" t="s">
        <v>4820</v>
      </c>
      <c r="E1419" s="17" t="s">
        <v>4858</v>
      </c>
      <c r="F1419" s="17">
        <v>7</v>
      </c>
      <c r="G1419" s="17">
        <v>5</v>
      </c>
      <c r="H1419" s="17" t="s">
        <v>3354</v>
      </c>
      <c r="I1419" s="17"/>
      <c r="J1419" s="17"/>
      <c r="K1419" s="17"/>
      <c r="L1419" s="17"/>
      <c r="M1419" s="17"/>
      <c r="N1419" s="17"/>
      <c r="O1419" s="17"/>
      <c r="P1419" s="17"/>
      <c r="Q1419" s="17"/>
    </row>
    <row r="1420" spans="1:17">
      <c r="A1420" s="556" t="s">
        <v>3590</v>
      </c>
      <c r="B1420" s="557"/>
      <c r="C1420" s="558" t="s">
        <v>1558</v>
      </c>
      <c r="D1420" s="556" t="s">
        <v>4822</v>
      </c>
      <c r="E1420" s="17" t="s">
        <v>8748</v>
      </c>
      <c r="F1420" s="17">
        <v>7</v>
      </c>
      <c r="G1420" s="17">
        <v>6</v>
      </c>
      <c r="H1420" s="564" t="s">
        <v>3454</v>
      </c>
      <c r="I1420" s="567"/>
      <c r="J1420" s="17"/>
      <c r="K1420" s="17"/>
      <c r="L1420" s="17"/>
      <c r="M1420" s="17"/>
      <c r="N1420" s="17"/>
      <c r="O1420" s="17"/>
      <c r="P1420" s="17"/>
      <c r="Q1420" s="17"/>
    </row>
    <row r="1421" spans="1:17">
      <c r="A1421" s="556" t="s">
        <v>3590</v>
      </c>
      <c r="B1421" s="557"/>
      <c r="C1421" s="558" t="s">
        <v>1933</v>
      </c>
      <c r="D1421" s="556" t="s">
        <v>1693</v>
      </c>
      <c r="E1421" s="17" t="s">
        <v>4859</v>
      </c>
      <c r="F1421" s="17">
        <v>8</v>
      </c>
      <c r="G1421" s="17">
        <v>1</v>
      </c>
      <c r="H1421" s="17" t="s">
        <v>7776</v>
      </c>
      <c r="I1421" s="17"/>
      <c r="J1421" s="17"/>
      <c r="K1421" s="17"/>
      <c r="L1421" s="17"/>
      <c r="M1421" s="17"/>
      <c r="N1421" s="17"/>
      <c r="O1421" s="17"/>
      <c r="P1421" s="17"/>
      <c r="Q1421" s="17"/>
    </row>
    <row r="1422" spans="1:17">
      <c r="A1422" s="556" t="s">
        <v>3590</v>
      </c>
      <c r="B1422" s="557"/>
      <c r="C1422" s="558" t="s">
        <v>1933</v>
      </c>
      <c r="D1422" s="556" t="s">
        <v>1694</v>
      </c>
      <c r="E1422" s="17" t="s">
        <v>4860</v>
      </c>
      <c r="F1422" s="17">
        <v>8</v>
      </c>
      <c r="G1422" s="17">
        <v>2</v>
      </c>
      <c r="H1422" s="17" t="s">
        <v>3355</v>
      </c>
      <c r="I1422" s="17"/>
      <c r="J1422" s="17"/>
      <c r="K1422" s="17"/>
      <c r="L1422" s="17"/>
      <c r="M1422" s="17"/>
      <c r="N1422" s="17"/>
      <c r="O1422" s="17"/>
      <c r="P1422" s="17"/>
      <c r="Q1422" s="17"/>
    </row>
    <row r="1423" spans="1:17">
      <c r="A1423" s="556" t="s">
        <v>3590</v>
      </c>
      <c r="B1423" s="557"/>
      <c r="C1423" s="558" t="s">
        <v>1933</v>
      </c>
      <c r="D1423" s="556" t="s">
        <v>4426</v>
      </c>
      <c r="E1423" s="17" t="s">
        <v>4861</v>
      </c>
      <c r="F1423" s="17">
        <v>8</v>
      </c>
      <c r="G1423" s="17">
        <v>3</v>
      </c>
      <c r="H1423" s="17" t="s">
        <v>3356</v>
      </c>
      <c r="I1423" s="17">
        <v>0</v>
      </c>
      <c r="J1423" s="17"/>
      <c r="K1423" s="17"/>
      <c r="L1423" s="17"/>
      <c r="M1423" s="17"/>
      <c r="N1423" s="17"/>
      <c r="O1423" s="17"/>
      <c r="P1423" s="17"/>
      <c r="Q1423" s="17"/>
    </row>
    <row r="1424" spans="1:17">
      <c r="A1424" s="556" t="s">
        <v>3590</v>
      </c>
      <c r="B1424" s="557"/>
      <c r="C1424" s="558" t="s">
        <v>1933</v>
      </c>
      <c r="D1424" s="556" t="s">
        <v>4324</v>
      </c>
      <c r="E1424" s="17" t="s">
        <v>4862</v>
      </c>
      <c r="F1424" s="17">
        <v>8</v>
      </c>
      <c r="G1424" s="17">
        <v>4</v>
      </c>
      <c r="H1424" s="17" t="s">
        <v>3357</v>
      </c>
      <c r="I1424" s="17"/>
      <c r="J1424" s="17"/>
      <c r="K1424" s="17"/>
      <c r="L1424" s="17"/>
      <c r="M1424" s="17"/>
      <c r="N1424" s="17"/>
      <c r="O1424" s="17"/>
      <c r="P1424" s="17"/>
      <c r="Q1424" s="17"/>
    </row>
    <row r="1425" spans="1:17">
      <c r="A1425" s="556" t="s">
        <v>3590</v>
      </c>
      <c r="B1425" s="557"/>
      <c r="C1425" s="558" t="s">
        <v>1933</v>
      </c>
      <c r="D1425" s="556" t="s">
        <v>4820</v>
      </c>
      <c r="E1425" s="17" t="s">
        <v>4863</v>
      </c>
      <c r="F1425" s="17">
        <v>8</v>
      </c>
      <c r="G1425" s="17">
        <v>5</v>
      </c>
      <c r="H1425" s="17" t="s">
        <v>3358</v>
      </c>
      <c r="I1425" s="17"/>
      <c r="J1425" s="17"/>
      <c r="K1425" s="17"/>
      <c r="L1425" s="17"/>
      <c r="M1425" s="17"/>
      <c r="N1425" s="17"/>
      <c r="O1425" s="17"/>
      <c r="P1425" s="17"/>
      <c r="Q1425" s="17"/>
    </row>
    <row r="1426" spans="1:17">
      <c r="A1426" s="556" t="s">
        <v>3590</v>
      </c>
      <c r="B1426" s="557"/>
      <c r="C1426" s="558" t="s">
        <v>1933</v>
      </c>
      <c r="D1426" s="556" t="s">
        <v>4822</v>
      </c>
      <c r="E1426" s="17" t="s">
        <v>8749</v>
      </c>
      <c r="F1426" s="17">
        <v>8</v>
      </c>
      <c r="G1426" s="17">
        <v>6</v>
      </c>
      <c r="H1426" s="564" t="s">
        <v>3455</v>
      </c>
      <c r="I1426" s="567"/>
      <c r="J1426" s="17"/>
      <c r="K1426" s="17"/>
      <c r="L1426" s="17"/>
      <c r="M1426" s="17"/>
      <c r="N1426" s="17"/>
      <c r="O1426" s="17"/>
      <c r="P1426" s="17"/>
      <c r="Q1426" s="17"/>
    </row>
    <row r="1427" spans="1:17">
      <c r="A1427" s="556" t="s">
        <v>3590</v>
      </c>
      <c r="B1427" s="557"/>
      <c r="C1427" s="558" t="s">
        <v>1934</v>
      </c>
      <c r="D1427" s="556" t="s">
        <v>1693</v>
      </c>
      <c r="E1427" s="17" t="s">
        <v>4864</v>
      </c>
      <c r="F1427" s="17">
        <v>9</v>
      </c>
      <c r="G1427" s="17">
        <v>1</v>
      </c>
      <c r="H1427" s="17" t="s">
        <v>7778</v>
      </c>
      <c r="I1427" s="17">
        <v>0</v>
      </c>
      <c r="J1427" s="17"/>
      <c r="K1427" s="17"/>
      <c r="L1427" s="17"/>
      <c r="M1427" s="17"/>
      <c r="N1427" s="17"/>
      <c r="O1427" s="17"/>
      <c r="P1427" s="17"/>
      <c r="Q1427" s="17"/>
    </row>
    <row r="1428" spans="1:17">
      <c r="A1428" s="556" t="s">
        <v>3590</v>
      </c>
      <c r="B1428" s="557"/>
      <c r="C1428" s="558" t="s">
        <v>1934</v>
      </c>
      <c r="D1428" s="556" t="s">
        <v>1694</v>
      </c>
      <c r="E1428" s="17" t="s">
        <v>4865</v>
      </c>
      <c r="F1428" s="17">
        <v>9</v>
      </c>
      <c r="G1428" s="17">
        <v>2</v>
      </c>
      <c r="H1428" s="17" t="s">
        <v>3359</v>
      </c>
      <c r="I1428" s="17">
        <v>0</v>
      </c>
      <c r="J1428" s="17"/>
      <c r="K1428" s="17"/>
      <c r="L1428" s="17"/>
      <c r="M1428" s="17"/>
      <c r="N1428" s="17"/>
      <c r="O1428" s="17"/>
      <c r="P1428" s="17"/>
      <c r="Q1428" s="17"/>
    </row>
    <row r="1429" spans="1:17">
      <c r="A1429" s="556" t="s">
        <v>3590</v>
      </c>
      <c r="B1429" s="557"/>
      <c r="C1429" s="558" t="s">
        <v>1934</v>
      </c>
      <c r="D1429" s="556" t="s">
        <v>4426</v>
      </c>
      <c r="E1429" s="17" t="s">
        <v>4866</v>
      </c>
      <c r="F1429" s="17">
        <v>9</v>
      </c>
      <c r="G1429" s="17">
        <v>3</v>
      </c>
      <c r="H1429" s="17" t="s">
        <v>3360</v>
      </c>
      <c r="I1429" s="17">
        <v>0</v>
      </c>
      <c r="J1429" s="17"/>
      <c r="K1429" s="17"/>
      <c r="L1429" s="17"/>
      <c r="M1429" s="17"/>
      <c r="N1429" s="17"/>
      <c r="O1429" s="17"/>
      <c r="P1429" s="17"/>
      <c r="Q1429" s="17"/>
    </row>
    <row r="1430" spans="1:17">
      <c r="A1430" s="556" t="s">
        <v>3590</v>
      </c>
      <c r="B1430" s="557"/>
      <c r="C1430" s="558" t="s">
        <v>1934</v>
      </c>
      <c r="D1430" s="556" t="s">
        <v>4324</v>
      </c>
      <c r="E1430" s="17" t="s">
        <v>4867</v>
      </c>
      <c r="F1430" s="17">
        <v>9</v>
      </c>
      <c r="G1430" s="17">
        <v>4</v>
      </c>
      <c r="H1430" s="17" t="s">
        <v>3327</v>
      </c>
      <c r="I1430" s="17"/>
      <c r="J1430" s="17"/>
      <c r="K1430" s="17"/>
      <c r="L1430" s="17"/>
      <c r="M1430" s="17"/>
      <c r="N1430" s="17"/>
      <c r="O1430" s="17"/>
      <c r="P1430" s="17"/>
      <c r="Q1430" s="17"/>
    </row>
    <row r="1431" spans="1:17">
      <c r="A1431" s="556" t="s">
        <v>3590</v>
      </c>
      <c r="B1431" s="557"/>
      <c r="C1431" s="558" t="s">
        <v>1935</v>
      </c>
      <c r="D1431" s="556" t="s">
        <v>1693</v>
      </c>
      <c r="E1431" s="17" t="s">
        <v>4868</v>
      </c>
      <c r="F1431" s="17">
        <v>10</v>
      </c>
      <c r="G1431" s="17">
        <v>1</v>
      </c>
      <c r="H1431" s="17" t="s">
        <v>7779</v>
      </c>
      <c r="I1431" s="17"/>
      <c r="J1431" s="17"/>
      <c r="K1431" s="17"/>
      <c r="L1431" s="17"/>
      <c r="M1431" s="17"/>
      <c r="N1431" s="17"/>
      <c r="O1431" s="17"/>
      <c r="P1431" s="17"/>
      <c r="Q1431" s="17"/>
    </row>
    <row r="1432" spans="1:17">
      <c r="A1432" s="556" t="s">
        <v>3590</v>
      </c>
      <c r="B1432" s="557"/>
      <c r="C1432" s="558" t="s">
        <v>1935</v>
      </c>
      <c r="D1432" s="556" t="s">
        <v>1694</v>
      </c>
      <c r="E1432" s="17" t="s">
        <v>4869</v>
      </c>
      <c r="F1432" s="17">
        <v>10</v>
      </c>
      <c r="G1432" s="17">
        <v>2</v>
      </c>
      <c r="H1432" s="17" t="s">
        <v>3362</v>
      </c>
      <c r="I1432" s="17"/>
      <c r="J1432" s="17"/>
      <c r="K1432" s="17"/>
      <c r="L1432" s="17"/>
      <c r="M1432" s="17"/>
      <c r="N1432" s="17"/>
      <c r="O1432" s="17"/>
      <c r="P1432" s="17"/>
      <c r="Q1432" s="17"/>
    </row>
    <row r="1433" spans="1:17">
      <c r="A1433" s="556" t="s">
        <v>3590</v>
      </c>
      <c r="B1433" s="557"/>
      <c r="C1433" s="558" t="s">
        <v>1935</v>
      </c>
      <c r="D1433" s="556" t="s">
        <v>4426</v>
      </c>
      <c r="E1433" s="17" t="s">
        <v>4870</v>
      </c>
      <c r="F1433" s="17">
        <v>10</v>
      </c>
      <c r="G1433" s="17">
        <v>3</v>
      </c>
      <c r="H1433" s="17" t="s">
        <v>3363</v>
      </c>
      <c r="I1433" s="17">
        <v>0</v>
      </c>
      <c r="J1433" s="17"/>
      <c r="K1433" s="17"/>
      <c r="L1433" s="17"/>
      <c r="M1433" s="17"/>
      <c r="N1433" s="17"/>
      <c r="O1433" s="17"/>
      <c r="P1433" s="17"/>
      <c r="Q1433" s="17"/>
    </row>
    <row r="1434" spans="1:17">
      <c r="A1434" s="556" t="s">
        <v>3590</v>
      </c>
      <c r="B1434" s="557"/>
      <c r="C1434" s="558" t="s">
        <v>1935</v>
      </c>
      <c r="D1434" s="556" t="s">
        <v>4324</v>
      </c>
      <c r="E1434" s="17" t="s">
        <v>4871</v>
      </c>
      <c r="F1434" s="17">
        <v>10</v>
      </c>
      <c r="G1434" s="17">
        <v>4</v>
      </c>
      <c r="H1434" s="17" t="s">
        <v>3364</v>
      </c>
      <c r="I1434" s="17"/>
      <c r="J1434" s="17"/>
      <c r="K1434" s="17"/>
      <c r="L1434" s="17"/>
      <c r="M1434" s="17"/>
      <c r="N1434" s="17"/>
      <c r="O1434" s="17"/>
      <c r="P1434" s="17"/>
      <c r="Q1434" s="17"/>
    </row>
    <row r="1435" spans="1:17">
      <c r="A1435" s="556" t="s">
        <v>3590</v>
      </c>
      <c r="B1435" s="557"/>
      <c r="C1435" s="558" t="s">
        <v>1935</v>
      </c>
      <c r="D1435" s="556" t="s">
        <v>4820</v>
      </c>
      <c r="E1435" s="17" t="s">
        <v>4872</v>
      </c>
      <c r="F1435" s="17">
        <v>10</v>
      </c>
      <c r="G1435" s="17">
        <v>5</v>
      </c>
      <c r="H1435" s="17" t="s">
        <v>3365</v>
      </c>
      <c r="I1435" s="17"/>
      <c r="J1435" s="17"/>
      <c r="K1435" s="17"/>
      <c r="L1435" s="17"/>
      <c r="M1435" s="17"/>
      <c r="N1435" s="17"/>
      <c r="O1435" s="17"/>
      <c r="P1435" s="17"/>
      <c r="Q1435" s="17"/>
    </row>
    <row r="1436" spans="1:17">
      <c r="A1436" s="556" t="s">
        <v>3590</v>
      </c>
      <c r="B1436" s="557"/>
      <c r="C1436" s="558" t="s">
        <v>1935</v>
      </c>
      <c r="D1436" s="556" t="s">
        <v>4822</v>
      </c>
      <c r="E1436" s="17" t="s">
        <v>8750</v>
      </c>
      <c r="F1436" s="17">
        <v>10</v>
      </c>
      <c r="G1436" s="17">
        <v>6</v>
      </c>
      <c r="H1436" s="564" t="s">
        <v>3457</v>
      </c>
      <c r="I1436" s="567"/>
      <c r="J1436" s="17"/>
      <c r="K1436" s="17"/>
      <c r="L1436" s="17"/>
      <c r="M1436" s="17"/>
      <c r="N1436" s="17"/>
      <c r="O1436" s="17"/>
      <c r="P1436" s="17"/>
      <c r="Q1436" s="17"/>
    </row>
    <row r="1437" spans="1:17">
      <c r="A1437" s="556" t="s">
        <v>3590</v>
      </c>
      <c r="B1437" s="557"/>
      <c r="C1437" s="558" t="s">
        <v>1936</v>
      </c>
      <c r="D1437" s="556" t="s">
        <v>1693</v>
      </c>
      <c r="E1437" s="17" t="s">
        <v>4873</v>
      </c>
      <c r="F1437" s="17">
        <v>11</v>
      </c>
      <c r="G1437" s="17">
        <v>1</v>
      </c>
      <c r="H1437" s="17" t="s">
        <v>7781</v>
      </c>
      <c r="I1437" s="17"/>
      <c r="J1437" s="17"/>
      <c r="K1437" s="17"/>
      <c r="L1437" s="17"/>
      <c r="M1437" s="17"/>
      <c r="N1437" s="17"/>
      <c r="O1437" s="17"/>
      <c r="P1437" s="17"/>
      <c r="Q1437" s="17"/>
    </row>
    <row r="1438" spans="1:17">
      <c r="A1438" s="556" t="s">
        <v>3590</v>
      </c>
      <c r="B1438" s="557"/>
      <c r="C1438" s="558" t="s">
        <v>1936</v>
      </c>
      <c r="D1438" s="556" t="s">
        <v>1694</v>
      </c>
      <c r="E1438" s="17" t="s">
        <v>4874</v>
      </c>
      <c r="F1438" s="17">
        <v>11</v>
      </c>
      <c r="G1438" s="17">
        <v>2</v>
      </c>
      <c r="H1438" s="17" t="s">
        <v>3366</v>
      </c>
      <c r="I1438" s="17"/>
      <c r="J1438" s="17"/>
      <c r="K1438" s="17"/>
      <c r="L1438" s="17"/>
      <c r="M1438" s="17"/>
      <c r="N1438" s="17"/>
      <c r="O1438" s="17"/>
      <c r="P1438" s="17"/>
      <c r="Q1438" s="17"/>
    </row>
    <row r="1439" spans="1:17">
      <c r="A1439" s="556" t="s">
        <v>3590</v>
      </c>
      <c r="B1439" s="557"/>
      <c r="C1439" s="558" t="s">
        <v>1936</v>
      </c>
      <c r="D1439" s="556" t="s">
        <v>4426</v>
      </c>
      <c r="E1439" s="17" t="s">
        <v>4875</v>
      </c>
      <c r="F1439" s="17">
        <v>11</v>
      </c>
      <c r="G1439" s="17">
        <v>3</v>
      </c>
      <c r="H1439" s="17" t="s">
        <v>3367</v>
      </c>
      <c r="I1439" s="17">
        <v>0</v>
      </c>
      <c r="J1439" s="17"/>
      <c r="K1439" s="17"/>
      <c r="L1439" s="17"/>
      <c r="M1439" s="17"/>
      <c r="N1439" s="17"/>
      <c r="O1439" s="17"/>
      <c r="P1439" s="17"/>
      <c r="Q1439" s="17"/>
    </row>
    <row r="1440" spans="1:17">
      <c r="A1440" s="556" t="s">
        <v>3590</v>
      </c>
      <c r="B1440" s="557"/>
      <c r="C1440" s="558" t="s">
        <v>1936</v>
      </c>
      <c r="D1440" s="556" t="s">
        <v>4324</v>
      </c>
      <c r="E1440" s="17" t="s">
        <v>4876</v>
      </c>
      <c r="F1440" s="17">
        <v>11</v>
      </c>
      <c r="G1440" s="17">
        <v>4</v>
      </c>
      <c r="H1440" s="17" t="s">
        <v>3368</v>
      </c>
      <c r="I1440" s="17"/>
      <c r="J1440" s="17"/>
      <c r="K1440" s="17"/>
      <c r="L1440" s="17"/>
      <c r="M1440" s="17"/>
      <c r="N1440" s="17"/>
      <c r="O1440" s="17"/>
      <c r="P1440" s="17"/>
      <c r="Q1440" s="17"/>
    </row>
    <row r="1441" spans="1:17">
      <c r="A1441" s="556" t="s">
        <v>3590</v>
      </c>
      <c r="B1441" s="557"/>
      <c r="C1441" s="558" t="s">
        <v>1936</v>
      </c>
      <c r="D1441" s="556" t="s">
        <v>4820</v>
      </c>
      <c r="E1441" s="17" t="s">
        <v>4877</v>
      </c>
      <c r="F1441" s="17">
        <v>11</v>
      </c>
      <c r="G1441" s="17">
        <v>5</v>
      </c>
      <c r="H1441" s="17" t="s">
        <v>3369</v>
      </c>
      <c r="I1441" s="17"/>
      <c r="J1441" s="17"/>
      <c r="K1441" s="17"/>
      <c r="L1441" s="17"/>
      <c r="M1441" s="17"/>
      <c r="N1441" s="17"/>
      <c r="O1441" s="17"/>
      <c r="P1441" s="17"/>
      <c r="Q1441" s="17"/>
    </row>
    <row r="1442" spans="1:17">
      <c r="A1442" s="556" t="s">
        <v>3590</v>
      </c>
      <c r="B1442" s="557"/>
      <c r="C1442" s="558" t="s">
        <v>1936</v>
      </c>
      <c r="D1442" s="556" t="s">
        <v>4822</v>
      </c>
      <c r="E1442" s="17" t="s">
        <v>8751</v>
      </c>
      <c r="F1442" s="17">
        <v>11</v>
      </c>
      <c r="G1442" s="17">
        <v>6</v>
      </c>
      <c r="H1442" s="564" t="s">
        <v>3458</v>
      </c>
      <c r="I1442" s="567"/>
      <c r="J1442" s="17"/>
      <c r="K1442" s="17"/>
      <c r="L1442" s="17"/>
      <c r="M1442" s="17"/>
      <c r="N1442" s="17"/>
      <c r="O1442" s="17"/>
      <c r="P1442" s="17"/>
      <c r="Q1442" s="17"/>
    </row>
    <row r="1443" spans="1:17">
      <c r="A1443" s="556" t="s">
        <v>3590</v>
      </c>
      <c r="B1443" s="557"/>
      <c r="C1443" s="558" t="s">
        <v>1937</v>
      </c>
      <c r="D1443" s="556" t="s">
        <v>1693</v>
      </c>
      <c r="E1443" s="17" t="s">
        <v>4878</v>
      </c>
      <c r="F1443" s="17">
        <v>12</v>
      </c>
      <c r="G1443" s="17">
        <v>1</v>
      </c>
      <c r="H1443" s="17" t="s">
        <v>7783</v>
      </c>
      <c r="I1443" s="17"/>
      <c r="J1443" s="17"/>
      <c r="K1443" s="17"/>
      <c r="L1443" s="17"/>
      <c r="M1443" s="17"/>
      <c r="N1443" s="17"/>
      <c r="O1443" s="17"/>
      <c r="P1443" s="17"/>
      <c r="Q1443" s="17"/>
    </row>
    <row r="1444" spans="1:17">
      <c r="A1444" s="556" t="s">
        <v>3590</v>
      </c>
      <c r="B1444" s="557"/>
      <c r="C1444" s="558" t="s">
        <v>1937</v>
      </c>
      <c r="D1444" s="556" t="s">
        <v>1694</v>
      </c>
      <c r="E1444" s="17" t="s">
        <v>4879</v>
      </c>
      <c r="F1444" s="17">
        <v>12</v>
      </c>
      <c r="G1444" s="17">
        <v>2</v>
      </c>
      <c r="H1444" s="17" t="s">
        <v>3370</v>
      </c>
      <c r="I1444" s="17"/>
      <c r="J1444" s="17"/>
      <c r="K1444" s="17"/>
      <c r="L1444" s="17"/>
      <c r="M1444" s="17"/>
      <c r="N1444" s="17"/>
      <c r="O1444" s="17"/>
      <c r="P1444" s="17"/>
      <c r="Q1444" s="17"/>
    </row>
    <row r="1445" spans="1:17">
      <c r="A1445" s="556" t="s">
        <v>3590</v>
      </c>
      <c r="B1445" s="557"/>
      <c r="C1445" s="558" t="s">
        <v>1937</v>
      </c>
      <c r="D1445" s="556" t="s">
        <v>4426</v>
      </c>
      <c r="E1445" s="17" t="s">
        <v>4880</v>
      </c>
      <c r="F1445" s="17">
        <v>12</v>
      </c>
      <c r="G1445" s="17">
        <v>3</v>
      </c>
      <c r="H1445" s="17" t="s">
        <v>3371</v>
      </c>
      <c r="I1445" s="17">
        <v>0</v>
      </c>
      <c r="J1445" s="17"/>
      <c r="K1445" s="17"/>
      <c r="L1445" s="17"/>
      <c r="M1445" s="17"/>
      <c r="N1445" s="17"/>
      <c r="O1445" s="17"/>
      <c r="P1445" s="17"/>
      <c r="Q1445" s="17"/>
    </row>
    <row r="1446" spans="1:17">
      <c r="A1446" s="556" t="s">
        <v>3590</v>
      </c>
      <c r="B1446" s="557"/>
      <c r="C1446" s="558" t="s">
        <v>1937</v>
      </c>
      <c r="D1446" s="556" t="s">
        <v>4324</v>
      </c>
      <c r="E1446" s="17" t="s">
        <v>4881</v>
      </c>
      <c r="F1446" s="17">
        <v>12</v>
      </c>
      <c r="G1446" s="17">
        <v>4</v>
      </c>
      <c r="H1446" s="17" t="s">
        <v>3372</v>
      </c>
      <c r="I1446" s="17"/>
      <c r="J1446" s="17"/>
      <c r="K1446" s="17"/>
      <c r="L1446" s="17"/>
      <c r="M1446" s="17"/>
      <c r="N1446" s="17"/>
      <c r="O1446" s="17"/>
      <c r="P1446" s="17"/>
      <c r="Q1446" s="17"/>
    </row>
    <row r="1447" spans="1:17">
      <c r="A1447" s="556" t="s">
        <v>3590</v>
      </c>
      <c r="B1447" s="557"/>
      <c r="C1447" s="558" t="s">
        <v>1937</v>
      </c>
      <c r="D1447" s="556" t="s">
        <v>4820</v>
      </c>
      <c r="E1447" s="17" t="s">
        <v>4882</v>
      </c>
      <c r="F1447" s="17">
        <v>12</v>
      </c>
      <c r="G1447" s="17">
        <v>5</v>
      </c>
      <c r="H1447" s="17" t="s">
        <v>3373</v>
      </c>
      <c r="I1447" s="17"/>
      <c r="J1447" s="17"/>
      <c r="K1447" s="17"/>
      <c r="L1447" s="17"/>
      <c r="M1447" s="17"/>
      <c r="N1447" s="17"/>
      <c r="O1447" s="17"/>
      <c r="P1447" s="17"/>
      <c r="Q1447" s="17"/>
    </row>
    <row r="1448" spans="1:17">
      <c r="A1448" s="556" t="s">
        <v>3590</v>
      </c>
      <c r="B1448" s="557"/>
      <c r="C1448" s="558" t="s">
        <v>1937</v>
      </c>
      <c r="D1448" s="556" t="s">
        <v>4822</v>
      </c>
      <c r="E1448" s="17" t="s">
        <v>8752</v>
      </c>
      <c r="F1448" s="17">
        <v>12</v>
      </c>
      <c r="G1448" s="17">
        <v>6</v>
      </c>
      <c r="H1448" s="564" t="s">
        <v>3459</v>
      </c>
      <c r="I1448" s="567"/>
      <c r="J1448" s="17"/>
      <c r="K1448" s="17"/>
      <c r="L1448" s="17"/>
      <c r="M1448" s="17"/>
      <c r="N1448" s="17"/>
      <c r="O1448" s="17"/>
      <c r="P1448" s="17"/>
      <c r="Q1448" s="17"/>
    </row>
    <row r="1449" spans="1:17">
      <c r="A1449" s="556" t="s">
        <v>3590</v>
      </c>
      <c r="B1449" s="557"/>
      <c r="C1449" s="558" t="s">
        <v>1939</v>
      </c>
      <c r="D1449" s="556" t="s">
        <v>1693</v>
      </c>
      <c r="E1449" s="17" t="s">
        <v>4883</v>
      </c>
      <c r="F1449" s="17">
        <v>13</v>
      </c>
      <c r="G1449" s="17">
        <v>1</v>
      </c>
      <c r="H1449" s="17" t="s">
        <v>7785</v>
      </c>
      <c r="I1449" s="17"/>
      <c r="J1449" s="17"/>
      <c r="K1449" s="17"/>
      <c r="L1449" s="17"/>
      <c r="M1449" s="17"/>
      <c r="N1449" s="17"/>
      <c r="O1449" s="17"/>
      <c r="P1449" s="17"/>
      <c r="Q1449" s="17"/>
    </row>
    <row r="1450" spans="1:17">
      <c r="A1450" s="556" t="s">
        <v>3590</v>
      </c>
      <c r="B1450" s="557"/>
      <c r="C1450" s="558" t="s">
        <v>1939</v>
      </c>
      <c r="D1450" s="556" t="s">
        <v>1694</v>
      </c>
      <c r="E1450" s="17" t="s">
        <v>4884</v>
      </c>
      <c r="F1450" s="17">
        <v>13</v>
      </c>
      <c r="G1450" s="17">
        <v>2</v>
      </c>
      <c r="H1450" s="17" t="s">
        <v>3374</v>
      </c>
      <c r="I1450" s="17"/>
      <c r="J1450" s="17"/>
      <c r="K1450" s="17"/>
      <c r="L1450" s="17"/>
      <c r="M1450" s="17"/>
      <c r="N1450" s="17"/>
      <c r="O1450" s="17"/>
      <c r="P1450" s="17"/>
      <c r="Q1450" s="17"/>
    </row>
    <row r="1451" spans="1:17">
      <c r="A1451" s="556" t="s">
        <v>3590</v>
      </c>
      <c r="B1451" s="557"/>
      <c r="C1451" s="558" t="s">
        <v>1939</v>
      </c>
      <c r="D1451" s="556" t="s">
        <v>4426</v>
      </c>
      <c r="E1451" s="17" t="s">
        <v>4885</v>
      </c>
      <c r="F1451" s="17">
        <v>13</v>
      </c>
      <c r="G1451" s="17">
        <v>3</v>
      </c>
      <c r="H1451" s="17" t="s">
        <v>3375</v>
      </c>
      <c r="I1451" s="17">
        <v>0</v>
      </c>
      <c r="J1451" s="17"/>
      <c r="K1451" s="17"/>
      <c r="L1451" s="17"/>
      <c r="M1451" s="17"/>
      <c r="N1451" s="17"/>
      <c r="O1451" s="17"/>
      <c r="P1451" s="17"/>
      <c r="Q1451" s="17"/>
    </row>
    <row r="1452" spans="1:17">
      <c r="A1452" s="556" t="s">
        <v>3590</v>
      </c>
      <c r="B1452" s="557"/>
      <c r="C1452" s="558" t="s">
        <v>1939</v>
      </c>
      <c r="D1452" s="556" t="s">
        <v>4324</v>
      </c>
      <c r="E1452" s="17" t="s">
        <v>4886</v>
      </c>
      <c r="F1452" s="17">
        <v>13</v>
      </c>
      <c r="G1452" s="17">
        <v>4</v>
      </c>
      <c r="H1452" s="17" t="s">
        <v>3376</v>
      </c>
      <c r="I1452" s="17"/>
      <c r="J1452" s="17"/>
      <c r="K1452" s="17"/>
      <c r="L1452" s="17"/>
      <c r="M1452" s="17"/>
      <c r="N1452" s="17"/>
      <c r="O1452" s="17"/>
      <c r="P1452" s="17"/>
      <c r="Q1452" s="17"/>
    </row>
    <row r="1453" spans="1:17">
      <c r="A1453" s="556" t="s">
        <v>3590</v>
      </c>
      <c r="B1453" s="557"/>
      <c r="C1453" s="558" t="s">
        <v>1939</v>
      </c>
      <c r="D1453" s="556" t="s">
        <v>4820</v>
      </c>
      <c r="E1453" s="17" t="s">
        <v>4887</v>
      </c>
      <c r="F1453" s="17">
        <v>13</v>
      </c>
      <c r="G1453" s="17">
        <v>5</v>
      </c>
      <c r="H1453" s="17" t="s">
        <v>3377</v>
      </c>
      <c r="I1453" s="17"/>
      <c r="J1453" s="17"/>
      <c r="K1453" s="17"/>
      <c r="L1453" s="17"/>
      <c r="M1453" s="17"/>
      <c r="N1453" s="17"/>
      <c r="O1453" s="17"/>
      <c r="P1453" s="17"/>
      <c r="Q1453" s="17"/>
    </row>
    <row r="1454" spans="1:17">
      <c r="A1454" s="556" t="s">
        <v>3590</v>
      </c>
      <c r="B1454" s="557"/>
      <c r="C1454" s="558" t="s">
        <v>1939</v>
      </c>
      <c r="D1454" s="556" t="s">
        <v>4822</v>
      </c>
      <c r="E1454" s="17" t="s">
        <v>8753</v>
      </c>
      <c r="F1454" s="17">
        <v>13</v>
      </c>
      <c r="G1454" s="17">
        <v>6</v>
      </c>
      <c r="H1454" s="564" t="s">
        <v>3460</v>
      </c>
      <c r="I1454" s="567"/>
      <c r="J1454" s="17"/>
      <c r="K1454" s="17"/>
      <c r="L1454" s="17"/>
      <c r="M1454" s="17"/>
      <c r="N1454" s="17"/>
      <c r="O1454" s="17"/>
      <c r="P1454" s="17"/>
      <c r="Q1454" s="17"/>
    </row>
    <row r="1455" spans="1:17">
      <c r="A1455" s="556" t="s">
        <v>3590</v>
      </c>
      <c r="B1455" s="557"/>
      <c r="C1455" s="558" t="s">
        <v>9226</v>
      </c>
      <c r="D1455" s="556" t="s">
        <v>1693</v>
      </c>
      <c r="E1455" s="17" t="s">
        <v>4888</v>
      </c>
      <c r="F1455" s="17">
        <v>14</v>
      </c>
      <c r="G1455" s="17">
        <v>1</v>
      </c>
      <c r="H1455" s="17" t="s">
        <v>3695</v>
      </c>
      <c r="I1455" s="17"/>
      <c r="J1455" s="17"/>
      <c r="K1455" s="17"/>
      <c r="L1455" s="17"/>
      <c r="M1455" s="17"/>
      <c r="N1455" s="17"/>
      <c r="O1455" s="17"/>
      <c r="P1455" s="17"/>
      <c r="Q1455" s="17"/>
    </row>
    <row r="1456" spans="1:17">
      <c r="A1456" s="556" t="s">
        <v>3590</v>
      </c>
      <c r="B1456" s="557"/>
      <c r="C1456" s="558" t="s">
        <v>9226</v>
      </c>
      <c r="D1456" s="556" t="s">
        <v>1694</v>
      </c>
      <c r="E1456" s="17" t="s">
        <v>4889</v>
      </c>
      <c r="F1456" s="17">
        <v>14</v>
      </c>
      <c r="G1456" s="17">
        <v>2</v>
      </c>
      <c r="H1456" s="17" t="s">
        <v>3378</v>
      </c>
      <c r="I1456" s="17"/>
      <c r="J1456" s="17"/>
      <c r="K1456" s="17"/>
      <c r="L1456" s="17"/>
      <c r="M1456" s="17"/>
      <c r="N1456" s="17"/>
      <c r="O1456" s="17"/>
      <c r="P1456" s="17"/>
      <c r="Q1456" s="17"/>
    </row>
    <row r="1457" spans="1:17">
      <c r="A1457" s="556" t="s">
        <v>3590</v>
      </c>
      <c r="B1457" s="557"/>
      <c r="C1457" s="558" t="s">
        <v>9226</v>
      </c>
      <c r="D1457" s="556" t="s">
        <v>4426</v>
      </c>
      <c r="E1457" s="17" t="s">
        <v>4890</v>
      </c>
      <c r="F1457" s="17">
        <v>14</v>
      </c>
      <c r="G1457" s="17">
        <v>3</v>
      </c>
      <c r="H1457" s="17" t="s">
        <v>3379</v>
      </c>
      <c r="I1457" s="17">
        <v>0</v>
      </c>
      <c r="J1457" s="17"/>
      <c r="K1457" s="17"/>
      <c r="L1457" s="17"/>
      <c r="M1457" s="17"/>
      <c r="N1457" s="17"/>
      <c r="O1457" s="17"/>
      <c r="P1457" s="17"/>
      <c r="Q1457" s="17"/>
    </row>
    <row r="1458" spans="1:17">
      <c r="A1458" s="556" t="s">
        <v>3590</v>
      </c>
      <c r="B1458" s="557"/>
      <c r="C1458" s="558" t="s">
        <v>9226</v>
      </c>
      <c r="D1458" s="556" t="s">
        <v>4324</v>
      </c>
      <c r="E1458" s="17" t="s">
        <v>4891</v>
      </c>
      <c r="F1458" s="17">
        <v>14</v>
      </c>
      <c r="G1458" s="17">
        <v>4</v>
      </c>
      <c r="H1458" s="17" t="s">
        <v>3380</v>
      </c>
      <c r="I1458" s="17"/>
      <c r="J1458" s="17"/>
      <c r="K1458" s="17"/>
      <c r="L1458" s="17"/>
      <c r="M1458" s="17"/>
      <c r="N1458" s="17"/>
      <c r="O1458" s="17"/>
      <c r="P1458" s="17"/>
      <c r="Q1458" s="17"/>
    </row>
    <row r="1459" spans="1:17">
      <c r="A1459" s="556" t="s">
        <v>3590</v>
      </c>
      <c r="B1459" s="557"/>
      <c r="C1459" s="558" t="s">
        <v>9226</v>
      </c>
      <c r="D1459" s="556" t="s">
        <v>4820</v>
      </c>
      <c r="E1459" s="17" t="s">
        <v>4892</v>
      </c>
      <c r="F1459" s="17">
        <v>14</v>
      </c>
      <c r="G1459" s="17">
        <v>5</v>
      </c>
      <c r="H1459" s="17" t="s">
        <v>3381</v>
      </c>
      <c r="I1459" s="17"/>
      <c r="J1459" s="17"/>
      <c r="K1459" s="17"/>
      <c r="L1459" s="17"/>
      <c r="M1459" s="17"/>
      <c r="N1459" s="17"/>
      <c r="O1459" s="17"/>
      <c r="P1459" s="17"/>
      <c r="Q1459" s="17"/>
    </row>
    <row r="1460" spans="1:17">
      <c r="A1460" s="556" t="s">
        <v>3590</v>
      </c>
      <c r="B1460" s="557"/>
      <c r="C1460" s="558" t="s">
        <v>9226</v>
      </c>
      <c r="D1460" s="556" t="s">
        <v>4822</v>
      </c>
      <c r="E1460" s="17" t="s">
        <v>8754</v>
      </c>
      <c r="F1460" s="17">
        <v>14</v>
      </c>
      <c r="G1460" s="17">
        <v>6</v>
      </c>
      <c r="H1460" s="564" t="s">
        <v>3461</v>
      </c>
      <c r="I1460" s="567"/>
      <c r="J1460" s="17"/>
      <c r="K1460" s="17"/>
      <c r="L1460" s="17"/>
      <c r="M1460" s="17"/>
      <c r="N1460" s="17"/>
      <c r="O1460" s="17"/>
      <c r="P1460" s="17"/>
      <c r="Q1460" s="17"/>
    </row>
    <row r="1461" spans="1:17">
      <c r="A1461" s="556" t="s">
        <v>3590</v>
      </c>
      <c r="B1461" s="557"/>
      <c r="C1461" s="558" t="s">
        <v>1940</v>
      </c>
      <c r="D1461" s="556" t="s">
        <v>1693</v>
      </c>
      <c r="E1461" s="17" t="s">
        <v>4893</v>
      </c>
      <c r="F1461" s="17">
        <v>15</v>
      </c>
      <c r="G1461" s="17">
        <v>1</v>
      </c>
      <c r="H1461" s="17" t="s">
        <v>7788</v>
      </c>
      <c r="I1461" s="17"/>
      <c r="J1461" s="17"/>
      <c r="K1461" s="17"/>
      <c r="L1461" s="17"/>
      <c r="M1461" s="17"/>
      <c r="N1461" s="17"/>
      <c r="O1461" s="17"/>
      <c r="P1461" s="17"/>
      <c r="Q1461" s="17"/>
    </row>
    <row r="1462" spans="1:17">
      <c r="A1462" s="556" t="s">
        <v>3590</v>
      </c>
      <c r="B1462" s="557"/>
      <c r="C1462" s="558" t="s">
        <v>1940</v>
      </c>
      <c r="D1462" s="556" t="s">
        <v>1694</v>
      </c>
      <c r="E1462" s="17" t="s">
        <v>4894</v>
      </c>
      <c r="F1462" s="17">
        <v>15</v>
      </c>
      <c r="G1462" s="17">
        <v>2</v>
      </c>
      <c r="H1462" s="17" t="s">
        <v>3382</v>
      </c>
      <c r="I1462" s="17"/>
      <c r="J1462" s="17"/>
      <c r="K1462" s="17"/>
      <c r="L1462" s="17"/>
      <c r="M1462" s="17"/>
      <c r="N1462" s="17"/>
      <c r="O1462" s="17"/>
      <c r="P1462" s="17"/>
      <c r="Q1462" s="17"/>
    </row>
    <row r="1463" spans="1:17">
      <c r="A1463" s="556" t="s">
        <v>3590</v>
      </c>
      <c r="B1463" s="557"/>
      <c r="C1463" s="558" t="s">
        <v>1940</v>
      </c>
      <c r="D1463" s="556" t="s">
        <v>4426</v>
      </c>
      <c r="E1463" s="17" t="s">
        <v>4895</v>
      </c>
      <c r="F1463" s="17">
        <v>15</v>
      </c>
      <c r="G1463" s="17">
        <v>3</v>
      </c>
      <c r="H1463" s="17" t="s">
        <v>3383</v>
      </c>
      <c r="I1463" s="17">
        <v>0</v>
      </c>
      <c r="J1463" s="17"/>
      <c r="K1463" s="17"/>
      <c r="L1463" s="17"/>
      <c r="M1463" s="17"/>
      <c r="N1463" s="17"/>
      <c r="O1463" s="17"/>
      <c r="P1463" s="17"/>
      <c r="Q1463" s="17"/>
    </row>
    <row r="1464" spans="1:17">
      <c r="A1464" s="556" t="s">
        <v>3590</v>
      </c>
      <c r="B1464" s="557"/>
      <c r="C1464" s="558" t="s">
        <v>1940</v>
      </c>
      <c r="D1464" s="556" t="s">
        <v>4324</v>
      </c>
      <c r="E1464" s="17" t="s">
        <v>4896</v>
      </c>
      <c r="F1464" s="17">
        <v>15</v>
      </c>
      <c r="G1464" s="17">
        <v>4</v>
      </c>
      <c r="H1464" s="17" t="s">
        <v>3384</v>
      </c>
      <c r="I1464" s="17"/>
      <c r="J1464" s="17"/>
      <c r="K1464" s="17"/>
      <c r="L1464" s="17"/>
      <c r="M1464" s="17"/>
      <c r="N1464" s="17"/>
      <c r="O1464" s="17"/>
      <c r="P1464" s="17"/>
      <c r="Q1464" s="17"/>
    </row>
    <row r="1465" spans="1:17">
      <c r="A1465" s="556" t="s">
        <v>3590</v>
      </c>
      <c r="B1465" s="557"/>
      <c r="C1465" s="558" t="s">
        <v>1940</v>
      </c>
      <c r="D1465" s="556" t="s">
        <v>4820</v>
      </c>
      <c r="E1465" s="17" t="s">
        <v>4897</v>
      </c>
      <c r="F1465" s="17">
        <v>15</v>
      </c>
      <c r="G1465" s="17">
        <v>5</v>
      </c>
      <c r="H1465" s="17" t="s">
        <v>3385</v>
      </c>
      <c r="I1465" s="17"/>
      <c r="J1465" s="17"/>
      <c r="K1465" s="17"/>
      <c r="L1465" s="17"/>
      <c r="M1465" s="17"/>
      <c r="N1465" s="17"/>
      <c r="O1465" s="17"/>
      <c r="P1465" s="17"/>
      <c r="Q1465" s="17"/>
    </row>
    <row r="1466" spans="1:17">
      <c r="A1466" s="556" t="s">
        <v>3590</v>
      </c>
      <c r="B1466" s="557"/>
      <c r="C1466" s="558" t="s">
        <v>1940</v>
      </c>
      <c r="D1466" s="556" t="s">
        <v>4822</v>
      </c>
      <c r="E1466" s="17" t="s">
        <v>8755</v>
      </c>
      <c r="F1466" s="17">
        <v>15</v>
      </c>
      <c r="G1466" s="17">
        <v>6</v>
      </c>
      <c r="H1466" s="564" t="s">
        <v>3462</v>
      </c>
      <c r="I1466" s="567"/>
      <c r="J1466" s="17"/>
      <c r="K1466" s="17"/>
      <c r="L1466" s="17"/>
      <c r="M1466" s="17"/>
      <c r="N1466" s="17"/>
      <c r="O1466" s="17"/>
      <c r="P1466" s="17"/>
      <c r="Q1466" s="17"/>
    </row>
    <row r="1467" spans="1:17">
      <c r="A1467" s="556" t="s">
        <v>3590</v>
      </c>
      <c r="B1467" s="557"/>
      <c r="C1467" s="558" t="s">
        <v>9227</v>
      </c>
      <c r="D1467" s="556" t="s">
        <v>1693</v>
      </c>
      <c r="E1467" s="17" t="s">
        <v>4898</v>
      </c>
      <c r="F1467" s="17">
        <v>16</v>
      </c>
      <c r="G1467" s="17">
        <v>1</v>
      </c>
      <c r="H1467" s="17" t="s">
        <v>7790</v>
      </c>
      <c r="I1467" s="17"/>
      <c r="J1467" s="17"/>
      <c r="K1467" s="17"/>
      <c r="L1467" s="17"/>
      <c r="M1467" s="17"/>
      <c r="N1467" s="17"/>
      <c r="O1467" s="17"/>
      <c r="P1467" s="17"/>
      <c r="Q1467" s="17"/>
    </row>
    <row r="1468" spans="1:17">
      <c r="A1468" s="556" t="s">
        <v>3590</v>
      </c>
      <c r="B1468" s="557"/>
      <c r="C1468" s="558" t="s">
        <v>9227</v>
      </c>
      <c r="D1468" s="556" t="s">
        <v>1694</v>
      </c>
      <c r="E1468" s="17" t="s">
        <v>4899</v>
      </c>
      <c r="F1468" s="17">
        <v>16</v>
      </c>
      <c r="G1468" s="17">
        <v>2</v>
      </c>
      <c r="H1468" s="17" t="s">
        <v>3386</v>
      </c>
      <c r="I1468" s="17"/>
      <c r="J1468" s="17"/>
      <c r="K1468" s="17"/>
      <c r="L1468" s="17"/>
      <c r="M1468" s="17"/>
      <c r="N1468" s="17"/>
      <c r="O1468" s="17"/>
      <c r="P1468" s="17"/>
      <c r="Q1468" s="17"/>
    </row>
    <row r="1469" spans="1:17">
      <c r="A1469" s="556" t="s">
        <v>3590</v>
      </c>
      <c r="B1469" s="557"/>
      <c r="C1469" s="558" t="s">
        <v>9227</v>
      </c>
      <c r="D1469" s="556" t="s">
        <v>4426</v>
      </c>
      <c r="E1469" s="17" t="s">
        <v>4900</v>
      </c>
      <c r="F1469" s="17">
        <v>16</v>
      </c>
      <c r="G1469" s="17">
        <v>3</v>
      </c>
      <c r="H1469" s="17" t="s">
        <v>3387</v>
      </c>
      <c r="I1469" s="17">
        <v>0</v>
      </c>
      <c r="J1469" s="17"/>
      <c r="K1469" s="17"/>
      <c r="L1469" s="17"/>
      <c r="M1469" s="17"/>
      <c r="N1469" s="17"/>
      <c r="O1469" s="17"/>
      <c r="P1469" s="17"/>
      <c r="Q1469" s="17"/>
    </row>
    <row r="1470" spans="1:17">
      <c r="A1470" s="556" t="s">
        <v>3590</v>
      </c>
      <c r="B1470" s="557"/>
      <c r="C1470" s="558" t="s">
        <v>9227</v>
      </c>
      <c r="D1470" s="556" t="s">
        <v>4324</v>
      </c>
      <c r="E1470" s="17" t="s">
        <v>4901</v>
      </c>
      <c r="F1470" s="17">
        <v>16</v>
      </c>
      <c r="G1470" s="17">
        <v>4</v>
      </c>
      <c r="H1470" s="17" t="s">
        <v>3388</v>
      </c>
      <c r="I1470" s="17"/>
      <c r="J1470" s="17"/>
      <c r="K1470" s="17"/>
      <c r="L1470" s="17"/>
      <c r="M1470" s="17"/>
      <c r="N1470" s="17"/>
      <c r="O1470" s="17"/>
      <c r="P1470" s="17"/>
      <c r="Q1470" s="17"/>
    </row>
    <row r="1471" spans="1:17">
      <c r="A1471" s="556" t="s">
        <v>3590</v>
      </c>
      <c r="B1471" s="557"/>
      <c r="C1471" s="558" t="s">
        <v>9227</v>
      </c>
      <c r="D1471" s="556" t="s">
        <v>4820</v>
      </c>
      <c r="E1471" s="17" t="s">
        <v>4902</v>
      </c>
      <c r="F1471" s="17">
        <v>16</v>
      </c>
      <c r="G1471" s="17">
        <v>5</v>
      </c>
      <c r="H1471" s="17" t="s">
        <v>3389</v>
      </c>
      <c r="I1471" s="17"/>
      <c r="J1471" s="17"/>
      <c r="K1471" s="17"/>
      <c r="L1471" s="17"/>
      <c r="M1471" s="17"/>
      <c r="N1471" s="17"/>
      <c r="O1471" s="17"/>
      <c r="P1471" s="17"/>
      <c r="Q1471" s="17"/>
    </row>
    <row r="1472" spans="1:17">
      <c r="A1472" s="556" t="s">
        <v>3590</v>
      </c>
      <c r="B1472" s="557"/>
      <c r="C1472" s="558" t="s">
        <v>9227</v>
      </c>
      <c r="D1472" s="556" t="s">
        <v>4822</v>
      </c>
      <c r="E1472" s="17" t="s">
        <v>8756</v>
      </c>
      <c r="F1472" s="17">
        <v>16</v>
      </c>
      <c r="G1472" s="17">
        <v>6</v>
      </c>
      <c r="H1472" s="564" t="s">
        <v>3463</v>
      </c>
      <c r="I1472" s="567"/>
      <c r="J1472" s="17"/>
      <c r="K1472" s="17"/>
      <c r="L1472" s="17"/>
      <c r="M1472" s="17"/>
      <c r="N1472" s="17"/>
      <c r="O1472" s="17"/>
      <c r="P1472" s="17"/>
      <c r="Q1472" s="17"/>
    </row>
    <row r="1473" spans="1:17">
      <c r="A1473" s="556" t="s">
        <v>3590</v>
      </c>
      <c r="B1473" s="557"/>
      <c r="C1473" s="558" t="s">
        <v>1941</v>
      </c>
      <c r="D1473" s="556" t="s">
        <v>1693</v>
      </c>
      <c r="E1473" s="17" t="s">
        <v>4903</v>
      </c>
      <c r="F1473" s="17">
        <v>17</v>
      </c>
      <c r="G1473" s="17">
        <v>1</v>
      </c>
      <c r="H1473" s="17" t="s">
        <v>7792</v>
      </c>
      <c r="I1473" s="17">
        <v>0</v>
      </c>
      <c r="J1473" s="17"/>
      <c r="K1473" s="17"/>
      <c r="L1473" s="17"/>
      <c r="M1473" s="17"/>
      <c r="N1473" s="17"/>
      <c r="O1473" s="17"/>
      <c r="P1473" s="17"/>
      <c r="Q1473" s="17"/>
    </row>
    <row r="1474" spans="1:17">
      <c r="A1474" s="556" t="s">
        <v>3590</v>
      </c>
      <c r="B1474" s="557"/>
      <c r="C1474" s="558" t="s">
        <v>1941</v>
      </c>
      <c r="D1474" s="556" t="s">
        <v>1694</v>
      </c>
      <c r="E1474" s="17" t="s">
        <v>4904</v>
      </c>
      <c r="F1474" s="17">
        <v>17</v>
      </c>
      <c r="G1474" s="17">
        <v>2</v>
      </c>
      <c r="H1474" s="17" t="s">
        <v>3390</v>
      </c>
      <c r="I1474" s="17">
        <v>0</v>
      </c>
      <c r="J1474" s="17"/>
      <c r="K1474" s="17"/>
      <c r="L1474" s="17"/>
      <c r="M1474" s="17"/>
      <c r="N1474" s="17"/>
      <c r="O1474" s="17"/>
      <c r="P1474" s="17"/>
      <c r="Q1474" s="17"/>
    </row>
    <row r="1475" spans="1:17">
      <c r="A1475" s="556" t="s">
        <v>3590</v>
      </c>
      <c r="B1475" s="557"/>
      <c r="C1475" s="558" t="s">
        <v>1941</v>
      </c>
      <c r="D1475" s="556" t="s">
        <v>4426</v>
      </c>
      <c r="E1475" s="17" t="s">
        <v>4905</v>
      </c>
      <c r="F1475" s="17">
        <v>17</v>
      </c>
      <c r="G1475" s="17">
        <v>3</v>
      </c>
      <c r="H1475" s="17" t="s">
        <v>3391</v>
      </c>
      <c r="I1475" s="17">
        <v>0</v>
      </c>
      <c r="J1475" s="17"/>
      <c r="K1475" s="17"/>
      <c r="L1475" s="17"/>
      <c r="M1475" s="17"/>
      <c r="N1475" s="17"/>
      <c r="O1475" s="17"/>
      <c r="P1475" s="17"/>
      <c r="Q1475" s="17"/>
    </row>
    <row r="1476" spans="1:17">
      <c r="A1476" s="556" t="s">
        <v>3590</v>
      </c>
      <c r="B1476" s="557"/>
      <c r="C1476" s="558" t="s">
        <v>1941</v>
      </c>
      <c r="D1476" s="556" t="s">
        <v>4324</v>
      </c>
      <c r="E1476" s="17" t="s">
        <v>4906</v>
      </c>
      <c r="F1476" s="17">
        <v>17</v>
      </c>
      <c r="G1476" s="17">
        <v>4</v>
      </c>
      <c r="H1476" s="17" t="s">
        <v>3392</v>
      </c>
      <c r="I1476" s="17"/>
      <c r="J1476" s="17"/>
      <c r="K1476" s="17"/>
      <c r="L1476" s="17"/>
      <c r="M1476" s="17"/>
      <c r="N1476" s="17"/>
      <c r="O1476" s="17"/>
      <c r="P1476" s="17"/>
      <c r="Q1476" s="17"/>
    </row>
    <row r="1477" spans="1:17">
      <c r="A1477" s="556" t="s">
        <v>3590</v>
      </c>
      <c r="B1477" s="557"/>
      <c r="C1477" s="558" t="s">
        <v>1942</v>
      </c>
      <c r="D1477" s="556" t="s">
        <v>1693</v>
      </c>
      <c r="E1477" s="17" t="s">
        <v>4907</v>
      </c>
      <c r="F1477" s="17">
        <v>18</v>
      </c>
      <c r="G1477" s="17">
        <v>1</v>
      </c>
      <c r="H1477" s="17" t="s">
        <v>7794</v>
      </c>
      <c r="I1477" s="17">
        <v>0</v>
      </c>
      <c r="J1477" s="17"/>
      <c r="K1477" s="17"/>
      <c r="L1477" s="17"/>
      <c r="M1477" s="17"/>
      <c r="N1477" s="17"/>
      <c r="O1477" s="17"/>
      <c r="P1477" s="17"/>
      <c r="Q1477" s="17"/>
    </row>
    <row r="1478" spans="1:17">
      <c r="A1478" s="556" t="s">
        <v>3590</v>
      </c>
      <c r="B1478" s="557"/>
      <c r="C1478" s="558" t="s">
        <v>1942</v>
      </c>
      <c r="D1478" s="556" t="s">
        <v>1694</v>
      </c>
      <c r="E1478" s="17" t="s">
        <v>4908</v>
      </c>
      <c r="F1478" s="17">
        <v>18</v>
      </c>
      <c r="G1478" s="17">
        <v>2</v>
      </c>
      <c r="H1478" s="17" t="s">
        <v>3394</v>
      </c>
      <c r="I1478" s="17">
        <v>0</v>
      </c>
      <c r="J1478" s="17"/>
      <c r="K1478" s="17"/>
      <c r="L1478" s="17"/>
      <c r="M1478" s="17"/>
      <c r="N1478" s="17"/>
      <c r="O1478" s="17"/>
      <c r="P1478" s="17"/>
      <c r="Q1478" s="17"/>
    </row>
    <row r="1479" spans="1:17">
      <c r="A1479" s="556" t="s">
        <v>3590</v>
      </c>
      <c r="B1479" s="557"/>
      <c r="C1479" s="558" t="s">
        <v>1942</v>
      </c>
      <c r="D1479" s="556" t="s">
        <v>4426</v>
      </c>
      <c r="E1479" s="17" t="s">
        <v>4909</v>
      </c>
      <c r="F1479" s="17">
        <v>18</v>
      </c>
      <c r="G1479" s="17">
        <v>3</v>
      </c>
      <c r="H1479" s="17" t="s">
        <v>3395</v>
      </c>
      <c r="I1479" s="17">
        <v>0</v>
      </c>
      <c r="J1479" s="17"/>
      <c r="K1479" s="17"/>
      <c r="L1479" s="17"/>
      <c r="M1479" s="17"/>
      <c r="N1479" s="17"/>
      <c r="O1479" s="17"/>
      <c r="P1479" s="17"/>
      <c r="Q1479" s="17"/>
    </row>
    <row r="1480" spans="1:17">
      <c r="A1480" s="556" t="s">
        <v>3590</v>
      </c>
      <c r="B1480" s="557"/>
      <c r="C1480" s="558" t="s">
        <v>1942</v>
      </c>
      <c r="D1480" s="556" t="s">
        <v>4324</v>
      </c>
      <c r="E1480" s="17" t="s">
        <v>4910</v>
      </c>
      <c r="F1480" s="17">
        <v>18</v>
      </c>
      <c r="G1480" s="17">
        <v>4</v>
      </c>
      <c r="H1480" s="17" t="s">
        <v>3396</v>
      </c>
      <c r="I1480" s="17"/>
      <c r="J1480" s="17"/>
      <c r="K1480" s="17"/>
      <c r="L1480" s="17"/>
      <c r="M1480" s="17"/>
      <c r="N1480" s="17"/>
      <c r="O1480" s="17"/>
      <c r="P1480" s="17"/>
      <c r="Q1480" s="17"/>
    </row>
    <row r="1481" spans="1:17">
      <c r="A1481" s="556" t="s">
        <v>3592</v>
      </c>
      <c r="B1481" s="557"/>
      <c r="C1481" s="558" t="s">
        <v>1948</v>
      </c>
      <c r="D1481" s="556" t="s">
        <v>1693</v>
      </c>
      <c r="E1481" s="17" t="s">
        <v>4911</v>
      </c>
      <c r="F1481" s="17">
        <v>1</v>
      </c>
      <c r="G1481" s="17">
        <v>1</v>
      </c>
      <c r="H1481" s="17" t="s">
        <v>3701</v>
      </c>
      <c r="I1481" s="17"/>
      <c r="J1481" s="17"/>
      <c r="K1481" s="17"/>
      <c r="L1481" s="17"/>
      <c r="M1481" s="17"/>
      <c r="N1481" s="17"/>
      <c r="O1481" s="17"/>
      <c r="P1481" s="17"/>
      <c r="Q1481" s="17"/>
    </row>
    <row r="1482" spans="1:17">
      <c r="A1482" s="556" t="s">
        <v>3592</v>
      </c>
      <c r="B1482" s="557"/>
      <c r="C1482" s="558" t="s">
        <v>1948</v>
      </c>
      <c r="D1482" s="556" t="s">
        <v>1694</v>
      </c>
      <c r="E1482" s="17" t="s">
        <v>4912</v>
      </c>
      <c r="F1482" s="17">
        <v>1</v>
      </c>
      <c r="G1482" s="17">
        <v>2</v>
      </c>
      <c r="H1482" s="17" t="s">
        <v>3714</v>
      </c>
      <c r="I1482" s="17"/>
      <c r="J1482" s="17"/>
      <c r="K1482" s="17"/>
      <c r="L1482" s="17"/>
      <c r="M1482" s="17"/>
      <c r="N1482" s="17"/>
      <c r="O1482" s="17"/>
      <c r="P1482" s="17"/>
      <c r="Q1482" s="17"/>
    </row>
    <row r="1483" spans="1:17">
      <c r="A1483" s="556" t="s">
        <v>3592</v>
      </c>
      <c r="B1483" s="557"/>
      <c r="C1483" s="558" t="s">
        <v>1948</v>
      </c>
      <c r="D1483" s="556" t="s">
        <v>4426</v>
      </c>
      <c r="E1483" s="17" t="s">
        <v>4913</v>
      </c>
      <c r="F1483" s="17">
        <v>1</v>
      </c>
      <c r="G1483" s="17">
        <v>3</v>
      </c>
      <c r="H1483" s="17" t="s">
        <v>3720</v>
      </c>
      <c r="I1483" s="17">
        <v>0</v>
      </c>
      <c r="J1483" s="17"/>
      <c r="K1483" s="17"/>
      <c r="L1483" s="17"/>
      <c r="M1483" s="17"/>
      <c r="N1483" s="17"/>
      <c r="O1483" s="17"/>
      <c r="P1483" s="17"/>
      <c r="Q1483" s="17"/>
    </row>
    <row r="1484" spans="1:17">
      <c r="A1484" s="556" t="s">
        <v>3592</v>
      </c>
      <c r="B1484" s="557"/>
      <c r="C1484" s="558" t="s">
        <v>1948</v>
      </c>
      <c r="D1484" s="556" t="s">
        <v>4324</v>
      </c>
      <c r="E1484" s="17" t="s">
        <v>4914</v>
      </c>
      <c r="F1484" s="17">
        <v>1</v>
      </c>
      <c r="G1484" s="17">
        <v>4</v>
      </c>
      <c r="H1484" s="17" t="s">
        <v>3721</v>
      </c>
      <c r="I1484" s="17"/>
      <c r="J1484" s="17"/>
      <c r="K1484" s="17"/>
      <c r="L1484" s="17"/>
      <c r="M1484" s="17"/>
      <c r="N1484" s="17"/>
      <c r="O1484" s="17"/>
      <c r="P1484" s="17"/>
      <c r="Q1484" s="17"/>
    </row>
    <row r="1485" spans="1:17">
      <c r="A1485" s="556" t="s">
        <v>3592</v>
      </c>
      <c r="B1485" s="557"/>
      <c r="C1485" s="558" t="s">
        <v>1948</v>
      </c>
      <c r="D1485" s="556" t="s">
        <v>4822</v>
      </c>
      <c r="E1485" s="17" t="s">
        <v>4915</v>
      </c>
      <c r="F1485" s="17">
        <v>1</v>
      </c>
      <c r="G1485" s="17">
        <v>5</v>
      </c>
      <c r="H1485" s="17" t="s">
        <v>7813</v>
      </c>
      <c r="I1485" s="17"/>
      <c r="J1485" s="17"/>
      <c r="K1485" s="17"/>
      <c r="L1485" s="17"/>
      <c r="M1485" s="17"/>
      <c r="N1485" s="17"/>
      <c r="O1485" s="17"/>
      <c r="P1485" s="17"/>
      <c r="Q1485" s="17"/>
    </row>
    <row r="1486" spans="1:17">
      <c r="A1486" s="556" t="s">
        <v>3592</v>
      </c>
      <c r="B1486" s="557"/>
      <c r="C1486" s="558" t="s">
        <v>1949</v>
      </c>
      <c r="D1486" s="556" t="s">
        <v>1693</v>
      </c>
      <c r="E1486" s="17" t="s">
        <v>4916</v>
      </c>
      <c r="F1486" s="17">
        <v>2</v>
      </c>
      <c r="G1486" s="17">
        <v>1</v>
      </c>
      <c r="H1486" s="17" t="s">
        <v>3519</v>
      </c>
      <c r="I1486" s="17"/>
      <c r="J1486" s="17"/>
      <c r="K1486" s="17"/>
      <c r="L1486" s="17"/>
      <c r="M1486" s="17"/>
      <c r="N1486" s="17"/>
      <c r="O1486" s="17"/>
      <c r="P1486" s="17"/>
      <c r="Q1486" s="17"/>
    </row>
    <row r="1487" spans="1:17">
      <c r="A1487" s="556" t="s">
        <v>3592</v>
      </c>
      <c r="B1487" s="557"/>
      <c r="C1487" s="558" t="s">
        <v>1949</v>
      </c>
      <c r="D1487" s="556" t="s">
        <v>1694</v>
      </c>
      <c r="E1487" s="17" t="s">
        <v>4917</v>
      </c>
      <c r="F1487" s="17">
        <v>2</v>
      </c>
      <c r="G1487" s="17">
        <v>2</v>
      </c>
      <c r="H1487" s="17" t="s">
        <v>3520</v>
      </c>
      <c r="I1487" s="17"/>
      <c r="J1487" s="17"/>
      <c r="K1487" s="17"/>
      <c r="L1487" s="17"/>
      <c r="M1487" s="17"/>
      <c r="N1487" s="17"/>
      <c r="O1487" s="17"/>
      <c r="P1487" s="17"/>
      <c r="Q1487" s="17"/>
    </row>
    <row r="1488" spans="1:17">
      <c r="A1488" s="556" t="s">
        <v>3592</v>
      </c>
      <c r="B1488" s="557"/>
      <c r="C1488" s="558" t="s">
        <v>1949</v>
      </c>
      <c r="D1488" s="556" t="s">
        <v>4426</v>
      </c>
      <c r="E1488" s="17" t="s">
        <v>4918</v>
      </c>
      <c r="F1488" s="17">
        <v>2</v>
      </c>
      <c r="G1488" s="17">
        <v>3</v>
      </c>
      <c r="H1488" s="17" t="s">
        <v>3521</v>
      </c>
      <c r="I1488" s="17">
        <v>0</v>
      </c>
      <c r="J1488" s="17"/>
      <c r="K1488" s="17"/>
      <c r="L1488" s="17"/>
      <c r="M1488" s="17"/>
      <c r="N1488" s="17"/>
      <c r="O1488" s="17"/>
      <c r="P1488" s="17"/>
      <c r="Q1488" s="17"/>
    </row>
    <row r="1489" spans="1:17">
      <c r="A1489" s="556" t="s">
        <v>3592</v>
      </c>
      <c r="B1489" s="557"/>
      <c r="C1489" s="558" t="s">
        <v>1949</v>
      </c>
      <c r="D1489" s="556" t="s">
        <v>4324</v>
      </c>
      <c r="E1489" s="17" t="s">
        <v>4919</v>
      </c>
      <c r="F1489" s="17">
        <v>2</v>
      </c>
      <c r="G1489" s="17">
        <v>4</v>
      </c>
      <c r="H1489" s="17" t="s">
        <v>3505</v>
      </c>
      <c r="I1489" s="17"/>
      <c r="J1489" s="17"/>
      <c r="K1489" s="17"/>
      <c r="L1489" s="17"/>
      <c r="M1489" s="17"/>
      <c r="N1489" s="17"/>
      <c r="O1489" s="17"/>
      <c r="P1489" s="17"/>
      <c r="Q1489" s="17"/>
    </row>
    <row r="1490" spans="1:17">
      <c r="A1490" s="556" t="s">
        <v>3592</v>
      </c>
      <c r="B1490" s="557"/>
      <c r="C1490" s="558" t="s">
        <v>1949</v>
      </c>
      <c r="D1490" s="556" t="s">
        <v>4822</v>
      </c>
      <c r="E1490" s="17" t="s">
        <v>4920</v>
      </c>
      <c r="F1490" s="17">
        <v>2</v>
      </c>
      <c r="G1490" s="17">
        <v>5</v>
      </c>
      <c r="H1490" s="17" t="s">
        <v>3522</v>
      </c>
      <c r="I1490" s="17"/>
      <c r="J1490" s="17"/>
      <c r="K1490" s="17"/>
      <c r="L1490" s="17"/>
      <c r="M1490" s="17"/>
      <c r="N1490" s="17"/>
      <c r="O1490" s="17"/>
      <c r="P1490" s="17"/>
      <c r="Q1490" s="17"/>
    </row>
    <row r="1491" spans="1:17">
      <c r="A1491" s="556" t="s">
        <v>3592</v>
      </c>
      <c r="B1491" s="557"/>
      <c r="C1491" s="558" t="s">
        <v>1950</v>
      </c>
      <c r="D1491" s="556" t="s">
        <v>1693</v>
      </c>
      <c r="E1491" s="17" t="s">
        <v>4921</v>
      </c>
      <c r="F1491" s="17">
        <v>3</v>
      </c>
      <c r="G1491" s="17">
        <v>1</v>
      </c>
      <c r="H1491" s="17" t="s">
        <v>3338</v>
      </c>
      <c r="I1491" s="17"/>
      <c r="J1491" s="17"/>
      <c r="K1491" s="17"/>
      <c r="L1491" s="17"/>
      <c r="M1491" s="17"/>
      <c r="N1491" s="17"/>
      <c r="O1491" s="17"/>
      <c r="P1491" s="17"/>
      <c r="Q1491" s="17"/>
    </row>
    <row r="1492" spans="1:17">
      <c r="A1492" s="556" t="s">
        <v>3592</v>
      </c>
      <c r="B1492" s="557"/>
      <c r="C1492" s="558" t="s">
        <v>1950</v>
      </c>
      <c r="D1492" s="556" t="s">
        <v>1694</v>
      </c>
      <c r="E1492" s="17" t="s">
        <v>4922</v>
      </c>
      <c r="F1492" s="17">
        <v>3</v>
      </c>
      <c r="G1492" s="17">
        <v>2</v>
      </c>
      <c r="H1492" s="17" t="s">
        <v>2991</v>
      </c>
      <c r="I1492" s="17"/>
      <c r="J1492" s="17"/>
      <c r="K1492" s="17"/>
      <c r="L1492" s="17"/>
      <c r="M1492" s="17"/>
      <c r="N1492" s="17"/>
      <c r="O1492" s="17"/>
      <c r="P1492" s="17"/>
      <c r="Q1492" s="17"/>
    </row>
    <row r="1493" spans="1:17">
      <c r="A1493" s="556" t="s">
        <v>3592</v>
      </c>
      <c r="B1493" s="557"/>
      <c r="C1493" s="558" t="s">
        <v>1950</v>
      </c>
      <c r="D1493" s="556" t="s">
        <v>4426</v>
      </c>
      <c r="E1493" s="17" t="s">
        <v>4923</v>
      </c>
      <c r="F1493" s="17">
        <v>3</v>
      </c>
      <c r="G1493" s="17">
        <v>3</v>
      </c>
      <c r="H1493" s="17" t="s">
        <v>2992</v>
      </c>
      <c r="I1493" s="17">
        <v>0</v>
      </c>
      <c r="J1493" s="17"/>
      <c r="K1493" s="17"/>
      <c r="L1493" s="17"/>
      <c r="M1493" s="17"/>
      <c r="N1493" s="17"/>
      <c r="O1493" s="17"/>
      <c r="P1493" s="17"/>
      <c r="Q1493" s="17"/>
    </row>
    <row r="1494" spans="1:17">
      <c r="A1494" s="556" t="s">
        <v>3592</v>
      </c>
      <c r="B1494" s="557"/>
      <c r="C1494" s="558" t="s">
        <v>1950</v>
      </c>
      <c r="D1494" s="556" t="s">
        <v>4324</v>
      </c>
      <c r="E1494" s="17" t="s">
        <v>4924</v>
      </c>
      <c r="F1494" s="17">
        <v>3</v>
      </c>
      <c r="G1494" s="17">
        <v>4</v>
      </c>
      <c r="H1494" s="17" t="s">
        <v>3450</v>
      </c>
      <c r="I1494" s="17"/>
      <c r="J1494" s="17"/>
      <c r="K1494" s="17"/>
      <c r="L1494" s="17"/>
      <c r="M1494" s="17"/>
      <c r="N1494" s="17"/>
      <c r="O1494" s="17"/>
      <c r="P1494" s="17"/>
      <c r="Q1494" s="17"/>
    </row>
    <row r="1495" spans="1:17">
      <c r="A1495" s="556" t="s">
        <v>3592</v>
      </c>
      <c r="B1495" s="557"/>
      <c r="C1495" s="558" t="s">
        <v>1950</v>
      </c>
      <c r="D1495" s="556" t="s">
        <v>4822</v>
      </c>
      <c r="E1495" s="17" t="s">
        <v>4925</v>
      </c>
      <c r="F1495" s="17">
        <v>3</v>
      </c>
      <c r="G1495" s="17">
        <v>5</v>
      </c>
      <c r="H1495" s="17" t="s">
        <v>7803</v>
      </c>
      <c r="I1495" s="17"/>
      <c r="J1495" s="17"/>
      <c r="K1495" s="17"/>
      <c r="L1495" s="17"/>
      <c r="M1495" s="17"/>
      <c r="N1495" s="17"/>
      <c r="O1495" s="17"/>
      <c r="P1495" s="17"/>
      <c r="Q1495" s="17"/>
    </row>
    <row r="1496" spans="1:17">
      <c r="A1496" s="556" t="s">
        <v>3592</v>
      </c>
      <c r="B1496" s="557"/>
      <c r="C1496" s="558" t="s">
        <v>1951</v>
      </c>
      <c r="D1496" s="556" t="s">
        <v>1693</v>
      </c>
      <c r="E1496" s="17" t="s">
        <v>4926</v>
      </c>
      <c r="F1496" s="17">
        <v>4</v>
      </c>
      <c r="G1496" s="17">
        <v>1</v>
      </c>
      <c r="H1496" s="17" t="s">
        <v>3340</v>
      </c>
      <c r="I1496" s="17"/>
      <c r="J1496" s="17"/>
      <c r="K1496" s="17"/>
      <c r="L1496" s="17"/>
      <c r="M1496" s="17"/>
      <c r="N1496" s="17"/>
      <c r="O1496" s="17"/>
      <c r="P1496" s="17"/>
      <c r="Q1496" s="17"/>
    </row>
    <row r="1497" spans="1:17">
      <c r="A1497" s="556" t="s">
        <v>3592</v>
      </c>
      <c r="B1497" s="557"/>
      <c r="C1497" s="558" t="s">
        <v>1951</v>
      </c>
      <c r="D1497" s="556" t="s">
        <v>1694</v>
      </c>
      <c r="E1497" s="17" t="s">
        <v>4927</v>
      </c>
      <c r="F1497" s="17">
        <v>4</v>
      </c>
      <c r="G1497" s="17">
        <v>2</v>
      </c>
      <c r="H1497" s="17" t="s">
        <v>3341</v>
      </c>
      <c r="I1497" s="17"/>
      <c r="J1497" s="17"/>
      <c r="K1497" s="17"/>
      <c r="L1497" s="17"/>
      <c r="M1497" s="17"/>
      <c r="N1497" s="17"/>
      <c r="O1497" s="17"/>
      <c r="P1497" s="17"/>
      <c r="Q1497" s="17"/>
    </row>
    <row r="1498" spans="1:17">
      <c r="A1498" s="556" t="s">
        <v>3592</v>
      </c>
      <c r="B1498" s="557"/>
      <c r="C1498" s="558" t="s">
        <v>1951</v>
      </c>
      <c r="D1498" s="556" t="s">
        <v>4426</v>
      </c>
      <c r="E1498" s="17" t="s">
        <v>4928</v>
      </c>
      <c r="F1498" s="17">
        <v>4</v>
      </c>
      <c r="G1498" s="17">
        <v>3</v>
      </c>
      <c r="H1498" s="17" t="s">
        <v>3342</v>
      </c>
      <c r="I1498" s="17">
        <v>0</v>
      </c>
      <c r="J1498" s="17"/>
      <c r="K1498" s="17"/>
      <c r="L1498" s="17"/>
      <c r="M1498" s="17"/>
      <c r="N1498" s="17"/>
      <c r="O1498" s="17"/>
      <c r="P1498" s="17"/>
      <c r="Q1498" s="17"/>
    </row>
    <row r="1499" spans="1:17">
      <c r="A1499" s="556" t="s">
        <v>3592</v>
      </c>
      <c r="B1499" s="557"/>
      <c r="C1499" s="558" t="s">
        <v>1951</v>
      </c>
      <c r="D1499" s="556" t="s">
        <v>4324</v>
      </c>
      <c r="E1499" s="17" t="s">
        <v>4929</v>
      </c>
      <c r="F1499" s="17">
        <v>4</v>
      </c>
      <c r="G1499" s="17">
        <v>4</v>
      </c>
      <c r="H1499" s="17" t="s">
        <v>3451</v>
      </c>
      <c r="I1499" s="17"/>
      <c r="J1499" s="17"/>
      <c r="K1499" s="17"/>
      <c r="L1499" s="17"/>
      <c r="M1499" s="17"/>
      <c r="N1499" s="17"/>
      <c r="O1499" s="17"/>
      <c r="P1499" s="17"/>
      <c r="Q1499" s="17"/>
    </row>
    <row r="1500" spans="1:17">
      <c r="A1500" s="556" t="s">
        <v>3592</v>
      </c>
      <c r="B1500" s="557"/>
      <c r="C1500" s="558" t="s">
        <v>1951</v>
      </c>
      <c r="D1500" s="556" t="s">
        <v>4822</v>
      </c>
      <c r="E1500" s="17" t="s">
        <v>4930</v>
      </c>
      <c r="F1500" s="17">
        <v>4</v>
      </c>
      <c r="G1500" s="17">
        <v>5</v>
      </c>
      <c r="H1500" s="17" t="s">
        <v>7804</v>
      </c>
      <c r="I1500" s="17"/>
      <c r="J1500" s="17"/>
      <c r="K1500" s="17"/>
      <c r="L1500" s="17"/>
      <c r="M1500" s="17"/>
      <c r="N1500" s="17"/>
      <c r="O1500" s="17"/>
      <c r="P1500" s="17"/>
      <c r="Q1500" s="17"/>
    </row>
    <row r="1501" spans="1:17">
      <c r="A1501" s="556" t="s">
        <v>3592</v>
      </c>
      <c r="B1501" s="557"/>
      <c r="C1501" s="558" t="s">
        <v>1952</v>
      </c>
      <c r="D1501" s="556" t="s">
        <v>1693</v>
      </c>
      <c r="E1501" s="17" t="s">
        <v>4931</v>
      </c>
      <c r="F1501" s="17">
        <v>5</v>
      </c>
      <c r="G1501" s="17">
        <v>1</v>
      </c>
      <c r="H1501" s="17" t="s">
        <v>3344</v>
      </c>
      <c r="I1501" s="17"/>
      <c r="J1501" s="17"/>
      <c r="K1501" s="17"/>
      <c r="L1501" s="17"/>
      <c r="M1501" s="17"/>
      <c r="N1501" s="17"/>
      <c r="O1501" s="17"/>
      <c r="P1501" s="17"/>
      <c r="Q1501" s="17"/>
    </row>
    <row r="1502" spans="1:17">
      <c r="A1502" s="556" t="s">
        <v>3592</v>
      </c>
      <c r="B1502" s="557"/>
      <c r="C1502" s="558" t="s">
        <v>1952</v>
      </c>
      <c r="D1502" s="556" t="s">
        <v>1694</v>
      </c>
      <c r="E1502" s="17" t="s">
        <v>4932</v>
      </c>
      <c r="F1502" s="17">
        <v>5</v>
      </c>
      <c r="G1502" s="17">
        <v>2</v>
      </c>
      <c r="H1502" s="17" t="s">
        <v>3345</v>
      </c>
      <c r="I1502" s="17"/>
      <c r="J1502" s="17"/>
      <c r="K1502" s="17"/>
      <c r="L1502" s="17"/>
      <c r="M1502" s="17"/>
      <c r="N1502" s="17"/>
      <c r="O1502" s="17"/>
      <c r="P1502" s="17"/>
      <c r="Q1502" s="17"/>
    </row>
    <row r="1503" spans="1:17">
      <c r="A1503" s="556" t="s">
        <v>3592</v>
      </c>
      <c r="B1503" s="557"/>
      <c r="C1503" s="558" t="s">
        <v>1952</v>
      </c>
      <c r="D1503" s="556" t="s">
        <v>4426</v>
      </c>
      <c r="E1503" s="17" t="s">
        <v>4933</v>
      </c>
      <c r="F1503" s="17">
        <v>5</v>
      </c>
      <c r="G1503" s="17">
        <v>3</v>
      </c>
      <c r="H1503" s="17" t="s">
        <v>3346</v>
      </c>
      <c r="I1503" s="17">
        <v>0</v>
      </c>
      <c r="J1503" s="17"/>
      <c r="K1503" s="17"/>
      <c r="L1503" s="17"/>
      <c r="M1503" s="17"/>
      <c r="N1503" s="17"/>
      <c r="O1503" s="17"/>
      <c r="P1503" s="17"/>
      <c r="Q1503" s="17"/>
    </row>
    <row r="1504" spans="1:17">
      <c r="A1504" s="556" t="s">
        <v>3592</v>
      </c>
      <c r="B1504" s="557"/>
      <c r="C1504" s="558" t="s">
        <v>1952</v>
      </c>
      <c r="D1504" s="556" t="s">
        <v>4324</v>
      </c>
      <c r="E1504" s="17" t="s">
        <v>4934</v>
      </c>
      <c r="F1504" s="17">
        <v>5</v>
      </c>
      <c r="G1504" s="17">
        <v>4</v>
      </c>
      <c r="H1504" s="17" t="s">
        <v>3452</v>
      </c>
      <c r="I1504" s="17"/>
      <c r="J1504" s="17"/>
      <c r="K1504" s="17"/>
      <c r="L1504" s="17"/>
      <c r="M1504" s="17"/>
      <c r="N1504" s="17"/>
      <c r="O1504" s="17"/>
      <c r="P1504" s="17"/>
      <c r="Q1504" s="17"/>
    </row>
    <row r="1505" spans="1:17">
      <c r="A1505" s="556" t="s">
        <v>3592</v>
      </c>
      <c r="B1505" s="557"/>
      <c r="C1505" s="558" t="s">
        <v>1952</v>
      </c>
      <c r="D1505" s="556" t="s">
        <v>4822</v>
      </c>
      <c r="E1505" s="17" t="s">
        <v>4935</v>
      </c>
      <c r="F1505" s="17">
        <v>5</v>
      </c>
      <c r="G1505" s="17">
        <v>5</v>
      </c>
      <c r="H1505" s="17" t="s">
        <v>7805</v>
      </c>
      <c r="I1505" s="17"/>
      <c r="J1505" s="17"/>
      <c r="K1505" s="17"/>
      <c r="L1505" s="17"/>
      <c r="M1505" s="17"/>
      <c r="N1505" s="17"/>
      <c r="O1505" s="17"/>
      <c r="P1505" s="17"/>
      <c r="Q1505" s="17"/>
    </row>
    <row r="1506" spans="1:17">
      <c r="A1506" s="556" t="s">
        <v>3592</v>
      </c>
      <c r="B1506" s="557"/>
      <c r="C1506" s="558" t="s">
        <v>1953</v>
      </c>
      <c r="D1506" s="556" t="s">
        <v>1693</v>
      </c>
      <c r="E1506" s="17" t="s">
        <v>4936</v>
      </c>
      <c r="F1506" s="17">
        <v>6</v>
      </c>
      <c r="G1506" s="17">
        <v>1</v>
      </c>
      <c r="H1506" s="17" t="s">
        <v>3348</v>
      </c>
      <c r="I1506" s="17">
        <v>0</v>
      </c>
      <c r="J1506" s="17"/>
      <c r="K1506" s="17"/>
      <c r="L1506" s="17"/>
      <c r="M1506" s="17"/>
      <c r="N1506" s="17"/>
      <c r="O1506" s="17"/>
      <c r="P1506" s="17"/>
      <c r="Q1506" s="17"/>
    </row>
    <row r="1507" spans="1:17">
      <c r="A1507" s="556" t="s">
        <v>3592</v>
      </c>
      <c r="B1507" s="557"/>
      <c r="C1507" s="558" t="s">
        <v>1953</v>
      </c>
      <c r="D1507" s="556" t="s">
        <v>1694</v>
      </c>
      <c r="E1507" s="17" t="s">
        <v>4937</v>
      </c>
      <c r="F1507" s="17">
        <v>6</v>
      </c>
      <c r="G1507" s="17">
        <v>2</v>
      </c>
      <c r="H1507" s="17" t="s">
        <v>3349</v>
      </c>
      <c r="I1507" s="17">
        <v>0</v>
      </c>
      <c r="J1507" s="17"/>
      <c r="K1507" s="17"/>
      <c r="L1507" s="17"/>
      <c r="M1507" s="17"/>
      <c r="N1507" s="17"/>
      <c r="O1507" s="17"/>
      <c r="P1507" s="17"/>
      <c r="Q1507" s="17"/>
    </row>
    <row r="1508" spans="1:17">
      <c r="A1508" s="556" t="s">
        <v>3592</v>
      </c>
      <c r="B1508" s="557"/>
      <c r="C1508" s="558" t="s">
        <v>1953</v>
      </c>
      <c r="D1508" s="556" t="s">
        <v>4426</v>
      </c>
      <c r="E1508" s="17" t="s">
        <v>4938</v>
      </c>
      <c r="F1508" s="17">
        <v>6</v>
      </c>
      <c r="G1508" s="17">
        <v>3</v>
      </c>
      <c r="H1508" s="17" t="s">
        <v>3350</v>
      </c>
      <c r="I1508" s="17">
        <v>0</v>
      </c>
      <c r="J1508" s="17"/>
      <c r="K1508" s="17"/>
      <c r="L1508" s="17"/>
      <c r="M1508" s="17"/>
      <c r="N1508" s="17"/>
      <c r="O1508" s="17"/>
      <c r="P1508" s="17"/>
      <c r="Q1508" s="17"/>
    </row>
    <row r="1509" spans="1:17">
      <c r="A1509" s="556" t="s">
        <v>3592</v>
      </c>
      <c r="B1509" s="557"/>
      <c r="C1509" s="558" t="s">
        <v>1953</v>
      </c>
      <c r="D1509" s="556" t="s">
        <v>4324</v>
      </c>
      <c r="E1509" s="17" t="s">
        <v>4939</v>
      </c>
      <c r="F1509" s="17">
        <v>6</v>
      </c>
      <c r="G1509" s="17">
        <v>4</v>
      </c>
      <c r="H1509" s="17" t="s">
        <v>3453</v>
      </c>
      <c r="I1509" s="17"/>
      <c r="J1509" s="17"/>
      <c r="K1509" s="17"/>
      <c r="L1509" s="17"/>
      <c r="M1509" s="17"/>
      <c r="N1509" s="17"/>
      <c r="O1509" s="17"/>
      <c r="P1509" s="17"/>
      <c r="Q1509" s="17"/>
    </row>
    <row r="1510" spans="1:17">
      <c r="A1510" s="556" t="s">
        <v>3594</v>
      </c>
      <c r="B1510" s="557"/>
      <c r="C1510" s="558" t="s">
        <v>1963</v>
      </c>
      <c r="D1510" s="556" t="s">
        <v>1693</v>
      </c>
      <c r="E1510" s="17" t="s">
        <v>4940</v>
      </c>
      <c r="F1510" s="17">
        <v>1</v>
      </c>
      <c r="G1510" s="17">
        <v>1</v>
      </c>
      <c r="H1510" s="17" t="s">
        <v>3696</v>
      </c>
      <c r="I1510" s="17"/>
      <c r="J1510" s="17"/>
      <c r="K1510" s="17"/>
      <c r="L1510" s="17"/>
      <c r="M1510" s="17"/>
      <c r="N1510" s="17"/>
      <c r="O1510" s="17"/>
      <c r="P1510" s="17"/>
      <c r="Q1510" s="17"/>
    </row>
    <row r="1511" spans="1:17">
      <c r="A1511" s="556" t="s">
        <v>3594</v>
      </c>
      <c r="B1511" s="557"/>
      <c r="C1511" s="558" t="s">
        <v>1963</v>
      </c>
      <c r="D1511" s="556" t="s">
        <v>1694</v>
      </c>
      <c r="E1511" s="17" t="s">
        <v>4941</v>
      </c>
      <c r="F1511" s="17">
        <v>1</v>
      </c>
      <c r="G1511" s="17">
        <v>2</v>
      </c>
      <c r="H1511" s="17" t="s">
        <v>3692</v>
      </c>
      <c r="I1511" s="17"/>
      <c r="J1511" s="17"/>
      <c r="K1511" s="17"/>
      <c r="L1511" s="17"/>
      <c r="M1511" s="17"/>
      <c r="N1511" s="17"/>
      <c r="O1511" s="17"/>
      <c r="P1511" s="17"/>
      <c r="Q1511" s="17"/>
    </row>
    <row r="1512" spans="1:17">
      <c r="A1512" s="556" t="s">
        <v>3594</v>
      </c>
      <c r="B1512" s="557"/>
      <c r="C1512" s="558" t="s">
        <v>1963</v>
      </c>
      <c r="D1512" s="556" t="s">
        <v>4426</v>
      </c>
      <c r="E1512" s="17" t="s">
        <v>4942</v>
      </c>
      <c r="F1512" s="17">
        <v>1</v>
      </c>
      <c r="G1512" s="17">
        <v>3</v>
      </c>
      <c r="H1512" s="17" t="s">
        <v>3701</v>
      </c>
      <c r="I1512" s="17">
        <v>0</v>
      </c>
      <c r="J1512" s="17"/>
      <c r="K1512" s="17"/>
      <c r="L1512" s="17"/>
      <c r="M1512" s="17"/>
      <c r="N1512" s="17"/>
      <c r="O1512" s="17"/>
      <c r="P1512" s="17"/>
      <c r="Q1512" s="17"/>
    </row>
    <row r="1513" spans="1:17">
      <c r="A1513" s="556" t="s">
        <v>3594</v>
      </c>
      <c r="B1513" s="557"/>
      <c r="C1513" s="558" t="s">
        <v>1963</v>
      </c>
      <c r="D1513" s="556" t="s">
        <v>4324</v>
      </c>
      <c r="E1513" s="17" t="s">
        <v>4943</v>
      </c>
      <c r="F1513" s="17">
        <v>1</v>
      </c>
      <c r="G1513" s="17">
        <v>4</v>
      </c>
      <c r="H1513" s="17" t="s">
        <v>3714</v>
      </c>
      <c r="I1513" s="17"/>
      <c r="J1513" s="17"/>
      <c r="K1513" s="17"/>
      <c r="L1513" s="17"/>
      <c r="M1513" s="17"/>
      <c r="N1513" s="17"/>
      <c r="O1513" s="17"/>
      <c r="P1513" s="17"/>
      <c r="Q1513" s="17"/>
    </row>
    <row r="1514" spans="1:17">
      <c r="A1514" s="556" t="s">
        <v>3594</v>
      </c>
      <c r="B1514" s="557"/>
      <c r="C1514" s="558" t="s">
        <v>1963</v>
      </c>
      <c r="D1514" s="556" t="s">
        <v>4944</v>
      </c>
      <c r="E1514" s="17" t="s">
        <v>4945</v>
      </c>
      <c r="F1514" s="17">
        <v>1</v>
      </c>
      <c r="G1514" s="17">
        <v>5</v>
      </c>
      <c r="H1514" s="17" t="s">
        <v>3720</v>
      </c>
      <c r="I1514" s="17"/>
      <c r="J1514" s="17"/>
      <c r="K1514" s="17"/>
      <c r="L1514" s="17"/>
      <c r="M1514" s="17"/>
      <c r="N1514" s="17"/>
      <c r="O1514" s="17"/>
      <c r="P1514" s="17"/>
      <c r="Q1514" s="17"/>
    </row>
    <row r="1515" spans="1:17">
      <c r="A1515" s="556" t="s">
        <v>3594</v>
      </c>
      <c r="B1515" s="557"/>
      <c r="C1515" s="558" t="s">
        <v>1963</v>
      </c>
      <c r="D1515" s="556" t="s">
        <v>9328</v>
      </c>
      <c r="E1515" s="17" t="s">
        <v>4946</v>
      </c>
      <c r="F1515" s="17">
        <v>1</v>
      </c>
      <c r="G1515" s="17">
        <v>6</v>
      </c>
      <c r="H1515" s="17" t="s">
        <v>3721</v>
      </c>
      <c r="I1515" s="17"/>
      <c r="J1515" s="17"/>
      <c r="K1515" s="17"/>
      <c r="L1515" s="17"/>
      <c r="M1515" s="17"/>
      <c r="N1515" s="17"/>
      <c r="O1515" s="17"/>
      <c r="P1515" s="17"/>
      <c r="Q1515" s="17"/>
    </row>
    <row r="1516" spans="1:17">
      <c r="A1516" s="556" t="s">
        <v>3594</v>
      </c>
      <c r="B1516" s="557"/>
      <c r="C1516" s="558" t="s">
        <v>1963</v>
      </c>
      <c r="D1516" s="556" t="s">
        <v>9329</v>
      </c>
      <c r="E1516" s="17" t="s">
        <v>4947</v>
      </c>
      <c r="F1516" s="17">
        <v>1</v>
      </c>
      <c r="G1516" s="17">
        <v>7</v>
      </c>
      <c r="H1516" s="17" t="s">
        <v>7813</v>
      </c>
      <c r="I1516" s="17"/>
      <c r="J1516" s="17"/>
      <c r="K1516" s="17"/>
      <c r="L1516" s="17"/>
      <c r="M1516" s="17"/>
      <c r="N1516" s="17"/>
      <c r="O1516" s="17"/>
      <c r="P1516" s="17"/>
      <c r="Q1516" s="17"/>
    </row>
    <row r="1517" spans="1:17">
      <c r="A1517" s="556" t="s">
        <v>3594</v>
      </c>
      <c r="B1517" s="557"/>
      <c r="C1517" s="558" t="s">
        <v>1964</v>
      </c>
      <c r="D1517" s="556" t="s">
        <v>1693</v>
      </c>
      <c r="E1517" s="17" t="s">
        <v>4948</v>
      </c>
      <c r="F1517" s="17">
        <v>2</v>
      </c>
      <c r="G1517" s="17">
        <v>1</v>
      </c>
      <c r="H1517" s="17" t="s">
        <v>3517</v>
      </c>
      <c r="I1517" s="17"/>
      <c r="J1517" s="17"/>
      <c r="K1517" s="17"/>
      <c r="L1517" s="17"/>
      <c r="M1517" s="17"/>
      <c r="N1517" s="17"/>
      <c r="O1517" s="17"/>
      <c r="P1517" s="17"/>
      <c r="Q1517" s="17"/>
    </row>
    <row r="1518" spans="1:17">
      <c r="A1518" s="556" t="s">
        <v>3594</v>
      </c>
      <c r="B1518" s="557"/>
      <c r="C1518" s="558" t="s">
        <v>1964</v>
      </c>
      <c r="D1518" s="556" t="s">
        <v>1694</v>
      </c>
      <c r="E1518" s="17" t="s">
        <v>4949</v>
      </c>
      <c r="F1518" s="17">
        <v>2</v>
      </c>
      <c r="G1518" s="17">
        <v>2</v>
      </c>
      <c r="H1518" s="17" t="s">
        <v>3518</v>
      </c>
      <c r="I1518" s="17"/>
      <c r="J1518" s="17"/>
      <c r="K1518" s="17"/>
      <c r="L1518" s="17"/>
      <c r="M1518" s="17"/>
      <c r="N1518" s="17"/>
      <c r="O1518" s="17"/>
      <c r="P1518" s="17"/>
      <c r="Q1518" s="17"/>
    </row>
    <row r="1519" spans="1:17">
      <c r="A1519" s="556" t="s">
        <v>3594</v>
      </c>
      <c r="B1519" s="557"/>
      <c r="C1519" s="558" t="s">
        <v>1964</v>
      </c>
      <c r="D1519" s="556" t="s">
        <v>4426</v>
      </c>
      <c r="E1519" s="17" t="s">
        <v>4950</v>
      </c>
      <c r="F1519" s="17">
        <v>2</v>
      </c>
      <c r="G1519" s="17">
        <v>3</v>
      </c>
      <c r="H1519" s="17" t="s">
        <v>3519</v>
      </c>
      <c r="I1519" s="17">
        <v>0</v>
      </c>
      <c r="J1519" s="17"/>
      <c r="K1519" s="17"/>
      <c r="L1519" s="17"/>
      <c r="M1519" s="17"/>
      <c r="N1519" s="17"/>
      <c r="O1519" s="17"/>
      <c r="P1519" s="17"/>
      <c r="Q1519" s="17"/>
    </row>
    <row r="1520" spans="1:17">
      <c r="A1520" s="556" t="s">
        <v>3594</v>
      </c>
      <c r="B1520" s="557"/>
      <c r="C1520" s="558" t="s">
        <v>1964</v>
      </c>
      <c r="D1520" s="556" t="s">
        <v>4324</v>
      </c>
      <c r="E1520" s="17" t="s">
        <v>4951</v>
      </c>
      <c r="F1520" s="17">
        <v>2</v>
      </c>
      <c r="G1520" s="17">
        <v>4</v>
      </c>
      <c r="H1520" s="17" t="s">
        <v>3520</v>
      </c>
      <c r="I1520" s="17"/>
      <c r="J1520" s="17"/>
      <c r="K1520" s="17"/>
      <c r="L1520" s="17"/>
      <c r="M1520" s="17"/>
      <c r="N1520" s="17"/>
      <c r="O1520" s="17"/>
      <c r="P1520" s="17"/>
      <c r="Q1520" s="17"/>
    </row>
    <row r="1521" spans="1:17">
      <c r="A1521" s="556" t="s">
        <v>3594</v>
      </c>
      <c r="B1521" s="557"/>
      <c r="C1521" s="558" t="s">
        <v>1964</v>
      </c>
      <c r="D1521" s="556" t="s">
        <v>4944</v>
      </c>
      <c r="E1521" s="17" t="s">
        <v>4952</v>
      </c>
      <c r="F1521" s="17">
        <v>2</v>
      </c>
      <c r="G1521" s="17">
        <v>5</v>
      </c>
      <c r="H1521" s="17" t="s">
        <v>3521</v>
      </c>
      <c r="I1521" s="17"/>
      <c r="J1521" s="17"/>
      <c r="K1521" s="17"/>
      <c r="L1521" s="17"/>
      <c r="M1521" s="17"/>
      <c r="N1521" s="17"/>
      <c r="O1521" s="17"/>
      <c r="P1521" s="17"/>
      <c r="Q1521" s="17"/>
    </row>
    <row r="1522" spans="1:17">
      <c r="A1522" s="556" t="s">
        <v>3594</v>
      </c>
      <c r="B1522" s="557"/>
      <c r="C1522" s="558" t="s">
        <v>1964</v>
      </c>
      <c r="D1522" s="556" t="s">
        <v>9328</v>
      </c>
      <c r="E1522" s="17" t="s">
        <v>4953</v>
      </c>
      <c r="F1522" s="17">
        <v>2</v>
      </c>
      <c r="G1522" s="17">
        <v>6</v>
      </c>
      <c r="H1522" s="17" t="s">
        <v>3505</v>
      </c>
      <c r="I1522" s="17"/>
      <c r="J1522" s="17"/>
      <c r="K1522" s="17"/>
      <c r="L1522" s="17"/>
      <c r="M1522" s="17"/>
      <c r="N1522" s="17"/>
      <c r="O1522" s="17"/>
      <c r="P1522" s="17"/>
      <c r="Q1522" s="17"/>
    </row>
    <row r="1523" spans="1:17">
      <c r="A1523" s="556" t="s">
        <v>3594</v>
      </c>
      <c r="B1523" s="557"/>
      <c r="C1523" s="558" t="s">
        <v>1964</v>
      </c>
      <c r="D1523" s="556" t="s">
        <v>9329</v>
      </c>
      <c r="E1523" s="17" t="s">
        <v>4954</v>
      </c>
      <c r="F1523" s="17">
        <v>2</v>
      </c>
      <c r="G1523" s="17">
        <v>7</v>
      </c>
      <c r="H1523" s="17" t="s">
        <v>3522</v>
      </c>
      <c r="I1523" s="17"/>
      <c r="J1523" s="17"/>
      <c r="K1523" s="17"/>
      <c r="L1523" s="17"/>
      <c r="M1523" s="17"/>
      <c r="N1523" s="17"/>
      <c r="O1523" s="17"/>
      <c r="P1523" s="17"/>
      <c r="Q1523" s="17"/>
    </row>
    <row r="1524" spans="1:17">
      <c r="A1524" s="556" t="s">
        <v>3594</v>
      </c>
      <c r="B1524" s="557"/>
      <c r="C1524" s="558" t="s">
        <v>1965</v>
      </c>
      <c r="D1524" s="556" t="s">
        <v>1693</v>
      </c>
      <c r="E1524" s="17" t="s">
        <v>4955</v>
      </c>
      <c r="F1524" s="17">
        <v>3</v>
      </c>
      <c r="G1524" s="17">
        <v>1</v>
      </c>
      <c r="H1524" s="17" t="s">
        <v>3326</v>
      </c>
      <c r="I1524" s="17"/>
      <c r="J1524" s="17"/>
      <c r="K1524" s="17"/>
      <c r="L1524" s="17"/>
      <c r="M1524" s="17"/>
      <c r="N1524" s="17"/>
      <c r="O1524" s="17"/>
      <c r="P1524" s="17"/>
      <c r="Q1524" s="17"/>
    </row>
    <row r="1525" spans="1:17">
      <c r="A1525" s="556" t="s">
        <v>3594</v>
      </c>
      <c r="B1525" s="557"/>
      <c r="C1525" s="558" t="s">
        <v>1965</v>
      </c>
      <c r="D1525" s="556" t="s">
        <v>1694</v>
      </c>
      <c r="E1525" s="17" t="s">
        <v>4956</v>
      </c>
      <c r="F1525" s="17">
        <v>3</v>
      </c>
      <c r="G1525" s="17">
        <v>2</v>
      </c>
      <c r="H1525" s="17" t="s">
        <v>2990</v>
      </c>
      <c r="I1525" s="17"/>
      <c r="J1525" s="17"/>
      <c r="K1525" s="17"/>
      <c r="L1525" s="17"/>
      <c r="M1525" s="17"/>
      <c r="N1525" s="17"/>
      <c r="O1525" s="17"/>
      <c r="P1525" s="17"/>
      <c r="Q1525" s="17"/>
    </row>
    <row r="1526" spans="1:17">
      <c r="A1526" s="556" t="s">
        <v>3594</v>
      </c>
      <c r="B1526" s="557"/>
      <c r="C1526" s="558" t="s">
        <v>1965</v>
      </c>
      <c r="D1526" s="556" t="s">
        <v>4426</v>
      </c>
      <c r="E1526" s="17" t="s">
        <v>4957</v>
      </c>
      <c r="F1526" s="17">
        <v>3</v>
      </c>
      <c r="G1526" s="17">
        <v>3</v>
      </c>
      <c r="H1526" s="17" t="s">
        <v>3338</v>
      </c>
      <c r="I1526" s="17">
        <v>0</v>
      </c>
      <c r="J1526" s="17"/>
      <c r="K1526" s="17"/>
      <c r="L1526" s="17"/>
      <c r="M1526" s="17"/>
      <c r="N1526" s="17"/>
      <c r="O1526" s="17"/>
      <c r="P1526" s="17"/>
      <c r="Q1526" s="17"/>
    </row>
    <row r="1527" spans="1:17">
      <c r="A1527" s="556" t="s">
        <v>3594</v>
      </c>
      <c r="B1527" s="557"/>
      <c r="C1527" s="558" t="s">
        <v>1965</v>
      </c>
      <c r="D1527" s="556" t="s">
        <v>4324</v>
      </c>
      <c r="E1527" s="17" t="s">
        <v>4958</v>
      </c>
      <c r="F1527" s="17">
        <v>3</v>
      </c>
      <c r="G1527" s="17">
        <v>4</v>
      </c>
      <c r="H1527" s="17" t="s">
        <v>2991</v>
      </c>
      <c r="I1527" s="17"/>
      <c r="J1527" s="17"/>
      <c r="K1527" s="17"/>
      <c r="L1527" s="17"/>
      <c r="M1527" s="17"/>
      <c r="N1527" s="17"/>
      <c r="O1527" s="17"/>
      <c r="P1527" s="17"/>
      <c r="Q1527" s="17"/>
    </row>
    <row r="1528" spans="1:17">
      <c r="A1528" s="556" t="s">
        <v>3594</v>
      </c>
      <c r="B1528" s="557"/>
      <c r="C1528" s="558" t="s">
        <v>1965</v>
      </c>
      <c r="D1528" s="556" t="s">
        <v>4944</v>
      </c>
      <c r="E1528" s="17" t="s">
        <v>4959</v>
      </c>
      <c r="F1528" s="17">
        <v>3</v>
      </c>
      <c r="G1528" s="17">
        <v>5</v>
      </c>
      <c r="H1528" s="17" t="s">
        <v>2992</v>
      </c>
      <c r="I1528" s="17"/>
      <c r="J1528" s="17"/>
      <c r="K1528" s="17"/>
      <c r="L1528" s="17"/>
      <c r="M1528" s="17"/>
      <c r="N1528" s="17"/>
      <c r="O1528" s="17"/>
      <c r="P1528" s="17"/>
      <c r="Q1528" s="17"/>
    </row>
    <row r="1529" spans="1:17">
      <c r="A1529" s="556" t="s">
        <v>3594</v>
      </c>
      <c r="B1529" s="557"/>
      <c r="C1529" s="558" t="s">
        <v>1965</v>
      </c>
      <c r="D1529" s="556" t="s">
        <v>9328</v>
      </c>
      <c r="E1529" s="17" t="s">
        <v>4960</v>
      </c>
      <c r="F1529" s="17">
        <v>3</v>
      </c>
      <c r="G1529" s="17">
        <v>6</v>
      </c>
      <c r="H1529" s="17" t="s">
        <v>3450</v>
      </c>
      <c r="I1529" s="17"/>
      <c r="J1529" s="17"/>
      <c r="K1529" s="17"/>
      <c r="L1529" s="17"/>
      <c r="M1529" s="17"/>
      <c r="N1529" s="17"/>
      <c r="O1529" s="17"/>
      <c r="P1529" s="17"/>
      <c r="Q1529" s="17"/>
    </row>
    <row r="1530" spans="1:17">
      <c r="A1530" s="556" t="s">
        <v>3594</v>
      </c>
      <c r="B1530" s="557"/>
      <c r="C1530" s="558" t="s">
        <v>1965</v>
      </c>
      <c r="D1530" s="556" t="s">
        <v>9329</v>
      </c>
      <c r="E1530" s="17" t="s">
        <v>4961</v>
      </c>
      <c r="F1530" s="17">
        <v>3</v>
      </c>
      <c r="G1530" s="17">
        <v>7</v>
      </c>
      <c r="H1530" s="17" t="s">
        <v>7803</v>
      </c>
      <c r="I1530" s="17"/>
      <c r="J1530" s="17"/>
      <c r="K1530" s="17"/>
      <c r="L1530" s="17"/>
      <c r="M1530" s="17"/>
      <c r="N1530" s="17"/>
      <c r="O1530" s="17"/>
      <c r="P1530" s="17"/>
      <c r="Q1530" s="17"/>
    </row>
    <row r="1531" spans="1:17">
      <c r="A1531" s="556" t="s">
        <v>3594</v>
      </c>
      <c r="B1531" s="557"/>
      <c r="C1531" s="558" t="s">
        <v>1966</v>
      </c>
      <c r="D1531" s="556" t="s">
        <v>1693</v>
      </c>
      <c r="E1531" s="17" t="s">
        <v>4962</v>
      </c>
      <c r="F1531" s="17">
        <v>4</v>
      </c>
      <c r="G1531" s="17">
        <v>1</v>
      </c>
      <c r="H1531" s="17" t="s">
        <v>3525</v>
      </c>
      <c r="I1531" s="17"/>
      <c r="J1531" s="17"/>
      <c r="K1531" s="17"/>
      <c r="L1531" s="17"/>
      <c r="M1531" s="17"/>
      <c r="N1531" s="17"/>
      <c r="O1531" s="17"/>
      <c r="P1531" s="17"/>
      <c r="Q1531" s="17"/>
    </row>
    <row r="1532" spans="1:17">
      <c r="A1532" s="556" t="s">
        <v>3594</v>
      </c>
      <c r="B1532" s="557"/>
      <c r="C1532" s="558" t="s">
        <v>1966</v>
      </c>
      <c r="D1532" s="556" t="s">
        <v>1694</v>
      </c>
      <c r="E1532" s="17" t="s">
        <v>4963</v>
      </c>
      <c r="F1532" s="17">
        <v>4</v>
      </c>
      <c r="G1532" s="17">
        <v>2</v>
      </c>
      <c r="H1532" s="17" t="s">
        <v>3339</v>
      </c>
      <c r="I1532" s="17"/>
      <c r="J1532" s="17"/>
      <c r="K1532" s="17"/>
      <c r="L1532" s="17"/>
      <c r="M1532" s="17"/>
      <c r="N1532" s="17"/>
      <c r="O1532" s="17"/>
      <c r="P1532" s="17"/>
      <c r="Q1532" s="17"/>
    </row>
    <row r="1533" spans="1:17">
      <c r="A1533" s="556" t="s">
        <v>3594</v>
      </c>
      <c r="B1533" s="557"/>
      <c r="C1533" s="558" t="s">
        <v>1966</v>
      </c>
      <c r="D1533" s="556" t="s">
        <v>4426</v>
      </c>
      <c r="E1533" s="17" t="s">
        <v>4964</v>
      </c>
      <c r="F1533" s="17">
        <v>4</v>
      </c>
      <c r="G1533" s="17">
        <v>3</v>
      </c>
      <c r="H1533" s="17" t="s">
        <v>3340</v>
      </c>
      <c r="I1533" s="17">
        <v>0</v>
      </c>
      <c r="J1533" s="17"/>
      <c r="K1533" s="17"/>
      <c r="L1533" s="17"/>
      <c r="M1533" s="17"/>
      <c r="N1533" s="17"/>
      <c r="O1533" s="17"/>
      <c r="P1533" s="17"/>
      <c r="Q1533" s="17"/>
    </row>
    <row r="1534" spans="1:17">
      <c r="A1534" s="556" t="s">
        <v>3594</v>
      </c>
      <c r="B1534" s="557"/>
      <c r="C1534" s="558" t="s">
        <v>1966</v>
      </c>
      <c r="D1534" s="556" t="s">
        <v>4324</v>
      </c>
      <c r="E1534" s="17" t="s">
        <v>4965</v>
      </c>
      <c r="F1534" s="17">
        <v>4</v>
      </c>
      <c r="G1534" s="17">
        <v>4</v>
      </c>
      <c r="H1534" s="17" t="s">
        <v>3341</v>
      </c>
      <c r="I1534" s="17"/>
      <c r="J1534" s="17"/>
      <c r="K1534" s="17"/>
      <c r="L1534" s="17"/>
      <c r="M1534" s="17"/>
      <c r="N1534" s="17"/>
      <c r="O1534" s="17"/>
      <c r="P1534" s="17"/>
      <c r="Q1534" s="17"/>
    </row>
    <row r="1535" spans="1:17">
      <c r="A1535" s="556" t="s">
        <v>3594</v>
      </c>
      <c r="B1535" s="557"/>
      <c r="C1535" s="558" t="s">
        <v>1966</v>
      </c>
      <c r="D1535" s="556" t="s">
        <v>4944</v>
      </c>
      <c r="E1535" s="17" t="s">
        <v>4966</v>
      </c>
      <c r="F1535" s="17">
        <v>4</v>
      </c>
      <c r="G1535" s="17">
        <v>5</v>
      </c>
      <c r="H1535" s="17" t="s">
        <v>3342</v>
      </c>
      <c r="I1535" s="17"/>
      <c r="J1535" s="17"/>
      <c r="K1535" s="17"/>
      <c r="L1535" s="17"/>
      <c r="M1535" s="17"/>
      <c r="N1535" s="17"/>
      <c r="O1535" s="17"/>
      <c r="P1535" s="17"/>
      <c r="Q1535" s="17"/>
    </row>
    <row r="1536" spans="1:17">
      <c r="A1536" s="556" t="s">
        <v>3594</v>
      </c>
      <c r="B1536" s="557"/>
      <c r="C1536" s="558" t="s">
        <v>1966</v>
      </c>
      <c r="D1536" s="556" t="s">
        <v>9328</v>
      </c>
      <c r="E1536" s="17" t="s">
        <v>4967</v>
      </c>
      <c r="F1536" s="17">
        <v>4</v>
      </c>
      <c r="G1536" s="17">
        <v>6</v>
      </c>
      <c r="H1536" s="17" t="s">
        <v>3451</v>
      </c>
      <c r="I1536" s="17"/>
      <c r="J1536" s="17"/>
      <c r="K1536" s="17"/>
      <c r="L1536" s="17"/>
      <c r="M1536" s="17"/>
      <c r="N1536" s="17"/>
      <c r="O1536" s="17"/>
      <c r="P1536" s="17"/>
      <c r="Q1536" s="17"/>
    </row>
    <row r="1537" spans="1:17">
      <c r="A1537" s="556" t="s">
        <v>3594</v>
      </c>
      <c r="B1537" s="557"/>
      <c r="C1537" s="558" t="s">
        <v>1966</v>
      </c>
      <c r="D1537" s="556" t="s">
        <v>9329</v>
      </c>
      <c r="E1537" s="17" t="s">
        <v>4968</v>
      </c>
      <c r="F1537" s="17">
        <v>4</v>
      </c>
      <c r="G1537" s="17">
        <v>7</v>
      </c>
      <c r="H1537" s="17" t="s">
        <v>7804</v>
      </c>
      <c r="I1537" s="17"/>
      <c r="J1537" s="17"/>
      <c r="K1537" s="17"/>
      <c r="L1537" s="17"/>
      <c r="M1537" s="17"/>
      <c r="N1537" s="17"/>
      <c r="O1537" s="17"/>
      <c r="P1537" s="17"/>
      <c r="Q1537" s="17"/>
    </row>
    <row r="1538" spans="1:17">
      <c r="A1538" s="556" t="s">
        <v>3594</v>
      </c>
      <c r="B1538" s="557"/>
      <c r="C1538" s="558" t="s">
        <v>1967</v>
      </c>
      <c r="D1538" s="556" t="s">
        <v>1693</v>
      </c>
      <c r="E1538" s="17" t="s">
        <v>4969</v>
      </c>
      <c r="F1538" s="17">
        <v>5</v>
      </c>
      <c r="G1538" s="17">
        <v>1</v>
      </c>
      <c r="H1538" s="17" t="s">
        <v>3697</v>
      </c>
      <c r="I1538" s="17"/>
      <c r="J1538" s="17"/>
      <c r="K1538" s="17"/>
      <c r="L1538" s="17"/>
      <c r="M1538" s="17"/>
      <c r="N1538" s="17"/>
      <c r="O1538" s="17"/>
      <c r="P1538" s="17"/>
      <c r="Q1538" s="17"/>
    </row>
    <row r="1539" spans="1:17">
      <c r="A1539" s="556" t="s">
        <v>3594</v>
      </c>
      <c r="B1539" s="557"/>
      <c r="C1539" s="558" t="s">
        <v>1967</v>
      </c>
      <c r="D1539" s="556" t="s">
        <v>1694</v>
      </c>
      <c r="E1539" s="17" t="s">
        <v>4970</v>
      </c>
      <c r="F1539" s="17">
        <v>5</v>
      </c>
      <c r="G1539" s="17">
        <v>2</v>
      </c>
      <c r="H1539" s="17" t="s">
        <v>3343</v>
      </c>
      <c r="I1539" s="17"/>
      <c r="J1539" s="17"/>
      <c r="K1539" s="17"/>
      <c r="L1539" s="17"/>
      <c r="M1539" s="17"/>
      <c r="N1539" s="17"/>
      <c r="O1539" s="17"/>
      <c r="P1539" s="17"/>
      <c r="Q1539" s="17"/>
    </row>
    <row r="1540" spans="1:17">
      <c r="A1540" s="556" t="s">
        <v>3594</v>
      </c>
      <c r="B1540" s="557"/>
      <c r="C1540" s="558" t="s">
        <v>1967</v>
      </c>
      <c r="D1540" s="556" t="s">
        <v>4426</v>
      </c>
      <c r="E1540" s="17" t="s">
        <v>4971</v>
      </c>
      <c r="F1540" s="17">
        <v>5</v>
      </c>
      <c r="G1540" s="17">
        <v>3</v>
      </c>
      <c r="H1540" s="17" t="s">
        <v>3344</v>
      </c>
      <c r="I1540" s="17">
        <v>0</v>
      </c>
      <c r="J1540" s="17"/>
      <c r="K1540" s="17"/>
      <c r="L1540" s="17"/>
      <c r="M1540" s="17"/>
      <c r="N1540" s="17"/>
      <c r="O1540" s="17"/>
      <c r="P1540" s="17"/>
      <c r="Q1540" s="17"/>
    </row>
    <row r="1541" spans="1:17">
      <c r="A1541" s="556" t="s">
        <v>3594</v>
      </c>
      <c r="B1541" s="557"/>
      <c r="C1541" s="558" t="s">
        <v>1967</v>
      </c>
      <c r="D1541" s="556" t="s">
        <v>4324</v>
      </c>
      <c r="E1541" s="17" t="s">
        <v>4972</v>
      </c>
      <c r="F1541" s="17">
        <v>5</v>
      </c>
      <c r="G1541" s="17">
        <v>4</v>
      </c>
      <c r="H1541" s="17" t="s">
        <v>3345</v>
      </c>
      <c r="I1541" s="17"/>
      <c r="J1541" s="17"/>
      <c r="K1541" s="17"/>
      <c r="L1541" s="17"/>
      <c r="M1541" s="17"/>
      <c r="N1541" s="17"/>
      <c r="O1541" s="17"/>
      <c r="P1541" s="17"/>
      <c r="Q1541" s="17"/>
    </row>
    <row r="1542" spans="1:17">
      <c r="A1542" s="556" t="s">
        <v>3594</v>
      </c>
      <c r="B1542" s="557"/>
      <c r="C1542" s="558" t="s">
        <v>1967</v>
      </c>
      <c r="D1542" s="556" t="s">
        <v>4944</v>
      </c>
      <c r="E1542" s="17" t="s">
        <v>4973</v>
      </c>
      <c r="F1542" s="17">
        <v>5</v>
      </c>
      <c r="G1542" s="17">
        <v>5</v>
      </c>
      <c r="H1542" s="17" t="s">
        <v>3346</v>
      </c>
      <c r="I1542" s="17"/>
      <c r="J1542" s="17"/>
      <c r="K1542" s="17"/>
      <c r="L1542" s="17"/>
      <c r="M1542" s="17"/>
      <c r="N1542" s="17"/>
      <c r="O1542" s="17"/>
      <c r="P1542" s="17"/>
      <c r="Q1542" s="17"/>
    </row>
    <row r="1543" spans="1:17">
      <c r="A1543" s="556" t="s">
        <v>3594</v>
      </c>
      <c r="B1543" s="557"/>
      <c r="C1543" s="558" t="s">
        <v>1967</v>
      </c>
      <c r="D1543" s="556" t="s">
        <v>9328</v>
      </c>
      <c r="E1543" s="17" t="s">
        <v>4974</v>
      </c>
      <c r="F1543" s="17">
        <v>5</v>
      </c>
      <c r="G1543" s="17">
        <v>6</v>
      </c>
      <c r="H1543" s="17" t="s">
        <v>3452</v>
      </c>
      <c r="I1543" s="17"/>
      <c r="J1543" s="17"/>
      <c r="K1543" s="17"/>
      <c r="L1543" s="17"/>
      <c r="M1543" s="17"/>
      <c r="N1543" s="17"/>
      <c r="O1543" s="17"/>
      <c r="P1543" s="17"/>
      <c r="Q1543" s="17"/>
    </row>
    <row r="1544" spans="1:17">
      <c r="A1544" s="556" t="s">
        <v>3594</v>
      </c>
      <c r="B1544" s="557"/>
      <c r="C1544" s="558" t="s">
        <v>1967</v>
      </c>
      <c r="D1544" s="556" t="s">
        <v>9329</v>
      </c>
      <c r="E1544" s="17" t="s">
        <v>4975</v>
      </c>
      <c r="F1544" s="17">
        <v>5</v>
      </c>
      <c r="G1544" s="17">
        <v>7</v>
      </c>
      <c r="H1544" s="17" t="s">
        <v>7805</v>
      </c>
      <c r="I1544" s="17"/>
      <c r="J1544" s="17"/>
      <c r="K1544" s="17"/>
      <c r="L1544" s="17"/>
      <c r="M1544" s="17"/>
      <c r="N1544" s="17"/>
      <c r="O1544" s="17"/>
      <c r="P1544" s="17"/>
      <c r="Q1544" s="17"/>
    </row>
    <row r="1545" spans="1:17">
      <c r="A1545" s="556" t="s">
        <v>3594</v>
      </c>
      <c r="B1545" s="557"/>
      <c r="C1545" s="558" t="s">
        <v>1704</v>
      </c>
      <c r="D1545" s="556" t="s">
        <v>1693</v>
      </c>
      <c r="E1545" s="17" t="s">
        <v>4976</v>
      </c>
      <c r="F1545" s="17">
        <v>6</v>
      </c>
      <c r="G1545" s="17">
        <v>1</v>
      </c>
      <c r="H1545" s="17" t="s">
        <v>7772</v>
      </c>
      <c r="I1545" s="17"/>
      <c r="J1545" s="17"/>
      <c r="K1545" s="17"/>
      <c r="L1545" s="17"/>
      <c r="M1545" s="17"/>
      <c r="N1545" s="17"/>
      <c r="O1545" s="17"/>
      <c r="P1545" s="17"/>
      <c r="Q1545" s="17"/>
    </row>
    <row r="1546" spans="1:17">
      <c r="A1546" s="556" t="s">
        <v>3594</v>
      </c>
      <c r="B1546" s="557"/>
      <c r="C1546" s="558" t="s">
        <v>1704</v>
      </c>
      <c r="D1546" s="556" t="s">
        <v>1694</v>
      </c>
      <c r="E1546" s="17" t="s">
        <v>4977</v>
      </c>
      <c r="F1546" s="17">
        <v>6</v>
      </c>
      <c r="G1546" s="17">
        <v>2</v>
      </c>
      <c r="H1546" s="17" t="s">
        <v>3347</v>
      </c>
      <c r="I1546" s="17"/>
      <c r="J1546" s="17"/>
      <c r="K1546" s="17"/>
      <c r="L1546" s="17"/>
      <c r="M1546" s="17"/>
      <c r="N1546" s="17"/>
      <c r="O1546" s="17"/>
      <c r="P1546" s="17"/>
      <c r="Q1546" s="17"/>
    </row>
    <row r="1547" spans="1:17">
      <c r="A1547" s="556" t="s">
        <v>3594</v>
      </c>
      <c r="B1547" s="557"/>
      <c r="C1547" s="558" t="s">
        <v>1704</v>
      </c>
      <c r="D1547" s="556" t="s">
        <v>4426</v>
      </c>
      <c r="E1547" s="17" t="s">
        <v>4978</v>
      </c>
      <c r="F1547" s="17">
        <v>6</v>
      </c>
      <c r="G1547" s="17">
        <v>3</v>
      </c>
      <c r="H1547" s="17" t="s">
        <v>3348</v>
      </c>
      <c r="I1547" s="17">
        <v>0</v>
      </c>
      <c r="J1547" s="17"/>
      <c r="K1547" s="17"/>
      <c r="L1547" s="17"/>
      <c r="M1547" s="17"/>
      <c r="N1547" s="17"/>
      <c r="O1547" s="17"/>
      <c r="P1547" s="17"/>
      <c r="Q1547" s="17"/>
    </row>
    <row r="1548" spans="1:17">
      <c r="A1548" s="556" t="s">
        <v>3594</v>
      </c>
      <c r="B1548" s="557"/>
      <c r="C1548" s="558" t="s">
        <v>1704</v>
      </c>
      <c r="D1548" s="556" t="s">
        <v>4324</v>
      </c>
      <c r="E1548" s="17" t="s">
        <v>4979</v>
      </c>
      <c r="F1548" s="17">
        <v>6</v>
      </c>
      <c r="G1548" s="17">
        <v>4</v>
      </c>
      <c r="H1548" s="17" t="s">
        <v>3349</v>
      </c>
      <c r="I1548" s="17"/>
      <c r="J1548" s="17"/>
      <c r="K1548" s="17"/>
      <c r="L1548" s="17"/>
      <c r="M1548" s="17"/>
      <c r="N1548" s="17"/>
      <c r="O1548" s="17"/>
      <c r="P1548" s="17"/>
      <c r="Q1548" s="17"/>
    </row>
    <row r="1549" spans="1:17">
      <c r="A1549" s="556" t="s">
        <v>3594</v>
      </c>
      <c r="B1549" s="557"/>
      <c r="C1549" s="558" t="s">
        <v>1704</v>
      </c>
      <c r="D1549" s="556" t="s">
        <v>4944</v>
      </c>
      <c r="E1549" s="17" t="s">
        <v>4980</v>
      </c>
      <c r="F1549" s="17">
        <v>6</v>
      </c>
      <c r="G1549" s="17">
        <v>5</v>
      </c>
      <c r="H1549" s="17" t="s">
        <v>3350</v>
      </c>
      <c r="I1549" s="17"/>
      <c r="J1549" s="17"/>
      <c r="K1549" s="17"/>
      <c r="L1549" s="17"/>
      <c r="M1549" s="17"/>
      <c r="N1549" s="17"/>
      <c r="O1549" s="17"/>
      <c r="P1549" s="17"/>
      <c r="Q1549" s="17"/>
    </row>
    <row r="1550" spans="1:17">
      <c r="A1550" s="556" t="s">
        <v>3594</v>
      </c>
      <c r="B1550" s="557"/>
      <c r="C1550" s="558" t="s">
        <v>1704</v>
      </c>
      <c r="D1550" s="556" t="s">
        <v>9328</v>
      </c>
      <c r="E1550" s="17" t="s">
        <v>4981</v>
      </c>
      <c r="F1550" s="17">
        <v>6</v>
      </c>
      <c r="G1550" s="17">
        <v>6</v>
      </c>
      <c r="H1550" s="17" t="s">
        <v>3453</v>
      </c>
      <c r="I1550" s="17"/>
      <c r="J1550" s="17"/>
      <c r="K1550" s="17"/>
      <c r="L1550" s="17"/>
      <c r="M1550" s="17"/>
      <c r="N1550" s="17"/>
      <c r="O1550" s="17"/>
      <c r="P1550" s="17"/>
      <c r="Q1550" s="17"/>
    </row>
    <row r="1551" spans="1:17">
      <c r="A1551" s="556" t="s">
        <v>3594</v>
      </c>
      <c r="B1551" s="557"/>
      <c r="C1551" s="558" t="s">
        <v>1704</v>
      </c>
      <c r="D1551" s="556" t="s">
        <v>9329</v>
      </c>
      <c r="E1551" s="17" t="s">
        <v>4982</v>
      </c>
      <c r="F1551" s="17">
        <v>6</v>
      </c>
      <c r="G1551" s="17">
        <v>7</v>
      </c>
      <c r="H1551" s="17" t="s">
        <v>7807</v>
      </c>
      <c r="I1551" s="17"/>
      <c r="J1551" s="17"/>
      <c r="K1551" s="17"/>
      <c r="L1551" s="17"/>
      <c r="M1551" s="17"/>
      <c r="N1551" s="17"/>
      <c r="O1551" s="17"/>
      <c r="P1551" s="17"/>
      <c r="Q1551" s="17"/>
    </row>
    <row r="1552" spans="1:17">
      <c r="A1552" s="556" t="s">
        <v>3594</v>
      </c>
      <c r="B1552" s="557"/>
      <c r="C1552" s="558" t="s">
        <v>1968</v>
      </c>
      <c r="D1552" s="556" t="s">
        <v>1693</v>
      </c>
      <c r="E1552" s="17" t="s">
        <v>4983</v>
      </c>
      <c r="F1552" s="17">
        <v>7</v>
      </c>
      <c r="G1552" s="17">
        <v>1</v>
      </c>
      <c r="H1552" s="17" t="s">
        <v>7774</v>
      </c>
      <c r="I1552" s="17"/>
      <c r="J1552" s="17"/>
      <c r="K1552" s="17"/>
      <c r="L1552" s="17"/>
      <c r="M1552" s="17"/>
      <c r="N1552" s="17"/>
      <c r="O1552" s="17"/>
      <c r="P1552" s="17"/>
      <c r="Q1552" s="17"/>
    </row>
    <row r="1553" spans="1:17">
      <c r="A1553" s="556" t="s">
        <v>3594</v>
      </c>
      <c r="B1553" s="557"/>
      <c r="C1553" s="558" t="s">
        <v>1968</v>
      </c>
      <c r="D1553" s="556" t="s">
        <v>1694</v>
      </c>
      <c r="E1553" s="17" t="s">
        <v>4984</v>
      </c>
      <c r="F1553" s="17">
        <v>7</v>
      </c>
      <c r="G1553" s="17">
        <v>2</v>
      </c>
      <c r="H1553" s="17" t="s">
        <v>3351</v>
      </c>
      <c r="I1553" s="17"/>
      <c r="J1553" s="17"/>
      <c r="K1553" s="17"/>
      <c r="L1553" s="17"/>
      <c r="M1553" s="17"/>
      <c r="N1553" s="17"/>
      <c r="O1553" s="17"/>
      <c r="P1553" s="17"/>
      <c r="Q1553" s="17"/>
    </row>
    <row r="1554" spans="1:17">
      <c r="A1554" s="556" t="s">
        <v>3594</v>
      </c>
      <c r="B1554" s="557"/>
      <c r="C1554" s="558" t="s">
        <v>1968</v>
      </c>
      <c r="D1554" s="556" t="s">
        <v>4426</v>
      </c>
      <c r="E1554" s="17" t="s">
        <v>4985</v>
      </c>
      <c r="F1554" s="17">
        <v>7</v>
      </c>
      <c r="G1554" s="17">
        <v>3</v>
      </c>
      <c r="H1554" s="17" t="s">
        <v>3352</v>
      </c>
      <c r="I1554" s="17">
        <v>0</v>
      </c>
      <c r="J1554" s="17"/>
      <c r="K1554" s="17"/>
      <c r="L1554" s="17"/>
      <c r="M1554" s="17"/>
      <c r="N1554" s="17"/>
      <c r="O1554" s="17"/>
      <c r="P1554" s="17"/>
      <c r="Q1554" s="17"/>
    </row>
    <row r="1555" spans="1:17">
      <c r="A1555" s="556" t="s">
        <v>3594</v>
      </c>
      <c r="B1555" s="557"/>
      <c r="C1555" s="558" t="s">
        <v>1968</v>
      </c>
      <c r="D1555" s="556" t="s">
        <v>4324</v>
      </c>
      <c r="E1555" s="17" t="s">
        <v>4986</v>
      </c>
      <c r="F1555" s="17">
        <v>7</v>
      </c>
      <c r="G1555" s="17">
        <v>4</v>
      </c>
      <c r="H1555" s="17" t="s">
        <v>3353</v>
      </c>
      <c r="I1555" s="17"/>
      <c r="J1555" s="17"/>
      <c r="K1555" s="17"/>
      <c r="L1555" s="17"/>
      <c r="M1555" s="17"/>
      <c r="N1555" s="17"/>
      <c r="O1555" s="17"/>
      <c r="P1555" s="17"/>
      <c r="Q1555" s="17"/>
    </row>
    <row r="1556" spans="1:17">
      <c r="A1556" s="556" t="s">
        <v>3594</v>
      </c>
      <c r="B1556" s="557"/>
      <c r="C1556" s="558" t="s">
        <v>1968</v>
      </c>
      <c r="D1556" s="556" t="s">
        <v>4944</v>
      </c>
      <c r="E1556" s="17" t="s">
        <v>4987</v>
      </c>
      <c r="F1556" s="17">
        <v>7</v>
      </c>
      <c r="G1556" s="17">
        <v>5</v>
      </c>
      <c r="H1556" s="17" t="s">
        <v>3354</v>
      </c>
      <c r="I1556" s="17"/>
      <c r="J1556" s="17"/>
      <c r="K1556" s="17"/>
      <c r="L1556" s="17"/>
      <c r="M1556" s="17"/>
      <c r="N1556" s="17"/>
      <c r="O1556" s="17"/>
      <c r="P1556" s="17"/>
      <c r="Q1556" s="17"/>
    </row>
    <row r="1557" spans="1:17">
      <c r="A1557" s="556" t="s">
        <v>3594</v>
      </c>
      <c r="B1557" s="557"/>
      <c r="C1557" s="558" t="s">
        <v>1968</v>
      </c>
      <c r="D1557" s="556" t="s">
        <v>9328</v>
      </c>
      <c r="E1557" s="17" t="s">
        <v>4988</v>
      </c>
      <c r="F1557" s="17">
        <v>7</v>
      </c>
      <c r="G1557" s="17">
        <v>6</v>
      </c>
      <c r="H1557" s="17" t="s">
        <v>3454</v>
      </c>
      <c r="I1557" s="17"/>
      <c r="J1557" s="17"/>
      <c r="K1557" s="17"/>
      <c r="L1557" s="17"/>
      <c r="M1557" s="17"/>
      <c r="N1557" s="17"/>
      <c r="O1557" s="17"/>
      <c r="P1557" s="17"/>
      <c r="Q1557" s="17"/>
    </row>
    <row r="1558" spans="1:17">
      <c r="A1558" s="556" t="s">
        <v>3594</v>
      </c>
      <c r="B1558" s="557"/>
      <c r="C1558" s="558" t="s">
        <v>1968</v>
      </c>
      <c r="D1558" s="556" t="s">
        <v>9329</v>
      </c>
      <c r="E1558" s="17" t="s">
        <v>4989</v>
      </c>
      <c r="F1558" s="17">
        <v>7</v>
      </c>
      <c r="G1558" s="17">
        <v>7</v>
      </c>
      <c r="H1558" s="17" t="s">
        <v>7809</v>
      </c>
      <c r="I1558" s="17"/>
      <c r="J1558" s="17"/>
      <c r="K1558" s="17"/>
      <c r="L1558" s="17"/>
      <c r="M1558" s="17"/>
      <c r="N1558" s="17"/>
      <c r="O1558" s="17"/>
      <c r="P1558" s="17"/>
      <c r="Q1558" s="17"/>
    </row>
    <row r="1559" spans="1:17">
      <c r="A1559" s="556" t="s">
        <v>3594</v>
      </c>
      <c r="B1559" s="557"/>
      <c r="C1559" s="558" t="s">
        <v>1969</v>
      </c>
      <c r="D1559" s="556" t="s">
        <v>1693</v>
      </c>
      <c r="E1559" s="17" t="s">
        <v>4990</v>
      </c>
      <c r="F1559" s="17">
        <v>8</v>
      </c>
      <c r="G1559" s="17">
        <v>1</v>
      </c>
      <c r="H1559" s="17" t="s">
        <v>7776</v>
      </c>
      <c r="I1559" s="17"/>
      <c r="J1559" s="17"/>
      <c r="K1559" s="17"/>
      <c r="L1559" s="17"/>
      <c r="M1559" s="17"/>
      <c r="N1559" s="17"/>
      <c r="O1559" s="17"/>
      <c r="P1559" s="17"/>
      <c r="Q1559" s="17"/>
    </row>
    <row r="1560" spans="1:17">
      <c r="A1560" s="556" t="s">
        <v>3594</v>
      </c>
      <c r="B1560" s="557"/>
      <c r="C1560" s="558" t="s">
        <v>1969</v>
      </c>
      <c r="D1560" s="556" t="s">
        <v>1694</v>
      </c>
      <c r="E1560" s="17" t="s">
        <v>4991</v>
      </c>
      <c r="F1560" s="17">
        <v>8</v>
      </c>
      <c r="G1560" s="17">
        <v>2</v>
      </c>
      <c r="H1560" s="17" t="s">
        <v>3355</v>
      </c>
      <c r="I1560" s="17"/>
      <c r="J1560" s="17"/>
      <c r="K1560" s="17"/>
      <c r="L1560" s="17"/>
      <c r="M1560" s="17"/>
      <c r="N1560" s="17"/>
      <c r="O1560" s="17"/>
      <c r="P1560" s="17"/>
      <c r="Q1560" s="17"/>
    </row>
    <row r="1561" spans="1:17">
      <c r="A1561" s="556" t="s">
        <v>3594</v>
      </c>
      <c r="B1561" s="557"/>
      <c r="C1561" s="558" t="s">
        <v>1969</v>
      </c>
      <c r="D1561" s="556" t="s">
        <v>4426</v>
      </c>
      <c r="E1561" s="17" t="s">
        <v>4992</v>
      </c>
      <c r="F1561" s="17">
        <v>8</v>
      </c>
      <c r="G1561" s="17">
        <v>3</v>
      </c>
      <c r="H1561" s="17" t="s">
        <v>3356</v>
      </c>
      <c r="I1561" s="17">
        <v>0</v>
      </c>
      <c r="J1561" s="17"/>
      <c r="K1561" s="17"/>
      <c r="L1561" s="17"/>
      <c r="M1561" s="17"/>
      <c r="N1561" s="17"/>
      <c r="O1561" s="17"/>
      <c r="P1561" s="17"/>
      <c r="Q1561" s="17"/>
    </row>
    <row r="1562" spans="1:17">
      <c r="A1562" s="556" t="s">
        <v>3594</v>
      </c>
      <c r="B1562" s="557"/>
      <c r="C1562" s="558" t="s">
        <v>1969</v>
      </c>
      <c r="D1562" s="556" t="s">
        <v>4324</v>
      </c>
      <c r="E1562" s="17" t="s">
        <v>4993</v>
      </c>
      <c r="F1562" s="17">
        <v>8</v>
      </c>
      <c r="G1562" s="17">
        <v>4</v>
      </c>
      <c r="H1562" s="17" t="s">
        <v>3357</v>
      </c>
      <c r="I1562" s="17"/>
      <c r="J1562" s="17"/>
      <c r="K1562" s="17"/>
      <c r="L1562" s="17"/>
      <c r="M1562" s="17"/>
      <c r="N1562" s="17"/>
      <c r="O1562" s="17"/>
      <c r="P1562" s="17"/>
      <c r="Q1562" s="17"/>
    </row>
    <row r="1563" spans="1:17">
      <c r="A1563" s="556" t="s">
        <v>3594</v>
      </c>
      <c r="B1563" s="557"/>
      <c r="C1563" s="558" t="s">
        <v>1969</v>
      </c>
      <c r="D1563" s="556" t="s">
        <v>4944</v>
      </c>
      <c r="E1563" s="17" t="s">
        <v>4994</v>
      </c>
      <c r="F1563" s="17">
        <v>8</v>
      </c>
      <c r="G1563" s="17">
        <v>5</v>
      </c>
      <c r="H1563" s="17" t="s">
        <v>3358</v>
      </c>
      <c r="I1563" s="17"/>
      <c r="J1563" s="17"/>
      <c r="K1563" s="17"/>
      <c r="L1563" s="17"/>
      <c r="M1563" s="17"/>
      <c r="N1563" s="17"/>
      <c r="O1563" s="17"/>
      <c r="P1563" s="17"/>
      <c r="Q1563" s="17"/>
    </row>
    <row r="1564" spans="1:17">
      <c r="A1564" s="556" t="s">
        <v>3594</v>
      </c>
      <c r="B1564" s="557"/>
      <c r="C1564" s="558" t="s">
        <v>1969</v>
      </c>
      <c r="D1564" s="556" t="s">
        <v>9328</v>
      </c>
      <c r="E1564" s="17" t="s">
        <v>4995</v>
      </c>
      <c r="F1564" s="17">
        <v>8</v>
      </c>
      <c r="G1564" s="17">
        <v>6</v>
      </c>
      <c r="H1564" s="17" t="s">
        <v>3455</v>
      </c>
      <c r="I1564" s="17"/>
      <c r="J1564" s="17"/>
      <c r="K1564" s="17"/>
      <c r="L1564" s="17"/>
      <c r="M1564" s="17"/>
      <c r="N1564" s="17"/>
      <c r="O1564" s="17"/>
      <c r="P1564" s="17"/>
      <c r="Q1564" s="17"/>
    </row>
    <row r="1565" spans="1:17">
      <c r="A1565" s="556" t="s">
        <v>3594</v>
      </c>
      <c r="B1565" s="557"/>
      <c r="C1565" s="558" t="s">
        <v>1969</v>
      </c>
      <c r="D1565" s="556" t="s">
        <v>9329</v>
      </c>
      <c r="E1565" s="17" t="s">
        <v>4996</v>
      </c>
      <c r="F1565" s="17">
        <v>8</v>
      </c>
      <c r="G1565" s="17">
        <v>7</v>
      </c>
      <c r="H1565" s="17" t="s">
        <v>7814</v>
      </c>
      <c r="I1565" s="17"/>
      <c r="J1565" s="17"/>
      <c r="K1565" s="17"/>
      <c r="L1565" s="17"/>
      <c r="M1565" s="17"/>
      <c r="N1565" s="17"/>
      <c r="O1565" s="17"/>
      <c r="P1565" s="17"/>
      <c r="Q1565" s="17"/>
    </row>
    <row r="1566" spans="1:17">
      <c r="A1566" s="556" t="s">
        <v>3594</v>
      </c>
      <c r="B1566" s="557"/>
      <c r="C1566" s="558" t="s">
        <v>1970</v>
      </c>
      <c r="D1566" s="556" t="s">
        <v>1693</v>
      </c>
      <c r="E1566" s="17" t="s">
        <v>4997</v>
      </c>
      <c r="F1566" s="17">
        <v>9</v>
      </c>
      <c r="G1566" s="17">
        <v>1</v>
      </c>
      <c r="H1566" s="17" t="s">
        <v>7778</v>
      </c>
      <c r="I1566" s="17"/>
      <c r="J1566" s="17"/>
      <c r="K1566" s="17"/>
      <c r="L1566" s="17"/>
      <c r="M1566" s="17"/>
      <c r="N1566" s="17"/>
      <c r="O1566" s="17"/>
      <c r="P1566" s="17"/>
      <c r="Q1566" s="17"/>
    </row>
    <row r="1567" spans="1:17">
      <c r="A1567" s="556" t="s">
        <v>3594</v>
      </c>
      <c r="B1567" s="557"/>
      <c r="C1567" s="558" t="s">
        <v>1970</v>
      </c>
      <c r="D1567" s="556" t="s">
        <v>1694</v>
      </c>
      <c r="E1567" s="17" t="s">
        <v>4998</v>
      </c>
      <c r="F1567" s="17">
        <v>9</v>
      </c>
      <c r="G1567" s="17">
        <v>2</v>
      </c>
      <c r="H1567" s="17" t="s">
        <v>3359</v>
      </c>
      <c r="I1567" s="17"/>
      <c r="J1567" s="17"/>
      <c r="K1567" s="17"/>
      <c r="L1567" s="17"/>
      <c r="M1567" s="17"/>
      <c r="N1567" s="17"/>
      <c r="O1567" s="17"/>
      <c r="P1567" s="17"/>
      <c r="Q1567" s="17"/>
    </row>
    <row r="1568" spans="1:17">
      <c r="A1568" s="556" t="s">
        <v>3594</v>
      </c>
      <c r="B1568" s="557"/>
      <c r="C1568" s="558" t="s">
        <v>1970</v>
      </c>
      <c r="D1568" s="556" t="s">
        <v>4426</v>
      </c>
      <c r="E1568" s="17" t="s">
        <v>4999</v>
      </c>
      <c r="F1568" s="17">
        <v>9</v>
      </c>
      <c r="G1568" s="17">
        <v>3</v>
      </c>
      <c r="H1568" s="17" t="s">
        <v>3360</v>
      </c>
      <c r="I1568" s="17">
        <v>0</v>
      </c>
      <c r="J1568" s="17"/>
      <c r="K1568" s="17"/>
      <c r="L1568" s="17"/>
      <c r="M1568" s="17"/>
      <c r="N1568" s="17"/>
      <c r="O1568" s="17"/>
      <c r="P1568" s="17"/>
      <c r="Q1568" s="17"/>
    </row>
    <row r="1569" spans="1:17">
      <c r="A1569" s="556" t="s">
        <v>3594</v>
      </c>
      <c r="B1569" s="557"/>
      <c r="C1569" s="558" t="s">
        <v>1970</v>
      </c>
      <c r="D1569" s="556" t="s">
        <v>4324</v>
      </c>
      <c r="E1569" s="17" t="s">
        <v>5000</v>
      </c>
      <c r="F1569" s="17">
        <v>9</v>
      </c>
      <c r="G1569" s="17">
        <v>4</v>
      </c>
      <c r="H1569" s="17" t="s">
        <v>3327</v>
      </c>
      <c r="I1569" s="17"/>
      <c r="J1569" s="17"/>
      <c r="K1569" s="17"/>
      <c r="L1569" s="17"/>
      <c r="M1569" s="17"/>
      <c r="N1569" s="17"/>
      <c r="O1569" s="17"/>
      <c r="P1569" s="17"/>
      <c r="Q1569" s="17"/>
    </row>
    <row r="1570" spans="1:17">
      <c r="A1570" s="556" t="s">
        <v>3594</v>
      </c>
      <c r="B1570" s="557"/>
      <c r="C1570" s="558" t="s">
        <v>1970</v>
      </c>
      <c r="D1570" s="556" t="s">
        <v>4944</v>
      </c>
      <c r="E1570" s="17" t="s">
        <v>5001</v>
      </c>
      <c r="F1570" s="17">
        <v>9</v>
      </c>
      <c r="G1570" s="17">
        <v>5</v>
      </c>
      <c r="H1570" s="17" t="s">
        <v>3361</v>
      </c>
      <c r="I1570" s="17"/>
      <c r="J1570" s="17"/>
      <c r="K1570" s="17"/>
      <c r="L1570" s="17"/>
      <c r="M1570" s="17"/>
      <c r="N1570" s="17"/>
      <c r="O1570" s="17"/>
      <c r="P1570" s="17"/>
      <c r="Q1570" s="17"/>
    </row>
    <row r="1571" spans="1:17">
      <c r="A1571" s="556" t="s">
        <v>3594</v>
      </c>
      <c r="B1571" s="557"/>
      <c r="C1571" s="558" t="s">
        <v>1970</v>
      </c>
      <c r="D1571" s="556" t="s">
        <v>9328</v>
      </c>
      <c r="E1571" s="17" t="s">
        <v>5002</v>
      </c>
      <c r="F1571" s="17">
        <v>9</v>
      </c>
      <c r="G1571" s="17">
        <v>6</v>
      </c>
      <c r="H1571" s="17" t="s">
        <v>3456</v>
      </c>
      <c r="I1571" s="17"/>
      <c r="J1571" s="17"/>
      <c r="K1571" s="17"/>
      <c r="L1571" s="17"/>
      <c r="M1571" s="17"/>
      <c r="N1571" s="17"/>
      <c r="O1571" s="17"/>
      <c r="P1571" s="17"/>
      <c r="Q1571" s="17"/>
    </row>
    <row r="1572" spans="1:17">
      <c r="A1572" s="556" t="s">
        <v>3594</v>
      </c>
      <c r="B1572" s="557"/>
      <c r="C1572" s="558" t="s">
        <v>1970</v>
      </c>
      <c r="D1572" s="556" t="s">
        <v>9329</v>
      </c>
      <c r="E1572" s="17" t="s">
        <v>5003</v>
      </c>
      <c r="F1572" s="17">
        <v>9</v>
      </c>
      <c r="G1572" s="17">
        <v>7</v>
      </c>
      <c r="H1572" s="17" t="s">
        <v>7815</v>
      </c>
      <c r="I1572" s="17"/>
      <c r="J1572" s="17"/>
      <c r="K1572" s="17"/>
      <c r="L1572" s="17"/>
      <c r="M1572" s="17"/>
      <c r="N1572" s="17"/>
      <c r="O1572" s="17"/>
      <c r="P1572" s="17"/>
      <c r="Q1572" s="17"/>
    </row>
    <row r="1573" spans="1:17">
      <c r="A1573" s="556" t="s">
        <v>3594</v>
      </c>
      <c r="B1573" s="557"/>
      <c r="C1573" s="558" t="s">
        <v>1971</v>
      </c>
      <c r="D1573" s="556" t="s">
        <v>1693</v>
      </c>
      <c r="E1573" s="17" t="s">
        <v>5004</v>
      </c>
      <c r="F1573" s="17">
        <v>10</v>
      </c>
      <c r="G1573" s="17">
        <v>1</v>
      </c>
      <c r="H1573" s="17" t="s">
        <v>7779</v>
      </c>
      <c r="I1573" s="17"/>
      <c r="J1573" s="17"/>
      <c r="K1573" s="17"/>
      <c r="L1573" s="17"/>
      <c r="M1573" s="17"/>
      <c r="N1573" s="17"/>
      <c r="O1573" s="17"/>
      <c r="P1573" s="17"/>
      <c r="Q1573" s="17"/>
    </row>
    <row r="1574" spans="1:17">
      <c r="A1574" s="556" t="s">
        <v>3594</v>
      </c>
      <c r="B1574" s="557"/>
      <c r="C1574" s="558" t="s">
        <v>1971</v>
      </c>
      <c r="D1574" s="556" t="s">
        <v>1694</v>
      </c>
      <c r="E1574" s="17" t="s">
        <v>5005</v>
      </c>
      <c r="F1574" s="17">
        <v>10</v>
      </c>
      <c r="G1574" s="17">
        <v>2</v>
      </c>
      <c r="H1574" s="17" t="s">
        <v>3362</v>
      </c>
      <c r="I1574" s="17"/>
      <c r="J1574" s="17"/>
      <c r="K1574" s="17"/>
      <c r="L1574" s="17"/>
      <c r="M1574" s="17"/>
      <c r="N1574" s="17"/>
      <c r="O1574" s="17"/>
      <c r="P1574" s="17"/>
      <c r="Q1574" s="17"/>
    </row>
    <row r="1575" spans="1:17">
      <c r="A1575" s="556" t="s">
        <v>3594</v>
      </c>
      <c r="B1575" s="557"/>
      <c r="C1575" s="558" t="s">
        <v>1971</v>
      </c>
      <c r="D1575" s="556" t="s">
        <v>4426</v>
      </c>
      <c r="E1575" s="17" t="s">
        <v>5006</v>
      </c>
      <c r="F1575" s="17">
        <v>10</v>
      </c>
      <c r="G1575" s="17">
        <v>3</v>
      </c>
      <c r="H1575" s="17" t="s">
        <v>3363</v>
      </c>
      <c r="I1575" s="17">
        <v>0</v>
      </c>
      <c r="J1575" s="17"/>
      <c r="K1575" s="17"/>
      <c r="L1575" s="17"/>
      <c r="M1575" s="17"/>
      <c r="N1575" s="17"/>
      <c r="O1575" s="17"/>
      <c r="P1575" s="17"/>
      <c r="Q1575" s="17"/>
    </row>
    <row r="1576" spans="1:17">
      <c r="A1576" s="556" t="s">
        <v>3594</v>
      </c>
      <c r="B1576" s="557"/>
      <c r="C1576" s="558" t="s">
        <v>1971</v>
      </c>
      <c r="D1576" s="556" t="s">
        <v>4324</v>
      </c>
      <c r="E1576" s="17" t="s">
        <v>5007</v>
      </c>
      <c r="F1576" s="17">
        <v>10</v>
      </c>
      <c r="G1576" s="17">
        <v>4</v>
      </c>
      <c r="H1576" s="17" t="s">
        <v>3364</v>
      </c>
      <c r="I1576" s="17"/>
      <c r="J1576" s="17"/>
      <c r="K1576" s="17"/>
      <c r="L1576" s="17"/>
      <c r="M1576" s="17"/>
      <c r="N1576" s="17"/>
      <c r="O1576" s="17"/>
      <c r="P1576" s="17"/>
      <c r="Q1576" s="17"/>
    </row>
    <row r="1577" spans="1:17">
      <c r="A1577" s="556" t="s">
        <v>3594</v>
      </c>
      <c r="B1577" s="557"/>
      <c r="C1577" s="558" t="s">
        <v>1971</v>
      </c>
      <c r="D1577" s="556" t="s">
        <v>4944</v>
      </c>
      <c r="E1577" s="17" t="s">
        <v>5008</v>
      </c>
      <c r="F1577" s="17">
        <v>10</v>
      </c>
      <c r="G1577" s="17">
        <v>5</v>
      </c>
      <c r="H1577" s="17" t="s">
        <v>3365</v>
      </c>
      <c r="I1577" s="17"/>
      <c r="J1577" s="17"/>
      <c r="K1577" s="17"/>
      <c r="L1577" s="17"/>
      <c r="M1577" s="17"/>
      <c r="N1577" s="17"/>
      <c r="O1577" s="17"/>
      <c r="P1577" s="17"/>
      <c r="Q1577" s="17"/>
    </row>
    <row r="1578" spans="1:17">
      <c r="A1578" s="556" t="s">
        <v>3594</v>
      </c>
      <c r="B1578" s="557"/>
      <c r="C1578" s="558" t="s">
        <v>1971</v>
      </c>
      <c r="D1578" s="556" t="s">
        <v>9328</v>
      </c>
      <c r="E1578" s="17" t="s">
        <v>5009</v>
      </c>
      <c r="F1578" s="17">
        <v>10</v>
      </c>
      <c r="G1578" s="17">
        <v>6</v>
      </c>
      <c r="H1578" s="17" t="s">
        <v>3457</v>
      </c>
      <c r="I1578" s="17"/>
      <c r="J1578" s="17"/>
      <c r="K1578" s="17"/>
      <c r="L1578" s="17"/>
      <c r="M1578" s="17"/>
      <c r="N1578" s="17"/>
      <c r="O1578" s="17"/>
      <c r="P1578" s="17"/>
      <c r="Q1578" s="17"/>
    </row>
    <row r="1579" spans="1:17">
      <c r="A1579" s="556" t="s">
        <v>3594</v>
      </c>
      <c r="B1579" s="557"/>
      <c r="C1579" s="558" t="s">
        <v>1971</v>
      </c>
      <c r="D1579" s="556" t="s">
        <v>9329</v>
      </c>
      <c r="E1579" s="17" t="s">
        <v>5010</v>
      </c>
      <c r="F1579" s="17">
        <v>10</v>
      </c>
      <c r="G1579" s="17">
        <v>7</v>
      </c>
      <c r="H1579" s="17" t="s">
        <v>7816</v>
      </c>
      <c r="I1579" s="17"/>
      <c r="J1579" s="17"/>
      <c r="K1579" s="17"/>
      <c r="L1579" s="17"/>
      <c r="M1579" s="17"/>
      <c r="N1579" s="17"/>
      <c r="O1579" s="17"/>
      <c r="P1579" s="17"/>
      <c r="Q1579" s="17"/>
    </row>
    <row r="1580" spans="1:17">
      <c r="A1580" s="556" t="s">
        <v>3594</v>
      </c>
      <c r="B1580" s="557"/>
      <c r="C1580" s="558" t="s">
        <v>1972</v>
      </c>
      <c r="D1580" s="556" t="s">
        <v>1693</v>
      </c>
      <c r="E1580" s="17" t="s">
        <v>5011</v>
      </c>
      <c r="F1580" s="17">
        <v>11</v>
      </c>
      <c r="G1580" s="17">
        <v>1</v>
      </c>
      <c r="H1580" s="17" t="s">
        <v>7781</v>
      </c>
      <c r="I1580" s="17">
        <v>0</v>
      </c>
      <c r="J1580" s="17"/>
      <c r="K1580" s="17"/>
      <c r="L1580" s="17"/>
      <c r="M1580" s="17"/>
      <c r="N1580" s="17"/>
      <c r="O1580" s="17"/>
      <c r="P1580" s="17"/>
      <c r="Q1580" s="17"/>
    </row>
    <row r="1581" spans="1:17">
      <c r="A1581" s="556" t="s">
        <v>3594</v>
      </c>
      <c r="B1581" s="557"/>
      <c r="C1581" s="558" t="s">
        <v>1972</v>
      </c>
      <c r="D1581" s="556" t="s">
        <v>1694</v>
      </c>
      <c r="E1581" s="17" t="s">
        <v>5012</v>
      </c>
      <c r="F1581" s="17">
        <v>11</v>
      </c>
      <c r="G1581" s="17">
        <v>2</v>
      </c>
      <c r="H1581" s="17" t="s">
        <v>3366</v>
      </c>
      <c r="I1581" s="17">
        <v>0</v>
      </c>
      <c r="J1581" s="17"/>
      <c r="K1581" s="17"/>
      <c r="L1581" s="17"/>
      <c r="M1581" s="17"/>
      <c r="N1581" s="17"/>
      <c r="O1581" s="17"/>
      <c r="P1581" s="17"/>
      <c r="Q1581" s="17"/>
    </row>
    <row r="1582" spans="1:17">
      <c r="A1582" s="556" t="s">
        <v>3594</v>
      </c>
      <c r="B1582" s="557"/>
      <c r="C1582" s="558" t="s">
        <v>1972</v>
      </c>
      <c r="D1582" s="556" t="s">
        <v>4426</v>
      </c>
      <c r="E1582" s="17" t="s">
        <v>5013</v>
      </c>
      <c r="F1582" s="17">
        <v>11</v>
      </c>
      <c r="G1582" s="17">
        <v>3</v>
      </c>
      <c r="H1582" s="17" t="s">
        <v>3367</v>
      </c>
      <c r="I1582" s="17">
        <v>0</v>
      </c>
      <c r="J1582" s="17"/>
      <c r="K1582" s="17"/>
      <c r="L1582" s="17"/>
      <c r="M1582" s="17"/>
      <c r="N1582" s="17"/>
      <c r="O1582" s="17"/>
      <c r="P1582" s="17"/>
      <c r="Q1582" s="17"/>
    </row>
    <row r="1583" spans="1:17">
      <c r="A1583" s="556" t="s">
        <v>3594</v>
      </c>
      <c r="B1583" s="557"/>
      <c r="C1583" s="558" t="s">
        <v>1972</v>
      </c>
      <c r="D1583" s="556" t="s">
        <v>4324</v>
      </c>
      <c r="E1583" s="17" t="s">
        <v>5014</v>
      </c>
      <c r="F1583" s="17">
        <v>11</v>
      </c>
      <c r="G1583" s="17">
        <v>4</v>
      </c>
      <c r="H1583" s="17" t="s">
        <v>3368</v>
      </c>
      <c r="I1583" s="17"/>
      <c r="J1583" s="17"/>
      <c r="K1583" s="17"/>
      <c r="L1583" s="17"/>
      <c r="M1583" s="17"/>
      <c r="N1583" s="17"/>
      <c r="O1583" s="17"/>
      <c r="P1583" s="17"/>
      <c r="Q1583" s="17"/>
    </row>
    <row r="1584" spans="1:17">
      <c r="A1584" s="556" t="s">
        <v>3594</v>
      </c>
      <c r="B1584" s="557"/>
      <c r="C1584" s="558" t="s">
        <v>1972</v>
      </c>
      <c r="D1584" s="556" t="s">
        <v>4944</v>
      </c>
      <c r="E1584" s="17" t="s">
        <v>5015</v>
      </c>
      <c r="F1584" s="17">
        <v>11</v>
      </c>
      <c r="G1584" s="17">
        <v>5</v>
      </c>
      <c r="H1584" s="17" t="s">
        <v>3369</v>
      </c>
      <c r="I1584" s="17">
        <v>0</v>
      </c>
      <c r="J1584" s="17"/>
      <c r="K1584" s="17"/>
      <c r="L1584" s="17"/>
      <c r="M1584" s="17"/>
      <c r="N1584" s="17"/>
      <c r="O1584" s="17"/>
      <c r="P1584" s="17"/>
      <c r="Q1584" s="17"/>
    </row>
    <row r="1585" spans="1:17">
      <c r="A1585" s="556" t="s">
        <v>3594</v>
      </c>
      <c r="B1585" s="557"/>
      <c r="C1585" s="558" t="s">
        <v>1972</v>
      </c>
      <c r="D1585" s="556" t="s">
        <v>9328</v>
      </c>
      <c r="E1585" s="17" t="s">
        <v>5016</v>
      </c>
      <c r="F1585" s="17">
        <v>11</v>
      </c>
      <c r="G1585" s="17">
        <v>6</v>
      </c>
      <c r="H1585" s="17" t="s">
        <v>3458</v>
      </c>
      <c r="I1585" s="17">
        <v>0</v>
      </c>
      <c r="J1585" s="17"/>
      <c r="K1585" s="17"/>
      <c r="L1585" s="17"/>
      <c r="M1585" s="17"/>
      <c r="N1585" s="17"/>
      <c r="O1585" s="17"/>
      <c r="P1585" s="17"/>
      <c r="Q1585" s="17"/>
    </row>
    <row r="1586" spans="1:17">
      <c r="A1586" s="556" t="s">
        <v>3594</v>
      </c>
      <c r="B1586" s="557"/>
      <c r="C1586" s="558" t="s">
        <v>1972</v>
      </c>
      <c r="D1586" s="556" t="s">
        <v>9329</v>
      </c>
      <c r="E1586" s="17" t="s">
        <v>5017</v>
      </c>
      <c r="F1586" s="17">
        <v>11</v>
      </c>
      <c r="G1586" s="17">
        <v>7</v>
      </c>
      <c r="H1586" s="17" t="s">
        <v>7817</v>
      </c>
      <c r="I1586" s="17">
        <v>0</v>
      </c>
      <c r="J1586" s="17"/>
      <c r="K1586" s="17"/>
      <c r="L1586" s="17"/>
      <c r="M1586" s="17"/>
      <c r="N1586" s="17"/>
      <c r="O1586" s="17"/>
      <c r="P1586" s="17"/>
      <c r="Q1586" s="17"/>
    </row>
    <row r="1587" spans="1:17">
      <c r="A1587" s="556" t="s">
        <v>3594</v>
      </c>
      <c r="B1587" s="557"/>
      <c r="C1587" s="558" t="s">
        <v>1973</v>
      </c>
      <c r="D1587" s="556" t="s">
        <v>1693</v>
      </c>
      <c r="E1587" s="17" t="s">
        <v>5018</v>
      </c>
      <c r="F1587" s="17">
        <v>12</v>
      </c>
      <c r="G1587" s="17">
        <v>1</v>
      </c>
      <c r="H1587" s="17" t="s">
        <v>7783</v>
      </c>
      <c r="I1587" s="17"/>
      <c r="J1587" s="17"/>
      <c r="K1587" s="17"/>
      <c r="L1587" s="17"/>
      <c r="M1587" s="17"/>
      <c r="N1587" s="17"/>
      <c r="O1587" s="17"/>
      <c r="P1587" s="17"/>
      <c r="Q1587" s="17"/>
    </row>
    <row r="1588" spans="1:17">
      <c r="A1588" s="556" t="s">
        <v>3594</v>
      </c>
      <c r="B1588" s="557"/>
      <c r="C1588" s="558" t="s">
        <v>1973</v>
      </c>
      <c r="D1588" s="556" t="s">
        <v>1694</v>
      </c>
      <c r="E1588" s="17" t="s">
        <v>5019</v>
      </c>
      <c r="F1588" s="17">
        <v>12</v>
      </c>
      <c r="G1588" s="17">
        <v>2</v>
      </c>
      <c r="H1588" s="17" t="s">
        <v>3370</v>
      </c>
      <c r="I1588" s="17"/>
      <c r="J1588" s="17"/>
      <c r="K1588" s="17"/>
      <c r="L1588" s="17"/>
      <c r="M1588" s="17"/>
      <c r="N1588" s="17"/>
      <c r="O1588" s="17"/>
      <c r="P1588" s="17"/>
      <c r="Q1588" s="17"/>
    </row>
    <row r="1589" spans="1:17">
      <c r="A1589" s="556" t="s">
        <v>3594</v>
      </c>
      <c r="B1589" s="557"/>
      <c r="C1589" s="558" t="s">
        <v>1973</v>
      </c>
      <c r="D1589" s="556" t="s">
        <v>4426</v>
      </c>
      <c r="E1589" s="17" t="s">
        <v>5020</v>
      </c>
      <c r="F1589" s="17">
        <v>12</v>
      </c>
      <c r="G1589" s="17">
        <v>3</v>
      </c>
      <c r="H1589" s="17" t="s">
        <v>3371</v>
      </c>
      <c r="I1589" s="17">
        <v>0</v>
      </c>
      <c r="J1589" s="17"/>
      <c r="K1589" s="17"/>
      <c r="L1589" s="17"/>
      <c r="M1589" s="17"/>
      <c r="N1589" s="17"/>
      <c r="O1589" s="17"/>
      <c r="P1589" s="17"/>
      <c r="Q1589" s="17"/>
    </row>
    <row r="1590" spans="1:17">
      <c r="A1590" s="556" t="s">
        <v>3594</v>
      </c>
      <c r="B1590" s="557"/>
      <c r="C1590" s="558" t="s">
        <v>1973</v>
      </c>
      <c r="D1590" s="556" t="s">
        <v>4324</v>
      </c>
      <c r="E1590" s="17" t="s">
        <v>5021</v>
      </c>
      <c r="F1590" s="17">
        <v>12</v>
      </c>
      <c r="G1590" s="17">
        <v>4</v>
      </c>
      <c r="H1590" s="17" t="s">
        <v>3372</v>
      </c>
      <c r="I1590" s="17"/>
      <c r="J1590" s="17"/>
      <c r="K1590" s="17"/>
      <c r="L1590" s="17"/>
      <c r="M1590" s="17"/>
      <c r="N1590" s="17"/>
      <c r="O1590" s="17"/>
      <c r="P1590" s="17"/>
      <c r="Q1590" s="17"/>
    </row>
    <row r="1591" spans="1:17">
      <c r="A1591" s="556" t="s">
        <v>3594</v>
      </c>
      <c r="B1591" s="557"/>
      <c r="C1591" s="558" t="s">
        <v>1973</v>
      </c>
      <c r="D1591" s="556" t="s">
        <v>4944</v>
      </c>
      <c r="E1591" s="17" t="s">
        <v>5022</v>
      </c>
      <c r="F1591" s="17">
        <v>12</v>
      </c>
      <c r="G1591" s="17">
        <v>5</v>
      </c>
      <c r="H1591" s="17" t="s">
        <v>3373</v>
      </c>
      <c r="I1591" s="17"/>
      <c r="J1591" s="17"/>
      <c r="K1591" s="17"/>
      <c r="L1591" s="17"/>
      <c r="M1591" s="17"/>
      <c r="N1591" s="17"/>
      <c r="O1591" s="17"/>
      <c r="P1591" s="17"/>
      <c r="Q1591" s="17"/>
    </row>
    <row r="1592" spans="1:17">
      <c r="A1592" s="556" t="s">
        <v>3594</v>
      </c>
      <c r="B1592" s="557"/>
      <c r="C1592" s="558" t="s">
        <v>1973</v>
      </c>
      <c r="D1592" s="556" t="s">
        <v>9328</v>
      </c>
      <c r="E1592" s="17" t="s">
        <v>5023</v>
      </c>
      <c r="F1592" s="17">
        <v>12</v>
      </c>
      <c r="G1592" s="17">
        <v>6</v>
      </c>
      <c r="H1592" s="17" t="s">
        <v>3459</v>
      </c>
      <c r="I1592" s="17"/>
      <c r="J1592" s="17"/>
      <c r="K1592" s="17"/>
      <c r="L1592" s="17"/>
      <c r="M1592" s="17"/>
      <c r="N1592" s="17"/>
      <c r="O1592" s="17"/>
      <c r="P1592" s="17"/>
      <c r="Q1592" s="17"/>
    </row>
    <row r="1593" spans="1:17">
      <c r="A1593" s="556" t="s">
        <v>3594</v>
      </c>
      <c r="B1593" s="557"/>
      <c r="C1593" s="558" t="s">
        <v>1973</v>
      </c>
      <c r="D1593" s="556" t="s">
        <v>9329</v>
      </c>
      <c r="E1593" s="17" t="s">
        <v>5024</v>
      </c>
      <c r="F1593" s="17">
        <v>12</v>
      </c>
      <c r="G1593" s="17">
        <v>7</v>
      </c>
      <c r="H1593" s="17" t="s">
        <v>7818</v>
      </c>
      <c r="I1593" s="17"/>
      <c r="J1593" s="17"/>
      <c r="K1593" s="17"/>
      <c r="L1593" s="17"/>
      <c r="M1593" s="17"/>
      <c r="N1593" s="17"/>
      <c r="O1593" s="17"/>
      <c r="P1593" s="17"/>
      <c r="Q1593" s="17"/>
    </row>
    <row r="1594" spans="1:17">
      <c r="A1594" s="556" t="s">
        <v>3594</v>
      </c>
      <c r="B1594" s="557"/>
      <c r="C1594" s="558" t="s">
        <v>1974</v>
      </c>
      <c r="D1594" s="556" t="s">
        <v>1693</v>
      </c>
      <c r="E1594" s="17" t="s">
        <v>5025</v>
      </c>
      <c r="F1594" s="17">
        <v>13</v>
      </c>
      <c r="G1594" s="17">
        <v>1</v>
      </c>
      <c r="H1594" s="17" t="s">
        <v>7785</v>
      </c>
      <c r="I1594" s="17"/>
      <c r="J1594" s="17"/>
      <c r="K1594" s="17"/>
      <c r="L1594" s="17"/>
      <c r="M1594" s="17"/>
      <c r="N1594" s="17"/>
      <c r="O1594" s="17"/>
      <c r="P1594" s="17"/>
      <c r="Q1594" s="17"/>
    </row>
    <row r="1595" spans="1:17">
      <c r="A1595" s="556" t="s">
        <v>3594</v>
      </c>
      <c r="B1595" s="557"/>
      <c r="C1595" s="558" t="s">
        <v>1974</v>
      </c>
      <c r="D1595" s="556" t="s">
        <v>1694</v>
      </c>
      <c r="E1595" s="17" t="s">
        <v>5026</v>
      </c>
      <c r="F1595" s="17">
        <v>13</v>
      </c>
      <c r="G1595" s="17">
        <v>2</v>
      </c>
      <c r="H1595" s="17" t="s">
        <v>3374</v>
      </c>
      <c r="I1595" s="17"/>
      <c r="J1595" s="17"/>
      <c r="K1595" s="17"/>
      <c r="L1595" s="17"/>
      <c r="M1595" s="17"/>
      <c r="N1595" s="17"/>
      <c r="O1595" s="17"/>
      <c r="P1595" s="17"/>
      <c r="Q1595" s="17"/>
    </row>
    <row r="1596" spans="1:17">
      <c r="A1596" s="556" t="s">
        <v>3594</v>
      </c>
      <c r="B1596" s="557"/>
      <c r="C1596" s="558" t="s">
        <v>1974</v>
      </c>
      <c r="D1596" s="556" t="s">
        <v>4426</v>
      </c>
      <c r="E1596" s="17" t="s">
        <v>5027</v>
      </c>
      <c r="F1596" s="17">
        <v>13</v>
      </c>
      <c r="G1596" s="17">
        <v>3</v>
      </c>
      <c r="H1596" s="17" t="s">
        <v>3375</v>
      </c>
      <c r="I1596" s="17">
        <v>0</v>
      </c>
      <c r="J1596" s="17"/>
      <c r="K1596" s="17"/>
      <c r="L1596" s="17"/>
      <c r="M1596" s="17"/>
      <c r="N1596" s="17"/>
      <c r="O1596" s="17"/>
      <c r="P1596" s="17"/>
      <c r="Q1596" s="17"/>
    </row>
    <row r="1597" spans="1:17">
      <c r="A1597" s="556" t="s">
        <v>3594</v>
      </c>
      <c r="B1597" s="557"/>
      <c r="C1597" s="558" t="s">
        <v>1974</v>
      </c>
      <c r="D1597" s="556" t="s">
        <v>4324</v>
      </c>
      <c r="E1597" s="17" t="s">
        <v>5028</v>
      </c>
      <c r="F1597" s="17">
        <v>13</v>
      </c>
      <c r="G1597" s="17">
        <v>4</v>
      </c>
      <c r="H1597" s="17" t="s">
        <v>3376</v>
      </c>
      <c r="I1597" s="17"/>
      <c r="J1597" s="17"/>
      <c r="K1597" s="17"/>
      <c r="L1597" s="17"/>
      <c r="M1597" s="17"/>
      <c r="N1597" s="17"/>
      <c r="O1597" s="17"/>
      <c r="P1597" s="17"/>
      <c r="Q1597" s="17"/>
    </row>
    <row r="1598" spans="1:17">
      <c r="A1598" s="556" t="s">
        <v>3594</v>
      </c>
      <c r="B1598" s="557"/>
      <c r="C1598" s="558" t="s">
        <v>1974</v>
      </c>
      <c r="D1598" s="556" t="s">
        <v>4944</v>
      </c>
      <c r="E1598" s="17" t="s">
        <v>5029</v>
      </c>
      <c r="F1598" s="17">
        <v>13</v>
      </c>
      <c r="G1598" s="17">
        <v>5</v>
      </c>
      <c r="H1598" s="17" t="s">
        <v>3377</v>
      </c>
      <c r="I1598" s="17"/>
      <c r="J1598" s="17"/>
      <c r="K1598" s="17"/>
      <c r="L1598" s="17"/>
      <c r="M1598" s="17"/>
      <c r="N1598" s="17"/>
      <c r="O1598" s="17"/>
      <c r="P1598" s="17"/>
      <c r="Q1598" s="17"/>
    </row>
    <row r="1599" spans="1:17">
      <c r="A1599" s="556" t="s">
        <v>3594</v>
      </c>
      <c r="B1599" s="557"/>
      <c r="C1599" s="558" t="s">
        <v>1974</v>
      </c>
      <c r="D1599" s="556" t="s">
        <v>9328</v>
      </c>
      <c r="E1599" s="17" t="s">
        <v>5030</v>
      </c>
      <c r="F1599" s="17">
        <v>13</v>
      </c>
      <c r="G1599" s="17">
        <v>6</v>
      </c>
      <c r="H1599" s="17" t="s">
        <v>3460</v>
      </c>
      <c r="I1599" s="17"/>
      <c r="J1599" s="17"/>
      <c r="K1599" s="17"/>
      <c r="L1599" s="17"/>
      <c r="M1599" s="17"/>
      <c r="N1599" s="17"/>
      <c r="O1599" s="17"/>
      <c r="P1599" s="17"/>
      <c r="Q1599" s="17"/>
    </row>
    <row r="1600" spans="1:17">
      <c r="A1600" s="556" t="s">
        <v>3594</v>
      </c>
      <c r="B1600" s="557"/>
      <c r="C1600" s="558" t="s">
        <v>1974</v>
      </c>
      <c r="D1600" s="556" t="s">
        <v>9329</v>
      </c>
      <c r="E1600" s="17" t="s">
        <v>5031</v>
      </c>
      <c r="F1600" s="17">
        <v>13</v>
      </c>
      <c r="G1600" s="17">
        <v>7</v>
      </c>
      <c r="H1600" s="17" t="s">
        <v>7819</v>
      </c>
      <c r="I1600" s="17"/>
      <c r="J1600" s="17"/>
      <c r="K1600" s="17"/>
      <c r="L1600" s="17"/>
      <c r="M1600" s="17"/>
      <c r="N1600" s="17"/>
      <c r="O1600" s="17"/>
      <c r="P1600" s="17"/>
      <c r="Q1600" s="17"/>
    </row>
    <row r="1601" spans="1:17">
      <c r="A1601" s="556" t="s">
        <v>3594</v>
      </c>
      <c r="B1601" s="557"/>
      <c r="C1601" s="558" t="s">
        <v>1975</v>
      </c>
      <c r="D1601" s="556" t="s">
        <v>1693</v>
      </c>
      <c r="E1601" s="17" t="s">
        <v>5032</v>
      </c>
      <c r="F1601" s="17">
        <v>14</v>
      </c>
      <c r="G1601" s="17">
        <v>1</v>
      </c>
      <c r="H1601" s="17" t="s">
        <v>3695</v>
      </c>
      <c r="I1601" s="17"/>
      <c r="J1601" s="17"/>
      <c r="K1601" s="17"/>
      <c r="L1601" s="17"/>
      <c r="M1601" s="17"/>
      <c r="N1601" s="17"/>
      <c r="O1601" s="17"/>
      <c r="P1601" s="17"/>
      <c r="Q1601" s="17"/>
    </row>
    <row r="1602" spans="1:17">
      <c r="A1602" s="556" t="s">
        <v>3594</v>
      </c>
      <c r="B1602" s="557"/>
      <c r="C1602" s="558" t="s">
        <v>1975</v>
      </c>
      <c r="D1602" s="556" t="s">
        <v>1694</v>
      </c>
      <c r="E1602" s="17" t="s">
        <v>5033</v>
      </c>
      <c r="F1602" s="17">
        <v>14</v>
      </c>
      <c r="G1602" s="17">
        <v>2</v>
      </c>
      <c r="H1602" s="17" t="s">
        <v>3378</v>
      </c>
      <c r="I1602" s="17"/>
      <c r="J1602" s="17"/>
      <c r="K1602" s="17"/>
      <c r="L1602" s="17"/>
      <c r="M1602" s="17"/>
      <c r="N1602" s="17"/>
      <c r="O1602" s="17"/>
      <c r="P1602" s="17"/>
      <c r="Q1602" s="17"/>
    </row>
    <row r="1603" spans="1:17">
      <c r="A1603" s="556" t="s">
        <v>3594</v>
      </c>
      <c r="B1603" s="557"/>
      <c r="C1603" s="558" t="s">
        <v>1975</v>
      </c>
      <c r="D1603" s="556" t="s">
        <v>4426</v>
      </c>
      <c r="E1603" s="17" t="s">
        <v>5034</v>
      </c>
      <c r="F1603" s="17">
        <v>14</v>
      </c>
      <c r="G1603" s="17">
        <v>3</v>
      </c>
      <c r="H1603" s="17" t="s">
        <v>3379</v>
      </c>
      <c r="I1603" s="17">
        <v>0</v>
      </c>
      <c r="J1603" s="17"/>
      <c r="K1603" s="17"/>
      <c r="L1603" s="17"/>
      <c r="M1603" s="17"/>
      <c r="N1603" s="17"/>
      <c r="O1603" s="17"/>
      <c r="P1603" s="17"/>
      <c r="Q1603" s="17"/>
    </row>
    <row r="1604" spans="1:17">
      <c r="A1604" s="556" t="s">
        <v>3594</v>
      </c>
      <c r="B1604" s="557"/>
      <c r="C1604" s="558" t="s">
        <v>1975</v>
      </c>
      <c r="D1604" s="556" t="s">
        <v>4324</v>
      </c>
      <c r="E1604" s="17" t="s">
        <v>5035</v>
      </c>
      <c r="F1604" s="17">
        <v>14</v>
      </c>
      <c r="G1604" s="17">
        <v>4</v>
      </c>
      <c r="H1604" s="17" t="s">
        <v>3380</v>
      </c>
      <c r="I1604" s="17"/>
      <c r="J1604" s="17"/>
      <c r="K1604" s="17"/>
      <c r="L1604" s="17"/>
      <c r="M1604" s="17"/>
      <c r="N1604" s="17"/>
      <c r="O1604" s="17"/>
      <c r="P1604" s="17"/>
      <c r="Q1604" s="17"/>
    </row>
    <row r="1605" spans="1:17">
      <c r="A1605" s="556" t="s">
        <v>3594</v>
      </c>
      <c r="B1605" s="557"/>
      <c r="C1605" s="558" t="s">
        <v>1975</v>
      </c>
      <c r="D1605" s="556" t="s">
        <v>4944</v>
      </c>
      <c r="E1605" s="17" t="s">
        <v>5036</v>
      </c>
      <c r="F1605" s="17">
        <v>14</v>
      </c>
      <c r="G1605" s="17">
        <v>5</v>
      </c>
      <c r="H1605" s="17" t="s">
        <v>3381</v>
      </c>
      <c r="I1605" s="17"/>
      <c r="J1605" s="17"/>
      <c r="K1605" s="17"/>
      <c r="L1605" s="17"/>
      <c r="M1605" s="17"/>
      <c r="N1605" s="17"/>
      <c r="O1605" s="17"/>
      <c r="P1605" s="17"/>
      <c r="Q1605" s="17"/>
    </row>
    <row r="1606" spans="1:17">
      <c r="A1606" s="556" t="s">
        <v>3594</v>
      </c>
      <c r="B1606" s="557"/>
      <c r="C1606" s="558" t="s">
        <v>1975</v>
      </c>
      <c r="D1606" s="556" t="s">
        <v>9328</v>
      </c>
      <c r="E1606" s="17" t="s">
        <v>5037</v>
      </c>
      <c r="F1606" s="17">
        <v>14</v>
      </c>
      <c r="G1606" s="17">
        <v>6</v>
      </c>
      <c r="H1606" s="17" t="s">
        <v>3461</v>
      </c>
      <c r="I1606" s="17"/>
      <c r="J1606" s="17"/>
      <c r="K1606" s="17"/>
      <c r="L1606" s="17"/>
      <c r="M1606" s="17"/>
      <c r="N1606" s="17"/>
      <c r="O1606" s="17"/>
      <c r="P1606" s="17"/>
      <c r="Q1606" s="17"/>
    </row>
    <row r="1607" spans="1:17">
      <c r="A1607" s="556" t="s">
        <v>3594</v>
      </c>
      <c r="B1607" s="557"/>
      <c r="C1607" s="558" t="s">
        <v>1975</v>
      </c>
      <c r="D1607" s="556" t="s">
        <v>9329</v>
      </c>
      <c r="E1607" s="17" t="s">
        <v>5038</v>
      </c>
      <c r="F1607" s="17">
        <v>14</v>
      </c>
      <c r="G1607" s="17">
        <v>7</v>
      </c>
      <c r="H1607" s="17" t="s">
        <v>7820</v>
      </c>
      <c r="I1607" s="17"/>
      <c r="J1607" s="17"/>
      <c r="K1607" s="17"/>
      <c r="L1607" s="17"/>
      <c r="M1607" s="17"/>
      <c r="N1607" s="17"/>
      <c r="O1607" s="17"/>
      <c r="P1607" s="17"/>
      <c r="Q1607" s="17"/>
    </row>
    <row r="1608" spans="1:17">
      <c r="A1608" s="556" t="s">
        <v>3594</v>
      </c>
      <c r="B1608" s="557"/>
      <c r="C1608" s="558" t="s">
        <v>1704</v>
      </c>
      <c r="D1608" s="556" t="s">
        <v>1693</v>
      </c>
      <c r="E1608" s="17" t="s">
        <v>5039</v>
      </c>
      <c r="F1608" s="17">
        <v>15</v>
      </c>
      <c r="G1608" s="17">
        <v>1</v>
      </c>
      <c r="H1608" s="17" t="s">
        <v>7788</v>
      </c>
      <c r="I1608" s="17"/>
      <c r="J1608" s="17"/>
      <c r="K1608" s="17"/>
      <c r="L1608" s="17"/>
      <c r="M1608" s="17"/>
      <c r="N1608" s="17"/>
      <c r="O1608" s="17"/>
      <c r="P1608" s="17"/>
      <c r="Q1608" s="17"/>
    </row>
    <row r="1609" spans="1:17">
      <c r="A1609" s="556" t="s">
        <v>3594</v>
      </c>
      <c r="B1609" s="557"/>
      <c r="C1609" s="558" t="s">
        <v>1704</v>
      </c>
      <c r="D1609" s="556" t="s">
        <v>1694</v>
      </c>
      <c r="E1609" s="17" t="s">
        <v>5040</v>
      </c>
      <c r="F1609" s="17">
        <v>15</v>
      </c>
      <c r="G1609" s="17">
        <v>2</v>
      </c>
      <c r="H1609" s="17" t="s">
        <v>3382</v>
      </c>
      <c r="I1609" s="17"/>
      <c r="J1609" s="17"/>
      <c r="K1609" s="17"/>
      <c r="L1609" s="17"/>
      <c r="M1609" s="17"/>
      <c r="N1609" s="17"/>
      <c r="O1609" s="17"/>
      <c r="P1609" s="17"/>
      <c r="Q1609" s="17"/>
    </row>
    <row r="1610" spans="1:17">
      <c r="A1610" s="556" t="s">
        <v>3594</v>
      </c>
      <c r="B1610" s="557"/>
      <c r="C1610" s="558" t="s">
        <v>1704</v>
      </c>
      <c r="D1610" s="556" t="s">
        <v>4426</v>
      </c>
      <c r="E1610" s="17" t="s">
        <v>5041</v>
      </c>
      <c r="F1610" s="17">
        <v>15</v>
      </c>
      <c r="G1610" s="17">
        <v>3</v>
      </c>
      <c r="H1610" s="17" t="s">
        <v>3383</v>
      </c>
      <c r="I1610" s="17">
        <v>0</v>
      </c>
      <c r="J1610" s="17"/>
      <c r="K1610" s="17"/>
      <c r="L1610" s="17"/>
      <c r="M1610" s="17"/>
      <c r="N1610" s="17"/>
      <c r="O1610" s="17"/>
      <c r="P1610" s="17"/>
      <c r="Q1610" s="17"/>
    </row>
    <row r="1611" spans="1:17">
      <c r="A1611" s="556" t="s">
        <v>3594</v>
      </c>
      <c r="B1611" s="557"/>
      <c r="C1611" s="558" t="s">
        <v>1704</v>
      </c>
      <c r="D1611" s="556" t="s">
        <v>4324</v>
      </c>
      <c r="E1611" s="17" t="s">
        <v>5042</v>
      </c>
      <c r="F1611" s="17">
        <v>15</v>
      </c>
      <c r="G1611" s="17">
        <v>4</v>
      </c>
      <c r="H1611" s="17" t="s">
        <v>3384</v>
      </c>
      <c r="I1611" s="17"/>
      <c r="J1611" s="17"/>
      <c r="K1611" s="17"/>
      <c r="L1611" s="17"/>
      <c r="M1611" s="17"/>
      <c r="N1611" s="17"/>
      <c r="O1611" s="17"/>
      <c r="P1611" s="17"/>
      <c r="Q1611" s="17"/>
    </row>
    <row r="1612" spans="1:17">
      <c r="A1612" s="556" t="s">
        <v>3594</v>
      </c>
      <c r="B1612" s="557"/>
      <c r="C1612" s="558" t="s">
        <v>1704</v>
      </c>
      <c r="D1612" s="556" t="s">
        <v>4944</v>
      </c>
      <c r="E1612" s="17" t="s">
        <v>5043</v>
      </c>
      <c r="F1612" s="17">
        <v>15</v>
      </c>
      <c r="G1612" s="17">
        <v>5</v>
      </c>
      <c r="H1612" s="17" t="s">
        <v>3385</v>
      </c>
      <c r="I1612" s="17"/>
      <c r="J1612" s="17"/>
      <c r="K1612" s="17"/>
      <c r="L1612" s="17"/>
      <c r="M1612" s="17"/>
      <c r="N1612" s="17"/>
      <c r="O1612" s="17"/>
      <c r="P1612" s="17"/>
      <c r="Q1612" s="17"/>
    </row>
    <row r="1613" spans="1:17">
      <c r="A1613" s="556" t="s">
        <v>3594</v>
      </c>
      <c r="B1613" s="557"/>
      <c r="C1613" s="558" t="s">
        <v>1704</v>
      </c>
      <c r="D1613" s="556" t="s">
        <v>9328</v>
      </c>
      <c r="E1613" s="17" t="s">
        <v>5044</v>
      </c>
      <c r="F1613" s="17">
        <v>15</v>
      </c>
      <c r="G1613" s="17">
        <v>6</v>
      </c>
      <c r="H1613" s="17" t="s">
        <v>3462</v>
      </c>
      <c r="I1613" s="17"/>
      <c r="J1613" s="17"/>
      <c r="K1613" s="17"/>
      <c r="L1613" s="17"/>
      <c r="M1613" s="17"/>
      <c r="N1613" s="17"/>
      <c r="O1613" s="17"/>
      <c r="P1613" s="17"/>
      <c r="Q1613" s="17"/>
    </row>
    <row r="1614" spans="1:17">
      <c r="A1614" s="556" t="s">
        <v>3594</v>
      </c>
      <c r="B1614" s="557"/>
      <c r="C1614" s="558" t="s">
        <v>1704</v>
      </c>
      <c r="D1614" s="556" t="s">
        <v>9329</v>
      </c>
      <c r="E1614" s="17" t="s">
        <v>5045</v>
      </c>
      <c r="F1614" s="17">
        <v>15</v>
      </c>
      <c r="G1614" s="17">
        <v>7</v>
      </c>
      <c r="H1614" s="17" t="s">
        <v>7821</v>
      </c>
      <c r="I1614" s="17"/>
      <c r="J1614" s="17"/>
      <c r="K1614" s="17"/>
      <c r="L1614" s="17"/>
      <c r="M1614" s="17"/>
      <c r="N1614" s="17"/>
      <c r="O1614" s="17"/>
      <c r="P1614" s="17"/>
      <c r="Q1614" s="17"/>
    </row>
    <row r="1615" spans="1:17">
      <c r="A1615" s="556" t="s">
        <v>3594</v>
      </c>
      <c r="B1615" s="557"/>
      <c r="C1615" s="558" t="s">
        <v>1976</v>
      </c>
      <c r="D1615" s="556" t="s">
        <v>1693</v>
      </c>
      <c r="E1615" s="17" t="s">
        <v>5046</v>
      </c>
      <c r="F1615" s="17">
        <v>16</v>
      </c>
      <c r="G1615" s="17">
        <v>1</v>
      </c>
      <c r="H1615" s="17" t="s">
        <v>7790</v>
      </c>
      <c r="I1615" s="17"/>
      <c r="J1615" s="17"/>
      <c r="K1615" s="17"/>
      <c r="L1615" s="17"/>
      <c r="M1615" s="17"/>
      <c r="N1615" s="17"/>
      <c r="O1615" s="17"/>
      <c r="P1615" s="17"/>
      <c r="Q1615" s="17"/>
    </row>
    <row r="1616" spans="1:17">
      <c r="A1616" s="556" t="s">
        <v>3594</v>
      </c>
      <c r="B1616" s="557"/>
      <c r="C1616" s="558" t="s">
        <v>1976</v>
      </c>
      <c r="D1616" s="556" t="s">
        <v>1694</v>
      </c>
      <c r="E1616" s="17" t="s">
        <v>5047</v>
      </c>
      <c r="F1616" s="17">
        <v>16</v>
      </c>
      <c r="G1616" s="17">
        <v>2</v>
      </c>
      <c r="H1616" s="17" t="s">
        <v>3386</v>
      </c>
      <c r="I1616" s="17"/>
      <c r="J1616" s="17"/>
      <c r="K1616" s="17"/>
      <c r="L1616" s="17"/>
      <c r="M1616" s="17"/>
      <c r="N1616" s="17"/>
      <c r="O1616" s="17"/>
      <c r="P1616" s="17"/>
      <c r="Q1616" s="17"/>
    </row>
    <row r="1617" spans="1:17">
      <c r="A1617" s="556" t="s">
        <v>3594</v>
      </c>
      <c r="B1617" s="557"/>
      <c r="C1617" s="558" t="s">
        <v>1976</v>
      </c>
      <c r="D1617" s="556" t="s">
        <v>4426</v>
      </c>
      <c r="E1617" s="17" t="s">
        <v>5048</v>
      </c>
      <c r="F1617" s="17">
        <v>16</v>
      </c>
      <c r="G1617" s="17">
        <v>3</v>
      </c>
      <c r="H1617" s="17" t="s">
        <v>3387</v>
      </c>
      <c r="I1617" s="17">
        <v>0</v>
      </c>
      <c r="J1617" s="17"/>
      <c r="K1617" s="17"/>
      <c r="L1617" s="17"/>
      <c r="M1617" s="17"/>
      <c r="N1617" s="17"/>
      <c r="O1617" s="17"/>
      <c r="P1617" s="17"/>
      <c r="Q1617" s="17"/>
    </row>
    <row r="1618" spans="1:17">
      <c r="A1618" s="556" t="s">
        <v>3594</v>
      </c>
      <c r="B1618" s="557"/>
      <c r="C1618" s="558" t="s">
        <v>1976</v>
      </c>
      <c r="D1618" s="556" t="s">
        <v>4324</v>
      </c>
      <c r="E1618" s="17" t="s">
        <v>5049</v>
      </c>
      <c r="F1618" s="17">
        <v>16</v>
      </c>
      <c r="G1618" s="17">
        <v>4</v>
      </c>
      <c r="H1618" s="17" t="s">
        <v>3388</v>
      </c>
      <c r="I1618" s="17"/>
      <c r="J1618" s="17"/>
      <c r="K1618" s="17"/>
      <c r="L1618" s="17"/>
      <c r="M1618" s="17"/>
      <c r="N1618" s="17"/>
      <c r="O1618" s="17"/>
      <c r="P1618" s="17"/>
      <c r="Q1618" s="17"/>
    </row>
    <row r="1619" spans="1:17">
      <c r="A1619" s="556" t="s">
        <v>3594</v>
      </c>
      <c r="B1619" s="557"/>
      <c r="C1619" s="558" t="s">
        <v>1976</v>
      </c>
      <c r="D1619" s="556" t="s">
        <v>4944</v>
      </c>
      <c r="E1619" s="17" t="s">
        <v>5050</v>
      </c>
      <c r="F1619" s="17">
        <v>16</v>
      </c>
      <c r="G1619" s="17">
        <v>5</v>
      </c>
      <c r="H1619" s="17" t="s">
        <v>3389</v>
      </c>
      <c r="I1619" s="17"/>
      <c r="J1619" s="17"/>
      <c r="K1619" s="17"/>
      <c r="L1619" s="17"/>
      <c r="M1619" s="17"/>
      <c r="N1619" s="17"/>
      <c r="O1619" s="17"/>
      <c r="P1619" s="17"/>
      <c r="Q1619" s="17"/>
    </row>
    <row r="1620" spans="1:17">
      <c r="A1620" s="556" t="s">
        <v>3594</v>
      </c>
      <c r="B1620" s="557"/>
      <c r="C1620" s="558" t="s">
        <v>1976</v>
      </c>
      <c r="D1620" s="556" t="s">
        <v>9328</v>
      </c>
      <c r="E1620" s="17" t="s">
        <v>5051</v>
      </c>
      <c r="F1620" s="17">
        <v>16</v>
      </c>
      <c r="G1620" s="17">
        <v>6</v>
      </c>
      <c r="H1620" s="17" t="s">
        <v>3463</v>
      </c>
      <c r="I1620" s="17"/>
      <c r="J1620" s="17"/>
      <c r="K1620" s="17"/>
      <c r="L1620" s="17"/>
      <c r="M1620" s="17"/>
      <c r="N1620" s="17"/>
      <c r="O1620" s="17"/>
      <c r="P1620" s="17"/>
      <c r="Q1620" s="17"/>
    </row>
    <row r="1621" spans="1:17">
      <c r="A1621" s="556" t="s">
        <v>3594</v>
      </c>
      <c r="B1621" s="557"/>
      <c r="C1621" s="558" t="s">
        <v>1976</v>
      </c>
      <c r="D1621" s="556" t="s">
        <v>9329</v>
      </c>
      <c r="E1621" s="17" t="s">
        <v>5052</v>
      </c>
      <c r="F1621" s="17">
        <v>16</v>
      </c>
      <c r="G1621" s="17">
        <v>7</v>
      </c>
      <c r="H1621" s="17" t="s">
        <v>7822</v>
      </c>
      <c r="I1621" s="17"/>
      <c r="J1621" s="17"/>
      <c r="K1621" s="17"/>
      <c r="L1621" s="17"/>
      <c r="M1621" s="17"/>
      <c r="N1621" s="17"/>
      <c r="O1621" s="17"/>
      <c r="P1621" s="17"/>
      <c r="Q1621" s="17"/>
    </row>
    <row r="1622" spans="1:17">
      <c r="A1622" s="556" t="s">
        <v>3594</v>
      </c>
      <c r="B1622" s="557"/>
      <c r="C1622" s="558" t="s">
        <v>1977</v>
      </c>
      <c r="D1622" s="556" t="s">
        <v>1693</v>
      </c>
      <c r="E1622" s="17" t="s">
        <v>5053</v>
      </c>
      <c r="F1622" s="17">
        <v>17</v>
      </c>
      <c r="G1622" s="17">
        <v>1</v>
      </c>
      <c r="H1622" s="17" t="s">
        <v>7792</v>
      </c>
      <c r="I1622" s="17">
        <v>0</v>
      </c>
      <c r="J1622" s="17"/>
      <c r="K1622" s="17"/>
      <c r="L1622" s="17"/>
      <c r="M1622" s="17"/>
      <c r="N1622" s="17"/>
      <c r="O1622" s="17"/>
      <c r="P1622" s="17"/>
      <c r="Q1622" s="17"/>
    </row>
    <row r="1623" spans="1:17">
      <c r="A1623" s="556" t="s">
        <v>3594</v>
      </c>
      <c r="B1623" s="557"/>
      <c r="C1623" s="558" t="s">
        <v>1977</v>
      </c>
      <c r="D1623" s="556" t="s">
        <v>1694</v>
      </c>
      <c r="E1623" s="17" t="s">
        <v>5054</v>
      </c>
      <c r="F1623" s="17">
        <v>17</v>
      </c>
      <c r="G1623" s="17">
        <v>2</v>
      </c>
      <c r="H1623" s="17" t="s">
        <v>3390</v>
      </c>
      <c r="I1623" s="17">
        <v>0</v>
      </c>
      <c r="J1623" s="17"/>
      <c r="K1623" s="17"/>
      <c r="L1623" s="17"/>
      <c r="M1623" s="17"/>
      <c r="N1623" s="17"/>
      <c r="O1623" s="17"/>
      <c r="P1623" s="17"/>
      <c r="Q1623" s="17"/>
    </row>
    <row r="1624" spans="1:17">
      <c r="A1624" s="556" t="s">
        <v>3594</v>
      </c>
      <c r="B1624" s="557"/>
      <c r="C1624" s="558" t="s">
        <v>1977</v>
      </c>
      <c r="D1624" s="556" t="s">
        <v>4426</v>
      </c>
      <c r="E1624" s="17" t="s">
        <v>5055</v>
      </c>
      <c r="F1624" s="17">
        <v>17</v>
      </c>
      <c r="G1624" s="17">
        <v>3</v>
      </c>
      <c r="H1624" s="17" t="s">
        <v>3391</v>
      </c>
      <c r="I1624" s="17">
        <v>0</v>
      </c>
      <c r="J1624" s="17"/>
      <c r="K1624" s="17"/>
      <c r="L1624" s="17"/>
      <c r="M1624" s="17"/>
      <c r="N1624" s="17"/>
      <c r="O1624" s="17"/>
      <c r="P1624" s="17"/>
      <c r="Q1624" s="17"/>
    </row>
    <row r="1625" spans="1:17">
      <c r="A1625" s="556" t="s">
        <v>3594</v>
      </c>
      <c r="B1625" s="557"/>
      <c r="C1625" s="558" t="s">
        <v>1977</v>
      </c>
      <c r="D1625" s="556" t="s">
        <v>4324</v>
      </c>
      <c r="E1625" s="17" t="s">
        <v>5056</v>
      </c>
      <c r="F1625" s="17">
        <v>17</v>
      </c>
      <c r="G1625" s="17">
        <v>4</v>
      </c>
      <c r="H1625" s="17" t="s">
        <v>3392</v>
      </c>
      <c r="I1625" s="17"/>
      <c r="J1625" s="17"/>
      <c r="K1625" s="17"/>
      <c r="L1625" s="17"/>
      <c r="M1625" s="17"/>
      <c r="N1625" s="17"/>
      <c r="O1625" s="17"/>
      <c r="P1625" s="17"/>
      <c r="Q1625" s="17"/>
    </row>
    <row r="1626" spans="1:17">
      <c r="A1626" s="556" t="s">
        <v>3594</v>
      </c>
      <c r="B1626" s="557"/>
      <c r="C1626" s="558" t="s">
        <v>1977</v>
      </c>
      <c r="D1626" s="556" t="s">
        <v>4944</v>
      </c>
      <c r="E1626" s="17" t="s">
        <v>5057</v>
      </c>
      <c r="F1626" s="17">
        <v>17</v>
      </c>
      <c r="G1626" s="17">
        <v>5</v>
      </c>
      <c r="H1626" s="17" t="s">
        <v>3393</v>
      </c>
      <c r="I1626" s="17">
        <v>0</v>
      </c>
      <c r="J1626" s="17"/>
      <c r="K1626" s="17"/>
      <c r="L1626" s="17"/>
      <c r="M1626" s="17"/>
      <c r="N1626" s="17"/>
      <c r="O1626" s="17"/>
      <c r="P1626" s="17"/>
      <c r="Q1626" s="17"/>
    </row>
    <row r="1627" spans="1:17">
      <c r="A1627" s="556" t="s">
        <v>3594</v>
      </c>
      <c r="B1627" s="557"/>
      <c r="C1627" s="558" t="s">
        <v>1977</v>
      </c>
      <c r="D1627" s="556" t="s">
        <v>9328</v>
      </c>
      <c r="E1627" s="17" t="s">
        <v>5058</v>
      </c>
      <c r="F1627" s="17">
        <v>17</v>
      </c>
      <c r="G1627" s="17">
        <v>6</v>
      </c>
      <c r="H1627" s="17" t="s">
        <v>3464</v>
      </c>
      <c r="I1627" s="17">
        <v>0</v>
      </c>
      <c r="J1627" s="17"/>
      <c r="K1627" s="17"/>
      <c r="L1627" s="17"/>
      <c r="M1627" s="17"/>
      <c r="N1627" s="17"/>
      <c r="O1627" s="17"/>
      <c r="P1627" s="17"/>
      <c r="Q1627" s="17"/>
    </row>
    <row r="1628" spans="1:17">
      <c r="A1628" s="556" t="s">
        <v>3594</v>
      </c>
      <c r="B1628" s="557"/>
      <c r="C1628" s="558" t="s">
        <v>1977</v>
      </c>
      <c r="D1628" s="556" t="s">
        <v>9329</v>
      </c>
      <c r="E1628" s="17" t="s">
        <v>5059</v>
      </c>
      <c r="F1628" s="17">
        <v>17</v>
      </c>
      <c r="G1628" s="17">
        <v>7</v>
      </c>
      <c r="H1628" s="17" t="s">
        <v>3694</v>
      </c>
      <c r="I1628" s="17">
        <v>0</v>
      </c>
      <c r="J1628" s="17"/>
      <c r="K1628" s="17"/>
      <c r="L1628" s="17"/>
      <c r="M1628" s="17"/>
      <c r="N1628" s="17"/>
      <c r="O1628" s="17"/>
      <c r="P1628" s="17"/>
      <c r="Q1628" s="17"/>
    </row>
    <row r="1629" spans="1:17">
      <c r="A1629" s="556" t="s">
        <v>3594</v>
      </c>
      <c r="B1629" s="557"/>
      <c r="C1629" s="558" t="s">
        <v>1978</v>
      </c>
      <c r="D1629" s="556" t="s">
        <v>1693</v>
      </c>
      <c r="E1629" s="17" t="s">
        <v>5060</v>
      </c>
      <c r="F1629" s="17">
        <v>18</v>
      </c>
      <c r="G1629" s="17">
        <v>1</v>
      </c>
      <c r="H1629" s="17" t="s">
        <v>7794</v>
      </c>
      <c r="I1629" s="17"/>
      <c r="J1629" s="17"/>
      <c r="K1629" s="17"/>
      <c r="L1629" s="17"/>
      <c r="M1629" s="17"/>
      <c r="N1629" s="17"/>
      <c r="O1629" s="17"/>
      <c r="P1629" s="17"/>
      <c r="Q1629" s="17"/>
    </row>
    <row r="1630" spans="1:17">
      <c r="A1630" s="556" t="s">
        <v>3594</v>
      </c>
      <c r="B1630" s="557"/>
      <c r="C1630" s="558" t="s">
        <v>1978</v>
      </c>
      <c r="D1630" s="556" t="s">
        <v>1694</v>
      </c>
      <c r="E1630" s="17" t="s">
        <v>5061</v>
      </c>
      <c r="F1630" s="17">
        <v>18</v>
      </c>
      <c r="G1630" s="17">
        <v>2</v>
      </c>
      <c r="H1630" s="17" t="s">
        <v>3394</v>
      </c>
      <c r="I1630" s="17"/>
      <c r="J1630" s="17"/>
      <c r="K1630" s="17"/>
      <c r="L1630" s="17"/>
      <c r="M1630" s="17"/>
      <c r="N1630" s="17"/>
      <c r="O1630" s="17"/>
      <c r="P1630" s="17"/>
      <c r="Q1630" s="17"/>
    </row>
    <row r="1631" spans="1:17">
      <c r="A1631" s="556" t="s">
        <v>3594</v>
      </c>
      <c r="B1631" s="557"/>
      <c r="C1631" s="558" t="s">
        <v>1978</v>
      </c>
      <c r="D1631" s="556" t="s">
        <v>4426</v>
      </c>
      <c r="E1631" s="17" t="s">
        <v>5062</v>
      </c>
      <c r="F1631" s="17">
        <v>18</v>
      </c>
      <c r="G1631" s="17">
        <v>3</v>
      </c>
      <c r="H1631" s="17" t="s">
        <v>3395</v>
      </c>
      <c r="I1631" s="17">
        <v>0</v>
      </c>
      <c r="J1631" s="17"/>
      <c r="K1631" s="17"/>
      <c r="L1631" s="17"/>
      <c r="M1631" s="17"/>
      <c r="N1631" s="17"/>
      <c r="O1631" s="17"/>
      <c r="P1631" s="17"/>
      <c r="Q1631" s="17"/>
    </row>
    <row r="1632" spans="1:17">
      <c r="A1632" s="556" t="s">
        <v>3594</v>
      </c>
      <c r="B1632" s="557"/>
      <c r="C1632" s="558" t="s">
        <v>1978</v>
      </c>
      <c r="D1632" s="556" t="s">
        <v>4324</v>
      </c>
      <c r="E1632" s="17" t="s">
        <v>5063</v>
      </c>
      <c r="F1632" s="17">
        <v>18</v>
      </c>
      <c r="G1632" s="17">
        <v>4</v>
      </c>
      <c r="H1632" s="17" t="s">
        <v>3396</v>
      </c>
      <c r="I1632" s="17"/>
      <c r="J1632" s="17"/>
      <c r="K1632" s="17"/>
      <c r="L1632" s="17"/>
      <c r="M1632" s="17"/>
      <c r="N1632" s="17"/>
      <c r="O1632" s="17"/>
      <c r="P1632" s="17"/>
      <c r="Q1632" s="17"/>
    </row>
    <row r="1633" spans="1:17">
      <c r="A1633" s="556" t="s">
        <v>3594</v>
      </c>
      <c r="B1633" s="557"/>
      <c r="C1633" s="558" t="s">
        <v>1979</v>
      </c>
      <c r="D1633" s="556" t="s">
        <v>1693</v>
      </c>
      <c r="E1633" s="17" t="s">
        <v>5064</v>
      </c>
      <c r="F1633" s="17">
        <v>19</v>
      </c>
      <c r="G1633" s="17">
        <v>1</v>
      </c>
      <c r="H1633" s="17" t="s">
        <v>7796</v>
      </c>
      <c r="I1633" s="17"/>
      <c r="J1633" s="17"/>
      <c r="K1633" s="17"/>
      <c r="L1633" s="17"/>
      <c r="M1633" s="17"/>
      <c r="N1633" s="17"/>
      <c r="O1633" s="17"/>
      <c r="P1633" s="17"/>
      <c r="Q1633" s="17"/>
    </row>
    <row r="1634" spans="1:17">
      <c r="A1634" s="556" t="s">
        <v>3594</v>
      </c>
      <c r="B1634" s="557"/>
      <c r="C1634" s="558" t="s">
        <v>1979</v>
      </c>
      <c r="D1634" s="556" t="s">
        <v>1694</v>
      </c>
      <c r="E1634" s="17" t="s">
        <v>5065</v>
      </c>
      <c r="F1634" s="17">
        <v>19</v>
      </c>
      <c r="G1634" s="17">
        <v>2</v>
      </c>
      <c r="H1634" s="17" t="s">
        <v>3398</v>
      </c>
      <c r="I1634" s="17"/>
      <c r="J1634" s="17"/>
      <c r="K1634" s="17"/>
      <c r="L1634" s="17"/>
      <c r="M1634" s="17"/>
      <c r="N1634" s="17"/>
      <c r="O1634" s="17"/>
      <c r="P1634" s="17"/>
      <c r="Q1634" s="17"/>
    </row>
    <row r="1635" spans="1:17">
      <c r="A1635" s="556" t="s">
        <v>3594</v>
      </c>
      <c r="B1635" s="557"/>
      <c r="C1635" s="558" t="s">
        <v>1979</v>
      </c>
      <c r="D1635" s="556" t="s">
        <v>4426</v>
      </c>
      <c r="E1635" s="17" t="s">
        <v>5066</v>
      </c>
      <c r="F1635" s="17">
        <v>19</v>
      </c>
      <c r="G1635" s="17">
        <v>3</v>
      </c>
      <c r="H1635" s="17" t="s">
        <v>3399</v>
      </c>
      <c r="I1635" s="17">
        <v>0</v>
      </c>
      <c r="J1635" s="17"/>
      <c r="K1635" s="17"/>
      <c r="L1635" s="17"/>
      <c r="M1635" s="17"/>
      <c r="N1635" s="17"/>
      <c r="O1635" s="17"/>
      <c r="P1635" s="17"/>
      <c r="Q1635" s="17"/>
    </row>
    <row r="1636" spans="1:17">
      <c r="A1636" s="556" t="s">
        <v>3594</v>
      </c>
      <c r="B1636" s="557"/>
      <c r="C1636" s="558" t="s">
        <v>1979</v>
      </c>
      <c r="D1636" s="556" t="s">
        <v>4324</v>
      </c>
      <c r="E1636" s="17" t="s">
        <v>5067</v>
      </c>
      <c r="F1636" s="17">
        <v>19</v>
      </c>
      <c r="G1636" s="17">
        <v>4</v>
      </c>
      <c r="H1636" s="17" t="s">
        <v>3400</v>
      </c>
      <c r="I1636" s="17"/>
      <c r="J1636" s="17"/>
      <c r="K1636" s="17"/>
      <c r="L1636" s="17"/>
      <c r="M1636" s="17"/>
      <c r="N1636" s="17"/>
      <c r="O1636" s="17"/>
      <c r="P1636" s="17"/>
      <c r="Q1636" s="17"/>
    </row>
    <row r="1637" spans="1:17">
      <c r="A1637" s="556" t="s">
        <v>3594</v>
      </c>
      <c r="B1637" s="557"/>
      <c r="C1637" s="558" t="s">
        <v>1980</v>
      </c>
      <c r="D1637" s="556" t="s">
        <v>1693</v>
      </c>
      <c r="E1637" s="17" t="s">
        <v>5068</v>
      </c>
      <c r="F1637" s="17">
        <v>20</v>
      </c>
      <c r="G1637" s="17">
        <v>1</v>
      </c>
      <c r="H1637" s="17" t="s">
        <v>7798</v>
      </c>
      <c r="I1637" s="17"/>
      <c r="J1637" s="17"/>
      <c r="K1637" s="17"/>
      <c r="L1637" s="17"/>
      <c r="M1637" s="17"/>
      <c r="N1637" s="17"/>
      <c r="O1637" s="17"/>
      <c r="P1637" s="17"/>
      <c r="Q1637" s="17"/>
    </row>
    <row r="1638" spans="1:17">
      <c r="A1638" s="556" t="s">
        <v>3594</v>
      </c>
      <c r="B1638" s="557"/>
      <c r="C1638" s="558" t="s">
        <v>1980</v>
      </c>
      <c r="D1638" s="556" t="s">
        <v>1694</v>
      </c>
      <c r="E1638" s="17" t="s">
        <v>5069</v>
      </c>
      <c r="F1638" s="17">
        <v>20</v>
      </c>
      <c r="G1638" s="17">
        <v>2</v>
      </c>
      <c r="H1638" s="17" t="s">
        <v>3402</v>
      </c>
      <c r="I1638" s="17"/>
      <c r="J1638" s="17"/>
      <c r="K1638" s="17"/>
      <c r="L1638" s="17"/>
      <c r="M1638" s="17"/>
      <c r="N1638" s="17"/>
      <c r="O1638" s="17"/>
      <c r="P1638" s="17"/>
      <c r="Q1638" s="17"/>
    </row>
    <row r="1639" spans="1:17">
      <c r="A1639" s="556" t="s">
        <v>3594</v>
      </c>
      <c r="B1639" s="557"/>
      <c r="C1639" s="558" t="s">
        <v>1980</v>
      </c>
      <c r="D1639" s="556" t="s">
        <v>4426</v>
      </c>
      <c r="E1639" s="17" t="s">
        <v>5070</v>
      </c>
      <c r="F1639" s="17">
        <v>20</v>
      </c>
      <c r="G1639" s="17">
        <v>3</v>
      </c>
      <c r="H1639" s="17" t="s">
        <v>3403</v>
      </c>
      <c r="I1639" s="17">
        <v>0</v>
      </c>
      <c r="J1639" s="17"/>
      <c r="K1639" s="17"/>
      <c r="L1639" s="17"/>
      <c r="M1639" s="17"/>
      <c r="N1639" s="17"/>
      <c r="O1639" s="17"/>
      <c r="P1639" s="17"/>
      <c r="Q1639" s="17"/>
    </row>
    <row r="1640" spans="1:17">
      <c r="A1640" s="556" t="s">
        <v>3594</v>
      </c>
      <c r="B1640" s="557"/>
      <c r="C1640" s="558" t="s">
        <v>1980</v>
      </c>
      <c r="D1640" s="556" t="s">
        <v>4324</v>
      </c>
      <c r="E1640" s="17" t="s">
        <v>5071</v>
      </c>
      <c r="F1640" s="17">
        <v>20</v>
      </c>
      <c r="G1640" s="17">
        <v>4</v>
      </c>
      <c r="H1640" s="17" t="s">
        <v>3404</v>
      </c>
      <c r="I1640" s="17"/>
      <c r="J1640" s="17"/>
      <c r="K1640" s="17"/>
      <c r="L1640" s="17"/>
      <c r="M1640" s="17"/>
      <c r="N1640" s="17"/>
      <c r="O1640" s="17"/>
      <c r="P1640" s="17"/>
      <c r="Q1640" s="17"/>
    </row>
    <row r="1641" spans="1:17">
      <c r="A1641" s="556" t="s">
        <v>3594</v>
      </c>
      <c r="B1641" s="557"/>
      <c r="C1641" s="558" t="s">
        <v>1981</v>
      </c>
      <c r="D1641" s="556" t="s">
        <v>1693</v>
      </c>
      <c r="E1641" s="17" t="s">
        <v>5072</v>
      </c>
      <c r="F1641" s="17">
        <v>21</v>
      </c>
      <c r="G1641" s="17">
        <v>1</v>
      </c>
      <c r="H1641" s="17" t="s">
        <v>7800</v>
      </c>
      <c r="I1641" s="17"/>
      <c r="J1641" s="17"/>
      <c r="K1641" s="17"/>
      <c r="L1641" s="17"/>
      <c r="M1641" s="17"/>
      <c r="N1641" s="17"/>
      <c r="O1641" s="17"/>
      <c r="P1641" s="17"/>
      <c r="Q1641" s="17"/>
    </row>
    <row r="1642" spans="1:17">
      <c r="A1642" s="556" t="s">
        <v>3594</v>
      </c>
      <c r="B1642" s="557"/>
      <c r="C1642" s="558" t="s">
        <v>1981</v>
      </c>
      <c r="D1642" s="556" t="s">
        <v>1694</v>
      </c>
      <c r="E1642" s="17" t="s">
        <v>5073</v>
      </c>
      <c r="F1642" s="17">
        <v>21</v>
      </c>
      <c r="G1642" s="17">
        <v>2</v>
      </c>
      <c r="H1642" s="17" t="s">
        <v>3406</v>
      </c>
      <c r="I1642" s="17"/>
      <c r="J1642" s="17"/>
      <c r="K1642" s="17"/>
      <c r="L1642" s="17"/>
      <c r="M1642" s="17"/>
      <c r="N1642" s="17"/>
      <c r="O1642" s="17"/>
      <c r="P1642" s="17"/>
      <c r="Q1642" s="17"/>
    </row>
    <row r="1643" spans="1:17">
      <c r="A1643" s="556" t="s">
        <v>3594</v>
      </c>
      <c r="B1643" s="557"/>
      <c r="C1643" s="558" t="s">
        <v>1981</v>
      </c>
      <c r="D1643" s="556" t="s">
        <v>4426</v>
      </c>
      <c r="E1643" s="17" t="s">
        <v>5074</v>
      </c>
      <c r="F1643" s="17">
        <v>21</v>
      </c>
      <c r="G1643" s="17">
        <v>3</v>
      </c>
      <c r="H1643" s="17" t="s">
        <v>3407</v>
      </c>
      <c r="I1643" s="17">
        <v>0</v>
      </c>
      <c r="J1643" s="17"/>
      <c r="K1643" s="17"/>
      <c r="L1643" s="17"/>
      <c r="M1643" s="17"/>
      <c r="N1643" s="17"/>
      <c r="O1643" s="17"/>
      <c r="P1643" s="17"/>
      <c r="Q1643" s="17"/>
    </row>
    <row r="1644" spans="1:17">
      <c r="A1644" s="556" t="s">
        <v>3594</v>
      </c>
      <c r="B1644" s="557"/>
      <c r="C1644" s="558" t="s">
        <v>1981</v>
      </c>
      <c r="D1644" s="556" t="s">
        <v>4324</v>
      </c>
      <c r="E1644" s="17" t="s">
        <v>5075</v>
      </c>
      <c r="F1644" s="17">
        <v>21</v>
      </c>
      <c r="G1644" s="17">
        <v>4</v>
      </c>
      <c r="H1644" s="17" t="s">
        <v>3408</v>
      </c>
      <c r="I1644" s="17"/>
      <c r="J1644" s="17"/>
      <c r="K1644" s="17"/>
      <c r="L1644" s="17"/>
      <c r="M1644" s="17"/>
      <c r="N1644" s="17"/>
      <c r="O1644" s="17"/>
      <c r="P1644" s="17"/>
      <c r="Q1644" s="17"/>
    </row>
    <row r="1645" spans="1:17">
      <c r="A1645" s="556" t="s">
        <v>3594</v>
      </c>
      <c r="B1645" s="557"/>
      <c r="C1645" s="558" t="s">
        <v>1982</v>
      </c>
      <c r="D1645" s="556" t="s">
        <v>1693</v>
      </c>
      <c r="E1645" s="17" t="s">
        <v>5076</v>
      </c>
      <c r="F1645" s="17">
        <v>22</v>
      </c>
      <c r="G1645" s="17">
        <v>1</v>
      </c>
      <c r="H1645" s="17" t="s">
        <v>7802</v>
      </c>
      <c r="I1645" s="17"/>
      <c r="J1645" s="17"/>
      <c r="K1645" s="17"/>
      <c r="L1645" s="17"/>
      <c r="M1645" s="17"/>
      <c r="N1645" s="17"/>
      <c r="O1645" s="17"/>
      <c r="P1645" s="17"/>
      <c r="Q1645" s="17"/>
    </row>
    <row r="1646" spans="1:17">
      <c r="A1646" s="556" t="s">
        <v>3594</v>
      </c>
      <c r="B1646" s="557"/>
      <c r="C1646" s="558" t="s">
        <v>1982</v>
      </c>
      <c r="D1646" s="556" t="s">
        <v>1694</v>
      </c>
      <c r="E1646" s="17" t="s">
        <v>5077</v>
      </c>
      <c r="F1646" s="17">
        <v>22</v>
      </c>
      <c r="G1646" s="17">
        <v>2</v>
      </c>
      <c r="H1646" s="17" t="s">
        <v>3410</v>
      </c>
      <c r="I1646" s="17"/>
      <c r="J1646" s="17"/>
      <c r="K1646" s="17"/>
      <c r="L1646" s="17"/>
      <c r="M1646" s="17"/>
      <c r="N1646" s="17"/>
      <c r="O1646" s="17"/>
      <c r="P1646" s="17"/>
      <c r="Q1646" s="17"/>
    </row>
    <row r="1647" spans="1:17">
      <c r="A1647" s="556" t="s">
        <v>3594</v>
      </c>
      <c r="B1647" s="557"/>
      <c r="C1647" s="558" t="s">
        <v>1982</v>
      </c>
      <c r="D1647" s="556" t="s">
        <v>4426</v>
      </c>
      <c r="E1647" s="17" t="s">
        <v>5078</v>
      </c>
      <c r="F1647" s="17">
        <v>22</v>
      </c>
      <c r="G1647" s="17">
        <v>3</v>
      </c>
      <c r="H1647" s="17" t="s">
        <v>3411</v>
      </c>
      <c r="I1647" s="17">
        <v>0</v>
      </c>
      <c r="J1647" s="17"/>
      <c r="K1647" s="17"/>
      <c r="L1647" s="17"/>
      <c r="M1647" s="17"/>
      <c r="N1647" s="17"/>
      <c r="O1647" s="17"/>
      <c r="P1647" s="17"/>
      <c r="Q1647" s="17"/>
    </row>
    <row r="1648" spans="1:17">
      <c r="A1648" s="556" t="s">
        <v>3594</v>
      </c>
      <c r="B1648" s="557"/>
      <c r="C1648" s="558" t="s">
        <v>1982</v>
      </c>
      <c r="D1648" s="556" t="s">
        <v>4324</v>
      </c>
      <c r="E1648" s="17" t="s">
        <v>5079</v>
      </c>
      <c r="F1648" s="17">
        <v>22</v>
      </c>
      <c r="G1648" s="17">
        <v>4</v>
      </c>
      <c r="H1648" s="17" t="s">
        <v>3412</v>
      </c>
      <c r="I1648" s="17"/>
      <c r="J1648" s="17"/>
      <c r="K1648" s="17"/>
      <c r="L1648" s="17"/>
      <c r="M1648" s="17"/>
      <c r="N1648" s="17"/>
      <c r="O1648" s="17"/>
      <c r="P1648" s="17"/>
      <c r="Q1648" s="17"/>
    </row>
    <row r="1649" spans="1:17">
      <c r="A1649" s="556" t="s">
        <v>3594</v>
      </c>
      <c r="B1649" s="557"/>
      <c r="C1649" s="558" t="s">
        <v>1983</v>
      </c>
      <c r="D1649" s="556" t="s">
        <v>1693</v>
      </c>
      <c r="E1649" s="17" t="s">
        <v>5080</v>
      </c>
      <c r="F1649" s="17">
        <v>23</v>
      </c>
      <c r="G1649" s="17">
        <v>1</v>
      </c>
      <c r="H1649" s="17" t="s">
        <v>7823</v>
      </c>
      <c r="I1649" s="17"/>
      <c r="J1649" s="17"/>
      <c r="K1649" s="17"/>
      <c r="L1649" s="17"/>
      <c r="M1649" s="17"/>
      <c r="N1649" s="17"/>
      <c r="O1649" s="17"/>
      <c r="P1649" s="17"/>
      <c r="Q1649" s="17"/>
    </row>
    <row r="1650" spans="1:17">
      <c r="A1650" s="556" t="s">
        <v>3594</v>
      </c>
      <c r="B1650" s="557"/>
      <c r="C1650" s="558" t="s">
        <v>1983</v>
      </c>
      <c r="D1650" s="556" t="s">
        <v>1694</v>
      </c>
      <c r="E1650" s="17" t="s">
        <v>5081</v>
      </c>
      <c r="F1650" s="17">
        <v>23</v>
      </c>
      <c r="G1650" s="17">
        <v>2</v>
      </c>
      <c r="H1650" s="17" t="s">
        <v>3414</v>
      </c>
      <c r="I1650" s="17"/>
      <c r="J1650" s="17"/>
      <c r="K1650" s="17"/>
      <c r="L1650" s="17"/>
      <c r="M1650" s="17"/>
      <c r="N1650" s="17"/>
      <c r="O1650" s="17"/>
      <c r="P1650" s="17"/>
      <c r="Q1650" s="17"/>
    </row>
    <row r="1651" spans="1:17">
      <c r="A1651" s="556" t="s">
        <v>3594</v>
      </c>
      <c r="B1651" s="557"/>
      <c r="C1651" s="558" t="s">
        <v>1983</v>
      </c>
      <c r="D1651" s="556" t="s">
        <v>4426</v>
      </c>
      <c r="E1651" s="17" t="s">
        <v>5082</v>
      </c>
      <c r="F1651" s="17">
        <v>23</v>
      </c>
      <c r="G1651" s="17">
        <v>3</v>
      </c>
      <c r="H1651" s="17" t="s">
        <v>3415</v>
      </c>
      <c r="I1651" s="17">
        <v>0</v>
      </c>
      <c r="J1651" s="17"/>
      <c r="K1651" s="17"/>
      <c r="L1651" s="17"/>
      <c r="M1651" s="17"/>
      <c r="N1651" s="17"/>
      <c r="O1651" s="17"/>
      <c r="P1651" s="17"/>
      <c r="Q1651" s="17"/>
    </row>
    <row r="1652" spans="1:17">
      <c r="A1652" s="556" t="s">
        <v>3594</v>
      </c>
      <c r="B1652" s="557"/>
      <c r="C1652" s="558" t="s">
        <v>1983</v>
      </c>
      <c r="D1652" s="556" t="s">
        <v>4324</v>
      </c>
      <c r="E1652" s="17" t="s">
        <v>5083</v>
      </c>
      <c r="F1652" s="17">
        <v>23</v>
      </c>
      <c r="G1652" s="17">
        <v>4</v>
      </c>
      <c r="H1652" s="17" t="s">
        <v>3416</v>
      </c>
      <c r="I1652" s="17"/>
      <c r="J1652" s="17"/>
      <c r="K1652" s="17"/>
      <c r="L1652" s="17"/>
      <c r="M1652" s="17"/>
      <c r="N1652" s="17"/>
      <c r="O1652" s="17"/>
      <c r="P1652" s="17"/>
      <c r="Q1652" s="17"/>
    </row>
    <row r="1653" spans="1:17">
      <c r="A1653" s="556" t="s">
        <v>3594</v>
      </c>
      <c r="B1653" s="557"/>
      <c r="C1653" s="558" t="s">
        <v>1984</v>
      </c>
      <c r="D1653" s="556" t="s">
        <v>1693</v>
      </c>
      <c r="E1653" s="17" t="s">
        <v>5084</v>
      </c>
      <c r="F1653" s="17">
        <v>24</v>
      </c>
      <c r="G1653" s="17">
        <v>1</v>
      </c>
      <c r="H1653" s="17" t="s">
        <v>7824</v>
      </c>
      <c r="I1653" s="17"/>
      <c r="J1653" s="17"/>
      <c r="K1653" s="17"/>
      <c r="L1653" s="17"/>
      <c r="M1653" s="17"/>
      <c r="N1653" s="17"/>
      <c r="O1653" s="17"/>
      <c r="P1653" s="17"/>
      <c r="Q1653" s="17"/>
    </row>
    <row r="1654" spans="1:17">
      <c r="A1654" s="556" t="s">
        <v>3594</v>
      </c>
      <c r="B1654" s="557"/>
      <c r="C1654" s="558" t="s">
        <v>1984</v>
      </c>
      <c r="D1654" s="556" t="s">
        <v>1694</v>
      </c>
      <c r="E1654" s="17" t="s">
        <v>5085</v>
      </c>
      <c r="F1654" s="17">
        <v>24</v>
      </c>
      <c r="G1654" s="17">
        <v>2</v>
      </c>
      <c r="H1654" s="17" t="s">
        <v>3418</v>
      </c>
      <c r="I1654" s="17"/>
      <c r="J1654" s="17"/>
      <c r="K1654" s="17"/>
      <c r="L1654" s="17"/>
      <c r="M1654" s="17"/>
      <c r="N1654" s="17"/>
      <c r="O1654" s="17"/>
      <c r="P1654" s="17"/>
      <c r="Q1654" s="17"/>
    </row>
    <row r="1655" spans="1:17">
      <c r="A1655" s="556" t="s">
        <v>3594</v>
      </c>
      <c r="B1655" s="557"/>
      <c r="C1655" s="558" t="s">
        <v>1984</v>
      </c>
      <c r="D1655" s="556" t="s">
        <v>4426</v>
      </c>
      <c r="E1655" s="17" t="s">
        <v>5086</v>
      </c>
      <c r="F1655" s="17">
        <v>24</v>
      </c>
      <c r="G1655" s="17">
        <v>3</v>
      </c>
      <c r="H1655" s="17" t="s">
        <v>3419</v>
      </c>
      <c r="I1655" s="17">
        <v>0</v>
      </c>
      <c r="J1655" s="17"/>
      <c r="K1655" s="17"/>
      <c r="L1655" s="17"/>
      <c r="M1655" s="17"/>
      <c r="N1655" s="17"/>
      <c r="O1655" s="17"/>
      <c r="P1655" s="17"/>
      <c r="Q1655" s="17"/>
    </row>
    <row r="1656" spans="1:17">
      <c r="A1656" s="556" t="s">
        <v>3594</v>
      </c>
      <c r="B1656" s="557"/>
      <c r="C1656" s="558" t="s">
        <v>1984</v>
      </c>
      <c r="D1656" s="556" t="s">
        <v>4324</v>
      </c>
      <c r="E1656" s="17" t="s">
        <v>5087</v>
      </c>
      <c r="F1656" s="17">
        <v>24</v>
      </c>
      <c r="G1656" s="17">
        <v>4</v>
      </c>
      <c r="H1656" s="17" t="s">
        <v>3420</v>
      </c>
      <c r="I1656" s="17"/>
      <c r="J1656" s="17"/>
      <c r="K1656" s="17"/>
      <c r="L1656" s="17"/>
      <c r="M1656" s="17"/>
      <c r="N1656" s="17"/>
      <c r="O1656" s="17"/>
      <c r="P1656" s="17"/>
      <c r="Q1656" s="17"/>
    </row>
    <row r="1657" spans="1:17">
      <c r="A1657" s="556" t="s">
        <v>3594</v>
      </c>
      <c r="B1657" s="557"/>
      <c r="C1657" s="558" t="s">
        <v>1985</v>
      </c>
      <c r="D1657" s="556" t="s">
        <v>1693</v>
      </c>
      <c r="E1657" s="17" t="s">
        <v>5088</v>
      </c>
      <c r="F1657" s="17">
        <v>25</v>
      </c>
      <c r="G1657" s="17">
        <v>1</v>
      </c>
      <c r="H1657" s="17" t="s">
        <v>7825</v>
      </c>
      <c r="I1657" s="17"/>
      <c r="J1657" s="17"/>
      <c r="K1657" s="17"/>
      <c r="L1657" s="17"/>
      <c r="M1657" s="17"/>
      <c r="N1657" s="17"/>
      <c r="O1657" s="17"/>
      <c r="P1657" s="17"/>
      <c r="Q1657" s="17"/>
    </row>
    <row r="1658" spans="1:17">
      <c r="A1658" s="556" t="s">
        <v>3594</v>
      </c>
      <c r="B1658" s="557"/>
      <c r="C1658" s="558" t="s">
        <v>1985</v>
      </c>
      <c r="D1658" s="556" t="s">
        <v>1694</v>
      </c>
      <c r="E1658" s="17" t="s">
        <v>5089</v>
      </c>
      <c r="F1658" s="17">
        <v>25</v>
      </c>
      <c r="G1658" s="17">
        <v>2</v>
      </c>
      <c r="H1658" s="17" t="s">
        <v>3422</v>
      </c>
      <c r="I1658" s="17"/>
      <c r="J1658" s="17"/>
      <c r="K1658" s="17"/>
      <c r="L1658" s="17"/>
      <c r="M1658" s="17"/>
      <c r="N1658" s="17"/>
      <c r="O1658" s="17"/>
      <c r="P1658" s="17"/>
      <c r="Q1658" s="17"/>
    </row>
    <row r="1659" spans="1:17">
      <c r="A1659" s="556" t="s">
        <v>3594</v>
      </c>
      <c r="B1659" s="557"/>
      <c r="C1659" s="558" t="s">
        <v>1985</v>
      </c>
      <c r="D1659" s="556" t="s">
        <v>4426</v>
      </c>
      <c r="E1659" s="17" t="s">
        <v>5090</v>
      </c>
      <c r="F1659" s="17">
        <v>25</v>
      </c>
      <c r="G1659" s="17">
        <v>3</v>
      </c>
      <c r="H1659" s="17" t="s">
        <v>3423</v>
      </c>
      <c r="I1659" s="17">
        <v>0</v>
      </c>
      <c r="J1659" s="17"/>
      <c r="K1659" s="17"/>
      <c r="L1659" s="17"/>
      <c r="M1659" s="17"/>
      <c r="N1659" s="17"/>
      <c r="O1659" s="17"/>
      <c r="P1659" s="17"/>
      <c r="Q1659" s="17"/>
    </row>
    <row r="1660" spans="1:17">
      <c r="A1660" s="556" t="s">
        <v>3594</v>
      </c>
      <c r="B1660" s="557"/>
      <c r="C1660" s="558" t="s">
        <v>1985</v>
      </c>
      <c r="D1660" s="556" t="s">
        <v>4324</v>
      </c>
      <c r="E1660" s="17" t="s">
        <v>5091</v>
      </c>
      <c r="F1660" s="17">
        <v>25</v>
      </c>
      <c r="G1660" s="17">
        <v>4</v>
      </c>
      <c r="H1660" s="17" t="s">
        <v>3424</v>
      </c>
      <c r="I1660" s="17"/>
      <c r="J1660" s="17"/>
      <c r="K1660" s="17"/>
      <c r="L1660" s="17"/>
      <c r="M1660" s="17"/>
      <c r="N1660" s="17"/>
      <c r="O1660" s="17"/>
      <c r="P1660" s="17"/>
      <c r="Q1660" s="17"/>
    </row>
    <row r="1661" spans="1:17">
      <c r="A1661" s="556" t="s">
        <v>3594</v>
      </c>
      <c r="B1661" s="557"/>
      <c r="C1661" s="558" t="s">
        <v>1986</v>
      </c>
      <c r="D1661" s="556" t="s">
        <v>1693</v>
      </c>
      <c r="E1661" s="17" t="s">
        <v>5092</v>
      </c>
      <c r="F1661" s="17">
        <v>26</v>
      </c>
      <c r="G1661" s="17">
        <v>1</v>
      </c>
      <c r="H1661" s="17" t="s">
        <v>7826</v>
      </c>
      <c r="I1661" s="17"/>
      <c r="J1661" s="17"/>
      <c r="K1661" s="17"/>
      <c r="L1661" s="17"/>
      <c r="M1661" s="17"/>
      <c r="N1661" s="17"/>
      <c r="O1661" s="17"/>
      <c r="P1661" s="17"/>
      <c r="Q1661" s="17"/>
    </row>
    <row r="1662" spans="1:17">
      <c r="A1662" s="556" t="s">
        <v>3594</v>
      </c>
      <c r="B1662" s="557"/>
      <c r="C1662" s="558" t="s">
        <v>1986</v>
      </c>
      <c r="D1662" s="556" t="s">
        <v>1694</v>
      </c>
      <c r="E1662" s="17" t="s">
        <v>5093</v>
      </c>
      <c r="F1662" s="17">
        <v>26</v>
      </c>
      <c r="G1662" s="17">
        <v>2</v>
      </c>
      <c r="H1662" s="17" t="s">
        <v>3426</v>
      </c>
      <c r="I1662" s="17"/>
      <c r="J1662" s="17"/>
      <c r="K1662" s="17"/>
      <c r="L1662" s="17"/>
      <c r="M1662" s="17"/>
      <c r="N1662" s="17"/>
      <c r="O1662" s="17"/>
      <c r="P1662" s="17"/>
      <c r="Q1662" s="17"/>
    </row>
    <row r="1663" spans="1:17">
      <c r="A1663" s="556" t="s">
        <v>3594</v>
      </c>
      <c r="B1663" s="557"/>
      <c r="C1663" s="558" t="s">
        <v>1986</v>
      </c>
      <c r="D1663" s="556" t="s">
        <v>4426</v>
      </c>
      <c r="E1663" s="17" t="s">
        <v>5094</v>
      </c>
      <c r="F1663" s="17">
        <v>26</v>
      </c>
      <c r="G1663" s="17">
        <v>3</v>
      </c>
      <c r="H1663" s="17" t="s">
        <v>3427</v>
      </c>
      <c r="I1663" s="17">
        <v>0</v>
      </c>
      <c r="J1663" s="17"/>
      <c r="K1663" s="17"/>
      <c r="L1663" s="17"/>
      <c r="M1663" s="17"/>
      <c r="N1663" s="17"/>
      <c r="O1663" s="17"/>
      <c r="P1663" s="17"/>
      <c r="Q1663" s="17"/>
    </row>
    <row r="1664" spans="1:17">
      <c r="A1664" s="556" t="s">
        <v>3594</v>
      </c>
      <c r="B1664" s="557"/>
      <c r="C1664" s="558" t="s">
        <v>1986</v>
      </c>
      <c r="D1664" s="556" t="s">
        <v>4324</v>
      </c>
      <c r="E1664" s="17" t="s">
        <v>5095</v>
      </c>
      <c r="F1664" s="17">
        <v>26</v>
      </c>
      <c r="G1664" s="17">
        <v>4</v>
      </c>
      <c r="H1664" s="17" t="s">
        <v>3428</v>
      </c>
      <c r="I1664" s="17"/>
      <c r="J1664" s="17"/>
      <c r="K1664" s="17"/>
      <c r="L1664" s="17"/>
      <c r="M1664" s="17"/>
      <c r="N1664" s="17"/>
      <c r="O1664" s="17"/>
      <c r="P1664" s="17"/>
      <c r="Q1664" s="17"/>
    </row>
    <row r="1665" spans="1:17">
      <c r="A1665" s="556" t="s">
        <v>3594</v>
      </c>
      <c r="B1665" s="557"/>
      <c r="C1665" s="558" t="s">
        <v>1987</v>
      </c>
      <c r="D1665" s="556" t="s">
        <v>1693</v>
      </c>
      <c r="E1665" s="17" t="s">
        <v>5096</v>
      </c>
      <c r="F1665" s="17">
        <v>27</v>
      </c>
      <c r="G1665" s="17">
        <v>1</v>
      </c>
      <c r="H1665" s="17" t="s">
        <v>7827</v>
      </c>
      <c r="I1665" s="17"/>
      <c r="J1665" s="17"/>
      <c r="K1665" s="17"/>
      <c r="L1665" s="17"/>
      <c r="M1665" s="17"/>
      <c r="N1665" s="17"/>
      <c r="O1665" s="17"/>
      <c r="P1665" s="17"/>
      <c r="Q1665" s="17"/>
    </row>
    <row r="1666" spans="1:17">
      <c r="A1666" s="556" t="s">
        <v>3594</v>
      </c>
      <c r="B1666" s="557"/>
      <c r="C1666" s="558" t="s">
        <v>1987</v>
      </c>
      <c r="D1666" s="556" t="s">
        <v>1694</v>
      </c>
      <c r="E1666" s="17" t="s">
        <v>5097</v>
      </c>
      <c r="F1666" s="17">
        <v>27</v>
      </c>
      <c r="G1666" s="17">
        <v>2</v>
      </c>
      <c r="H1666" s="17" t="s">
        <v>3430</v>
      </c>
      <c r="I1666" s="17"/>
      <c r="J1666" s="17"/>
      <c r="K1666" s="17"/>
      <c r="L1666" s="17"/>
      <c r="M1666" s="17"/>
      <c r="N1666" s="17"/>
      <c r="O1666" s="17"/>
      <c r="P1666" s="17"/>
      <c r="Q1666" s="17"/>
    </row>
    <row r="1667" spans="1:17">
      <c r="A1667" s="556" t="s">
        <v>3594</v>
      </c>
      <c r="B1667" s="557"/>
      <c r="C1667" s="558" t="s">
        <v>1987</v>
      </c>
      <c r="D1667" s="556" t="s">
        <v>4426</v>
      </c>
      <c r="E1667" s="17" t="s">
        <v>5098</v>
      </c>
      <c r="F1667" s="17">
        <v>27</v>
      </c>
      <c r="G1667" s="17">
        <v>3</v>
      </c>
      <c r="H1667" s="17" t="s">
        <v>3431</v>
      </c>
      <c r="I1667" s="17">
        <v>0</v>
      </c>
      <c r="J1667" s="17"/>
      <c r="K1667" s="17"/>
      <c r="L1667" s="17"/>
      <c r="M1667" s="17"/>
      <c r="N1667" s="17"/>
      <c r="O1667" s="17"/>
      <c r="P1667" s="17"/>
      <c r="Q1667" s="17"/>
    </row>
    <row r="1668" spans="1:17">
      <c r="A1668" s="556" t="s">
        <v>3594</v>
      </c>
      <c r="B1668" s="557"/>
      <c r="C1668" s="558" t="s">
        <v>1987</v>
      </c>
      <c r="D1668" s="556" t="s">
        <v>4324</v>
      </c>
      <c r="E1668" s="17" t="s">
        <v>5099</v>
      </c>
      <c r="F1668" s="17">
        <v>27</v>
      </c>
      <c r="G1668" s="17">
        <v>4</v>
      </c>
      <c r="H1668" s="17" t="s">
        <v>3432</v>
      </c>
      <c r="I1668" s="17"/>
      <c r="J1668" s="17"/>
      <c r="K1668" s="17"/>
      <c r="L1668" s="17"/>
      <c r="M1668" s="17"/>
      <c r="N1668" s="17"/>
      <c r="O1668" s="17"/>
      <c r="P1668" s="17"/>
      <c r="Q1668" s="17"/>
    </row>
    <row r="1669" spans="1:17">
      <c r="A1669" s="556" t="s">
        <v>3594</v>
      </c>
      <c r="B1669" s="557"/>
      <c r="C1669" s="558" t="s">
        <v>1988</v>
      </c>
      <c r="D1669" s="556" t="s">
        <v>1693</v>
      </c>
      <c r="E1669" s="17" t="s">
        <v>5100</v>
      </c>
      <c r="F1669" s="17">
        <v>28</v>
      </c>
      <c r="G1669" s="17">
        <v>1</v>
      </c>
      <c r="H1669" s="17" t="s">
        <v>7828</v>
      </c>
      <c r="I1669" s="17"/>
      <c r="J1669" s="17"/>
      <c r="K1669" s="17"/>
      <c r="L1669" s="17"/>
      <c r="M1669" s="17"/>
      <c r="N1669" s="17"/>
      <c r="O1669" s="17"/>
      <c r="P1669" s="17"/>
      <c r="Q1669" s="17"/>
    </row>
    <row r="1670" spans="1:17">
      <c r="A1670" s="556" t="s">
        <v>3594</v>
      </c>
      <c r="B1670" s="557"/>
      <c r="C1670" s="558" t="s">
        <v>1988</v>
      </c>
      <c r="D1670" s="556" t="s">
        <v>1694</v>
      </c>
      <c r="E1670" s="17" t="s">
        <v>5101</v>
      </c>
      <c r="F1670" s="17">
        <v>28</v>
      </c>
      <c r="G1670" s="17">
        <v>2</v>
      </c>
      <c r="H1670" s="17" t="s">
        <v>3434</v>
      </c>
      <c r="I1670" s="17"/>
      <c r="J1670" s="17"/>
      <c r="K1670" s="17"/>
      <c r="L1670" s="17"/>
      <c r="M1670" s="17"/>
      <c r="N1670" s="17"/>
      <c r="O1670" s="17"/>
      <c r="P1670" s="17"/>
      <c r="Q1670" s="17"/>
    </row>
    <row r="1671" spans="1:17">
      <c r="A1671" s="556" t="s">
        <v>3594</v>
      </c>
      <c r="B1671" s="557"/>
      <c r="C1671" s="558" t="s">
        <v>1988</v>
      </c>
      <c r="D1671" s="556" t="s">
        <v>4426</v>
      </c>
      <c r="E1671" s="17" t="s">
        <v>5102</v>
      </c>
      <c r="F1671" s="17">
        <v>28</v>
      </c>
      <c r="G1671" s="17">
        <v>3</v>
      </c>
      <c r="H1671" s="17" t="s">
        <v>3435</v>
      </c>
      <c r="I1671" s="17">
        <v>0</v>
      </c>
      <c r="J1671" s="17"/>
      <c r="K1671" s="17"/>
      <c r="L1671" s="17"/>
      <c r="M1671" s="17"/>
      <c r="N1671" s="17"/>
      <c r="O1671" s="17"/>
      <c r="P1671" s="17"/>
      <c r="Q1671" s="17"/>
    </row>
    <row r="1672" spans="1:17">
      <c r="A1672" s="556" t="s">
        <v>3594</v>
      </c>
      <c r="B1672" s="557"/>
      <c r="C1672" s="558" t="s">
        <v>1988</v>
      </c>
      <c r="D1672" s="556" t="s">
        <v>4324</v>
      </c>
      <c r="E1672" s="17" t="s">
        <v>5103</v>
      </c>
      <c r="F1672" s="17">
        <v>28</v>
      </c>
      <c r="G1672" s="17">
        <v>4</v>
      </c>
      <c r="H1672" s="17" t="s">
        <v>3436</v>
      </c>
      <c r="I1672" s="17"/>
      <c r="J1672" s="17"/>
      <c r="K1672" s="17"/>
      <c r="L1672" s="17"/>
      <c r="M1672" s="17"/>
      <c r="N1672" s="17"/>
      <c r="O1672" s="17"/>
      <c r="P1672" s="17"/>
      <c r="Q1672" s="17"/>
    </row>
    <row r="1673" spans="1:17">
      <c r="A1673" s="556" t="s">
        <v>3594</v>
      </c>
      <c r="B1673" s="557"/>
      <c r="C1673" s="558" t="s">
        <v>1989</v>
      </c>
      <c r="D1673" s="556" t="s">
        <v>1693</v>
      </c>
      <c r="E1673" s="17" t="s">
        <v>5104</v>
      </c>
      <c r="F1673" s="17">
        <v>29</v>
      </c>
      <c r="G1673" s="17">
        <v>1</v>
      </c>
      <c r="H1673" s="17" t="s">
        <v>7829</v>
      </c>
      <c r="I1673" s="17"/>
      <c r="J1673" s="17"/>
      <c r="K1673" s="17"/>
      <c r="L1673" s="17"/>
      <c r="M1673" s="17"/>
      <c r="N1673" s="17"/>
      <c r="O1673" s="17"/>
      <c r="P1673" s="17"/>
      <c r="Q1673" s="17"/>
    </row>
    <row r="1674" spans="1:17">
      <c r="A1674" s="556" t="s">
        <v>3594</v>
      </c>
      <c r="B1674" s="557"/>
      <c r="C1674" s="558" t="s">
        <v>1989</v>
      </c>
      <c r="D1674" s="556" t="s">
        <v>1694</v>
      </c>
      <c r="E1674" s="17" t="s">
        <v>5105</v>
      </c>
      <c r="F1674" s="17">
        <v>29</v>
      </c>
      <c r="G1674" s="17">
        <v>2</v>
      </c>
      <c r="H1674" s="17" t="s">
        <v>3438</v>
      </c>
      <c r="I1674" s="17"/>
      <c r="J1674" s="17"/>
      <c r="K1674" s="17"/>
      <c r="L1674" s="17"/>
      <c r="M1674" s="17"/>
      <c r="N1674" s="17"/>
      <c r="O1674" s="17"/>
      <c r="P1674" s="17"/>
      <c r="Q1674" s="17"/>
    </row>
    <row r="1675" spans="1:17">
      <c r="A1675" s="556" t="s">
        <v>3594</v>
      </c>
      <c r="B1675" s="557"/>
      <c r="C1675" s="558" t="s">
        <v>1989</v>
      </c>
      <c r="D1675" s="556" t="s">
        <v>4426</v>
      </c>
      <c r="E1675" s="17" t="s">
        <v>5106</v>
      </c>
      <c r="F1675" s="17">
        <v>29</v>
      </c>
      <c r="G1675" s="17">
        <v>3</v>
      </c>
      <c r="H1675" s="17" t="s">
        <v>3439</v>
      </c>
      <c r="I1675" s="17">
        <v>0</v>
      </c>
      <c r="J1675" s="17"/>
      <c r="K1675" s="17"/>
      <c r="L1675" s="17"/>
      <c r="M1675" s="17"/>
      <c r="N1675" s="17"/>
      <c r="O1675" s="17"/>
      <c r="P1675" s="17"/>
      <c r="Q1675" s="17"/>
    </row>
    <row r="1676" spans="1:17">
      <c r="A1676" s="556" t="s">
        <v>3594</v>
      </c>
      <c r="B1676" s="557"/>
      <c r="C1676" s="558" t="s">
        <v>1989</v>
      </c>
      <c r="D1676" s="556" t="s">
        <v>4324</v>
      </c>
      <c r="E1676" s="17" t="s">
        <v>5107</v>
      </c>
      <c r="F1676" s="17">
        <v>29</v>
      </c>
      <c r="G1676" s="17">
        <v>4</v>
      </c>
      <c r="H1676" s="17" t="s">
        <v>3440</v>
      </c>
      <c r="I1676" s="17"/>
      <c r="J1676" s="17"/>
      <c r="K1676" s="17"/>
      <c r="L1676" s="17"/>
      <c r="M1676" s="17"/>
      <c r="N1676" s="17"/>
      <c r="O1676" s="17"/>
      <c r="P1676" s="17"/>
      <c r="Q1676" s="17"/>
    </row>
    <row r="1677" spans="1:17">
      <c r="A1677" s="556" t="s">
        <v>3594</v>
      </c>
      <c r="B1677" s="557"/>
      <c r="C1677" s="558" t="s">
        <v>1990</v>
      </c>
      <c r="D1677" s="556" t="s">
        <v>1693</v>
      </c>
      <c r="E1677" s="17" t="s">
        <v>5108</v>
      </c>
      <c r="F1677" s="17">
        <v>30</v>
      </c>
      <c r="G1677" s="17">
        <v>1</v>
      </c>
      <c r="H1677" s="17" t="s">
        <v>7830</v>
      </c>
      <c r="I1677" s="17"/>
      <c r="J1677" s="17"/>
      <c r="K1677" s="17"/>
      <c r="L1677" s="17"/>
      <c r="M1677" s="17"/>
      <c r="N1677" s="17"/>
      <c r="O1677" s="17"/>
      <c r="P1677" s="17"/>
      <c r="Q1677" s="17"/>
    </row>
    <row r="1678" spans="1:17">
      <c r="A1678" s="556" t="s">
        <v>3594</v>
      </c>
      <c r="B1678" s="557"/>
      <c r="C1678" s="558" t="s">
        <v>1990</v>
      </c>
      <c r="D1678" s="556" t="s">
        <v>1694</v>
      </c>
      <c r="E1678" s="17" t="s">
        <v>5109</v>
      </c>
      <c r="F1678" s="17">
        <v>30</v>
      </c>
      <c r="G1678" s="17">
        <v>2</v>
      </c>
      <c r="H1678" s="17" t="s">
        <v>3442</v>
      </c>
      <c r="I1678" s="17"/>
      <c r="J1678" s="17"/>
      <c r="K1678" s="17"/>
      <c r="L1678" s="17"/>
      <c r="M1678" s="17"/>
      <c r="N1678" s="17"/>
      <c r="O1678" s="17"/>
      <c r="P1678" s="17"/>
      <c r="Q1678" s="17"/>
    </row>
    <row r="1679" spans="1:17">
      <c r="A1679" s="556" t="s">
        <v>3594</v>
      </c>
      <c r="B1679" s="557"/>
      <c r="C1679" s="558" t="s">
        <v>1990</v>
      </c>
      <c r="D1679" s="556" t="s">
        <v>4426</v>
      </c>
      <c r="E1679" s="17" t="s">
        <v>5110</v>
      </c>
      <c r="F1679" s="17">
        <v>30</v>
      </c>
      <c r="G1679" s="17">
        <v>3</v>
      </c>
      <c r="H1679" s="17" t="s">
        <v>3443</v>
      </c>
      <c r="I1679" s="17">
        <v>0</v>
      </c>
      <c r="J1679" s="17"/>
      <c r="K1679" s="17"/>
      <c r="L1679" s="17"/>
      <c r="M1679" s="17"/>
      <c r="N1679" s="17"/>
      <c r="O1679" s="17"/>
      <c r="P1679" s="17"/>
      <c r="Q1679" s="17"/>
    </row>
    <row r="1680" spans="1:17">
      <c r="A1680" s="556" t="s">
        <v>3594</v>
      </c>
      <c r="B1680" s="557"/>
      <c r="C1680" s="558" t="s">
        <v>1990</v>
      </c>
      <c r="D1680" s="556" t="s">
        <v>4324</v>
      </c>
      <c r="E1680" s="17" t="s">
        <v>5111</v>
      </c>
      <c r="F1680" s="17">
        <v>30</v>
      </c>
      <c r="G1680" s="17">
        <v>4</v>
      </c>
      <c r="H1680" s="17" t="s">
        <v>3444</v>
      </c>
      <c r="I1680" s="17"/>
      <c r="J1680" s="17"/>
      <c r="K1680" s="17"/>
      <c r="L1680" s="17"/>
      <c r="M1680" s="17"/>
      <c r="N1680" s="17"/>
      <c r="O1680" s="17"/>
      <c r="P1680" s="17"/>
      <c r="Q1680" s="17"/>
    </row>
    <row r="1681" spans="1:17">
      <c r="A1681" s="556" t="s">
        <v>3594</v>
      </c>
      <c r="B1681" s="557"/>
      <c r="C1681" s="558" t="s">
        <v>1991</v>
      </c>
      <c r="D1681" s="556" t="s">
        <v>1693</v>
      </c>
      <c r="E1681" s="17" t="s">
        <v>5112</v>
      </c>
      <c r="F1681" s="17">
        <v>31</v>
      </c>
      <c r="G1681" s="17">
        <v>1</v>
      </c>
      <c r="H1681" s="17" t="s">
        <v>7831</v>
      </c>
      <c r="I1681" s="17">
        <v>0</v>
      </c>
      <c r="J1681" s="17"/>
      <c r="K1681" s="17"/>
      <c r="L1681" s="17"/>
      <c r="M1681" s="17"/>
      <c r="N1681" s="17"/>
      <c r="O1681" s="17"/>
      <c r="P1681" s="17"/>
      <c r="Q1681" s="17"/>
    </row>
    <row r="1682" spans="1:17">
      <c r="A1682" s="556" t="s">
        <v>3594</v>
      </c>
      <c r="B1682" s="557"/>
      <c r="C1682" s="558" t="s">
        <v>1991</v>
      </c>
      <c r="D1682" s="556" t="s">
        <v>1694</v>
      </c>
      <c r="E1682" s="17" t="s">
        <v>5113</v>
      </c>
      <c r="F1682" s="17">
        <v>31</v>
      </c>
      <c r="G1682" s="17">
        <v>2</v>
      </c>
      <c r="H1682" s="17" t="s">
        <v>3446</v>
      </c>
      <c r="I1682" s="17">
        <v>0</v>
      </c>
      <c r="J1682" s="17"/>
      <c r="K1682" s="17"/>
      <c r="L1682" s="17"/>
      <c r="M1682" s="17"/>
      <c r="N1682" s="17"/>
      <c r="O1682" s="17"/>
      <c r="P1682" s="17"/>
      <c r="Q1682" s="17"/>
    </row>
    <row r="1683" spans="1:17">
      <c r="A1683" s="556" t="s">
        <v>3594</v>
      </c>
      <c r="B1683" s="557"/>
      <c r="C1683" s="558" t="s">
        <v>1991</v>
      </c>
      <c r="D1683" s="556" t="s">
        <v>4426</v>
      </c>
      <c r="E1683" s="17" t="s">
        <v>5114</v>
      </c>
      <c r="F1683" s="17">
        <v>31</v>
      </c>
      <c r="G1683" s="17">
        <v>3</v>
      </c>
      <c r="H1683" s="17" t="s">
        <v>3447</v>
      </c>
      <c r="I1683" s="17">
        <v>0</v>
      </c>
      <c r="J1683" s="17"/>
      <c r="K1683" s="17"/>
      <c r="L1683" s="17"/>
      <c r="M1683" s="17"/>
      <c r="N1683" s="17"/>
      <c r="O1683" s="17"/>
      <c r="P1683" s="17"/>
      <c r="Q1683" s="17"/>
    </row>
    <row r="1684" spans="1:17">
      <c r="A1684" s="556" t="s">
        <v>3594</v>
      </c>
      <c r="B1684" s="557"/>
      <c r="C1684" s="558" t="s">
        <v>1991</v>
      </c>
      <c r="D1684" s="556" t="s">
        <v>4324</v>
      </c>
      <c r="E1684" s="17" t="s">
        <v>5115</v>
      </c>
      <c r="F1684" s="17">
        <v>31</v>
      </c>
      <c r="G1684" s="17">
        <v>4</v>
      </c>
      <c r="H1684" s="17" t="s">
        <v>3448</v>
      </c>
      <c r="I1684" s="17"/>
      <c r="J1684" s="17"/>
      <c r="K1684" s="17"/>
      <c r="L1684" s="17"/>
      <c r="M1684" s="17"/>
      <c r="N1684" s="17"/>
      <c r="O1684" s="17"/>
      <c r="P1684" s="17"/>
      <c r="Q1684" s="17"/>
    </row>
    <row r="1685" spans="1:17">
      <c r="A1685" s="556" t="s">
        <v>3596</v>
      </c>
      <c r="B1685" s="557"/>
      <c r="C1685" s="558" t="s">
        <v>2002</v>
      </c>
      <c r="D1685" s="556" t="s">
        <v>1693</v>
      </c>
      <c r="E1685" s="17" t="s">
        <v>5116</v>
      </c>
      <c r="F1685" s="17">
        <v>1</v>
      </c>
      <c r="G1685" s="17">
        <v>1</v>
      </c>
      <c r="H1685" s="17" t="s">
        <v>3520</v>
      </c>
      <c r="I1685" s="17"/>
      <c r="J1685" s="17"/>
      <c r="K1685" s="17"/>
      <c r="L1685" s="17"/>
      <c r="M1685" s="17"/>
      <c r="N1685" s="17"/>
      <c r="O1685" s="17"/>
      <c r="P1685" s="17"/>
      <c r="Q1685" s="17"/>
    </row>
    <row r="1686" spans="1:17">
      <c r="A1686" s="556" t="s">
        <v>3596</v>
      </c>
      <c r="B1686" s="557"/>
      <c r="C1686" s="558" t="s">
        <v>2002</v>
      </c>
      <c r="D1686" s="556" t="s">
        <v>1694</v>
      </c>
      <c r="E1686" s="17" t="s">
        <v>5117</v>
      </c>
      <c r="F1686" s="17">
        <v>1</v>
      </c>
      <c r="G1686" s="17">
        <v>2</v>
      </c>
      <c r="H1686" s="17" t="s">
        <v>3521</v>
      </c>
      <c r="I1686" s="17"/>
      <c r="J1686" s="17"/>
      <c r="K1686" s="17"/>
      <c r="L1686" s="17"/>
      <c r="M1686" s="17"/>
      <c r="N1686" s="17"/>
      <c r="O1686" s="17"/>
      <c r="P1686" s="17"/>
      <c r="Q1686" s="17"/>
    </row>
    <row r="1687" spans="1:17">
      <c r="A1687" s="556" t="s">
        <v>3596</v>
      </c>
      <c r="B1687" s="557"/>
      <c r="C1687" s="558" t="s">
        <v>2003</v>
      </c>
      <c r="D1687" s="556" t="s">
        <v>1693</v>
      </c>
      <c r="E1687" s="17" t="s">
        <v>5118</v>
      </c>
      <c r="F1687" s="17">
        <v>2</v>
      </c>
      <c r="G1687" s="17">
        <v>1</v>
      </c>
      <c r="H1687" s="17" t="s">
        <v>2991</v>
      </c>
      <c r="I1687" s="17"/>
      <c r="J1687" s="17"/>
      <c r="K1687" s="17"/>
      <c r="L1687" s="17"/>
      <c r="M1687" s="17"/>
      <c r="N1687" s="17"/>
      <c r="O1687" s="17"/>
      <c r="P1687" s="17"/>
      <c r="Q1687" s="17"/>
    </row>
    <row r="1688" spans="1:17">
      <c r="A1688" s="556" t="s">
        <v>3596</v>
      </c>
      <c r="B1688" s="557"/>
      <c r="C1688" s="558" t="s">
        <v>2003</v>
      </c>
      <c r="D1688" s="556" t="s">
        <v>1694</v>
      </c>
      <c r="E1688" s="17" t="s">
        <v>5119</v>
      </c>
      <c r="F1688" s="17">
        <v>2</v>
      </c>
      <c r="G1688" s="17">
        <v>2</v>
      </c>
      <c r="H1688" s="17" t="s">
        <v>2992</v>
      </c>
      <c r="I1688" s="17"/>
      <c r="J1688" s="17"/>
      <c r="K1688" s="17"/>
      <c r="L1688" s="17"/>
      <c r="M1688" s="17"/>
      <c r="N1688" s="17"/>
      <c r="O1688" s="17"/>
      <c r="P1688" s="17"/>
      <c r="Q1688" s="17"/>
    </row>
    <row r="1689" spans="1:17">
      <c r="A1689" s="556" t="s">
        <v>3596</v>
      </c>
      <c r="B1689" s="557"/>
      <c r="C1689" s="558" t="s">
        <v>2004</v>
      </c>
      <c r="D1689" s="556" t="s">
        <v>1693</v>
      </c>
      <c r="E1689" s="17" t="s">
        <v>5120</v>
      </c>
      <c r="F1689" s="17">
        <v>3</v>
      </c>
      <c r="G1689" s="17">
        <v>1</v>
      </c>
      <c r="H1689" s="17" t="s">
        <v>3341</v>
      </c>
      <c r="I1689" s="17"/>
      <c r="J1689" s="17"/>
      <c r="K1689" s="17"/>
      <c r="L1689" s="17"/>
      <c r="M1689" s="17"/>
      <c r="N1689" s="17"/>
      <c r="O1689" s="17"/>
      <c r="P1689" s="17"/>
      <c r="Q1689" s="17"/>
    </row>
    <row r="1690" spans="1:17">
      <c r="A1690" s="556" t="s">
        <v>3596</v>
      </c>
      <c r="B1690" s="557"/>
      <c r="C1690" s="558" t="s">
        <v>2004</v>
      </c>
      <c r="D1690" s="556" t="s">
        <v>1694</v>
      </c>
      <c r="E1690" s="17" t="s">
        <v>5121</v>
      </c>
      <c r="F1690" s="17">
        <v>3</v>
      </c>
      <c r="G1690" s="17">
        <v>2</v>
      </c>
      <c r="H1690" s="17" t="s">
        <v>3342</v>
      </c>
      <c r="I1690" s="17"/>
      <c r="J1690" s="17"/>
      <c r="K1690" s="17"/>
      <c r="L1690" s="17"/>
      <c r="M1690" s="17"/>
      <c r="N1690" s="17"/>
      <c r="O1690" s="17"/>
      <c r="P1690" s="17"/>
      <c r="Q1690" s="17"/>
    </row>
    <row r="1691" spans="1:17">
      <c r="A1691" s="556" t="s">
        <v>3596</v>
      </c>
      <c r="B1691" s="557"/>
      <c r="C1691" s="558" t="s">
        <v>2005</v>
      </c>
      <c r="D1691" s="556" t="s">
        <v>1693</v>
      </c>
      <c r="E1691" s="17" t="s">
        <v>5122</v>
      </c>
      <c r="F1691" s="17">
        <v>4</v>
      </c>
      <c r="G1691" s="17">
        <v>1</v>
      </c>
      <c r="H1691" s="17" t="s">
        <v>3345</v>
      </c>
      <c r="I1691" s="17"/>
      <c r="J1691" s="17"/>
      <c r="K1691" s="17"/>
      <c r="L1691" s="17"/>
      <c r="M1691" s="17"/>
      <c r="N1691" s="17"/>
      <c r="O1691" s="17"/>
      <c r="P1691" s="17"/>
      <c r="Q1691" s="17"/>
    </row>
    <row r="1692" spans="1:17">
      <c r="A1692" s="556" t="s">
        <v>3596</v>
      </c>
      <c r="B1692" s="557"/>
      <c r="C1692" s="558" t="s">
        <v>2005</v>
      </c>
      <c r="D1692" s="556" t="s">
        <v>1694</v>
      </c>
      <c r="E1692" s="17" t="s">
        <v>5123</v>
      </c>
      <c r="F1692" s="17">
        <v>4</v>
      </c>
      <c r="G1692" s="17">
        <v>2</v>
      </c>
      <c r="H1692" s="17" t="s">
        <v>3346</v>
      </c>
      <c r="I1692" s="17"/>
      <c r="J1692" s="17"/>
      <c r="K1692" s="17"/>
      <c r="L1692" s="17"/>
      <c r="M1692" s="17"/>
      <c r="N1692" s="17"/>
      <c r="O1692" s="17"/>
      <c r="P1692" s="17"/>
      <c r="Q1692" s="17"/>
    </row>
    <row r="1693" spans="1:17">
      <c r="A1693" s="556" t="s">
        <v>3596</v>
      </c>
      <c r="B1693" s="557"/>
      <c r="C1693" s="558" t="s">
        <v>2006</v>
      </c>
      <c r="D1693" s="556" t="s">
        <v>1693</v>
      </c>
      <c r="E1693" s="17" t="s">
        <v>5124</v>
      </c>
      <c r="F1693" s="17">
        <v>5</v>
      </c>
      <c r="G1693" s="17">
        <v>1</v>
      </c>
      <c r="H1693" s="17" t="s">
        <v>3349</v>
      </c>
      <c r="I1693" s="17"/>
      <c r="J1693" s="17"/>
      <c r="K1693" s="17"/>
      <c r="L1693" s="17"/>
      <c r="M1693" s="17"/>
      <c r="N1693" s="17"/>
      <c r="O1693" s="17"/>
      <c r="P1693" s="17"/>
      <c r="Q1693" s="17"/>
    </row>
    <row r="1694" spans="1:17">
      <c r="A1694" s="556" t="s">
        <v>3596</v>
      </c>
      <c r="B1694" s="557"/>
      <c r="C1694" s="558" t="s">
        <v>2006</v>
      </c>
      <c r="D1694" s="556" t="s">
        <v>1694</v>
      </c>
      <c r="E1694" s="17" t="s">
        <v>5125</v>
      </c>
      <c r="F1694" s="17">
        <v>5</v>
      </c>
      <c r="G1694" s="17">
        <v>2</v>
      </c>
      <c r="H1694" s="17" t="s">
        <v>3350</v>
      </c>
      <c r="I1694" s="17"/>
      <c r="J1694" s="17"/>
      <c r="K1694" s="17"/>
      <c r="L1694" s="17"/>
      <c r="M1694" s="17"/>
      <c r="N1694" s="17"/>
      <c r="O1694" s="17"/>
      <c r="P1694" s="17"/>
      <c r="Q1694" s="17"/>
    </row>
    <row r="1695" spans="1:17">
      <c r="A1695" s="556" t="s">
        <v>3596</v>
      </c>
      <c r="B1695" s="557"/>
      <c r="C1695" s="558" t="s">
        <v>2007</v>
      </c>
      <c r="D1695" s="556" t="s">
        <v>1693</v>
      </c>
      <c r="E1695" s="17" t="s">
        <v>5126</v>
      </c>
      <c r="F1695" s="17">
        <v>6</v>
      </c>
      <c r="G1695" s="17">
        <v>1</v>
      </c>
      <c r="H1695" s="17" t="s">
        <v>3353</v>
      </c>
      <c r="I1695" s="17"/>
      <c r="J1695" s="17"/>
      <c r="K1695" s="17"/>
      <c r="L1695" s="17"/>
      <c r="M1695" s="17"/>
      <c r="N1695" s="17"/>
      <c r="O1695" s="17"/>
      <c r="P1695" s="17"/>
      <c r="Q1695" s="17"/>
    </row>
    <row r="1696" spans="1:17">
      <c r="A1696" s="556" t="s">
        <v>3596</v>
      </c>
      <c r="B1696" s="557"/>
      <c r="C1696" s="558" t="s">
        <v>2007</v>
      </c>
      <c r="D1696" s="556" t="s">
        <v>1694</v>
      </c>
      <c r="E1696" s="17" t="s">
        <v>5127</v>
      </c>
      <c r="F1696" s="17">
        <v>6</v>
      </c>
      <c r="G1696" s="17">
        <v>2</v>
      </c>
      <c r="H1696" s="17" t="s">
        <v>3354</v>
      </c>
      <c r="I1696" s="17"/>
      <c r="J1696" s="17"/>
      <c r="K1696" s="17"/>
      <c r="L1696" s="17"/>
      <c r="M1696" s="17"/>
      <c r="N1696" s="17"/>
      <c r="O1696" s="17"/>
      <c r="P1696" s="17"/>
      <c r="Q1696" s="17"/>
    </row>
    <row r="1697" spans="1:17">
      <c r="A1697" s="556" t="s">
        <v>3598</v>
      </c>
      <c r="B1697" s="557"/>
      <c r="C1697" s="558" t="s">
        <v>2010</v>
      </c>
      <c r="D1697" s="556" t="s">
        <v>1693</v>
      </c>
      <c r="E1697" s="17" t="s">
        <v>5128</v>
      </c>
      <c r="F1697" s="17">
        <v>1</v>
      </c>
      <c r="G1697" s="17">
        <v>1</v>
      </c>
      <c r="H1697" s="17" t="s">
        <v>3376</v>
      </c>
      <c r="I1697" s="17"/>
      <c r="J1697" s="17"/>
      <c r="K1697" s="17"/>
      <c r="L1697" s="17"/>
      <c r="M1697" s="17"/>
      <c r="N1697" s="17"/>
      <c r="O1697" s="17"/>
      <c r="P1697" s="17"/>
      <c r="Q1697" s="17"/>
    </row>
    <row r="1698" spans="1:17">
      <c r="A1698" s="556" t="s">
        <v>3598</v>
      </c>
      <c r="B1698" s="557"/>
      <c r="C1698" s="558" t="s">
        <v>2010</v>
      </c>
      <c r="D1698" s="556" t="s">
        <v>1694</v>
      </c>
      <c r="E1698" s="17" t="s">
        <v>5129</v>
      </c>
      <c r="F1698" s="17">
        <v>1</v>
      </c>
      <c r="G1698" s="17">
        <v>2</v>
      </c>
      <c r="H1698" s="17" t="s">
        <v>3377</v>
      </c>
      <c r="I1698" s="17"/>
      <c r="J1698" s="17"/>
      <c r="K1698" s="17"/>
      <c r="L1698" s="17"/>
      <c r="M1698" s="17"/>
      <c r="N1698" s="17"/>
      <c r="O1698" s="17"/>
      <c r="P1698" s="17"/>
      <c r="Q1698" s="17"/>
    </row>
    <row r="1699" spans="1:17">
      <c r="A1699" s="556" t="s">
        <v>3598</v>
      </c>
      <c r="B1699" s="557"/>
      <c r="C1699" s="558" t="s">
        <v>2011</v>
      </c>
      <c r="D1699" s="556" t="s">
        <v>1693</v>
      </c>
      <c r="E1699" s="17" t="s">
        <v>5130</v>
      </c>
      <c r="F1699" s="17">
        <v>2</v>
      </c>
      <c r="G1699" s="17">
        <v>1</v>
      </c>
      <c r="H1699" s="17" t="s">
        <v>3380</v>
      </c>
      <c r="I1699" s="17"/>
      <c r="J1699" s="17"/>
      <c r="K1699" s="17"/>
      <c r="L1699" s="17"/>
      <c r="M1699" s="17"/>
      <c r="N1699" s="17"/>
      <c r="O1699" s="17"/>
      <c r="P1699" s="17"/>
      <c r="Q1699" s="17"/>
    </row>
    <row r="1700" spans="1:17">
      <c r="A1700" s="556" t="s">
        <v>3598</v>
      </c>
      <c r="B1700" s="557"/>
      <c r="C1700" s="558" t="s">
        <v>2011</v>
      </c>
      <c r="D1700" s="556" t="s">
        <v>1694</v>
      </c>
      <c r="E1700" s="17" t="s">
        <v>5131</v>
      </c>
      <c r="F1700" s="17">
        <v>2</v>
      </c>
      <c r="G1700" s="17">
        <v>2</v>
      </c>
      <c r="H1700" s="17" t="s">
        <v>3381</v>
      </c>
      <c r="I1700" s="17"/>
      <c r="J1700" s="17"/>
      <c r="K1700" s="17"/>
      <c r="L1700" s="17"/>
      <c r="M1700" s="17"/>
      <c r="N1700" s="17"/>
      <c r="O1700" s="17"/>
      <c r="P1700" s="17"/>
      <c r="Q1700" s="17"/>
    </row>
    <row r="1701" spans="1:17">
      <c r="A1701" s="556" t="s">
        <v>3598</v>
      </c>
      <c r="B1701" s="557"/>
      <c r="C1701" s="558" t="s">
        <v>2012</v>
      </c>
      <c r="D1701" s="556" t="s">
        <v>1693</v>
      </c>
      <c r="E1701" s="17" t="s">
        <v>5132</v>
      </c>
      <c r="F1701" s="17">
        <v>3</v>
      </c>
      <c r="G1701" s="17">
        <v>1</v>
      </c>
      <c r="H1701" s="17" t="s">
        <v>3384</v>
      </c>
      <c r="I1701" s="17"/>
      <c r="J1701" s="17"/>
      <c r="K1701" s="17"/>
      <c r="L1701" s="17"/>
      <c r="M1701" s="17"/>
      <c r="N1701" s="17"/>
      <c r="O1701" s="17"/>
      <c r="P1701" s="17"/>
      <c r="Q1701" s="17"/>
    </row>
    <row r="1702" spans="1:17">
      <c r="A1702" s="556" t="s">
        <v>3598</v>
      </c>
      <c r="B1702" s="557"/>
      <c r="C1702" s="558" t="s">
        <v>2012</v>
      </c>
      <c r="D1702" s="556" t="s">
        <v>1694</v>
      </c>
      <c r="E1702" s="17" t="s">
        <v>5133</v>
      </c>
      <c r="F1702" s="17">
        <v>3</v>
      </c>
      <c r="G1702" s="17">
        <v>2</v>
      </c>
      <c r="H1702" s="17" t="s">
        <v>3385</v>
      </c>
      <c r="I1702" s="17"/>
      <c r="J1702" s="17"/>
      <c r="K1702" s="17"/>
      <c r="L1702" s="17"/>
      <c r="M1702" s="17"/>
      <c r="N1702" s="17"/>
      <c r="O1702" s="17"/>
      <c r="P1702" s="17"/>
      <c r="Q1702" s="17"/>
    </row>
    <row r="1703" spans="1:17">
      <c r="A1703" s="556" t="s">
        <v>3598</v>
      </c>
      <c r="B1703" s="557"/>
      <c r="C1703" s="558" t="s">
        <v>2013</v>
      </c>
      <c r="D1703" s="556" t="s">
        <v>1693</v>
      </c>
      <c r="E1703" s="17" t="s">
        <v>5134</v>
      </c>
      <c r="F1703" s="17">
        <v>4</v>
      </c>
      <c r="G1703" s="17">
        <v>1</v>
      </c>
      <c r="H1703" s="17" t="s">
        <v>3388</v>
      </c>
      <c r="I1703" s="17"/>
      <c r="J1703" s="17"/>
      <c r="K1703" s="17"/>
      <c r="L1703" s="17"/>
      <c r="M1703" s="17"/>
      <c r="N1703" s="17"/>
      <c r="O1703" s="17"/>
      <c r="P1703" s="17"/>
      <c r="Q1703" s="17"/>
    </row>
    <row r="1704" spans="1:17">
      <c r="A1704" s="556" t="s">
        <v>3598</v>
      </c>
      <c r="B1704" s="557"/>
      <c r="C1704" s="558" t="s">
        <v>2013</v>
      </c>
      <c r="D1704" s="556" t="s">
        <v>1694</v>
      </c>
      <c r="E1704" s="17" t="s">
        <v>5135</v>
      </c>
      <c r="F1704" s="17">
        <v>4</v>
      </c>
      <c r="G1704" s="17">
        <v>2</v>
      </c>
      <c r="H1704" s="17" t="s">
        <v>3389</v>
      </c>
      <c r="I1704" s="17"/>
      <c r="J1704" s="17"/>
      <c r="K1704" s="17"/>
      <c r="L1704" s="17"/>
      <c r="M1704" s="17"/>
      <c r="N1704" s="17"/>
      <c r="O1704" s="17"/>
      <c r="P1704" s="17"/>
      <c r="Q1704" s="17"/>
    </row>
    <row r="1705" spans="1:17">
      <c r="A1705" s="556" t="s">
        <v>3598</v>
      </c>
      <c r="B1705" s="557"/>
      <c r="C1705" s="558" t="s">
        <v>2014</v>
      </c>
      <c r="D1705" s="556" t="s">
        <v>1693</v>
      </c>
      <c r="E1705" s="17" t="s">
        <v>5136</v>
      </c>
      <c r="F1705" s="17">
        <v>5</v>
      </c>
      <c r="G1705" s="17">
        <v>1</v>
      </c>
      <c r="H1705" s="17" t="s">
        <v>3392</v>
      </c>
      <c r="I1705" s="17"/>
      <c r="J1705" s="17"/>
      <c r="K1705" s="17"/>
      <c r="L1705" s="17"/>
      <c r="M1705" s="17"/>
      <c r="N1705" s="17"/>
      <c r="O1705" s="17"/>
      <c r="P1705" s="17"/>
      <c r="Q1705" s="17"/>
    </row>
    <row r="1706" spans="1:17">
      <c r="A1706" s="556" t="s">
        <v>3598</v>
      </c>
      <c r="B1706" s="557"/>
      <c r="C1706" s="558" t="s">
        <v>2014</v>
      </c>
      <c r="D1706" s="556" t="s">
        <v>1694</v>
      </c>
      <c r="E1706" s="17" t="s">
        <v>5137</v>
      </c>
      <c r="F1706" s="17">
        <v>5</v>
      </c>
      <c r="G1706" s="17">
        <v>2</v>
      </c>
      <c r="H1706" s="17" t="s">
        <v>3393</v>
      </c>
      <c r="I1706" s="17"/>
      <c r="J1706" s="17"/>
      <c r="K1706" s="17"/>
      <c r="L1706" s="17"/>
      <c r="M1706" s="17"/>
      <c r="N1706" s="17"/>
      <c r="O1706" s="17"/>
      <c r="P1706" s="17"/>
      <c r="Q1706" s="17"/>
    </row>
    <row r="1707" spans="1:17">
      <c r="A1707" s="556" t="s">
        <v>3598</v>
      </c>
      <c r="B1707" s="557"/>
      <c r="C1707" s="558" t="s">
        <v>2015</v>
      </c>
      <c r="D1707" s="556" t="s">
        <v>1693</v>
      </c>
      <c r="E1707" s="17" t="s">
        <v>5138</v>
      </c>
      <c r="F1707" s="17">
        <v>6</v>
      </c>
      <c r="G1707" s="17">
        <v>1</v>
      </c>
      <c r="H1707" s="17" t="s">
        <v>3396</v>
      </c>
      <c r="I1707" s="17"/>
      <c r="J1707" s="17"/>
      <c r="K1707" s="17"/>
      <c r="L1707" s="17"/>
      <c r="M1707" s="17"/>
      <c r="N1707" s="17"/>
      <c r="O1707" s="17"/>
      <c r="P1707" s="17"/>
      <c r="Q1707" s="17"/>
    </row>
    <row r="1708" spans="1:17">
      <c r="A1708" s="556" t="s">
        <v>3598</v>
      </c>
      <c r="B1708" s="557"/>
      <c r="C1708" s="558" t="s">
        <v>2015</v>
      </c>
      <c r="D1708" s="556" t="s">
        <v>1694</v>
      </c>
      <c r="E1708" s="17" t="s">
        <v>5139</v>
      </c>
      <c r="F1708" s="17">
        <v>6</v>
      </c>
      <c r="G1708" s="17">
        <v>2</v>
      </c>
      <c r="H1708" s="17" t="s">
        <v>3397</v>
      </c>
      <c r="I1708" s="17"/>
      <c r="J1708" s="17"/>
      <c r="K1708" s="17"/>
      <c r="L1708" s="17"/>
      <c r="M1708" s="17"/>
      <c r="N1708" s="17"/>
      <c r="O1708" s="17"/>
      <c r="P1708" s="17"/>
      <c r="Q1708" s="17"/>
    </row>
    <row r="1709" spans="1:17">
      <c r="A1709" s="556" t="s">
        <v>3598</v>
      </c>
      <c r="B1709" s="557"/>
      <c r="C1709" s="558" t="s">
        <v>2016</v>
      </c>
      <c r="D1709" s="556" t="s">
        <v>1693</v>
      </c>
      <c r="E1709" s="17" t="s">
        <v>5140</v>
      </c>
      <c r="F1709" s="17">
        <v>7</v>
      </c>
      <c r="G1709" s="17">
        <v>1</v>
      </c>
      <c r="H1709" s="17" t="s">
        <v>3400</v>
      </c>
      <c r="I1709" s="17"/>
      <c r="J1709" s="17"/>
      <c r="K1709" s="17"/>
      <c r="L1709" s="17"/>
      <c r="M1709" s="17"/>
      <c r="N1709" s="17"/>
      <c r="O1709" s="17"/>
      <c r="P1709" s="17"/>
      <c r="Q1709" s="17"/>
    </row>
    <row r="1710" spans="1:17">
      <c r="A1710" s="556" t="s">
        <v>3598</v>
      </c>
      <c r="B1710" s="557"/>
      <c r="C1710" s="558" t="s">
        <v>2016</v>
      </c>
      <c r="D1710" s="556" t="s">
        <v>1694</v>
      </c>
      <c r="E1710" s="17" t="s">
        <v>5141</v>
      </c>
      <c r="F1710" s="17">
        <v>7</v>
      </c>
      <c r="G1710" s="17">
        <v>2</v>
      </c>
      <c r="H1710" s="17" t="s">
        <v>3401</v>
      </c>
      <c r="I1710" s="17"/>
      <c r="J1710" s="17"/>
      <c r="K1710" s="17"/>
      <c r="L1710" s="17"/>
      <c r="M1710" s="17"/>
      <c r="N1710" s="17"/>
      <c r="O1710" s="17"/>
      <c r="P1710" s="17"/>
      <c r="Q1710" s="17"/>
    </row>
    <row r="1711" spans="1:17">
      <c r="A1711" s="556" t="s">
        <v>3600</v>
      </c>
      <c r="B1711" s="557"/>
      <c r="C1711" s="558" t="s">
        <v>5142</v>
      </c>
      <c r="D1711" s="556" t="s">
        <v>5143</v>
      </c>
      <c r="E1711" s="17" t="s">
        <v>5144</v>
      </c>
      <c r="F1711" s="17">
        <v>1</v>
      </c>
      <c r="G1711" s="17">
        <v>1</v>
      </c>
      <c r="H1711" s="17" t="s">
        <v>3426</v>
      </c>
      <c r="I1711" s="17"/>
      <c r="J1711" s="17"/>
      <c r="K1711" s="17"/>
      <c r="L1711" s="17"/>
      <c r="M1711" s="17"/>
      <c r="N1711" s="17"/>
      <c r="O1711" s="17"/>
      <c r="P1711" s="17"/>
      <c r="Q1711" s="17"/>
    </row>
    <row r="1712" spans="1:17">
      <c r="A1712" s="556" t="s">
        <v>3600</v>
      </c>
      <c r="B1712" s="557"/>
      <c r="C1712" s="558" t="s">
        <v>5142</v>
      </c>
      <c r="D1712" s="556" t="s">
        <v>5145</v>
      </c>
      <c r="E1712" s="17" t="s">
        <v>5146</v>
      </c>
      <c r="F1712" s="17">
        <v>1</v>
      </c>
      <c r="G1712" s="17">
        <v>2</v>
      </c>
      <c r="H1712" s="17" t="s">
        <v>3427</v>
      </c>
      <c r="I1712" s="17"/>
      <c r="J1712" s="17"/>
      <c r="K1712" s="17"/>
      <c r="L1712" s="17"/>
      <c r="M1712" s="17"/>
      <c r="N1712" s="17"/>
      <c r="O1712" s="17"/>
      <c r="P1712" s="17"/>
      <c r="Q1712" s="17"/>
    </row>
    <row r="1713" spans="1:17">
      <c r="A1713" s="556" t="s">
        <v>3600</v>
      </c>
      <c r="B1713" s="557"/>
      <c r="C1713" s="558" t="s">
        <v>5142</v>
      </c>
      <c r="D1713" s="556" t="s">
        <v>5147</v>
      </c>
      <c r="E1713" s="17" t="s">
        <v>5148</v>
      </c>
      <c r="F1713" s="17">
        <v>1</v>
      </c>
      <c r="G1713" s="17">
        <v>3</v>
      </c>
      <c r="H1713" s="17" t="s">
        <v>3428</v>
      </c>
      <c r="I1713" s="17"/>
      <c r="J1713" s="17"/>
      <c r="K1713" s="17"/>
      <c r="L1713" s="17"/>
      <c r="M1713" s="17"/>
      <c r="N1713" s="17"/>
      <c r="O1713" s="17"/>
      <c r="P1713" s="17"/>
      <c r="Q1713" s="17"/>
    </row>
    <row r="1714" spans="1:17">
      <c r="A1714" s="556" t="s">
        <v>3600</v>
      </c>
      <c r="B1714" s="557"/>
      <c r="C1714" s="558" t="s">
        <v>5142</v>
      </c>
      <c r="D1714" s="556" t="s">
        <v>5149</v>
      </c>
      <c r="E1714" s="17" t="s">
        <v>5150</v>
      </c>
      <c r="F1714" s="17">
        <v>1</v>
      </c>
      <c r="G1714" s="17">
        <v>4</v>
      </c>
      <c r="H1714" s="17" t="s">
        <v>3429</v>
      </c>
      <c r="I1714" s="17"/>
      <c r="J1714" s="17"/>
      <c r="K1714" s="17"/>
      <c r="L1714" s="17"/>
      <c r="M1714" s="17"/>
      <c r="N1714" s="17"/>
      <c r="O1714" s="17"/>
      <c r="P1714" s="17"/>
      <c r="Q1714" s="17"/>
    </row>
    <row r="1715" spans="1:17">
      <c r="A1715" s="556" t="s">
        <v>3600</v>
      </c>
      <c r="B1715" s="557"/>
      <c r="C1715" s="558" t="s">
        <v>5151</v>
      </c>
      <c r="D1715" s="556" t="s">
        <v>5143</v>
      </c>
      <c r="E1715" s="17" t="s">
        <v>5152</v>
      </c>
      <c r="F1715" s="17">
        <v>2</v>
      </c>
      <c r="G1715" s="17">
        <v>1</v>
      </c>
      <c r="H1715" s="17" t="s">
        <v>3430</v>
      </c>
      <c r="I1715" s="17"/>
      <c r="J1715" s="17"/>
      <c r="K1715" s="17"/>
      <c r="L1715" s="17"/>
      <c r="M1715" s="17"/>
      <c r="N1715" s="17"/>
      <c r="O1715" s="17"/>
      <c r="P1715" s="17"/>
      <c r="Q1715" s="17"/>
    </row>
    <row r="1716" spans="1:17">
      <c r="A1716" s="556" t="s">
        <v>3600</v>
      </c>
      <c r="B1716" s="557"/>
      <c r="C1716" s="558" t="s">
        <v>5151</v>
      </c>
      <c r="D1716" s="556" t="s">
        <v>5145</v>
      </c>
      <c r="E1716" s="17" t="s">
        <v>5153</v>
      </c>
      <c r="F1716" s="17">
        <v>2</v>
      </c>
      <c r="G1716" s="17">
        <v>2</v>
      </c>
      <c r="H1716" s="17" t="s">
        <v>3431</v>
      </c>
      <c r="I1716" s="17"/>
      <c r="J1716" s="17"/>
      <c r="K1716" s="17"/>
      <c r="L1716" s="17"/>
      <c r="M1716" s="17"/>
      <c r="N1716" s="17"/>
      <c r="O1716" s="17"/>
      <c r="P1716" s="17"/>
      <c r="Q1716" s="17"/>
    </row>
    <row r="1717" spans="1:17">
      <c r="A1717" s="556" t="s">
        <v>3600</v>
      </c>
      <c r="B1717" s="557"/>
      <c r="C1717" s="558" t="s">
        <v>5151</v>
      </c>
      <c r="D1717" s="556" t="s">
        <v>5147</v>
      </c>
      <c r="E1717" s="17" t="s">
        <v>5154</v>
      </c>
      <c r="F1717" s="17">
        <v>2</v>
      </c>
      <c r="G1717" s="17">
        <v>3</v>
      </c>
      <c r="H1717" s="17" t="s">
        <v>3432</v>
      </c>
      <c r="I1717" s="17"/>
      <c r="J1717" s="17"/>
      <c r="K1717" s="17"/>
      <c r="L1717" s="17"/>
      <c r="M1717" s="17"/>
      <c r="N1717" s="17"/>
      <c r="O1717" s="17"/>
      <c r="P1717" s="17"/>
      <c r="Q1717" s="17"/>
    </row>
    <row r="1718" spans="1:17">
      <c r="A1718" s="556" t="s">
        <v>3600</v>
      </c>
      <c r="B1718" s="557"/>
      <c r="C1718" s="558" t="s">
        <v>5151</v>
      </c>
      <c r="D1718" s="556" t="s">
        <v>5149</v>
      </c>
      <c r="E1718" s="17" t="s">
        <v>5155</v>
      </c>
      <c r="F1718" s="17">
        <v>2</v>
      </c>
      <c r="G1718" s="17">
        <v>4</v>
      </c>
      <c r="H1718" s="17" t="s">
        <v>3433</v>
      </c>
      <c r="I1718" s="17"/>
      <c r="J1718" s="17"/>
      <c r="K1718" s="17"/>
      <c r="L1718" s="17"/>
      <c r="M1718" s="17"/>
      <c r="N1718" s="17"/>
      <c r="O1718" s="17"/>
      <c r="P1718" s="17"/>
      <c r="Q1718" s="17"/>
    </row>
    <row r="1719" spans="1:17">
      <c r="A1719" s="556" t="s">
        <v>3600</v>
      </c>
      <c r="B1719" s="557"/>
      <c r="C1719" s="558" t="s">
        <v>5156</v>
      </c>
      <c r="D1719" s="556" t="s">
        <v>5143</v>
      </c>
      <c r="E1719" s="17" t="s">
        <v>5157</v>
      </c>
      <c r="F1719" s="17">
        <v>3</v>
      </c>
      <c r="G1719" s="17">
        <v>1</v>
      </c>
      <c r="H1719" s="17" t="s">
        <v>3434</v>
      </c>
      <c r="I1719" s="17"/>
      <c r="J1719" s="17"/>
      <c r="K1719" s="17"/>
      <c r="L1719" s="17"/>
      <c r="M1719" s="17"/>
      <c r="N1719" s="17"/>
      <c r="O1719" s="17"/>
      <c r="P1719" s="17"/>
      <c r="Q1719" s="17"/>
    </row>
    <row r="1720" spans="1:17">
      <c r="A1720" s="556" t="s">
        <v>3600</v>
      </c>
      <c r="B1720" s="557"/>
      <c r="C1720" s="558" t="s">
        <v>5156</v>
      </c>
      <c r="D1720" s="556" t="s">
        <v>5145</v>
      </c>
      <c r="E1720" s="17" t="s">
        <v>5158</v>
      </c>
      <c r="F1720" s="17">
        <v>3</v>
      </c>
      <c r="G1720" s="17">
        <v>2</v>
      </c>
      <c r="H1720" s="17" t="s">
        <v>3435</v>
      </c>
      <c r="I1720" s="17"/>
      <c r="J1720" s="17"/>
      <c r="K1720" s="17"/>
      <c r="L1720" s="17"/>
      <c r="M1720" s="17"/>
      <c r="N1720" s="17"/>
      <c r="O1720" s="17"/>
      <c r="P1720" s="17"/>
      <c r="Q1720" s="17"/>
    </row>
    <row r="1721" spans="1:17">
      <c r="A1721" s="556" t="s">
        <v>3600</v>
      </c>
      <c r="B1721" s="557"/>
      <c r="C1721" s="558" t="s">
        <v>5156</v>
      </c>
      <c r="D1721" s="556" t="s">
        <v>5147</v>
      </c>
      <c r="E1721" s="17" t="s">
        <v>5159</v>
      </c>
      <c r="F1721" s="17">
        <v>3</v>
      </c>
      <c r="G1721" s="17">
        <v>3</v>
      </c>
      <c r="H1721" s="17" t="s">
        <v>3436</v>
      </c>
      <c r="I1721" s="17"/>
      <c r="J1721" s="17"/>
      <c r="K1721" s="17"/>
      <c r="L1721" s="17"/>
      <c r="M1721" s="17"/>
      <c r="N1721" s="17"/>
      <c r="O1721" s="17"/>
      <c r="P1721" s="17"/>
      <c r="Q1721" s="17"/>
    </row>
    <row r="1722" spans="1:17">
      <c r="A1722" s="556" t="s">
        <v>3600</v>
      </c>
      <c r="B1722" s="557"/>
      <c r="C1722" s="558" t="s">
        <v>5156</v>
      </c>
      <c r="D1722" s="556" t="s">
        <v>5149</v>
      </c>
      <c r="E1722" s="17" t="s">
        <v>5160</v>
      </c>
      <c r="F1722" s="17">
        <v>3</v>
      </c>
      <c r="G1722" s="17">
        <v>4</v>
      </c>
      <c r="H1722" s="17" t="s">
        <v>3437</v>
      </c>
      <c r="I1722" s="17"/>
      <c r="J1722" s="17"/>
      <c r="K1722" s="17"/>
      <c r="L1722" s="17"/>
      <c r="M1722" s="17"/>
      <c r="N1722" s="17"/>
      <c r="O1722" s="17"/>
      <c r="P1722" s="17"/>
      <c r="Q1722" s="17"/>
    </row>
    <row r="1723" spans="1:17">
      <c r="A1723" s="556" t="s">
        <v>3602</v>
      </c>
      <c r="B1723" s="557"/>
      <c r="C1723" s="558" t="s">
        <v>2028</v>
      </c>
      <c r="D1723" s="556" t="s">
        <v>1693</v>
      </c>
      <c r="E1723" s="17" t="s">
        <v>5161</v>
      </c>
      <c r="F1723" s="17">
        <v>1</v>
      </c>
      <c r="G1723" s="17">
        <v>1</v>
      </c>
      <c r="H1723" s="17" t="s">
        <v>3520</v>
      </c>
      <c r="I1723" s="17"/>
      <c r="J1723" s="17"/>
      <c r="K1723" s="17"/>
      <c r="L1723" s="17"/>
      <c r="M1723" s="17"/>
      <c r="N1723" s="17"/>
      <c r="O1723" s="17"/>
      <c r="P1723" s="17"/>
      <c r="Q1723" s="17"/>
    </row>
    <row r="1724" spans="1:17">
      <c r="A1724" s="556" t="s">
        <v>3602</v>
      </c>
      <c r="B1724" s="557"/>
      <c r="C1724" s="558" t="s">
        <v>2028</v>
      </c>
      <c r="D1724" s="556" t="s">
        <v>1694</v>
      </c>
      <c r="E1724" s="17" t="s">
        <v>5162</v>
      </c>
      <c r="F1724" s="17">
        <v>1</v>
      </c>
      <c r="G1724" s="17">
        <v>2</v>
      </c>
      <c r="H1724" s="17" t="s">
        <v>3521</v>
      </c>
      <c r="I1724" s="17"/>
      <c r="J1724" s="17"/>
      <c r="K1724" s="17"/>
      <c r="L1724" s="17"/>
      <c r="M1724" s="17"/>
      <c r="N1724" s="17"/>
      <c r="O1724" s="17"/>
      <c r="P1724" s="17"/>
      <c r="Q1724" s="17"/>
    </row>
    <row r="1725" spans="1:17">
      <c r="A1725" s="556" t="s">
        <v>3602</v>
      </c>
      <c r="B1725" s="557"/>
      <c r="C1725" s="558" t="s">
        <v>2029</v>
      </c>
      <c r="D1725" s="556" t="s">
        <v>1693</v>
      </c>
      <c r="E1725" s="17" t="s">
        <v>5163</v>
      </c>
      <c r="F1725" s="17">
        <v>2</v>
      </c>
      <c r="G1725" s="17">
        <v>1</v>
      </c>
      <c r="H1725" s="17" t="s">
        <v>2991</v>
      </c>
      <c r="I1725" s="17"/>
      <c r="J1725" s="17"/>
      <c r="K1725" s="17"/>
      <c r="L1725" s="17"/>
      <c r="M1725" s="17"/>
      <c r="N1725" s="17"/>
      <c r="O1725" s="17"/>
      <c r="P1725" s="17"/>
      <c r="Q1725" s="17"/>
    </row>
    <row r="1726" spans="1:17">
      <c r="A1726" s="556" t="s">
        <v>3602</v>
      </c>
      <c r="B1726" s="557"/>
      <c r="C1726" s="558" t="s">
        <v>2029</v>
      </c>
      <c r="D1726" s="556" t="s">
        <v>1694</v>
      </c>
      <c r="E1726" s="17" t="s">
        <v>5164</v>
      </c>
      <c r="F1726" s="17">
        <v>2</v>
      </c>
      <c r="G1726" s="17">
        <v>2</v>
      </c>
      <c r="H1726" s="17" t="s">
        <v>2992</v>
      </c>
      <c r="I1726" s="17"/>
      <c r="J1726" s="17"/>
      <c r="K1726" s="17"/>
      <c r="L1726" s="17"/>
      <c r="M1726" s="17"/>
      <c r="N1726" s="17"/>
      <c r="O1726" s="17"/>
      <c r="P1726" s="17"/>
      <c r="Q1726" s="17"/>
    </row>
    <row r="1727" spans="1:17">
      <c r="A1727" s="556" t="s">
        <v>3602</v>
      </c>
      <c r="B1727" s="557"/>
      <c r="C1727" s="558" t="s">
        <v>2030</v>
      </c>
      <c r="D1727" s="556" t="s">
        <v>1693</v>
      </c>
      <c r="E1727" s="17" t="s">
        <v>5165</v>
      </c>
      <c r="F1727" s="17">
        <v>3</v>
      </c>
      <c r="G1727" s="17">
        <v>1</v>
      </c>
      <c r="H1727" s="17" t="s">
        <v>3341</v>
      </c>
      <c r="I1727" s="17"/>
      <c r="J1727" s="17"/>
      <c r="K1727" s="17"/>
      <c r="L1727" s="17"/>
      <c r="M1727" s="17"/>
      <c r="N1727" s="17"/>
      <c r="O1727" s="17"/>
      <c r="P1727" s="17"/>
      <c r="Q1727" s="17"/>
    </row>
    <row r="1728" spans="1:17">
      <c r="A1728" s="556" t="s">
        <v>3602</v>
      </c>
      <c r="B1728" s="557"/>
      <c r="C1728" s="558" t="s">
        <v>2030</v>
      </c>
      <c r="D1728" s="556" t="s">
        <v>1694</v>
      </c>
      <c r="E1728" s="17" t="s">
        <v>5166</v>
      </c>
      <c r="F1728" s="17">
        <v>3</v>
      </c>
      <c r="G1728" s="17">
        <v>2</v>
      </c>
      <c r="H1728" s="17" t="s">
        <v>3342</v>
      </c>
      <c r="I1728" s="17"/>
      <c r="J1728" s="17"/>
      <c r="K1728" s="17"/>
      <c r="L1728" s="17"/>
      <c r="M1728" s="17"/>
      <c r="N1728" s="17"/>
      <c r="O1728" s="17"/>
      <c r="P1728" s="17"/>
      <c r="Q1728" s="17"/>
    </row>
    <row r="1729" spans="1:17">
      <c r="A1729" s="556" t="s">
        <v>3604</v>
      </c>
      <c r="B1729" s="557"/>
      <c r="C1729" s="558" t="s">
        <v>1821</v>
      </c>
      <c r="D1729" s="556" t="s">
        <v>5167</v>
      </c>
      <c r="E1729" s="17" t="s">
        <v>5168</v>
      </c>
      <c r="F1729" s="17">
        <v>1</v>
      </c>
      <c r="G1729" s="17">
        <v>1</v>
      </c>
      <c r="H1729" s="17" t="s">
        <v>3366</v>
      </c>
      <c r="I1729" s="17"/>
      <c r="J1729" s="17"/>
      <c r="K1729" s="17"/>
      <c r="L1729" s="17"/>
      <c r="M1729" s="17"/>
      <c r="N1729" s="17"/>
      <c r="O1729" s="17"/>
      <c r="P1729" s="17"/>
      <c r="Q1729" s="17"/>
    </row>
    <row r="1730" spans="1:17">
      <c r="A1730" s="556" t="s">
        <v>3604</v>
      </c>
      <c r="B1730" s="557"/>
      <c r="C1730" s="558" t="s">
        <v>1821</v>
      </c>
      <c r="D1730" s="556" t="s">
        <v>5169</v>
      </c>
      <c r="E1730" s="17" t="s">
        <v>5170</v>
      </c>
      <c r="F1730" s="17">
        <v>1</v>
      </c>
      <c r="G1730" s="17">
        <v>2</v>
      </c>
      <c r="H1730" s="17" t="s">
        <v>3367</v>
      </c>
      <c r="I1730" s="17"/>
      <c r="J1730" s="17"/>
      <c r="K1730" s="17"/>
      <c r="L1730" s="17"/>
      <c r="M1730" s="17"/>
      <c r="N1730" s="17"/>
      <c r="O1730" s="17"/>
      <c r="P1730" s="17"/>
      <c r="Q1730" s="17"/>
    </row>
    <row r="1731" spans="1:17">
      <c r="A1731" s="556" t="s">
        <v>3604</v>
      </c>
      <c r="B1731" s="557"/>
      <c r="C1731" s="558" t="s">
        <v>1821</v>
      </c>
      <c r="D1731" s="556" t="s">
        <v>5171</v>
      </c>
      <c r="E1731" s="17" t="s">
        <v>5172</v>
      </c>
      <c r="F1731" s="17">
        <v>1</v>
      </c>
      <c r="G1731" s="17">
        <v>3</v>
      </c>
      <c r="H1731" s="17" t="s">
        <v>3368</v>
      </c>
      <c r="I1731" s="17"/>
      <c r="J1731" s="17"/>
      <c r="K1731" s="17"/>
      <c r="L1731" s="17"/>
      <c r="M1731" s="17"/>
      <c r="N1731" s="17"/>
      <c r="O1731" s="17"/>
      <c r="P1731" s="17"/>
      <c r="Q1731" s="17"/>
    </row>
    <row r="1732" spans="1:17">
      <c r="A1732" s="556" t="s">
        <v>3604</v>
      </c>
      <c r="B1732" s="557"/>
      <c r="C1732" s="558" t="s">
        <v>1821</v>
      </c>
      <c r="D1732" s="556" t="s">
        <v>5173</v>
      </c>
      <c r="E1732" s="17" t="s">
        <v>5174</v>
      </c>
      <c r="F1732" s="17">
        <v>1</v>
      </c>
      <c r="G1732" s="17">
        <v>4</v>
      </c>
      <c r="H1732" s="17" t="s">
        <v>3369</v>
      </c>
      <c r="I1732" s="17"/>
      <c r="J1732" s="17"/>
      <c r="K1732" s="17"/>
      <c r="L1732" s="17"/>
      <c r="M1732" s="17"/>
      <c r="N1732" s="17"/>
      <c r="O1732" s="17"/>
      <c r="P1732" s="17"/>
      <c r="Q1732" s="17"/>
    </row>
    <row r="1733" spans="1:17">
      <c r="A1733" s="556" t="s">
        <v>3604</v>
      </c>
      <c r="B1733" s="557"/>
      <c r="C1733" s="558" t="s">
        <v>1822</v>
      </c>
      <c r="D1733" s="556" t="s">
        <v>5167</v>
      </c>
      <c r="E1733" s="17" t="s">
        <v>5175</v>
      </c>
      <c r="F1733" s="17">
        <v>2</v>
      </c>
      <c r="G1733" s="17">
        <v>1</v>
      </c>
      <c r="H1733" s="17" t="s">
        <v>3370</v>
      </c>
      <c r="I1733" s="17"/>
      <c r="J1733" s="17"/>
      <c r="K1733" s="17"/>
      <c r="L1733" s="17"/>
      <c r="M1733" s="17"/>
      <c r="N1733" s="17"/>
      <c r="O1733" s="17"/>
      <c r="P1733" s="17"/>
      <c r="Q1733" s="17"/>
    </row>
    <row r="1734" spans="1:17">
      <c r="A1734" s="556" t="s">
        <v>3604</v>
      </c>
      <c r="B1734" s="557"/>
      <c r="C1734" s="558" t="s">
        <v>1822</v>
      </c>
      <c r="D1734" s="556" t="s">
        <v>5169</v>
      </c>
      <c r="E1734" s="17" t="s">
        <v>5176</v>
      </c>
      <c r="F1734" s="17">
        <v>2</v>
      </c>
      <c r="G1734" s="17">
        <v>2</v>
      </c>
      <c r="H1734" s="17" t="s">
        <v>3371</v>
      </c>
      <c r="I1734" s="17"/>
      <c r="J1734" s="17"/>
      <c r="K1734" s="17"/>
      <c r="L1734" s="17"/>
      <c r="M1734" s="17"/>
      <c r="N1734" s="17"/>
      <c r="O1734" s="17"/>
      <c r="P1734" s="17"/>
      <c r="Q1734" s="17"/>
    </row>
    <row r="1735" spans="1:17">
      <c r="A1735" s="556" t="s">
        <v>3604</v>
      </c>
      <c r="B1735" s="557"/>
      <c r="C1735" s="558" t="s">
        <v>1822</v>
      </c>
      <c r="D1735" s="556" t="s">
        <v>5171</v>
      </c>
      <c r="E1735" s="17" t="s">
        <v>5177</v>
      </c>
      <c r="F1735" s="17">
        <v>2</v>
      </c>
      <c r="G1735" s="17">
        <v>3</v>
      </c>
      <c r="H1735" s="17" t="s">
        <v>3372</v>
      </c>
      <c r="I1735" s="17"/>
      <c r="J1735" s="17"/>
      <c r="K1735" s="17"/>
      <c r="L1735" s="17"/>
      <c r="M1735" s="17"/>
      <c r="N1735" s="17"/>
      <c r="O1735" s="17"/>
      <c r="P1735" s="17"/>
      <c r="Q1735" s="17"/>
    </row>
    <row r="1736" spans="1:17">
      <c r="A1736" s="556" t="s">
        <v>3604</v>
      </c>
      <c r="B1736" s="557"/>
      <c r="C1736" s="558" t="s">
        <v>1822</v>
      </c>
      <c r="D1736" s="556" t="s">
        <v>5173</v>
      </c>
      <c r="E1736" s="17" t="s">
        <v>5178</v>
      </c>
      <c r="F1736" s="17">
        <v>2</v>
      </c>
      <c r="G1736" s="17">
        <v>4</v>
      </c>
      <c r="H1736" s="17" t="s">
        <v>3373</v>
      </c>
      <c r="I1736" s="17"/>
      <c r="J1736" s="17"/>
      <c r="K1736" s="17"/>
      <c r="L1736" s="17"/>
      <c r="M1736" s="17"/>
      <c r="N1736" s="17"/>
      <c r="O1736" s="17"/>
      <c r="P1736" s="17"/>
      <c r="Q1736" s="17"/>
    </row>
    <row r="1737" spans="1:17">
      <c r="A1737" s="556" t="s">
        <v>3604</v>
      </c>
      <c r="B1737" s="557"/>
      <c r="C1737" s="558" t="s">
        <v>1933</v>
      </c>
      <c r="D1737" s="556" t="s">
        <v>5167</v>
      </c>
      <c r="E1737" s="17" t="s">
        <v>5179</v>
      </c>
      <c r="F1737" s="17">
        <v>3</v>
      </c>
      <c r="G1737" s="17">
        <v>1</v>
      </c>
      <c r="H1737" s="17" t="s">
        <v>3374</v>
      </c>
      <c r="I1737" s="17"/>
      <c r="J1737" s="17"/>
      <c r="K1737" s="17"/>
      <c r="L1737" s="17"/>
      <c r="M1737" s="17"/>
      <c r="N1737" s="17"/>
      <c r="O1737" s="17"/>
      <c r="P1737" s="17"/>
      <c r="Q1737" s="17"/>
    </row>
    <row r="1738" spans="1:17">
      <c r="A1738" s="556" t="s">
        <v>3604</v>
      </c>
      <c r="B1738" s="557"/>
      <c r="C1738" s="558" t="s">
        <v>1933</v>
      </c>
      <c r="D1738" s="556" t="s">
        <v>5169</v>
      </c>
      <c r="E1738" s="17" t="s">
        <v>5180</v>
      </c>
      <c r="F1738" s="17">
        <v>3</v>
      </c>
      <c r="G1738" s="17">
        <v>2</v>
      </c>
      <c r="H1738" s="17" t="s">
        <v>3375</v>
      </c>
      <c r="I1738" s="17"/>
      <c r="J1738" s="17"/>
      <c r="K1738" s="17"/>
      <c r="L1738" s="17"/>
      <c r="M1738" s="17"/>
      <c r="N1738" s="17"/>
      <c r="O1738" s="17"/>
      <c r="P1738" s="17"/>
      <c r="Q1738" s="17"/>
    </row>
    <row r="1739" spans="1:17">
      <c r="A1739" s="556" t="s">
        <v>3604</v>
      </c>
      <c r="B1739" s="557"/>
      <c r="C1739" s="558" t="s">
        <v>1933</v>
      </c>
      <c r="D1739" s="556" t="s">
        <v>5171</v>
      </c>
      <c r="E1739" s="17" t="s">
        <v>5181</v>
      </c>
      <c r="F1739" s="17">
        <v>3</v>
      </c>
      <c r="G1739" s="17">
        <v>3</v>
      </c>
      <c r="H1739" s="17" t="s">
        <v>3376</v>
      </c>
      <c r="I1739" s="17"/>
      <c r="J1739" s="17"/>
      <c r="K1739" s="17"/>
      <c r="L1739" s="17"/>
      <c r="M1739" s="17"/>
      <c r="N1739" s="17"/>
      <c r="O1739" s="17"/>
      <c r="P1739" s="17"/>
      <c r="Q1739" s="17"/>
    </row>
    <row r="1740" spans="1:17">
      <c r="A1740" s="556" t="s">
        <v>3604</v>
      </c>
      <c r="B1740" s="557"/>
      <c r="C1740" s="558" t="s">
        <v>1933</v>
      </c>
      <c r="D1740" s="556" t="s">
        <v>5173</v>
      </c>
      <c r="E1740" s="17" t="s">
        <v>5182</v>
      </c>
      <c r="F1740" s="17">
        <v>3</v>
      </c>
      <c r="G1740" s="17">
        <v>4</v>
      </c>
      <c r="H1740" s="17" t="s">
        <v>3377</v>
      </c>
      <c r="I1740" s="17"/>
      <c r="J1740" s="17"/>
      <c r="K1740" s="17"/>
      <c r="L1740" s="17"/>
      <c r="M1740" s="17"/>
      <c r="N1740" s="17"/>
      <c r="O1740" s="17"/>
      <c r="P1740" s="17"/>
      <c r="Q1740" s="17"/>
    </row>
    <row r="1741" spans="1:17">
      <c r="A1741" s="556" t="s">
        <v>3604</v>
      </c>
      <c r="B1741" s="557"/>
      <c r="C1741" s="558" t="s">
        <v>2036</v>
      </c>
      <c r="D1741" s="556" t="s">
        <v>5167</v>
      </c>
      <c r="E1741" s="17" t="s">
        <v>5183</v>
      </c>
      <c r="F1741" s="17">
        <v>4</v>
      </c>
      <c r="G1741" s="17">
        <v>1</v>
      </c>
      <c r="H1741" s="17" t="s">
        <v>3378</v>
      </c>
      <c r="I1741" s="17">
        <v>0</v>
      </c>
      <c r="J1741" s="17"/>
      <c r="K1741" s="17"/>
      <c r="L1741" s="17"/>
      <c r="M1741" s="17"/>
      <c r="N1741" s="17"/>
      <c r="O1741" s="17"/>
      <c r="P1741" s="17"/>
      <c r="Q1741" s="17"/>
    </row>
    <row r="1742" spans="1:17">
      <c r="A1742" s="556" t="s">
        <v>3604</v>
      </c>
      <c r="B1742" s="557"/>
      <c r="C1742" s="558" t="s">
        <v>2036</v>
      </c>
      <c r="D1742" s="556" t="s">
        <v>5169</v>
      </c>
      <c r="E1742" s="17" t="s">
        <v>5184</v>
      </c>
      <c r="F1742" s="17">
        <v>4</v>
      </c>
      <c r="G1742" s="17">
        <v>2</v>
      </c>
      <c r="H1742" s="17" t="s">
        <v>3379</v>
      </c>
      <c r="I1742" s="17">
        <v>0</v>
      </c>
      <c r="J1742" s="17"/>
      <c r="K1742" s="17"/>
      <c r="L1742" s="17"/>
      <c r="M1742" s="17"/>
      <c r="N1742" s="17"/>
      <c r="O1742" s="17"/>
      <c r="P1742" s="17"/>
      <c r="Q1742" s="17"/>
    </row>
    <row r="1743" spans="1:17">
      <c r="A1743" s="556" t="s">
        <v>3604</v>
      </c>
      <c r="B1743" s="557"/>
      <c r="C1743" s="558" t="s">
        <v>2036</v>
      </c>
      <c r="D1743" s="556" t="s">
        <v>5171</v>
      </c>
      <c r="E1743" s="17" t="s">
        <v>5185</v>
      </c>
      <c r="F1743" s="17">
        <v>4</v>
      </c>
      <c r="G1743" s="17">
        <v>3</v>
      </c>
      <c r="H1743" s="17" t="s">
        <v>3380</v>
      </c>
      <c r="I1743" s="17">
        <v>0</v>
      </c>
      <c r="J1743" s="17"/>
      <c r="K1743" s="17"/>
      <c r="L1743" s="17"/>
      <c r="M1743" s="17"/>
      <c r="N1743" s="17"/>
      <c r="O1743" s="17"/>
      <c r="P1743" s="17"/>
      <c r="Q1743" s="17"/>
    </row>
    <row r="1744" spans="1:17">
      <c r="A1744" s="556" t="s">
        <v>3604</v>
      </c>
      <c r="B1744" s="557"/>
      <c r="C1744" s="558" t="s">
        <v>2036</v>
      </c>
      <c r="D1744" s="556" t="s">
        <v>5173</v>
      </c>
      <c r="E1744" s="17" t="s">
        <v>5186</v>
      </c>
      <c r="F1744" s="17">
        <v>4</v>
      </c>
      <c r="G1744" s="17">
        <v>4</v>
      </c>
      <c r="H1744" s="17" t="s">
        <v>3381</v>
      </c>
      <c r="I1744" s="17">
        <v>0</v>
      </c>
      <c r="J1744" s="17"/>
      <c r="K1744" s="17"/>
      <c r="L1744" s="17"/>
      <c r="M1744" s="17"/>
      <c r="N1744" s="17"/>
      <c r="O1744" s="17"/>
      <c r="P1744" s="17"/>
      <c r="Q1744" s="17"/>
    </row>
    <row r="1745" spans="1:17">
      <c r="A1745" s="556" t="s">
        <v>3606</v>
      </c>
      <c r="B1745" s="557"/>
      <c r="C1745" s="558" t="s">
        <v>2041</v>
      </c>
      <c r="D1745" s="556" t="s">
        <v>1693</v>
      </c>
      <c r="E1745" s="17" t="s">
        <v>5187</v>
      </c>
      <c r="F1745" s="17">
        <v>1</v>
      </c>
      <c r="G1745" s="17">
        <v>1</v>
      </c>
      <c r="H1745" s="17" t="s">
        <v>3701</v>
      </c>
      <c r="I1745" s="17">
        <v>0</v>
      </c>
      <c r="J1745" s="17"/>
      <c r="K1745" s="17"/>
      <c r="L1745" s="17"/>
      <c r="M1745" s="17"/>
      <c r="N1745" s="17"/>
      <c r="O1745" s="17"/>
      <c r="P1745" s="17"/>
      <c r="Q1745" s="17"/>
    </row>
    <row r="1746" spans="1:17">
      <c r="A1746" s="556" t="s">
        <v>3606</v>
      </c>
      <c r="B1746" s="557"/>
      <c r="C1746" s="558" t="s">
        <v>2041</v>
      </c>
      <c r="D1746" s="556" t="s">
        <v>1694</v>
      </c>
      <c r="E1746" s="17" t="s">
        <v>5188</v>
      </c>
      <c r="F1746" s="17">
        <v>1</v>
      </c>
      <c r="G1746" s="17">
        <v>2</v>
      </c>
      <c r="H1746" s="17" t="s">
        <v>3714</v>
      </c>
      <c r="I1746" s="17">
        <v>0</v>
      </c>
      <c r="J1746" s="17"/>
      <c r="K1746" s="17"/>
      <c r="L1746" s="17"/>
      <c r="M1746" s="17"/>
      <c r="N1746" s="17"/>
      <c r="O1746" s="17"/>
      <c r="P1746" s="17"/>
      <c r="Q1746" s="17"/>
    </row>
    <row r="1747" spans="1:17">
      <c r="A1747" s="556" t="s">
        <v>3606</v>
      </c>
      <c r="B1747" s="557"/>
      <c r="C1747" s="558" t="s">
        <v>2043</v>
      </c>
      <c r="D1747" s="556" t="s">
        <v>1693</v>
      </c>
      <c r="E1747" s="17" t="s">
        <v>5189</v>
      </c>
      <c r="F1747" s="17">
        <f>ROW('NOTE 16C'!A12)-ROW('NOTE 16C'!A9)+1</f>
        <v>4</v>
      </c>
      <c r="G1747" s="17">
        <v>1</v>
      </c>
      <c r="H1747" s="17" t="s">
        <v>3340</v>
      </c>
      <c r="I1747" s="17">
        <v>0</v>
      </c>
      <c r="J1747" s="17"/>
      <c r="K1747" s="17"/>
      <c r="L1747" s="17"/>
      <c r="M1747" s="17"/>
      <c r="N1747" s="17"/>
      <c r="O1747" s="17"/>
      <c r="P1747" s="17"/>
      <c r="Q1747" s="17"/>
    </row>
    <row r="1748" spans="1:17">
      <c r="A1748" s="556" t="s">
        <v>3606</v>
      </c>
      <c r="B1748" s="557"/>
      <c r="C1748" s="558" t="s">
        <v>2043</v>
      </c>
      <c r="D1748" s="556" t="s">
        <v>1694</v>
      </c>
      <c r="E1748" s="17" t="s">
        <v>5190</v>
      </c>
      <c r="F1748" s="17">
        <f>ROW('NOTE 16C'!A12)-ROW('NOTE 16C'!A9)+1</f>
        <v>4</v>
      </c>
      <c r="G1748" s="17">
        <v>2</v>
      </c>
      <c r="H1748" s="17" t="s">
        <v>3341</v>
      </c>
      <c r="I1748" s="17">
        <v>0</v>
      </c>
      <c r="J1748" s="17"/>
      <c r="K1748" s="17"/>
      <c r="L1748" s="17"/>
      <c r="M1748" s="17"/>
      <c r="N1748" s="17"/>
      <c r="O1748" s="17"/>
      <c r="P1748" s="17"/>
      <c r="Q1748" s="17"/>
    </row>
    <row r="1749" spans="1:17">
      <c r="A1749" s="556" t="s">
        <v>3612</v>
      </c>
      <c r="B1749" s="557"/>
      <c r="C1749" s="558" t="s">
        <v>2049</v>
      </c>
      <c r="D1749" s="556" t="s">
        <v>1693</v>
      </c>
      <c r="E1749" s="17" t="s">
        <v>5191</v>
      </c>
      <c r="F1749" s="17">
        <v>1</v>
      </c>
      <c r="G1749" s="17">
        <v>1</v>
      </c>
      <c r="H1749" s="17" t="s">
        <v>3692</v>
      </c>
      <c r="I1749" s="17"/>
      <c r="J1749" s="17"/>
      <c r="K1749" s="17"/>
      <c r="L1749" s="17"/>
      <c r="M1749" s="17"/>
      <c r="N1749" s="17"/>
      <c r="O1749" s="17"/>
      <c r="P1749" s="17"/>
      <c r="Q1749" s="17"/>
    </row>
    <row r="1750" spans="1:17">
      <c r="A1750" s="556" t="s">
        <v>3612</v>
      </c>
      <c r="B1750" s="557"/>
      <c r="C1750" s="558" t="s">
        <v>2049</v>
      </c>
      <c r="D1750" s="556" t="s">
        <v>1694</v>
      </c>
      <c r="E1750" s="17" t="s">
        <v>5192</v>
      </c>
      <c r="F1750" s="17">
        <v>1</v>
      </c>
      <c r="G1750" s="17">
        <v>2</v>
      </c>
      <c r="H1750" s="17" t="s">
        <v>3701</v>
      </c>
      <c r="I1750" s="17"/>
      <c r="J1750" s="17"/>
      <c r="K1750" s="17"/>
      <c r="L1750" s="17"/>
      <c r="M1750" s="17"/>
      <c r="N1750" s="17"/>
      <c r="O1750" s="17"/>
      <c r="P1750" s="17"/>
      <c r="Q1750" s="17"/>
    </row>
    <row r="1751" spans="1:17">
      <c r="A1751" s="556" t="s">
        <v>3612</v>
      </c>
      <c r="B1751" s="557"/>
      <c r="C1751" s="558" t="s">
        <v>2049</v>
      </c>
      <c r="D1751" s="556" t="s">
        <v>4324</v>
      </c>
      <c r="E1751" s="17" t="s">
        <v>5193</v>
      </c>
      <c r="F1751" s="17">
        <v>1</v>
      </c>
      <c r="G1751" s="17">
        <v>3</v>
      </c>
      <c r="H1751" s="17" t="s">
        <v>3714</v>
      </c>
      <c r="I1751" s="17"/>
      <c r="J1751" s="17"/>
      <c r="K1751" s="17"/>
      <c r="L1751" s="17"/>
      <c r="M1751" s="17"/>
      <c r="N1751" s="17"/>
      <c r="O1751" s="17"/>
      <c r="P1751" s="17"/>
      <c r="Q1751" s="17"/>
    </row>
    <row r="1752" spans="1:17">
      <c r="A1752" s="556" t="s">
        <v>3612</v>
      </c>
      <c r="B1752" s="557"/>
      <c r="C1752" s="558" t="s">
        <v>2049</v>
      </c>
      <c r="D1752" s="556" t="s">
        <v>4944</v>
      </c>
      <c r="E1752" s="17" t="s">
        <v>5194</v>
      </c>
      <c r="F1752" s="17">
        <v>1</v>
      </c>
      <c r="G1752" s="17">
        <v>4</v>
      </c>
      <c r="H1752" s="17" t="s">
        <v>3720</v>
      </c>
      <c r="I1752" s="17"/>
      <c r="J1752" s="17"/>
      <c r="K1752" s="17"/>
      <c r="L1752" s="17"/>
      <c r="M1752" s="17"/>
      <c r="N1752" s="17"/>
      <c r="O1752" s="17"/>
      <c r="P1752" s="17"/>
      <c r="Q1752" s="17"/>
    </row>
    <row r="1753" spans="1:17">
      <c r="A1753" s="556" t="s">
        <v>3612</v>
      </c>
      <c r="B1753" s="557"/>
      <c r="C1753" s="558" t="s">
        <v>2049</v>
      </c>
      <c r="D1753" s="556" t="s">
        <v>9328</v>
      </c>
      <c r="E1753" s="17" t="s">
        <v>5195</v>
      </c>
      <c r="F1753" s="17">
        <v>1</v>
      </c>
      <c r="G1753" s="17">
        <v>5</v>
      </c>
      <c r="H1753" s="17" t="s">
        <v>3721</v>
      </c>
      <c r="I1753" s="17"/>
      <c r="J1753" s="17"/>
      <c r="K1753" s="17"/>
      <c r="L1753" s="17"/>
      <c r="M1753" s="17"/>
      <c r="N1753" s="17"/>
      <c r="O1753" s="17"/>
      <c r="P1753" s="17"/>
      <c r="Q1753" s="17"/>
    </row>
    <row r="1754" spans="1:17">
      <c r="A1754" s="556" t="s">
        <v>3612</v>
      </c>
      <c r="B1754" s="557"/>
      <c r="C1754" s="558" t="s">
        <v>2049</v>
      </c>
      <c r="D1754" s="556" t="s">
        <v>9329</v>
      </c>
      <c r="E1754" s="17" t="s">
        <v>5196</v>
      </c>
      <c r="F1754" s="17">
        <v>1</v>
      </c>
      <c r="G1754" s="17">
        <v>6</v>
      </c>
      <c r="H1754" s="17" t="s">
        <v>7813</v>
      </c>
      <c r="I1754" s="17"/>
      <c r="J1754" s="17"/>
      <c r="K1754" s="17"/>
      <c r="L1754" s="17"/>
      <c r="M1754" s="17"/>
      <c r="N1754" s="17"/>
      <c r="O1754" s="17"/>
      <c r="P1754" s="17"/>
      <c r="Q1754" s="17"/>
    </row>
    <row r="1755" spans="1:17">
      <c r="A1755" s="556" t="s">
        <v>3612</v>
      </c>
      <c r="B1755" s="557"/>
      <c r="C1755" s="558" t="s">
        <v>2050</v>
      </c>
      <c r="D1755" s="556" t="s">
        <v>1693</v>
      </c>
      <c r="E1755" s="17" t="s">
        <v>5197</v>
      </c>
      <c r="F1755" s="17">
        <v>2</v>
      </c>
      <c r="G1755" s="17">
        <v>1</v>
      </c>
      <c r="H1755" s="17" t="s">
        <v>3518</v>
      </c>
      <c r="I1755" s="17"/>
      <c r="J1755" s="17"/>
      <c r="K1755" s="17"/>
      <c r="L1755" s="17"/>
      <c r="M1755" s="17"/>
      <c r="N1755" s="17"/>
      <c r="O1755" s="17"/>
      <c r="P1755" s="17"/>
      <c r="Q1755" s="17"/>
    </row>
    <row r="1756" spans="1:17">
      <c r="A1756" s="556" t="s">
        <v>3612</v>
      </c>
      <c r="B1756" s="557"/>
      <c r="C1756" s="558" t="s">
        <v>2050</v>
      </c>
      <c r="D1756" s="556" t="s">
        <v>1694</v>
      </c>
      <c r="E1756" s="17" t="s">
        <v>5198</v>
      </c>
      <c r="F1756" s="17">
        <v>2</v>
      </c>
      <c r="G1756" s="17">
        <v>2</v>
      </c>
      <c r="H1756" s="17" t="s">
        <v>3519</v>
      </c>
      <c r="I1756" s="17"/>
      <c r="J1756" s="17"/>
      <c r="K1756" s="17"/>
      <c r="L1756" s="17"/>
      <c r="M1756" s="17"/>
      <c r="N1756" s="17"/>
      <c r="O1756" s="17"/>
      <c r="P1756" s="17"/>
      <c r="Q1756" s="17"/>
    </row>
    <row r="1757" spans="1:17">
      <c r="A1757" s="556" t="s">
        <v>3612</v>
      </c>
      <c r="B1757" s="557"/>
      <c r="C1757" s="558" t="s">
        <v>2050</v>
      </c>
      <c r="D1757" s="556" t="s">
        <v>4324</v>
      </c>
      <c r="E1757" s="17" t="s">
        <v>5199</v>
      </c>
      <c r="F1757" s="17">
        <v>2</v>
      </c>
      <c r="G1757" s="17">
        <v>3</v>
      </c>
      <c r="H1757" s="17" t="s">
        <v>3520</v>
      </c>
      <c r="I1757" s="17"/>
      <c r="J1757" s="17"/>
      <c r="K1757" s="17"/>
      <c r="L1757" s="17"/>
      <c r="M1757" s="17"/>
      <c r="N1757" s="17"/>
      <c r="O1757" s="17"/>
      <c r="P1757" s="17"/>
      <c r="Q1757" s="17"/>
    </row>
    <row r="1758" spans="1:17">
      <c r="A1758" s="556" t="s">
        <v>3612</v>
      </c>
      <c r="B1758" s="557"/>
      <c r="C1758" s="558" t="s">
        <v>2050</v>
      </c>
      <c r="D1758" s="556" t="s">
        <v>4944</v>
      </c>
      <c r="E1758" s="17" t="s">
        <v>5200</v>
      </c>
      <c r="F1758" s="17">
        <v>2</v>
      </c>
      <c r="G1758" s="17">
        <v>4</v>
      </c>
      <c r="H1758" s="17" t="s">
        <v>3521</v>
      </c>
      <c r="I1758" s="17"/>
      <c r="J1758" s="17"/>
      <c r="K1758" s="17"/>
      <c r="L1758" s="17"/>
      <c r="M1758" s="17"/>
      <c r="N1758" s="17"/>
      <c r="O1758" s="17"/>
      <c r="P1758" s="17"/>
      <c r="Q1758" s="17"/>
    </row>
    <row r="1759" spans="1:17">
      <c r="A1759" s="556" t="s">
        <v>3612</v>
      </c>
      <c r="B1759" s="557"/>
      <c r="C1759" s="558" t="s">
        <v>2050</v>
      </c>
      <c r="D1759" s="556" t="s">
        <v>9328</v>
      </c>
      <c r="E1759" s="17" t="s">
        <v>5201</v>
      </c>
      <c r="F1759" s="17">
        <v>2</v>
      </c>
      <c r="G1759" s="17">
        <v>5</v>
      </c>
      <c r="H1759" s="17" t="s">
        <v>3505</v>
      </c>
      <c r="I1759" s="17"/>
      <c r="J1759" s="17"/>
      <c r="K1759" s="17"/>
      <c r="L1759" s="17"/>
      <c r="M1759" s="17"/>
      <c r="N1759" s="17"/>
      <c r="O1759" s="17"/>
      <c r="P1759" s="17"/>
      <c r="Q1759" s="17"/>
    </row>
    <row r="1760" spans="1:17">
      <c r="A1760" s="556" t="s">
        <v>3612</v>
      </c>
      <c r="B1760" s="557"/>
      <c r="C1760" s="558" t="s">
        <v>2050</v>
      </c>
      <c r="D1760" s="556" t="s">
        <v>9329</v>
      </c>
      <c r="E1760" s="17" t="s">
        <v>5202</v>
      </c>
      <c r="F1760" s="17">
        <v>2</v>
      </c>
      <c r="G1760" s="17">
        <v>6</v>
      </c>
      <c r="H1760" s="17" t="s">
        <v>3522</v>
      </c>
      <c r="I1760" s="17"/>
      <c r="J1760" s="17"/>
      <c r="K1760" s="17"/>
      <c r="L1760" s="17"/>
      <c r="M1760" s="17"/>
      <c r="N1760" s="17"/>
      <c r="O1760" s="17"/>
      <c r="P1760" s="17"/>
      <c r="Q1760" s="17"/>
    </row>
    <row r="1761" spans="1:17">
      <c r="A1761" s="556" t="s">
        <v>3612</v>
      </c>
      <c r="B1761" s="557"/>
      <c r="C1761" s="558" t="s">
        <v>2051</v>
      </c>
      <c r="D1761" s="556" t="s">
        <v>1693</v>
      </c>
      <c r="E1761" s="17" t="s">
        <v>5203</v>
      </c>
      <c r="F1761" s="17">
        <v>3</v>
      </c>
      <c r="G1761" s="17">
        <v>1</v>
      </c>
      <c r="H1761" s="17" t="s">
        <v>2990</v>
      </c>
      <c r="I1761" s="17"/>
      <c r="J1761" s="17"/>
      <c r="K1761" s="17"/>
      <c r="L1761" s="17"/>
      <c r="M1761" s="17"/>
      <c r="N1761" s="17"/>
      <c r="O1761" s="17"/>
      <c r="P1761" s="17"/>
      <c r="Q1761" s="17"/>
    </row>
    <row r="1762" spans="1:17">
      <c r="A1762" s="556" t="s">
        <v>3612</v>
      </c>
      <c r="B1762" s="557"/>
      <c r="C1762" s="558" t="s">
        <v>2051</v>
      </c>
      <c r="D1762" s="556" t="s">
        <v>1694</v>
      </c>
      <c r="E1762" s="17" t="s">
        <v>5204</v>
      </c>
      <c r="F1762" s="17">
        <v>3</v>
      </c>
      <c r="G1762" s="17">
        <v>2</v>
      </c>
      <c r="H1762" s="17" t="s">
        <v>3338</v>
      </c>
      <c r="I1762" s="17"/>
      <c r="J1762" s="17"/>
      <c r="K1762" s="17"/>
      <c r="L1762" s="17"/>
      <c r="M1762" s="17"/>
      <c r="N1762" s="17"/>
      <c r="O1762" s="17"/>
      <c r="P1762" s="17"/>
      <c r="Q1762" s="17"/>
    </row>
    <row r="1763" spans="1:17">
      <c r="A1763" s="556" t="s">
        <v>3612</v>
      </c>
      <c r="B1763" s="557"/>
      <c r="C1763" s="558" t="s">
        <v>2051</v>
      </c>
      <c r="D1763" s="556" t="s">
        <v>4324</v>
      </c>
      <c r="E1763" s="17" t="s">
        <v>5205</v>
      </c>
      <c r="F1763" s="17">
        <v>3</v>
      </c>
      <c r="G1763" s="17">
        <v>3</v>
      </c>
      <c r="H1763" s="17" t="s">
        <v>2991</v>
      </c>
      <c r="I1763" s="17"/>
      <c r="J1763" s="17"/>
      <c r="K1763" s="17"/>
      <c r="L1763" s="17"/>
      <c r="M1763" s="17"/>
      <c r="N1763" s="17"/>
      <c r="O1763" s="17"/>
      <c r="P1763" s="17"/>
      <c r="Q1763" s="17"/>
    </row>
    <row r="1764" spans="1:17">
      <c r="A1764" s="556" t="s">
        <v>3612</v>
      </c>
      <c r="B1764" s="557"/>
      <c r="C1764" s="558" t="s">
        <v>2051</v>
      </c>
      <c r="D1764" s="556" t="s">
        <v>4944</v>
      </c>
      <c r="E1764" s="17" t="s">
        <v>5206</v>
      </c>
      <c r="F1764" s="17">
        <v>3</v>
      </c>
      <c r="G1764" s="17">
        <v>4</v>
      </c>
      <c r="H1764" s="17" t="s">
        <v>2992</v>
      </c>
      <c r="I1764" s="17"/>
      <c r="J1764" s="17"/>
      <c r="K1764" s="17"/>
      <c r="L1764" s="17"/>
      <c r="M1764" s="17"/>
      <c r="N1764" s="17"/>
      <c r="O1764" s="17"/>
      <c r="P1764" s="17"/>
      <c r="Q1764" s="17"/>
    </row>
    <row r="1765" spans="1:17">
      <c r="A1765" s="556" t="s">
        <v>3612</v>
      </c>
      <c r="B1765" s="557"/>
      <c r="C1765" s="558" t="s">
        <v>2051</v>
      </c>
      <c r="D1765" s="556" t="s">
        <v>9328</v>
      </c>
      <c r="E1765" s="17" t="s">
        <v>5207</v>
      </c>
      <c r="F1765" s="17">
        <v>3</v>
      </c>
      <c r="G1765" s="17">
        <v>5</v>
      </c>
      <c r="H1765" s="17" t="s">
        <v>3450</v>
      </c>
      <c r="I1765" s="17"/>
      <c r="J1765" s="17"/>
      <c r="K1765" s="17"/>
      <c r="L1765" s="17"/>
      <c r="M1765" s="17"/>
      <c r="N1765" s="17"/>
      <c r="O1765" s="17"/>
      <c r="P1765" s="17"/>
      <c r="Q1765" s="17"/>
    </row>
    <row r="1766" spans="1:17">
      <c r="A1766" s="556" t="s">
        <v>3612</v>
      </c>
      <c r="B1766" s="557"/>
      <c r="C1766" s="558" t="s">
        <v>2051</v>
      </c>
      <c r="D1766" s="556" t="s">
        <v>9329</v>
      </c>
      <c r="E1766" s="17" t="s">
        <v>5208</v>
      </c>
      <c r="F1766" s="17">
        <v>3</v>
      </c>
      <c r="G1766" s="17">
        <v>6</v>
      </c>
      <c r="H1766" s="17" t="s">
        <v>7803</v>
      </c>
      <c r="I1766" s="17"/>
      <c r="J1766" s="17"/>
      <c r="K1766" s="17"/>
      <c r="L1766" s="17"/>
      <c r="M1766" s="17"/>
      <c r="N1766" s="17"/>
      <c r="O1766" s="17"/>
      <c r="P1766" s="17"/>
      <c r="Q1766" s="17"/>
    </row>
    <row r="1767" spans="1:17">
      <c r="A1767" s="556" t="s">
        <v>3612</v>
      </c>
      <c r="B1767" s="557"/>
      <c r="C1767" s="558" t="s">
        <v>2052</v>
      </c>
      <c r="D1767" s="556" t="s">
        <v>1693</v>
      </c>
      <c r="E1767" s="17" t="s">
        <v>5209</v>
      </c>
      <c r="F1767" s="17">
        <v>4</v>
      </c>
      <c r="G1767" s="17">
        <v>1</v>
      </c>
      <c r="H1767" s="17" t="s">
        <v>3339</v>
      </c>
      <c r="I1767" s="17"/>
      <c r="J1767" s="17"/>
      <c r="K1767" s="17"/>
      <c r="L1767" s="17"/>
      <c r="M1767" s="17"/>
      <c r="N1767" s="17"/>
      <c r="O1767" s="17"/>
      <c r="P1767" s="17"/>
      <c r="Q1767" s="17"/>
    </row>
    <row r="1768" spans="1:17">
      <c r="A1768" s="556" t="s">
        <v>3612</v>
      </c>
      <c r="B1768" s="557"/>
      <c r="C1768" s="558" t="s">
        <v>2052</v>
      </c>
      <c r="D1768" s="556" t="s">
        <v>1694</v>
      </c>
      <c r="E1768" s="17" t="s">
        <v>5210</v>
      </c>
      <c r="F1768" s="17">
        <v>4</v>
      </c>
      <c r="G1768" s="17">
        <v>2</v>
      </c>
      <c r="H1768" s="17" t="s">
        <v>3340</v>
      </c>
      <c r="I1768" s="17"/>
      <c r="J1768" s="17"/>
      <c r="K1768" s="17"/>
      <c r="L1768" s="17"/>
      <c r="M1768" s="17"/>
      <c r="N1768" s="17"/>
      <c r="O1768" s="17"/>
      <c r="P1768" s="17"/>
      <c r="Q1768" s="17"/>
    </row>
    <row r="1769" spans="1:17">
      <c r="A1769" s="556" t="s">
        <v>3612</v>
      </c>
      <c r="B1769" s="557"/>
      <c r="C1769" s="558" t="s">
        <v>2052</v>
      </c>
      <c r="D1769" s="556" t="s">
        <v>4324</v>
      </c>
      <c r="E1769" s="17" t="s">
        <v>5211</v>
      </c>
      <c r="F1769" s="17">
        <v>4</v>
      </c>
      <c r="G1769" s="17">
        <v>3</v>
      </c>
      <c r="H1769" s="17" t="s">
        <v>3341</v>
      </c>
      <c r="I1769" s="17"/>
      <c r="J1769" s="17"/>
      <c r="K1769" s="17"/>
      <c r="L1769" s="17"/>
      <c r="M1769" s="17"/>
      <c r="N1769" s="17"/>
      <c r="O1769" s="17"/>
      <c r="P1769" s="17"/>
      <c r="Q1769" s="17"/>
    </row>
    <row r="1770" spans="1:17">
      <c r="A1770" s="556" t="s">
        <v>3612</v>
      </c>
      <c r="B1770" s="557"/>
      <c r="C1770" s="558" t="s">
        <v>2052</v>
      </c>
      <c r="D1770" s="556" t="s">
        <v>4944</v>
      </c>
      <c r="E1770" s="17" t="s">
        <v>5212</v>
      </c>
      <c r="F1770" s="17">
        <v>4</v>
      </c>
      <c r="G1770" s="17">
        <v>4</v>
      </c>
      <c r="H1770" s="17" t="s">
        <v>3342</v>
      </c>
      <c r="I1770" s="17"/>
      <c r="J1770" s="17"/>
      <c r="K1770" s="17"/>
      <c r="L1770" s="17"/>
      <c r="M1770" s="17"/>
      <c r="N1770" s="17"/>
      <c r="O1770" s="17"/>
      <c r="P1770" s="17"/>
      <c r="Q1770" s="17"/>
    </row>
    <row r="1771" spans="1:17">
      <c r="A1771" s="556" t="s">
        <v>3612</v>
      </c>
      <c r="B1771" s="557"/>
      <c r="C1771" s="558" t="s">
        <v>2052</v>
      </c>
      <c r="D1771" s="556" t="s">
        <v>9328</v>
      </c>
      <c r="E1771" s="17" t="s">
        <v>5213</v>
      </c>
      <c r="F1771" s="17">
        <v>4</v>
      </c>
      <c r="G1771" s="17">
        <v>5</v>
      </c>
      <c r="H1771" s="17" t="s">
        <v>3451</v>
      </c>
      <c r="I1771" s="17"/>
      <c r="J1771" s="17"/>
      <c r="K1771" s="17"/>
      <c r="L1771" s="17"/>
      <c r="M1771" s="17"/>
      <c r="N1771" s="17"/>
      <c r="O1771" s="17"/>
      <c r="P1771" s="17"/>
      <c r="Q1771" s="17"/>
    </row>
    <row r="1772" spans="1:17">
      <c r="A1772" s="556" t="s">
        <v>3612</v>
      </c>
      <c r="B1772" s="557"/>
      <c r="C1772" s="558" t="s">
        <v>2052</v>
      </c>
      <c r="D1772" s="556" t="s">
        <v>9329</v>
      </c>
      <c r="E1772" s="17" t="s">
        <v>5214</v>
      </c>
      <c r="F1772" s="17">
        <v>4</v>
      </c>
      <c r="G1772" s="17">
        <v>6</v>
      </c>
      <c r="H1772" s="17" t="s">
        <v>7804</v>
      </c>
      <c r="I1772" s="17"/>
      <c r="J1772" s="17"/>
      <c r="K1772" s="17"/>
      <c r="L1772" s="17"/>
      <c r="M1772" s="17"/>
      <c r="N1772" s="17"/>
      <c r="O1772" s="17"/>
      <c r="P1772" s="17"/>
      <c r="Q1772" s="17"/>
    </row>
    <row r="1773" spans="1:17">
      <c r="A1773" s="556" t="s">
        <v>3612</v>
      </c>
      <c r="B1773" s="557"/>
      <c r="C1773" s="558" t="s">
        <v>2053</v>
      </c>
      <c r="D1773" s="556" t="s">
        <v>1693</v>
      </c>
      <c r="E1773" s="17" t="s">
        <v>5215</v>
      </c>
      <c r="F1773" s="17">
        <v>5</v>
      </c>
      <c r="G1773" s="17">
        <v>1</v>
      </c>
      <c r="H1773" s="17" t="s">
        <v>3343</v>
      </c>
      <c r="I1773" s="17"/>
      <c r="J1773" s="17"/>
      <c r="K1773" s="17"/>
      <c r="L1773" s="17"/>
      <c r="M1773" s="17"/>
      <c r="N1773" s="17"/>
      <c r="O1773" s="17"/>
      <c r="P1773" s="17"/>
      <c r="Q1773" s="17"/>
    </row>
    <row r="1774" spans="1:17">
      <c r="A1774" s="556" t="s">
        <v>3612</v>
      </c>
      <c r="B1774" s="557"/>
      <c r="C1774" s="558" t="s">
        <v>2053</v>
      </c>
      <c r="D1774" s="556" t="s">
        <v>1694</v>
      </c>
      <c r="E1774" s="17" t="s">
        <v>5216</v>
      </c>
      <c r="F1774" s="17">
        <v>5</v>
      </c>
      <c r="G1774" s="17">
        <v>2</v>
      </c>
      <c r="H1774" s="17" t="s">
        <v>3344</v>
      </c>
      <c r="I1774" s="17"/>
      <c r="J1774" s="17"/>
      <c r="K1774" s="17"/>
      <c r="L1774" s="17"/>
      <c r="M1774" s="17"/>
      <c r="N1774" s="17"/>
      <c r="O1774" s="17"/>
      <c r="P1774" s="17"/>
      <c r="Q1774" s="17"/>
    </row>
    <row r="1775" spans="1:17">
      <c r="A1775" s="556" t="s">
        <v>3612</v>
      </c>
      <c r="B1775" s="557"/>
      <c r="C1775" s="558" t="s">
        <v>2053</v>
      </c>
      <c r="D1775" s="556" t="s">
        <v>4324</v>
      </c>
      <c r="E1775" s="17" t="s">
        <v>5217</v>
      </c>
      <c r="F1775" s="17">
        <v>5</v>
      </c>
      <c r="G1775" s="17">
        <v>3</v>
      </c>
      <c r="H1775" s="17" t="s">
        <v>3345</v>
      </c>
      <c r="I1775" s="17"/>
      <c r="J1775" s="17"/>
      <c r="K1775" s="17"/>
      <c r="L1775" s="17"/>
      <c r="M1775" s="17"/>
      <c r="N1775" s="17"/>
      <c r="O1775" s="17"/>
      <c r="P1775" s="17"/>
      <c r="Q1775" s="17"/>
    </row>
    <row r="1776" spans="1:17">
      <c r="A1776" s="556" t="s">
        <v>3612</v>
      </c>
      <c r="B1776" s="557"/>
      <c r="C1776" s="558" t="s">
        <v>2053</v>
      </c>
      <c r="D1776" s="556" t="s">
        <v>4944</v>
      </c>
      <c r="E1776" s="17" t="s">
        <v>5218</v>
      </c>
      <c r="F1776" s="17">
        <v>5</v>
      </c>
      <c r="G1776" s="17">
        <v>4</v>
      </c>
      <c r="H1776" s="17" t="s">
        <v>3346</v>
      </c>
      <c r="I1776" s="17"/>
      <c r="J1776" s="17"/>
      <c r="K1776" s="17"/>
      <c r="L1776" s="17"/>
      <c r="M1776" s="17"/>
      <c r="N1776" s="17"/>
      <c r="O1776" s="17"/>
      <c r="P1776" s="17"/>
      <c r="Q1776" s="17"/>
    </row>
    <row r="1777" spans="1:17">
      <c r="A1777" s="556" t="s">
        <v>3612</v>
      </c>
      <c r="B1777" s="557"/>
      <c r="C1777" s="558" t="s">
        <v>2053</v>
      </c>
      <c r="D1777" s="556" t="s">
        <v>9328</v>
      </c>
      <c r="E1777" s="17" t="s">
        <v>5219</v>
      </c>
      <c r="F1777" s="17">
        <v>5</v>
      </c>
      <c r="G1777" s="17">
        <v>5</v>
      </c>
      <c r="H1777" s="17" t="s">
        <v>3452</v>
      </c>
      <c r="I1777" s="17"/>
      <c r="J1777" s="17"/>
      <c r="K1777" s="17"/>
      <c r="L1777" s="17"/>
      <c r="M1777" s="17"/>
      <c r="N1777" s="17"/>
      <c r="O1777" s="17"/>
      <c r="P1777" s="17"/>
      <c r="Q1777" s="17"/>
    </row>
    <row r="1778" spans="1:17">
      <c r="A1778" s="556" t="s">
        <v>3612</v>
      </c>
      <c r="B1778" s="557"/>
      <c r="C1778" s="558" t="s">
        <v>2053</v>
      </c>
      <c r="D1778" s="556" t="s">
        <v>9329</v>
      </c>
      <c r="E1778" s="17" t="s">
        <v>5220</v>
      </c>
      <c r="F1778" s="17">
        <v>5</v>
      </c>
      <c r="G1778" s="17">
        <v>6</v>
      </c>
      <c r="H1778" s="17" t="s">
        <v>7805</v>
      </c>
      <c r="I1778" s="17"/>
      <c r="J1778" s="17"/>
      <c r="K1778" s="17"/>
      <c r="L1778" s="17"/>
      <c r="M1778" s="17"/>
      <c r="N1778" s="17"/>
      <c r="O1778" s="17"/>
      <c r="P1778" s="17"/>
      <c r="Q1778" s="17"/>
    </row>
    <row r="1779" spans="1:17">
      <c r="A1779" s="556" t="s">
        <v>3612</v>
      </c>
      <c r="B1779" s="557"/>
      <c r="C1779" s="558" t="s">
        <v>2054</v>
      </c>
      <c r="D1779" s="556" t="s">
        <v>1693</v>
      </c>
      <c r="E1779" s="17" t="s">
        <v>5221</v>
      </c>
      <c r="F1779" s="17">
        <v>6</v>
      </c>
      <c r="G1779" s="17">
        <v>1</v>
      </c>
      <c r="H1779" s="17" t="s">
        <v>3347</v>
      </c>
      <c r="I1779" s="17"/>
      <c r="J1779" s="17"/>
      <c r="K1779" s="17"/>
      <c r="L1779" s="17"/>
      <c r="M1779" s="17"/>
      <c r="N1779" s="17"/>
      <c r="O1779" s="17"/>
      <c r="P1779" s="17"/>
      <c r="Q1779" s="17"/>
    </row>
    <row r="1780" spans="1:17">
      <c r="A1780" s="556" t="s">
        <v>3612</v>
      </c>
      <c r="B1780" s="557"/>
      <c r="C1780" s="558" t="s">
        <v>2054</v>
      </c>
      <c r="D1780" s="556" t="s">
        <v>1694</v>
      </c>
      <c r="E1780" s="17" t="s">
        <v>5222</v>
      </c>
      <c r="F1780" s="17">
        <v>6</v>
      </c>
      <c r="G1780" s="17">
        <v>2</v>
      </c>
      <c r="H1780" s="17" t="s">
        <v>3348</v>
      </c>
      <c r="I1780" s="17"/>
      <c r="J1780" s="17"/>
      <c r="K1780" s="17"/>
      <c r="L1780" s="17"/>
      <c r="M1780" s="17"/>
      <c r="N1780" s="17"/>
      <c r="O1780" s="17"/>
      <c r="P1780" s="17"/>
      <c r="Q1780" s="17"/>
    </row>
    <row r="1781" spans="1:17">
      <c r="A1781" s="556" t="s">
        <v>3612</v>
      </c>
      <c r="B1781" s="557"/>
      <c r="C1781" s="558" t="s">
        <v>2054</v>
      </c>
      <c r="D1781" s="556" t="s">
        <v>4324</v>
      </c>
      <c r="E1781" s="17" t="s">
        <v>5223</v>
      </c>
      <c r="F1781" s="17">
        <v>6</v>
      </c>
      <c r="G1781" s="17">
        <v>3</v>
      </c>
      <c r="H1781" s="17" t="s">
        <v>3349</v>
      </c>
      <c r="I1781" s="17"/>
      <c r="J1781" s="17"/>
      <c r="K1781" s="17"/>
      <c r="L1781" s="17"/>
      <c r="M1781" s="17"/>
      <c r="N1781" s="17"/>
      <c r="O1781" s="17"/>
      <c r="P1781" s="17"/>
      <c r="Q1781" s="17"/>
    </row>
    <row r="1782" spans="1:17">
      <c r="A1782" s="556" t="s">
        <v>3612</v>
      </c>
      <c r="B1782" s="557"/>
      <c r="C1782" s="558" t="s">
        <v>2054</v>
      </c>
      <c r="D1782" s="556" t="s">
        <v>4944</v>
      </c>
      <c r="E1782" s="17" t="s">
        <v>5224</v>
      </c>
      <c r="F1782" s="17">
        <v>6</v>
      </c>
      <c r="G1782" s="17">
        <v>4</v>
      </c>
      <c r="H1782" s="17" t="s">
        <v>3350</v>
      </c>
      <c r="I1782" s="17"/>
      <c r="J1782" s="17"/>
      <c r="K1782" s="17"/>
      <c r="L1782" s="17"/>
      <c r="M1782" s="17"/>
      <c r="N1782" s="17"/>
      <c r="O1782" s="17"/>
      <c r="P1782" s="17"/>
      <c r="Q1782" s="17"/>
    </row>
    <row r="1783" spans="1:17">
      <c r="A1783" s="556" t="s">
        <v>3612</v>
      </c>
      <c r="B1783" s="557"/>
      <c r="C1783" s="558" t="s">
        <v>2054</v>
      </c>
      <c r="D1783" s="556" t="s">
        <v>9328</v>
      </c>
      <c r="E1783" s="17" t="s">
        <v>5225</v>
      </c>
      <c r="F1783" s="17">
        <v>6</v>
      </c>
      <c r="G1783" s="17">
        <v>5</v>
      </c>
      <c r="H1783" s="17" t="s">
        <v>3453</v>
      </c>
      <c r="I1783" s="17"/>
      <c r="J1783" s="17"/>
      <c r="K1783" s="17"/>
      <c r="L1783" s="17"/>
      <c r="M1783" s="17"/>
      <c r="N1783" s="17"/>
      <c r="O1783" s="17"/>
      <c r="P1783" s="17"/>
      <c r="Q1783" s="17"/>
    </row>
    <row r="1784" spans="1:17">
      <c r="A1784" s="556" t="s">
        <v>3612</v>
      </c>
      <c r="B1784" s="557"/>
      <c r="C1784" s="558" t="s">
        <v>2054</v>
      </c>
      <c r="D1784" s="556" t="s">
        <v>9329</v>
      </c>
      <c r="E1784" s="17" t="s">
        <v>5226</v>
      </c>
      <c r="F1784" s="17">
        <v>6</v>
      </c>
      <c r="G1784" s="17">
        <v>6</v>
      </c>
      <c r="H1784" s="17" t="s">
        <v>7807</v>
      </c>
      <c r="I1784" s="17"/>
      <c r="J1784" s="17"/>
      <c r="K1784" s="17"/>
      <c r="L1784" s="17"/>
      <c r="M1784" s="17"/>
      <c r="N1784" s="17"/>
      <c r="O1784" s="17"/>
      <c r="P1784" s="17"/>
      <c r="Q1784" s="17"/>
    </row>
    <row r="1785" spans="1:17">
      <c r="A1785" s="556" t="s">
        <v>3612</v>
      </c>
      <c r="B1785" s="557"/>
      <c r="C1785" s="558" t="s">
        <v>2055</v>
      </c>
      <c r="D1785" s="556" t="s">
        <v>1693</v>
      </c>
      <c r="E1785" s="17" t="s">
        <v>5227</v>
      </c>
      <c r="F1785" s="17">
        <v>7</v>
      </c>
      <c r="G1785" s="17">
        <v>1</v>
      </c>
      <c r="H1785" s="17" t="s">
        <v>3351</v>
      </c>
      <c r="I1785" s="17"/>
      <c r="J1785" s="17"/>
      <c r="K1785" s="17"/>
      <c r="L1785" s="17"/>
      <c r="M1785" s="17"/>
      <c r="N1785" s="17"/>
      <c r="O1785" s="17"/>
      <c r="P1785" s="17"/>
      <c r="Q1785" s="17"/>
    </row>
    <row r="1786" spans="1:17">
      <c r="A1786" s="556" t="s">
        <v>3612</v>
      </c>
      <c r="B1786" s="557"/>
      <c r="C1786" s="558" t="s">
        <v>2055</v>
      </c>
      <c r="D1786" s="556" t="s">
        <v>1694</v>
      </c>
      <c r="E1786" s="17" t="s">
        <v>5228</v>
      </c>
      <c r="F1786" s="17">
        <v>7</v>
      </c>
      <c r="G1786" s="17">
        <v>2</v>
      </c>
      <c r="H1786" s="17" t="s">
        <v>3352</v>
      </c>
      <c r="I1786" s="17"/>
      <c r="J1786" s="17"/>
      <c r="K1786" s="17"/>
      <c r="L1786" s="17"/>
      <c r="M1786" s="17"/>
      <c r="N1786" s="17"/>
      <c r="O1786" s="17"/>
      <c r="P1786" s="17"/>
      <c r="Q1786" s="17"/>
    </row>
    <row r="1787" spans="1:17">
      <c r="A1787" s="556" t="s">
        <v>3612</v>
      </c>
      <c r="B1787" s="557"/>
      <c r="C1787" s="558" t="s">
        <v>2055</v>
      </c>
      <c r="D1787" s="556" t="s">
        <v>4324</v>
      </c>
      <c r="E1787" s="17" t="s">
        <v>5229</v>
      </c>
      <c r="F1787" s="17">
        <v>7</v>
      </c>
      <c r="G1787" s="17">
        <v>3</v>
      </c>
      <c r="H1787" s="17" t="s">
        <v>3353</v>
      </c>
      <c r="I1787" s="17"/>
      <c r="J1787" s="17"/>
      <c r="K1787" s="17"/>
      <c r="L1787" s="17"/>
      <c r="M1787" s="17"/>
      <c r="N1787" s="17"/>
      <c r="O1787" s="17"/>
      <c r="P1787" s="17"/>
      <c r="Q1787" s="17"/>
    </row>
    <row r="1788" spans="1:17">
      <c r="A1788" s="556" t="s">
        <v>3612</v>
      </c>
      <c r="B1788" s="557"/>
      <c r="C1788" s="558" t="s">
        <v>2055</v>
      </c>
      <c r="D1788" s="556" t="s">
        <v>4944</v>
      </c>
      <c r="E1788" s="17" t="s">
        <v>5230</v>
      </c>
      <c r="F1788" s="17">
        <v>7</v>
      </c>
      <c r="G1788" s="17">
        <v>4</v>
      </c>
      <c r="H1788" s="17" t="s">
        <v>3354</v>
      </c>
      <c r="I1788" s="17"/>
      <c r="J1788" s="17"/>
      <c r="K1788" s="17"/>
      <c r="L1788" s="17"/>
      <c r="M1788" s="17"/>
      <c r="N1788" s="17"/>
      <c r="O1788" s="17"/>
      <c r="P1788" s="17"/>
      <c r="Q1788" s="17"/>
    </row>
    <row r="1789" spans="1:17">
      <c r="A1789" s="556" t="s">
        <v>3612</v>
      </c>
      <c r="B1789" s="557"/>
      <c r="C1789" s="558" t="s">
        <v>2055</v>
      </c>
      <c r="D1789" s="556" t="s">
        <v>9328</v>
      </c>
      <c r="E1789" s="17" t="s">
        <v>5231</v>
      </c>
      <c r="F1789" s="17">
        <v>7</v>
      </c>
      <c r="G1789" s="17">
        <v>5</v>
      </c>
      <c r="H1789" s="17" t="s">
        <v>3454</v>
      </c>
      <c r="I1789" s="17"/>
      <c r="J1789" s="17"/>
      <c r="K1789" s="17"/>
      <c r="L1789" s="17"/>
      <c r="M1789" s="17"/>
      <c r="N1789" s="17"/>
      <c r="O1789" s="17"/>
      <c r="P1789" s="17"/>
      <c r="Q1789" s="17"/>
    </row>
    <row r="1790" spans="1:17">
      <c r="A1790" s="556" t="s">
        <v>3612</v>
      </c>
      <c r="B1790" s="557"/>
      <c r="C1790" s="558" t="s">
        <v>2055</v>
      </c>
      <c r="D1790" s="556" t="s">
        <v>9329</v>
      </c>
      <c r="E1790" s="17" t="s">
        <v>5232</v>
      </c>
      <c r="F1790" s="17">
        <v>7</v>
      </c>
      <c r="G1790" s="17">
        <v>6</v>
      </c>
      <c r="H1790" s="17" t="s">
        <v>7809</v>
      </c>
      <c r="I1790" s="17"/>
      <c r="J1790" s="17"/>
      <c r="K1790" s="17"/>
      <c r="L1790" s="17"/>
      <c r="M1790" s="17"/>
      <c r="N1790" s="17"/>
      <c r="O1790" s="17"/>
      <c r="P1790" s="17"/>
      <c r="Q1790" s="17"/>
    </row>
    <row r="1791" spans="1:17">
      <c r="A1791" s="556" t="s">
        <v>3612</v>
      </c>
      <c r="B1791" s="557"/>
      <c r="C1791" s="558" t="s">
        <v>2056</v>
      </c>
      <c r="D1791" s="556" t="s">
        <v>1693</v>
      </c>
      <c r="E1791" s="17" t="s">
        <v>5233</v>
      </c>
      <c r="F1791" s="17">
        <v>8</v>
      </c>
      <c r="G1791" s="17">
        <v>1</v>
      </c>
      <c r="H1791" s="17" t="s">
        <v>3355</v>
      </c>
      <c r="I1791" s="17"/>
      <c r="J1791" s="17"/>
      <c r="K1791" s="17"/>
      <c r="L1791" s="17"/>
      <c r="M1791" s="17"/>
      <c r="N1791" s="17"/>
      <c r="O1791" s="17"/>
      <c r="P1791" s="17"/>
      <c r="Q1791" s="17"/>
    </row>
    <row r="1792" spans="1:17">
      <c r="A1792" s="556" t="s">
        <v>3612</v>
      </c>
      <c r="B1792" s="557"/>
      <c r="C1792" s="558" t="s">
        <v>2056</v>
      </c>
      <c r="D1792" s="556" t="s">
        <v>1694</v>
      </c>
      <c r="E1792" s="17" t="s">
        <v>5234</v>
      </c>
      <c r="F1792" s="17">
        <v>8</v>
      </c>
      <c r="G1792" s="17">
        <v>2</v>
      </c>
      <c r="H1792" s="17" t="s">
        <v>3356</v>
      </c>
      <c r="I1792" s="17"/>
      <c r="J1792" s="17"/>
      <c r="K1792" s="17"/>
      <c r="L1792" s="17"/>
      <c r="M1792" s="17"/>
      <c r="N1792" s="17"/>
      <c r="O1792" s="17"/>
      <c r="P1792" s="17"/>
      <c r="Q1792" s="17"/>
    </row>
    <row r="1793" spans="1:17">
      <c r="A1793" s="556" t="s">
        <v>3612</v>
      </c>
      <c r="B1793" s="557"/>
      <c r="C1793" s="558" t="s">
        <v>2056</v>
      </c>
      <c r="D1793" s="556" t="s">
        <v>4324</v>
      </c>
      <c r="E1793" s="17" t="s">
        <v>5235</v>
      </c>
      <c r="F1793" s="17">
        <v>8</v>
      </c>
      <c r="G1793" s="17">
        <v>3</v>
      </c>
      <c r="H1793" s="17" t="s">
        <v>3357</v>
      </c>
      <c r="I1793" s="17"/>
      <c r="J1793" s="17"/>
      <c r="K1793" s="17"/>
      <c r="L1793" s="17"/>
      <c r="M1793" s="17"/>
      <c r="N1793" s="17"/>
      <c r="O1793" s="17"/>
      <c r="P1793" s="17"/>
      <c r="Q1793" s="17"/>
    </row>
    <row r="1794" spans="1:17">
      <c r="A1794" s="556" t="s">
        <v>3612</v>
      </c>
      <c r="B1794" s="557"/>
      <c r="C1794" s="558" t="s">
        <v>2056</v>
      </c>
      <c r="D1794" s="556" t="s">
        <v>4944</v>
      </c>
      <c r="E1794" s="17" t="s">
        <v>5236</v>
      </c>
      <c r="F1794" s="17">
        <v>8</v>
      </c>
      <c r="G1794" s="17">
        <v>4</v>
      </c>
      <c r="H1794" s="17" t="s">
        <v>3358</v>
      </c>
      <c r="I1794" s="17"/>
      <c r="J1794" s="17"/>
      <c r="K1794" s="17"/>
      <c r="L1794" s="17"/>
      <c r="M1794" s="17"/>
      <c r="N1794" s="17"/>
      <c r="O1794" s="17"/>
      <c r="P1794" s="17"/>
      <c r="Q1794" s="17"/>
    </row>
    <row r="1795" spans="1:17">
      <c r="A1795" s="556" t="s">
        <v>3612</v>
      </c>
      <c r="B1795" s="557"/>
      <c r="C1795" s="558" t="s">
        <v>2056</v>
      </c>
      <c r="D1795" s="556" t="s">
        <v>9328</v>
      </c>
      <c r="E1795" s="17" t="s">
        <v>5237</v>
      </c>
      <c r="F1795" s="17">
        <v>8</v>
      </c>
      <c r="G1795" s="17">
        <v>5</v>
      </c>
      <c r="H1795" s="17" t="s">
        <v>3455</v>
      </c>
      <c r="I1795" s="17"/>
      <c r="J1795" s="17"/>
      <c r="K1795" s="17"/>
      <c r="L1795" s="17"/>
      <c r="M1795" s="17"/>
      <c r="N1795" s="17"/>
      <c r="O1795" s="17"/>
      <c r="P1795" s="17"/>
      <c r="Q1795" s="17"/>
    </row>
    <row r="1796" spans="1:17">
      <c r="A1796" s="556" t="s">
        <v>3612</v>
      </c>
      <c r="B1796" s="557"/>
      <c r="C1796" s="558" t="s">
        <v>2056</v>
      </c>
      <c r="D1796" s="556" t="s">
        <v>9329</v>
      </c>
      <c r="E1796" s="17" t="s">
        <v>5238</v>
      </c>
      <c r="F1796" s="17">
        <v>8</v>
      </c>
      <c r="G1796" s="17">
        <v>6</v>
      </c>
      <c r="H1796" s="17" t="s">
        <v>7814</v>
      </c>
      <c r="I1796" s="17"/>
      <c r="J1796" s="17"/>
      <c r="K1796" s="17"/>
      <c r="L1796" s="17"/>
      <c r="M1796" s="17"/>
      <c r="N1796" s="17"/>
      <c r="O1796" s="17"/>
      <c r="P1796" s="17"/>
      <c r="Q1796" s="17"/>
    </row>
    <row r="1797" spans="1:17">
      <c r="A1797" s="556" t="s">
        <v>3612</v>
      </c>
      <c r="B1797" s="557"/>
      <c r="C1797" s="558" t="s">
        <v>2057</v>
      </c>
      <c r="D1797" s="556" t="s">
        <v>1693</v>
      </c>
      <c r="E1797" s="17" t="s">
        <v>5239</v>
      </c>
      <c r="F1797" s="17">
        <v>9</v>
      </c>
      <c r="G1797" s="17">
        <v>1</v>
      </c>
      <c r="H1797" s="17" t="s">
        <v>3359</v>
      </c>
      <c r="I1797" s="17"/>
      <c r="J1797" s="17"/>
      <c r="K1797" s="17"/>
      <c r="L1797" s="17"/>
      <c r="M1797" s="17"/>
      <c r="N1797" s="17"/>
      <c r="O1797" s="17"/>
      <c r="P1797" s="17"/>
      <c r="Q1797" s="17"/>
    </row>
    <row r="1798" spans="1:17">
      <c r="A1798" s="556" t="s">
        <v>3612</v>
      </c>
      <c r="B1798" s="557"/>
      <c r="C1798" s="558" t="s">
        <v>2057</v>
      </c>
      <c r="D1798" s="556" t="s">
        <v>1694</v>
      </c>
      <c r="E1798" s="17" t="s">
        <v>5240</v>
      </c>
      <c r="F1798" s="17">
        <v>9</v>
      </c>
      <c r="G1798" s="17">
        <v>2</v>
      </c>
      <c r="H1798" s="17" t="s">
        <v>3360</v>
      </c>
      <c r="I1798" s="17"/>
      <c r="J1798" s="17"/>
      <c r="K1798" s="17"/>
      <c r="L1798" s="17"/>
      <c r="M1798" s="17"/>
      <c r="N1798" s="17"/>
      <c r="O1798" s="17"/>
      <c r="P1798" s="17"/>
      <c r="Q1798" s="17"/>
    </row>
    <row r="1799" spans="1:17">
      <c r="A1799" s="556" t="s">
        <v>3612</v>
      </c>
      <c r="B1799" s="557"/>
      <c r="C1799" s="558" t="s">
        <v>2057</v>
      </c>
      <c r="D1799" s="556" t="s">
        <v>4324</v>
      </c>
      <c r="E1799" s="17" t="s">
        <v>5241</v>
      </c>
      <c r="F1799" s="17">
        <v>9</v>
      </c>
      <c r="G1799" s="17">
        <v>3</v>
      </c>
      <c r="H1799" s="17" t="s">
        <v>3327</v>
      </c>
      <c r="I1799" s="17"/>
      <c r="J1799" s="17"/>
      <c r="K1799" s="17"/>
      <c r="L1799" s="17"/>
      <c r="M1799" s="17"/>
      <c r="N1799" s="17"/>
      <c r="O1799" s="17"/>
      <c r="P1799" s="17"/>
      <c r="Q1799" s="17"/>
    </row>
    <row r="1800" spans="1:17">
      <c r="A1800" s="556" t="s">
        <v>3612</v>
      </c>
      <c r="B1800" s="557"/>
      <c r="C1800" s="558" t="s">
        <v>2057</v>
      </c>
      <c r="D1800" s="556" t="s">
        <v>4944</v>
      </c>
      <c r="E1800" s="17" t="s">
        <v>5242</v>
      </c>
      <c r="F1800" s="17">
        <v>9</v>
      </c>
      <c r="G1800" s="17">
        <v>4</v>
      </c>
      <c r="H1800" s="17" t="s">
        <v>3361</v>
      </c>
      <c r="I1800" s="17"/>
      <c r="J1800" s="17"/>
      <c r="K1800" s="17"/>
      <c r="L1800" s="17"/>
      <c r="M1800" s="17"/>
      <c r="N1800" s="17"/>
      <c r="O1800" s="17"/>
      <c r="P1800" s="17"/>
      <c r="Q1800" s="17"/>
    </row>
    <row r="1801" spans="1:17">
      <c r="A1801" s="556" t="s">
        <v>3612</v>
      </c>
      <c r="B1801" s="557"/>
      <c r="C1801" s="558" t="s">
        <v>2057</v>
      </c>
      <c r="D1801" s="556" t="s">
        <v>9328</v>
      </c>
      <c r="E1801" s="17" t="s">
        <v>5243</v>
      </c>
      <c r="F1801" s="17">
        <v>9</v>
      </c>
      <c r="G1801" s="17">
        <v>5</v>
      </c>
      <c r="H1801" s="17" t="s">
        <v>3456</v>
      </c>
      <c r="I1801" s="17"/>
      <c r="J1801" s="17"/>
      <c r="K1801" s="17"/>
      <c r="L1801" s="17"/>
      <c r="M1801" s="17"/>
      <c r="N1801" s="17"/>
      <c r="O1801" s="17"/>
      <c r="P1801" s="17"/>
      <c r="Q1801" s="17"/>
    </row>
    <row r="1802" spans="1:17">
      <c r="A1802" s="556" t="s">
        <v>3612</v>
      </c>
      <c r="B1802" s="557"/>
      <c r="C1802" s="558" t="s">
        <v>2057</v>
      </c>
      <c r="D1802" s="556" t="s">
        <v>9329</v>
      </c>
      <c r="E1802" s="17" t="s">
        <v>5244</v>
      </c>
      <c r="F1802" s="17">
        <v>9</v>
      </c>
      <c r="G1802" s="17">
        <v>6</v>
      </c>
      <c r="H1802" s="17" t="s">
        <v>7815</v>
      </c>
      <c r="I1802" s="17"/>
      <c r="J1802" s="17"/>
      <c r="K1802" s="17"/>
      <c r="L1802" s="17"/>
      <c r="M1802" s="17"/>
      <c r="N1802" s="17"/>
      <c r="O1802" s="17"/>
      <c r="P1802" s="17"/>
      <c r="Q1802" s="17"/>
    </row>
    <row r="1803" spans="1:17">
      <c r="A1803" s="556" t="s">
        <v>3612</v>
      </c>
      <c r="B1803" s="557"/>
      <c r="C1803" s="558" t="s">
        <v>2058</v>
      </c>
      <c r="D1803" s="556" t="s">
        <v>1693</v>
      </c>
      <c r="E1803" s="17" t="s">
        <v>5245</v>
      </c>
      <c r="F1803" s="17">
        <v>10</v>
      </c>
      <c r="G1803" s="17">
        <v>1</v>
      </c>
      <c r="H1803" s="17" t="s">
        <v>3362</v>
      </c>
      <c r="I1803" s="17">
        <v>0</v>
      </c>
      <c r="J1803" s="17"/>
      <c r="K1803" s="17"/>
      <c r="L1803" s="17"/>
      <c r="M1803" s="17"/>
      <c r="N1803" s="17"/>
      <c r="O1803" s="17"/>
      <c r="P1803" s="17"/>
      <c r="Q1803" s="17"/>
    </row>
    <row r="1804" spans="1:17">
      <c r="A1804" s="556" t="s">
        <v>3612</v>
      </c>
      <c r="B1804" s="557"/>
      <c r="C1804" s="558" t="s">
        <v>2058</v>
      </c>
      <c r="D1804" s="556" t="s">
        <v>1694</v>
      </c>
      <c r="E1804" s="17" t="s">
        <v>5246</v>
      </c>
      <c r="F1804" s="17">
        <v>10</v>
      </c>
      <c r="G1804" s="17">
        <v>2</v>
      </c>
      <c r="H1804" s="17" t="s">
        <v>3363</v>
      </c>
      <c r="I1804" s="17">
        <v>0</v>
      </c>
      <c r="J1804" s="17"/>
      <c r="K1804" s="17"/>
      <c r="L1804" s="17"/>
      <c r="M1804" s="17"/>
      <c r="N1804" s="17"/>
      <c r="O1804" s="17"/>
      <c r="P1804" s="17"/>
      <c r="Q1804" s="17"/>
    </row>
    <row r="1805" spans="1:17">
      <c r="A1805" s="556" t="s">
        <v>3612</v>
      </c>
      <c r="B1805" s="557"/>
      <c r="C1805" s="558" t="s">
        <v>2058</v>
      </c>
      <c r="D1805" s="556" t="s">
        <v>4324</v>
      </c>
      <c r="E1805" s="17" t="s">
        <v>5247</v>
      </c>
      <c r="F1805" s="17">
        <v>10</v>
      </c>
      <c r="G1805" s="17">
        <v>3</v>
      </c>
      <c r="H1805" s="17" t="s">
        <v>3364</v>
      </c>
      <c r="I1805" s="17"/>
      <c r="J1805" s="17"/>
      <c r="K1805" s="17"/>
      <c r="L1805" s="17"/>
      <c r="M1805" s="17"/>
      <c r="N1805" s="17"/>
      <c r="O1805" s="17"/>
      <c r="P1805" s="17"/>
      <c r="Q1805" s="17"/>
    </row>
    <row r="1806" spans="1:17">
      <c r="A1806" s="556" t="s">
        <v>3612</v>
      </c>
      <c r="B1806" s="557"/>
      <c r="C1806" s="558" t="s">
        <v>2058</v>
      </c>
      <c r="D1806" s="556" t="s">
        <v>4944</v>
      </c>
      <c r="E1806" s="17" t="s">
        <v>5248</v>
      </c>
      <c r="F1806" s="17">
        <v>10</v>
      </c>
      <c r="G1806" s="17">
        <v>4</v>
      </c>
      <c r="H1806" s="17" t="s">
        <v>3365</v>
      </c>
      <c r="I1806" s="17">
        <v>0</v>
      </c>
      <c r="J1806" s="17"/>
      <c r="K1806" s="17"/>
      <c r="L1806" s="17"/>
      <c r="M1806" s="17"/>
      <c r="N1806" s="17"/>
      <c r="O1806" s="17"/>
      <c r="P1806" s="17"/>
      <c r="Q1806" s="17"/>
    </row>
    <row r="1807" spans="1:17">
      <c r="A1807" s="556" t="s">
        <v>3612</v>
      </c>
      <c r="B1807" s="557"/>
      <c r="C1807" s="558" t="s">
        <v>2058</v>
      </c>
      <c r="D1807" s="556" t="s">
        <v>9328</v>
      </c>
      <c r="E1807" s="17" t="s">
        <v>5249</v>
      </c>
      <c r="F1807" s="17">
        <v>10</v>
      </c>
      <c r="G1807" s="17">
        <v>5</v>
      </c>
      <c r="H1807" s="17" t="s">
        <v>3457</v>
      </c>
      <c r="I1807" s="17">
        <v>0</v>
      </c>
      <c r="J1807" s="17"/>
      <c r="K1807" s="17"/>
      <c r="L1807" s="17"/>
      <c r="M1807" s="17"/>
      <c r="N1807" s="17"/>
      <c r="O1807" s="17"/>
      <c r="P1807" s="17"/>
      <c r="Q1807" s="17"/>
    </row>
    <row r="1808" spans="1:17">
      <c r="A1808" s="556" t="s">
        <v>3612</v>
      </c>
      <c r="B1808" s="557"/>
      <c r="C1808" s="558" t="s">
        <v>2058</v>
      </c>
      <c r="D1808" s="556" t="s">
        <v>9329</v>
      </c>
      <c r="E1808" s="17" t="s">
        <v>5250</v>
      </c>
      <c r="F1808" s="17">
        <v>10</v>
      </c>
      <c r="G1808" s="17">
        <v>6</v>
      </c>
      <c r="H1808" s="17" t="s">
        <v>7816</v>
      </c>
      <c r="I1808" s="17">
        <v>0</v>
      </c>
      <c r="J1808" s="17"/>
      <c r="K1808" s="17"/>
      <c r="L1808" s="17"/>
      <c r="M1808" s="17"/>
      <c r="N1808" s="17"/>
      <c r="O1808" s="17"/>
      <c r="P1808" s="17"/>
      <c r="Q1808" s="17"/>
    </row>
    <row r="1809" spans="1:17">
      <c r="A1809" s="556" t="s">
        <v>3612</v>
      </c>
      <c r="B1809" s="557"/>
      <c r="C1809" s="558" t="s">
        <v>2059</v>
      </c>
      <c r="D1809" s="556" t="s">
        <v>1693</v>
      </c>
      <c r="E1809" s="17" t="s">
        <v>5251</v>
      </c>
      <c r="F1809" s="17">
        <v>11</v>
      </c>
      <c r="G1809" s="17">
        <v>1</v>
      </c>
      <c r="H1809" s="17" t="s">
        <v>3366</v>
      </c>
      <c r="I1809" s="17"/>
      <c r="J1809" s="17"/>
      <c r="K1809" s="17"/>
      <c r="L1809" s="17"/>
      <c r="M1809" s="17"/>
      <c r="N1809" s="17"/>
      <c r="O1809" s="17"/>
      <c r="P1809" s="17"/>
      <c r="Q1809" s="17"/>
    </row>
    <row r="1810" spans="1:17">
      <c r="A1810" s="556" t="s">
        <v>3612</v>
      </c>
      <c r="B1810" s="557"/>
      <c r="C1810" s="558" t="s">
        <v>2059</v>
      </c>
      <c r="D1810" s="556" t="s">
        <v>1694</v>
      </c>
      <c r="E1810" s="17" t="s">
        <v>5252</v>
      </c>
      <c r="F1810" s="17">
        <v>11</v>
      </c>
      <c r="G1810" s="17">
        <v>2</v>
      </c>
      <c r="H1810" s="17" t="s">
        <v>3367</v>
      </c>
      <c r="I1810" s="17"/>
      <c r="J1810" s="17"/>
      <c r="K1810" s="17"/>
      <c r="L1810" s="17"/>
      <c r="M1810" s="17"/>
      <c r="N1810" s="17"/>
      <c r="O1810" s="17"/>
      <c r="P1810" s="17"/>
      <c r="Q1810" s="17"/>
    </row>
    <row r="1811" spans="1:17">
      <c r="A1811" s="556" t="s">
        <v>3612</v>
      </c>
      <c r="B1811" s="557"/>
      <c r="C1811" s="558" t="s">
        <v>2059</v>
      </c>
      <c r="D1811" s="556" t="s">
        <v>4324</v>
      </c>
      <c r="E1811" s="17" t="s">
        <v>5253</v>
      </c>
      <c r="F1811" s="17">
        <v>11</v>
      </c>
      <c r="G1811" s="17">
        <v>3</v>
      </c>
      <c r="H1811" s="17" t="s">
        <v>3368</v>
      </c>
      <c r="I1811" s="17"/>
      <c r="J1811" s="17"/>
      <c r="K1811" s="17"/>
      <c r="L1811" s="17"/>
      <c r="M1811" s="17"/>
      <c r="N1811" s="17"/>
      <c r="O1811" s="17"/>
      <c r="P1811" s="17"/>
      <c r="Q1811" s="17"/>
    </row>
    <row r="1812" spans="1:17">
      <c r="A1812" s="556" t="s">
        <v>3612</v>
      </c>
      <c r="B1812" s="557"/>
      <c r="C1812" s="558" t="s">
        <v>2059</v>
      </c>
      <c r="D1812" s="556" t="s">
        <v>4944</v>
      </c>
      <c r="E1812" s="17" t="s">
        <v>5254</v>
      </c>
      <c r="F1812" s="17">
        <v>11</v>
      </c>
      <c r="G1812" s="17">
        <v>4</v>
      </c>
      <c r="H1812" s="17" t="s">
        <v>3369</v>
      </c>
      <c r="I1812" s="17"/>
      <c r="J1812" s="17"/>
      <c r="K1812" s="17"/>
      <c r="L1812" s="17"/>
      <c r="M1812" s="17"/>
      <c r="N1812" s="17"/>
      <c r="O1812" s="17"/>
      <c r="P1812" s="17"/>
      <c r="Q1812" s="17"/>
    </row>
    <row r="1813" spans="1:17">
      <c r="A1813" s="556" t="s">
        <v>3612</v>
      </c>
      <c r="B1813" s="557"/>
      <c r="C1813" s="558" t="s">
        <v>2059</v>
      </c>
      <c r="D1813" s="556" t="s">
        <v>9328</v>
      </c>
      <c r="E1813" s="17" t="s">
        <v>5255</v>
      </c>
      <c r="F1813" s="17">
        <v>11</v>
      </c>
      <c r="G1813" s="17">
        <v>5</v>
      </c>
      <c r="H1813" s="17" t="s">
        <v>3458</v>
      </c>
      <c r="I1813" s="17"/>
      <c r="J1813" s="17"/>
      <c r="K1813" s="17"/>
      <c r="L1813" s="17"/>
      <c r="M1813" s="17"/>
      <c r="N1813" s="17"/>
      <c r="O1813" s="17"/>
      <c r="P1813" s="17"/>
      <c r="Q1813" s="17"/>
    </row>
    <row r="1814" spans="1:17">
      <c r="A1814" s="556" t="s">
        <v>3612</v>
      </c>
      <c r="B1814" s="557"/>
      <c r="C1814" s="558" t="s">
        <v>2059</v>
      </c>
      <c r="D1814" s="556" t="s">
        <v>9329</v>
      </c>
      <c r="E1814" s="17" t="s">
        <v>5256</v>
      </c>
      <c r="F1814" s="17">
        <v>11</v>
      </c>
      <c r="G1814" s="17">
        <v>6</v>
      </c>
      <c r="H1814" s="17" t="s">
        <v>7817</v>
      </c>
      <c r="I1814" s="17"/>
      <c r="J1814" s="17"/>
      <c r="K1814" s="17"/>
      <c r="L1814" s="17"/>
      <c r="M1814" s="17"/>
      <c r="N1814" s="17"/>
      <c r="O1814" s="17"/>
      <c r="P1814" s="17"/>
      <c r="Q1814" s="17"/>
    </row>
    <row r="1815" spans="1:17">
      <c r="A1815" s="556" t="s">
        <v>3612</v>
      </c>
      <c r="B1815" s="557"/>
      <c r="C1815" s="558" t="s">
        <v>2060</v>
      </c>
      <c r="D1815" s="556" t="s">
        <v>1693</v>
      </c>
      <c r="E1815" s="17" t="s">
        <v>5257</v>
      </c>
      <c r="F1815" s="17">
        <v>12</v>
      </c>
      <c r="G1815" s="17">
        <v>1</v>
      </c>
      <c r="H1815" s="17" t="s">
        <v>3370</v>
      </c>
      <c r="I1815" s="17"/>
      <c r="J1815" s="17"/>
      <c r="K1815" s="17"/>
      <c r="L1815" s="17"/>
      <c r="M1815" s="17"/>
      <c r="N1815" s="17"/>
      <c r="O1815" s="17"/>
      <c r="P1815" s="17"/>
      <c r="Q1815" s="17"/>
    </row>
    <row r="1816" spans="1:17">
      <c r="A1816" s="556" t="s">
        <v>3612</v>
      </c>
      <c r="B1816" s="557"/>
      <c r="C1816" s="558" t="s">
        <v>2060</v>
      </c>
      <c r="D1816" s="556" t="s">
        <v>1694</v>
      </c>
      <c r="E1816" s="17" t="s">
        <v>5258</v>
      </c>
      <c r="F1816" s="17">
        <v>12</v>
      </c>
      <c r="G1816" s="17">
        <v>2</v>
      </c>
      <c r="H1816" s="17" t="s">
        <v>3371</v>
      </c>
      <c r="I1816" s="17"/>
      <c r="J1816" s="17"/>
      <c r="K1816" s="17"/>
      <c r="L1816" s="17"/>
      <c r="M1816" s="17"/>
      <c r="N1816" s="17"/>
      <c r="O1816" s="17"/>
      <c r="P1816" s="17"/>
      <c r="Q1816" s="17"/>
    </row>
    <row r="1817" spans="1:17">
      <c r="A1817" s="556" t="s">
        <v>3612</v>
      </c>
      <c r="B1817" s="557"/>
      <c r="C1817" s="558" t="s">
        <v>2060</v>
      </c>
      <c r="D1817" s="556" t="s">
        <v>4324</v>
      </c>
      <c r="E1817" s="17" t="s">
        <v>5259</v>
      </c>
      <c r="F1817" s="17">
        <v>12</v>
      </c>
      <c r="G1817" s="17">
        <v>3</v>
      </c>
      <c r="H1817" s="17" t="s">
        <v>3372</v>
      </c>
      <c r="I1817" s="17"/>
      <c r="J1817" s="17"/>
      <c r="K1817" s="17"/>
      <c r="L1817" s="17"/>
      <c r="M1817" s="17"/>
      <c r="N1817" s="17"/>
      <c r="O1817" s="17"/>
      <c r="P1817" s="17"/>
      <c r="Q1817" s="17"/>
    </row>
    <row r="1818" spans="1:17">
      <c r="A1818" s="556" t="s">
        <v>3612</v>
      </c>
      <c r="B1818" s="557"/>
      <c r="C1818" s="558" t="s">
        <v>2060</v>
      </c>
      <c r="D1818" s="556" t="s">
        <v>4944</v>
      </c>
      <c r="E1818" s="17" t="s">
        <v>5260</v>
      </c>
      <c r="F1818" s="17">
        <v>12</v>
      </c>
      <c r="G1818" s="17">
        <v>4</v>
      </c>
      <c r="H1818" s="17" t="s">
        <v>3373</v>
      </c>
      <c r="I1818" s="17"/>
      <c r="J1818" s="17"/>
      <c r="K1818" s="17"/>
      <c r="L1818" s="17"/>
      <c r="M1818" s="17"/>
      <c r="N1818" s="17"/>
      <c r="O1818" s="17"/>
      <c r="P1818" s="17"/>
      <c r="Q1818" s="17"/>
    </row>
    <row r="1819" spans="1:17">
      <c r="A1819" s="556" t="s">
        <v>3612</v>
      </c>
      <c r="B1819" s="557"/>
      <c r="C1819" s="558" t="s">
        <v>2060</v>
      </c>
      <c r="D1819" s="556" t="s">
        <v>9328</v>
      </c>
      <c r="E1819" s="17" t="s">
        <v>5261</v>
      </c>
      <c r="F1819" s="17">
        <v>12</v>
      </c>
      <c r="G1819" s="17">
        <v>5</v>
      </c>
      <c r="H1819" s="17" t="s">
        <v>3459</v>
      </c>
      <c r="I1819" s="17"/>
      <c r="J1819" s="17"/>
      <c r="K1819" s="17"/>
      <c r="L1819" s="17"/>
      <c r="M1819" s="17"/>
      <c r="N1819" s="17"/>
      <c r="O1819" s="17"/>
      <c r="P1819" s="17"/>
      <c r="Q1819" s="17"/>
    </row>
    <row r="1820" spans="1:17">
      <c r="A1820" s="556" t="s">
        <v>3612</v>
      </c>
      <c r="B1820" s="557"/>
      <c r="C1820" s="558" t="s">
        <v>2060</v>
      </c>
      <c r="D1820" s="556" t="s">
        <v>9329</v>
      </c>
      <c r="E1820" s="17" t="s">
        <v>5262</v>
      </c>
      <c r="F1820" s="17">
        <v>12</v>
      </c>
      <c r="G1820" s="17">
        <v>6</v>
      </c>
      <c r="H1820" s="17" t="s">
        <v>7818</v>
      </c>
      <c r="I1820" s="17"/>
      <c r="J1820" s="17"/>
      <c r="K1820" s="17"/>
      <c r="L1820" s="17"/>
      <c r="M1820" s="17"/>
      <c r="N1820" s="17"/>
      <c r="O1820" s="17"/>
      <c r="P1820" s="17"/>
      <c r="Q1820" s="17"/>
    </row>
    <row r="1821" spans="1:17">
      <c r="A1821" s="556" t="s">
        <v>3612</v>
      </c>
      <c r="B1821" s="557"/>
      <c r="C1821" s="558" t="s">
        <v>2061</v>
      </c>
      <c r="D1821" s="556" t="s">
        <v>1693</v>
      </c>
      <c r="E1821" s="17" t="s">
        <v>5263</v>
      </c>
      <c r="F1821" s="17">
        <v>13</v>
      </c>
      <c r="G1821" s="17">
        <v>1</v>
      </c>
      <c r="H1821" s="17" t="s">
        <v>3374</v>
      </c>
      <c r="I1821" s="17"/>
      <c r="J1821" s="17"/>
      <c r="K1821" s="17"/>
      <c r="L1821" s="17"/>
      <c r="M1821" s="17"/>
      <c r="N1821" s="17"/>
      <c r="O1821" s="17"/>
      <c r="P1821" s="17"/>
      <c r="Q1821" s="17"/>
    </row>
    <row r="1822" spans="1:17">
      <c r="A1822" s="556" t="s">
        <v>3612</v>
      </c>
      <c r="B1822" s="557"/>
      <c r="C1822" s="558" t="s">
        <v>2061</v>
      </c>
      <c r="D1822" s="556" t="s">
        <v>1694</v>
      </c>
      <c r="E1822" s="17" t="s">
        <v>5264</v>
      </c>
      <c r="F1822" s="17">
        <v>13</v>
      </c>
      <c r="G1822" s="17">
        <v>2</v>
      </c>
      <c r="H1822" s="17" t="s">
        <v>3375</v>
      </c>
      <c r="I1822" s="17"/>
      <c r="J1822" s="17"/>
      <c r="K1822" s="17"/>
      <c r="L1822" s="17"/>
      <c r="M1822" s="17"/>
      <c r="N1822" s="17"/>
      <c r="O1822" s="17"/>
      <c r="P1822" s="17"/>
      <c r="Q1822" s="17"/>
    </row>
    <row r="1823" spans="1:17">
      <c r="A1823" s="556" t="s">
        <v>3612</v>
      </c>
      <c r="B1823" s="557"/>
      <c r="C1823" s="558" t="s">
        <v>2061</v>
      </c>
      <c r="D1823" s="556" t="s">
        <v>4324</v>
      </c>
      <c r="E1823" s="17" t="s">
        <v>5265</v>
      </c>
      <c r="F1823" s="17">
        <v>13</v>
      </c>
      <c r="G1823" s="17">
        <v>3</v>
      </c>
      <c r="H1823" s="17" t="s">
        <v>3376</v>
      </c>
      <c r="I1823" s="17"/>
      <c r="J1823" s="17"/>
      <c r="K1823" s="17"/>
      <c r="L1823" s="17"/>
      <c r="M1823" s="17"/>
      <c r="N1823" s="17"/>
      <c r="O1823" s="17"/>
      <c r="P1823" s="17"/>
      <c r="Q1823" s="17"/>
    </row>
    <row r="1824" spans="1:17">
      <c r="A1824" s="556" t="s">
        <v>3612</v>
      </c>
      <c r="B1824" s="557"/>
      <c r="C1824" s="558" t="s">
        <v>2061</v>
      </c>
      <c r="D1824" s="556" t="s">
        <v>4944</v>
      </c>
      <c r="E1824" s="17" t="s">
        <v>5266</v>
      </c>
      <c r="F1824" s="17">
        <v>13</v>
      </c>
      <c r="G1824" s="17">
        <v>4</v>
      </c>
      <c r="H1824" s="17" t="s">
        <v>3377</v>
      </c>
      <c r="I1824" s="17"/>
      <c r="J1824" s="17"/>
      <c r="K1824" s="17"/>
      <c r="L1824" s="17"/>
      <c r="M1824" s="17"/>
      <c r="N1824" s="17"/>
      <c r="O1824" s="17"/>
      <c r="P1824" s="17"/>
      <c r="Q1824" s="17"/>
    </row>
    <row r="1825" spans="1:17">
      <c r="A1825" s="556" t="s">
        <v>3612</v>
      </c>
      <c r="B1825" s="557"/>
      <c r="C1825" s="558" t="s">
        <v>2061</v>
      </c>
      <c r="D1825" s="556" t="s">
        <v>9328</v>
      </c>
      <c r="E1825" s="17" t="s">
        <v>5267</v>
      </c>
      <c r="F1825" s="17">
        <v>13</v>
      </c>
      <c r="G1825" s="17">
        <v>5</v>
      </c>
      <c r="H1825" s="17" t="s">
        <v>3460</v>
      </c>
      <c r="I1825" s="17"/>
      <c r="J1825" s="17"/>
      <c r="K1825" s="17"/>
      <c r="L1825" s="17"/>
      <c r="M1825" s="17"/>
      <c r="N1825" s="17"/>
      <c r="O1825" s="17"/>
      <c r="P1825" s="17"/>
      <c r="Q1825" s="17"/>
    </row>
    <row r="1826" spans="1:17">
      <c r="A1826" s="556" t="s">
        <v>3612</v>
      </c>
      <c r="B1826" s="557"/>
      <c r="C1826" s="558" t="s">
        <v>2061</v>
      </c>
      <c r="D1826" s="556" t="s">
        <v>9329</v>
      </c>
      <c r="E1826" s="17" t="s">
        <v>5268</v>
      </c>
      <c r="F1826" s="17">
        <v>13</v>
      </c>
      <c r="G1826" s="17">
        <v>6</v>
      </c>
      <c r="H1826" s="17" t="s">
        <v>7819</v>
      </c>
      <c r="I1826" s="17"/>
      <c r="J1826" s="17"/>
      <c r="K1826" s="17"/>
      <c r="L1826" s="17"/>
      <c r="M1826" s="17"/>
      <c r="N1826" s="17"/>
      <c r="O1826" s="17"/>
      <c r="P1826" s="17"/>
      <c r="Q1826" s="17"/>
    </row>
    <row r="1827" spans="1:17">
      <c r="A1827" s="556" t="s">
        <v>3612</v>
      </c>
      <c r="B1827" s="557"/>
      <c r="C1827" s="558" t="s">
        <v>2062</v>
      </c>
      <c r="D1827" s="556" t="s">
        <v>1693</v>
      </c>
      <c r="E1827" s="17" t="s">
        <v>5269</v>
      </c>
      <c r="F1827" s="17">
        <v>14</v>
      </c>
      <c r="G1827" s="17">
        <v>1</v>
      </c>
      <c r="H1827" s="17" t="s">
        <v>3378</v>
      </c>
      <c r="I1827" s="17">
        <v>0</v>
      </c>
      <c r="J1827" s="17"/>
      <c r="K1827" s="17"/>
      <c r="L1827" s="17"/>
      <c r="M1827" s="17"/>
      <c r="N1827" s="17"/>
      <c r="O1827" s="17"/>
      <c r="P1827" s="17"/>
      <c r="Q1827" s="17"/>
    </row>
    <row r="1828" spans="1:17">
      <c r="A1828" s="556" t="s">
        <v>3612</v>
      </c>
      <c r="B1828" s="557"/>
      <c r="C1828" s="558" t="s">
        <v>2062</v>
      </c>
      <c r="D1828" s="556" t="s">
        <v>1694</v>
      </c>
      <c r="E1828" s="17" t="s">
        <v>5270</v>
      </c>
      <c r="F1828" s="17">
        <v>14</v>
      </c>
      <c r="G1828" s="17">
        <v>2</v>
      </c>
      <c r="H1828" s="17" t="s">
        <v>3379</v>
      </c>
      <c r="I1828" s="17">
        <v>0</v>
      </c>
      <c r="J1828" s="17"/>
      <c r="K1828" s="17"/>
      <c r="L1828" s="17"/>
      <c r="M1828" s="17"/>
      <c r="N1828" s="17"/>
      <c r="O1828" s="17"/>
      <c r="P1828" s="17"/>
      <c r="Q1828" s="17"/>
    </row>
    <row r="1829" spans="1:17">
      <c r="A1829" s="556" t="s">
        <v>3612</v>
      </c>
      <c r="B1829" s="557"/>
      <c r="C1829" s="558" t="s">
        <v>2062</v>
      </c>
      <c r="D1829" s="556" t="s">
        <v>4324</v>
      </c>
      <c r="E1829" s="17" t="s">
        <v>5271</v>
      </c>
      <c r="F1829" s="17">
        <v>14</v>
      </c>
      <c r="G1829" s="17">
        <v>3</v>
      </c>
      <c r="H1829" s="17" t="s">
        <v>3380</v>
      </c>
      <c r="I1829" s="17"/>
      <c r="J1829" s="17"/>
      <c r="K1829" s="17"/>
      <c r="L1829" s="17"/>
      <c r="M1829" s="17"/>
      <c r="N1829" s="17"/>
      <c r="O1829" s="17"/>
      <c r="P1829" s="17"/>
      <c r="Q1829" s="17"/>
    </row>
    <row r="1830" spans="1:17">
      <c r="A1830" s="556" t="s">
        <v>3612</v>
      </c>
      <c r="B1830" s="557"/>
      <c r="C1830" s="558" t="s">
        <v>2062</v>
      </c>
      <c r="D1830" s="556" t="s">
        <v>4944</v>
      </c>
      <c r="E1830" s="17" t="s">
        <v>5272</v>
      </c>
      <c r="F1830" s="17">
        <v>14</v>
      </c>
      <c r="G1830" s="17">
        <v>4</v>
      </c>
      <c r="H1830" s="17" t="s">
        <v>3381</v>
      </c>
      <c r="I1830" s="17">
        <v>0</v>
      </c>
      <c r="J1830" s="17"/>
      <c r="K1830" s="17"/>
      <c r="L1830" s="17"/>
      <c r="M1830" s="17"/>
      <c r="N1830" s="17"/>
      <c r="O1830" s="17"/>
      <c r="P1830" s="17"/>
      <c r="Q1830" s="17"/>
    </row>
    <row r="1831" spans="1:17">
      <c r="A1831" s="556" t="s">
        <v>3612</v>
      </c>
      <c r="B1831" s="557"/>
      <c r="C1831" s="558" t="s">
        <v>2062</v>
      </c>
      <c r="D1831" s="556" t="s">
        <v>9328</v>
      </c>
      <c r="E1831" s="17" t="s">
        <v>5273</v>
      </c>
      <c r="F1831" s="17">
        <v>14</v>
      </c>
      <c r="G1831" s="17">
        <v>5</v>
      </c>
      <c r="H1831" s="17" t="s">
        <v>3461</v>
      </c>
      <c r="I1831" s="17">
        <v>0</v>
      </c>
      <c r="J1831" s="17"/>
      <c r="K1831" s="17"/>
      <c r="L1831" s="17"/>
      <c r="M1831" s="17"/>
      <c r="N1831" s="17"/>
      <c r="O1831" s="17"/>
      <c r="P1831" s="17"/>
      <c r="Q1831" s="17"/>
    </row>
    <row r="1832" spans="1:17">
      <c r="A1832" s="556" t="s">
        <v>3612</v>
      </c>
      <c r="B1832" s="557"/>
      <c r="C1832" s="558" t="s">
        <v>2062</v>
      </c>
      <c r="D1832" s="556" t="s">
        <v>9329</v>
      </c>
      <c r="E1832" s="17" t="s">
        <v>5274</v>
      </c>
      <c r="F1832" s="17">
        <v>14</v>
      </c>
      <c r="G1832" s="17">
        <v>6</v>
      </c>
      <c r="H1832" s="17" t="s">
        <v>7820</v>
      </c>
      <c r="I1832" s="17">
        <v>0</v>
      </c>
      <c r="J1832" s="17"/>
      <c r="K1832" s="17"/>
      <c r="L1832" s="17"/>
      <c r="M1832" s="17"/>
      <c r="N1832" s="17"/>
      <c r="O1832" s="17"/>
      <c r="P1832" s="17"/>
      <c r="Q1832" s="17"/>
    </row>
    <row r="1833" spans="1:17">
      <c r="A1833" s="556" t="s">
        <v>3613</v>
      </c>
      <c r="B1833" s="557"/>
      <c r="C1833" s="558" t="s">
        <v>2069</v>
      </c>
      <c r="D1833" s="556" t="s">
        <v>1693</v>
      </c>
      <c r="E1833" s="17" t="s">
        <v>5275</v>
      </c>
      <c r="F1833" s="17">
        <v>1</v>
      </c>
      <c r="G1833" s="17">
        <v>1</v>
      </c>
      <c r="H1833" s="17" t="s">
        <v>3696</v>
      </c>
      <c r="I1833" s="17"/>
      <c r="J1833" s="17"/>
      <c r="K1833" s="17"/>
      <c r="L1833" s="17"/>
      <c r="M1833" s="17"/>
      <c r="N1833" s="17"/>
      <c r="O1833" s="17"/>
      <c r="P1833" s="17"/>
      <c r="Q1833" s="17"/>
    </row>
    <row r="1834" spans="1:17">
      <c r="A1834" s="556" t="s">
        <v>3613</v>
      </c>
      <c r="B1834" s="557"/>
      <c r="C1834" s="558" t="s">
        <v>2069</v>
      </c>
      <c r="D1834" s="556" t="s">
        <v>1694</v>
      </c>
      <c r="E1834" s="17" t="s">
        <v>5276</v>
      </c>
      <c r="F1834" s="17">
        <v>1</v>
      </c>
      <c r="G1834" s="17">
        <v>2</v>
      </c>
      <c r="H1834" s="17" t="s">
        <v>3692</v>
      </c>
      <c r="I1834" s="17"/>
      <c r="J1834" s="17"/>
      <c r="K1834" s="17"/>
      <c r="L1834" s="17"/>
      <c r="M1834" s="17"/>
      <c r="N1834" s="17"/>
      <c r="O1834" s="17"/>
      <c r="P1834" s="17"/>
      <c r="Q1834" s="17"/>
    </row>
    <row r="1835" spans="1:17">
      <c r="A1835" s="556" t="s">
        <v>3613</v>
      </c>
      <c r="B1835" s="557"/>
      <c r="C1835" s="558" t="s">
        <v>2069</v>
      </c>
      <c r="D1835" s="556" t="s">
        <v>4426</v>
      </c>
      <c r="E1835" s="17" t="s">
        <v>5277</v>
      </c>
      <c r="F1835" s="17">
        <v>1</v>
      </c>
      <c r="G1835" s="17">
        <v>3</v>
      </c>
      <c r="H1835" s="17" t="s">
        <v>3701</v>
      </c>
      <c r="I1835" s="17">
        <v>0</v>
      </c>
      <c r="J1835" s="17"/>
      <c r="K1835" s="17"/>
      <c r="L1835" s="17"/>
      <c r="M1835" s="17"/>
      <c r="N1835" s="17"/>
      <c r="O1835" s="17"/>
      <c r="P1835" s="17"/>
      <c r="Q1835" s="17"/>
    </row>
    <row r="1836" spans="1:17">
      <c r="A1836" s="556" t="s">
        <v>3613</v>
      </c>
      <c r="B1836" s="557"/>
      <c r="C1836" s="558" t="s">
        <v>2069</v>
      </c>
      <c r="D1836" s="556" t="s">
        <v>4324</v>
      </c>
      <c r="E1836" s="17" t="s">
        <v>5278</v>
      </c>
      <c r="F1836" s="17">
        <v>1</v>
      </c>
      <c r="G1836" s="17">
        <v>4</v>
      </c>
      <c r="H1836" s="17" t="s">
        <v>3714</v>
      </c>
      <c r="I1836" s="17"/>
      <c r="J1836" s="17"/>
      <c r="K1836" s="17"/>
      <c r="L1836" s="17"/>
      <c r="M1836" s="17"/>
      <c r="N1836" s="17"/>
      <c r="O1836" s="17"/>
      <c r="P1836" s="17"/>
      <c r="Q1836" s="17"/>
    </row>
    <row r="1837" spans="1:17">
      <c r="A1837" s="556" t="s">
        <v>3613</v>
      </c>
      <c r="B1837" s="557"/>
      <c r="C1837" s="558" t="s">
        <v>2069</v>
      </c>
      <c r="D1837" s="556" t="s">
        <v>4326</v>
      </c>
      <c r="E1837" s="17" t="s">
        <v>5279</v>
      </c>
      <c r="F1837" s="17">
        <v>1</v>
      </c>
      <c r="G1837" s="17">
        <v>5</v>
      </c>
      <c r="H1837" s="17" t="s">
        <v>3720</v>
      </c>
      <c r="I1837" s="17"/>
      <c r="J1837" s="17"/>
      <c r="K1837" s="17"/>
      <c r="L1837" s="17"/>
      <c r="M1837" s="17"/>
      <c r="N1837" s="17"/>
      <c r="O1837" s="17"/>
      <c r="P1837" s="17"/>
      <c r="Q1837" s="17"/>
    </row>
    <row r="1838" spans="1:17">
      <c r="A1838" s="556" t="s">
        <v>3613</v>
      </c>
      <c r="B1838" s="557"/>
      <c r="C1838" s="558" t="s">
        <v>2069</v>
      </c>
      <c r="D1838" s="556" t="s">
        <v>9326</v>
      </c>
      <c r="E1838" s="17" t="s">
        <v>5280</v>
      </c>
      <c r="F1838" s="17">
        <v>1</v>
      </c>
      <c r="G1838" s="17">
        <v>6</v>
      </c>
      <c r="H1838" s="17" t="s">
        <v>3721</v>
      </c>
      <c r="I1838" s="17"/>
      <c r="J1838" s="17"/>
      <c r="K1838" s="17"/>
      <c r="L1838" s="17"/>
      <c r="M1838" s="17"/>
      <c r="N1838" s="17"/>
      <c r="O1838" s="17"/>
      <c r="P1838" s="17"/>
      <c r="Q1838" s="17"/>
    </row>
    <row r="1839" spans="1:17">
      <c r="A1839" s="556" t="s">
        <v>3613</v>
      </c>
      <c r="B1839" s="557"/>
      <c r="C1839" s="558" t="s">
        <v>2069</v>
      </c>
      <c r="D1839" s="556" t="s">
        <v>9327</v>
      </c>
      <c r="E1839" s="17" t="s">
        <v>5281</v>
      </c>
      <c r="F1839" s="17">
        <v>1</v>
      </c>
      <c r="G1839" s="17">
        <v>7</v>
      </c>
      <c r="H1839" s="17" t="s">
        <v>7813</v>
      </c>
      <c r="I1839" s="17"/>
      <c r="J1839" s="17"/>
      <c r="K1839" s="17"/>
      <c r="L1839" s="17"/>
      <c r="M1839" s="17"/>
      <c r="N1839" s="17"/>
      <c r="O1839" s="17"/>
      <c r="P1839" s="17"/>
      <c r="Q1839" s="17"/>
    </row>
    <row r="1840" spans="1:17">
      <c r="A1840" s="556" t="s">
        <v>3613</v>
      </c>
      <c r="B1840" s="557"/>
      <c r="C1840" s="558" t="s">
        <v>5282</v>
      </c>
      <c r="D1840" s="556" t="s">
        <v>1693</v>
      </c>
      <c r="E1840" s="17" t="s">
        <v>5283</v>
      </c>
      <c r="F1840" s="17">
        <v>2</v>
      </c>
      <c r="G1840" s="17">
        <v>1</v>
      </c>
      <c r="H1840" s="17" t="s">
        <v>3517</v>
      </c>
      <c r="I1840" s="17"/>
      <c r="J1840" s="17"/>
      <c r="K1840" s="17"/>
      <c r="L1840" s="17"/>
      <c r="M1840" s="17"/>
      <c r="N1840" s="17"/>
      <c r="O1840" s="17"/>
      <c r="P1840" s="17"/>
      <c r="Q1840" s="17"/>
    </row>
    <row r="1841" spans="1:17">
      <c r="A1841" s="556" t="s">
        <v>3613</v>
      </c>
      <c r="B1841" s="557"/>
      <c r="C1841" s="558" t="s">
        <v>5282</v>
      </c>
      <c r="D1841" s="556" t="s">
        <v>1694</v>
      </c>
      <c r="E1841" s="17" t="s">
        <v>5284</v>
      </c>
      <c r="F1841" s="17">
        <v>2</v>
      </c>
      <c r="G1841" s="17">
        <v>2</v>
      </c>
      <c r="H1841" s="17" t="s">
        <v>3518</v>
      </c>
      <c r="I1841" s="17"/>
      <c r="J1841" s="17"/>
      <c r="K1841" s="17"/>
      <c r="L1841" s="17"/>
      <c r="M1841" s="17"/>
      <c r="N1841" s="17"/>
      <c r="O1841" s="17"/>
      <c r="P1841" s="17"/>
      <c r="Q1841" s="17"/>
    </row>
    <row r="1842" spans="1:17">
      <c r="A1842" s="556" t="s">
        <v>3613</v>
      </c>
      <c r="B1842" s="557"/>
      <c r="C1842" s="558" t="s">
        <v>5282</v>
      </c>
      <c r="D1842" s="556" t="s">
        <v>4426</v>
      </c>
      <c r="E1842" s="17" t="s">
        <v>5285</v>
      </c>
      <c r="F1842" s="17">
        <v>2</v>
      </c>
      <c r="G1842" s="17">
        <v>3</v>
      </c>
      <c r="H1842" s="17" t="s">
        <v>3519</v>
      </c>
      <c r="I1842" s="17">
        <v>0</v>
      </c>
      <c r="J1842" s="17"/>
      <c r="K1842" s="17"/>
      <c r="L1842" s="17"/>
      <c r="M1842" s="17"/>
      <c r="N1842" s="17"/>
      <c r="O1842" s="17"/>
      <c r="P1842" s="17"/>
      <c r="Q1842" s="17"/>
    </row>
    <row r="1843" spans="1:17">
      <c r="A1843" s="556" t="s">
        <v>3613</v>
      </c>
      <c r="B1843" s="557"/>
      <c r="C1843" s="558" t="s">
        <v>5282</v>
      </c>
      <c r="D1843" s="556" t="s">
        <v>4324</v>
      </c>
      <c r="E1843" s="17" t="s">
        <v>5286</v>
      </c>
      <c r="F1843" s="17">
        <v>2</v>
      </c>
      <c r="G1843" s="17">
        <v>4</v>
      </c>
      <c r="H1843" s="17" t="s">
        <v>3520</v>
      </c>
      <c r="I1843" s="17"/>
      <c r="J1843" s="17"/>
      <c r="K1843" s="17"/>
      <c r="L1843" s="17"/>
      <c r="M1843" s="17"/>
      <c r="N1843" s="17"/>
      <c r="O1843" s="17"/>
      <c r="P1843" s="17"/>
      <c r="Q1843" s="17"/>
    </row>
    <row r="1844" spans="1:17">
      <c r="A1844" s="556" t="s">
        <v>3613</v>
      </c>
      <c r="B1844" s="557"/>
      <c r="C1844" s="558" t="s">
        <v>5282</v>
      </c>
      <c r="D1844" s="556" t="s">
        <v>4326</v>
      </c>
      <c r="E1844" s="17" t="s">
        <v>5287</v>
      </c>
      <c r="F1844" s="17">
        <v>2</v>
      </c>
      <c r="G1844" s="17">
        <v>5</v>
      </c>
      <c r="H1844" s="17" t="s">
        <v>3521</v>
      </c>
      <c r="I1844" s="17"/>
      <c r="J1844" s="17"/>
      <c r="K1844" s="17"/>
      <c r="L1844" s="17"/>
      <c r="M1844" s="17"/>
      <c r="N1844" s="17"/>
      <c r="O1844" s="17"/>
      <c r="P1844" s="17"/>
      <c r="Q1844" s="17"/>
    </row>
    <row r="1845" spans="1:17">
      <c r="A1845" s="556" t="s">
        <v>3613</v>
      </c>
      <c r="B1845" s="557"/>
      <c r="C1845" s="558" t="s">
        <v>5282</v>
      </c>
      <c r="D1845" s="556" t="s">
        <v>9326</v>
      </c>
      <c r="E1845" s="17" t="s">
        <v>5288</v>
      </c>
      <c r="F1845" s="17">
        <v>2</v>
      </c>
      <c r="G1845" s="17">
        <v>6</v>
      </c>
      <c r="H1845" s="17" t="s">
        <v>3505</v>
      </c>
      <c r="I1845" s="17"/>
      <c r="J1845" s="17"/>
      <c r="K1845" s="17"/>
      <c r="L1845" s="17"/>
      <c r="M1845" s="17"/>
      <c r="N1845" s="17"/>
      <c r="O1845" s="17"/>
      <c r="P1845" s="17"/>
      <c r="Q1845" s="17"/>
    </row>
    <row r="1846" spans="1:17">
      <c r="A1846" s="556" t="s">
        <v>3613</v>
      </c>
      <c r="B1846" s="557"/>
      <c r="C1846" s="558" t="s">
        <v>5282</v>
      </c>
      <c r="D1846" s="556" t="s">
        <v>9327</v>
      </c>
      <c r="E1846" s="17" t="s">
        <v>5289</v>
      </c>
      <c r="F1846" s="17">
        <v>2</v>
      </c>
      <c r="G1846" s="17">
        <v>7</v>
      </c>
      <c r="H1846" s="17" t="s">
        <v>3522</v>
      </c>
      <c r="I1846" s="17"/>
      <c r="J1846" s="17"/>
      <c r="K1846" s="17"/>
      <c r="L1846" s="17"/>
      <c r="M1846" s="17"/>
      <c r="N1846" s="17"/>
      <c r="O1846" s="17"/>
      <c r="P1846" s="17"/>
      <c r="Q1846" s="17"/>
    </row>
    <row r="1847" spans="1:17">
      <c r="A1847" s="556" t="s">
        <v>3613</v>
      </c>
      <c r="B1847" s="557"/>
      <c r="C1847" s="558" t="s">
        <v>5290</v>
      </c>
      <c r="D1847" s="556" t="s">
        <v>1693</v>
      </c>
      <c r="E1847" s="17" t="s">
        <v>5291</v>
      </c>
      <c r="F1847" s="17">
        <v>3</v>
      </c>
      <c r="G1847" s="17">
        <v>1</v>
      </c>
      <c r="H1847" s="17" t="s">
        <v>3326</v>
      </c>
      <c r="I1847" s="17"/>
      <c r="J1847" s="17"/>
      <c r="K1847" s="17"/>
      <c r="L1847" s="17"/>
      <c r="M1847" s="17"/>
      <c r="N1847" s="17"/>
      <c r="O1847" s="17"/>
      <c r="P1847" s="17"/>
      <c r="Q1847" s="17"/>
    </row>
    <row r="1848" spans="1:17">
      <c r="A1848" s="556" t="s">
        <v>3613</v>
      </c>
      <c r="B1848" s="557"/>
      <c r="C1848" s="558" t="s">
        <v>5290</v>
      </c>
      <c r="D1848" s="556" t="s">
        <v>1694</v>
      </c>
      <c r="E1848" s="17" t="s">
        <v>5292</v>
      </c>
      <c r="F1848" s="17">
        <v>3</v>
      </c>
      <c r="G1848" s="17">
        <v>2</v>
      </c>
      <c r="H1848" s="17" t="s">
        <v>2990</v>
      </c>
      <c r="I1848" s="17"/>
      <c r="J1848" s="17"/>
      <c r="K1848" s="17"/>
      <c r="L1848" s="17"/>
      <c r="M1848" s="17"/>
      <c r="N1848" s="17"/>
      <c r="O1848" s="17"/>
      <c r="P1848" s="17"/>
      <c r="Q1848" s="17"/>
    </row>
    <row r="1849" spans="1:17">
      <c r="A1849" s="556" t="s">
        <v>3613</v>
      </c>
      <c r="B1849" s="557"/>
      <c r="C1849" s="558" t="s">
        <v>5290</v>
      </c>
      <c r="D1849" s="556" t="s">
        <v>4426</v>
      </c>
      <c r="E1849" s="17" t="s">
        <v>5293</v>
      </c>
      <c r="F1849" s="17">
        <v>3</v>
      </c>
      <c r="G1849" s="17">
        <v>3</v>
      </c>
      <c r="H1849" s="17" t="s">
        <v>3338</v>
      </c>
      <c r="I1849" s="17">
        <v>0</v>
      </c>
      <c r="J1849" s="17"/>
      <c r="K1849" s="17"/>
      <c r="L1849" s="17"/>
      <c r="M1849" s="17"/>
      <c r="N1849" s="17"/>
      <c r="O1849" s="17"/>
      <c r="P1849" s="17"/>
      <c r="Q1849" s="17"/>
    </row>
    <row r="1850" spans="1:17">
      <c r="A1850" s="556" t="s">
        <v>3613</v>
      </c>
      <c r="B1850" s="557"/>
      <c r="C1850" s="558" t="s">
        <v>5290</v>
      </c>
      <c r="D1850" s="556" t="s">
        <v>4324</v>
      </c>
      <c r="E1850" s="17" t="s">
        <v>5294</v>
      </c>
      <c r="F1850" s="17">
        <v>3</v>
      </c>
      <c r="G1850" s="17">
        <v>4</v>
      </c>
      <c r="H1850" s="17" t="s">
        <v>2991</v>
      </c>
      <c r="I1850" s="17"/>
      <c r="J1850" s="17"/>
      <c r="K1850" s="17"/>
      <c r="L1850" s="17"/>
      <c r="M1850" s="17"/>
      <c r="N1850" s="17"/>
      <c r="O1850" s="17"/>
      <c r="P1850" s="17"/>
      <c r="Q1850" s="17"/>
    </row>
    <row r="1851" spans="1:17">
      <c r="A1851" s="556" t="s">
        <v>3613</v>
      </c>
      <c r="B1851" s="557"/>
      <c r="C1851" s="558" t="s">
        <v>5290</v>
      </c>
      <c r="D1851" s="556" t="s">
        <v>4326</v>
      </c>
      <c r="E1851" s="17" t="s">
        <v>5295</v>
      </c>
      <c r="F1851" s="17">
        <v>3</v>
      </c>
      <c r="G1851" s="17">
        <v>5</v>
      </c>
      <c r="H1851" s="17" t="s">
        <v>2992</v>
      </c>
      <c r="I1851" s="17"/>
      <c r="J1851" s="17"/>
      <c r="K1851" s="17"/>
      <c r="L1851" s="17"/>
      <c r="M1851" s="17"/>
      <c r="N1851" s="17"/>
      <c r="O1851" s="17"/>
      <c r="P1851" s="17"/>
      <c r="Q1851" s="17"/>
    </row>
    <row r="1852" spans="1:17">
      <c r="A1852" s="556" t="s">
        <v>3613</v>
      </c>
      <c r="B1852" s="557"/>
      <c r="C1852" s="558" t="s">
        <v>5290</v>
      </c>
      <c r="D1852" s="556" t="s">
        <v>9326</v>
      </c>
      <c r="E1852" s="17" t="s">
        <v>5296</v>
      </c>
      <c r="F1852" s="17">
        <v>3</v>
      </c>
      <c r="G1852" s="17">
        <v>6</v>
      </c>
      <c r="H1852" s="17" t="s">
        <v>3450</v>
      </c>
      <c r="I1852" s="17"/>
      <c r="J1852" s="17"/>
      <c r="K1852" s="17"/>
      <c r="L1852" s="17"/>
      <c r="M1852" s="17"/>
      <c r="N1852" s="17"/>
      <c r="O1852" s="17"/>
      <c r="P1852" s="17"/>
      <c r="Q1852" s="17"/>
    </row>
    <row r="1853" spans="1:17">
      <c r="A1853" s="556" t="s">
        <v>3613</v>
      </c>
      <c r="B1853" s="557"/>
      <c r="C1853" s="558" t="s">
        <v>5290</v>
      </c>
      <c r="D1853" s="556" t="s">
        <v>9327</v>
      </c>
      <c r="E1853" s="17" t="s">
        <v>5297</v>
      </c>
      <c r="F1853" s="17">
        <v>3</v>
      </c>
      <c r="G1853" s="17">
        <v>7</v>
      </c>
      <c r="H1853" s="17" t="s">
        <v>7803</v>
      </c>
      <c r="I1853" s="17"/>
      <c r="J1853" s="17"/>
      <c r="K1853" s="17"/>
      <c r="L1853" s="17"/>
      <c r="M1853" s="17"/>
      <c r="N1853" s="17"/>
      <c r="O1853" s="17"/>
      <c r="P1853" s="17"/>
      <c r="Q1853" s="17"/>
    </row>
    <row r="1854" spans="1:17">
      <c r="A1854" s="556" t="s">
        <v>3613</v>
      </c>
      <c r="B1854" s="557"/>
      <c r="C1854" s="558" t="s">
        <v>2072</v>
      </c>
      <c r="D1854" s="556" t="s">
        <v>1693</v>
      </c>
      <c r="E1854" s="17" t="s">
        <v>5298</v>
      </c>
      <c r="F1854" s="17">
        <v>4</v>
      </c>
      <c r="G1854" s="17">
        <v>1</v>
      </c>
      <c r="H1854" s="17" t="s">
        <v>3525</v>
      </c>
      <c r="I1854" s="17"/>
      <c r="J1854" s="17"/>
      <c r="K1854" s="17"/>
      <c r="L1854" s="17"/>
      <c r="M1854" s="17"/>
      <c r="N1854" s="17"/>
      <c r="O1854" s="17"/>
      <c r="P1854" s="17"/>
      <c r="Q1854" s="17"/>
    </row>
    <row r="1855" spans="1:17">
      <c r="A1855" s="556" t="s">
        <v>3613</v>
      </c>
      <c r="B1855" s="557"/>
      <c r="C1855" s="558" t="s">
        <v>2072</v>
      </c>
      <c r="D1855" s="556" t="s">
        <v>1694</v>
      </c>
      <c r="E1855" s="17" t="s">
        <v>5299</v>
      </c>
      <c r="F1855" s="17">
        <v>4</v>
      </c>
      <c r="G1855" s="17">
        <v>2</v>
      </c>
      <c r="H1855" s="17" t="s">
        <v>3339</v>
      </c>
      <c r="I1855" s="17"/>
      <c r="J1855" s="17"/>
      <c r="K1855" s="17"/>
      <c r="L1855" s="17"/>
      <c r="M1855" s="17"/>
      <c r="N1855" s="17"/>
      <c r="O1855" s="17"/>
      <c r="P1855" s="17"/>
      <c r="Q1855" s="17"/>
    </row>
    <row r="1856" spans="1:17">
      <c r="A1856" s="556" t="s">
        <v>3613</v>
      </c>
      <c r="B1856" s="557"/>
      <c r="C1856" s="558" t="s">
        <v>2072</v>
      </c>
      <c r="D1856" s="556" t="s">
        <v>4426</v>
      </c>
      <c r="E1856" s="17" t="s">
        <v>5300</v>
      </c>
      <c r="F1856" s="17">
        <v>4</v>
      </c>
      <c r="G1856" s="17">
        <v>3</v>
      </c>
      <c r="H1856" s="17" t="s">
        <v>3340</v>
      </c>
      <c r="I1856" s="17">
        <v>0</v>
      </c>
      <c r="J1856" s="17"/>
      <c r="K1856" s="17"/>
      <c r="L1856" s="17"/>
      <c r="M1856" s="17"/>
      <c r="N1856" s="17"/>
      <c r="O1856" s="17"/>
      <c r="P1856" s="17"/>
      <c r="Q1856" s="17"/>
    </row>
    <row r="1857" spans="1:17">
      <c r="A1857" s="556" t="s">
        <v>3613</v>
      </c>
      <c r="B1857" s="557"/>
      <c r="C1857" s="558" t="s">
        <v>2072</v>
      </c>
      <c r="D1857" s="556" t="s">
        <v>4324</v>
      </c>
      <c r="E1857" s="17" t="s">
        <v>5301</v>
      </c>
      <c r="F1857" s="17">
        <v>4</v>
      </c>
      <c r="G1857" s="17">
        <v>4</v>
      </c>
      <c r="H1857" s="17" t="s">
        <v>3341</v>
      </c>
      <c r="I1857" s="17"/>
      <c r="J1857" s="17"/>
      <c r="K1857" s="17"/>
      <c r="L1857" s="17"/>
      <c r="M1857" s="17"/>
      <c r="N1857" s="17"/>
      <c r="O1857" s="17"/>
      <c r="P1857" s="17"/>
      <c r="Q1857" s="17"/>
    </row>
    <row r="1858" spans="1:17">
      <c r="A1858" s="556" t="s">
        <v>3613</v>
      </c>
      <c r="B1858" s="557"/>
      <c r="C1858" s="558" t="s">
        <v>2072</v>
      </c>
      <c r="D1858" s="556" t="s">
        <v>4326</v>
      </c>
      <c r="E1858" s="17" t="s">
        <v>5302</v>
      </c>
      <c r="F1858" s="17">
        <v>4</v>
      </c>
      <c r="G1858" s="17">
        <v>5</v>
      </c>
      <c r="H1858" s="17" t="s">
        <v>3342</v>
      </c>
      <c r="I1858" s="17"/>
      <c r="J1858" s="17"/>
      <c r="K1858" s="17"/>
      <c r="L1858" s="17"/>
      <c r="M1858" s="17"/>
      <c r="N1858" s="17"/>
      <c r="O1858" s="17"/>
      <c r="P1858" s="17"/>
      <c r="Q1858" s="17"/>
    </row>
    <row r="1859" spans="1:17">
      <c r="A1859" s="556" t="s">
        <v>3613</v>
      </c>
      <c r="B1859" s="557"/>
      <c r="C1859" s="558" t="s">
        <v>2072</v>
      </c>
      <c r="D1859" s="556" t="s">
        <v>9326</v>
      </c>
      <c r="E1859" s="17" t="s">
        <v>5303</v>
      </c>
      <c r="F1859" s="17">
        <v>4</v>
      </c>
      <c r="G1859" s="17">
        <v>6</v>
      </c>
      <c r="H1859" s="17" t="s">
        <v>3451</v>
      </c>
      <c r="I1859" s="17"/>
      <c r="J1859" s="17"/>
      <c r="K1859" s="17"/>
      <c r="L1859" s="17"/>
      <c r="M1859" s="17"/>
      <c r="N1859" s="17"/>
      <c r="O1859" s="17"/>
      <c r="P1859" s="17"/>
      <c r="Q1859" s="17"/>
    </row>
    <row r="1860" spans="1:17">
      <c r="A1860" s="556" t="s">
        <v>3613</v>
      </c>
      <c r="B1860" s="557"/>
      <c r="C1860" s="558" t="s">
        <v>2072</v>
      </c>
      <c r="D1860" s="556" t="s">
        <v>9327</v>
      </c>
      <c r="E1860" s="17" t="s">
        <v>5304</v>
      </c>
      <c r="F1860" s="17">
        <v>4</v>
      </c>
      <c r="G1860" s="17">
        <v>7</v>
      </c>
      <c r="H1860" s="17" t="s">
        <v>7804</v>
      </c>
      <c r="I1860" s="17"/>
      <c r="J1860" s="17"/>
      <c r="K1860" s="17"/>
      <c r="L1860" s="17"/>
      <c r="M1860" s="17"/>
      <c r="N1860" s="17"/>
      <c r="O1860" s="17"/>
      <c r="P1860" s="17"/>
      <c r="Q1860" s="17"/>
    </row>
    <row r="1861" spans="1:17">
      <c r="A1861" s="556" t="s">
        <v>3613</v>
      </c>
      <c r="B1861" s="557"/>
      <c r="C1861" s="558" t="s">
        <v>2073</v>
      </c>
      <c r="D1861" s="556" t="s">
        <v>1693</v>
      </c>
      <c r="E1861" s="17" t="s">
        <v>5305</v>
      </c>
      <c r="F1861" s="17">
        <v>5</v>
      </c>
      <c r="G1861" s="17">
        <v>1</v>
      </c>
      <c r="H1861" s="17" t="s">
        <v>3697</v>
      </c>
      <c r="I1861" s="17"/>
      <c r="J1861" s="17"/>
      <c r="K1861" s="17"/>
      <c r="L1861" s="17"/>
      <c r="M1861" s="17"/>
      <c r="N1861" s="17"/>
      <c r="O1861" s="17"/>
      <c r="P1861" s="17"/>
      <c r="Q1861" s="17"/>
    </row>
    <row r="1862" spans="1:17">
      <c r="A1862" s="556" t="s">
        <v>3613</v>
      </c>
      <c r="B1862" s="557"/>
      <c r="C1862" s="558" t="s">
        <v>2073</v>
      </c>
      <c r="D1862" s="556" t="s">
        <v>1694</v>
      </c>
      <c r="E1862" s="17" t="s">
        <v>5306</v>
      </c>
      <c r="F1862" s="17">
        <v>5</v>
      </c>
      <c r="G1862" s="17">
        <v>2</v>
      </c>
      <c r="H1862" s="17" t="s">
        <v>3343</v>
      </c>
      <c r="I1862" s="17"/>
      <c r="J1862" s="17"/>
      <c r="K1862" s="17"/>
      <c r="L1862" s="17"/>
      <c r="M1862" s="17"/>
      <c r="N1862" s="17"/>
      <c r="O1862" s="17"/>
      <c r="P1862" s="17"/>
      <c r="Q1862" s="17"/>
    </row>
    <row r="1863" spans="1:17">
      <c r="A1863" s="556" t="s">
        <v>3613</v>
      </c>
      <c r="B1863" s="557"/>
      <c r="C1863" s="558" t="s">
        <v>2073</v>
      </c>
      <c r="D1863" s="556" t="s">
        <v>4426</v>
      </c>
      <c r="E1863" s="17" t="s">
        <v>5307</v>
      </c>
      <c r="F1863" s="17">
        <v>5</v>
      </c>
      <c r="G1863" s="17">
        <v>3</v>
      </c>
      <c r="H1863" s="17" t="s">
        <v>3344</v>
      </c>
      <c r="I1863" s="17">
        <v>0</v>
      </c>
      <c r="J1863" s="17"/>
      <c r="K1863" s="17"/>
      <c r="L1863" s="17"/>
      <c r="M1863" s="17"/>
      <c r="N1863" s="17"/>
      <c r="O1863" s="17"/>
      <c r="P1863" s="17"/>
      <c r="Q1863" s="17"/>
    </row>
    <row r="1864" spans="1:17">
      <c r="A1864" s="556" t="s">
        <v>3613</v>
      </c>
      <c r="B1864" s="557"/>
      <c r="C1864" s="558" t="s">
        <v>2073</v>
      </c>
      <c r="D1864" s="556" t="s">
        <v>4324</v>
      </c>
      <c r="E1864" s="17" t="s">
        <v>5308</v>
      </c>
      <c r="F1864" s="17">
        <v>5</v>
      </c>
      <c r="G1864" s="17">
        <v>4</v>
      </c>
      <c r="H1864" s="17" t="s">
        <v>3345</v>
      </c>
      <c r="I1864" s="17"/>
      <c r="J1864" s="17"/>
      <c r="K1864" s="17"/>
      <c r="L1864" s="17"/>
      <c r="M1864" s="17"/>
      <c r="N1864" s="17"/>
      <c r="O1864" s="17"/>
      <c r="P1864" s="17"/>
      <c r="Q1864" s="17"/>
    </row>
    <row r="1865" spans="1:17">
      <c r="A1865" s="556" t="s">
        <v>3613</v>
      </c>
      <c r="B1865" s="557"/>
      <c r="C1865" s="558" t="s">
        <v>2073</v>
      </c>
      <c r="D1865" s="556" t="s">
        <v>4326</v>
      </c>
      <c r="E1865" s="17" t="s">
        <v>5309</v>
      </c>
      <c r="F1865" s="17">
        <v>5</v>
      </c>
      <c r="G1865" s="17">
        <v>5</v>
      </c>
      <c r="H1865" s="17" t="s">
        <v>3346</v>
      </c>
      <c r="I1865" s="17"/>
      <c r="J1865" s="17"/>
      <c r="K1865" s="17"/>
      <c r="L1865" s="17"/>
      <c r="M1865" s="17"/>
      <c r="N1865" s="17"/>
      <c r="O1865" s="17"/>
      <c r="P1865" s="17"/>
      <c r="Q1865" s="17"/>
    </row>
    <row r="1866" spans="1:17">
      <c r="A1866" s="556" t="s">
        <v>3613</v>
      </c>
      <c r="B1866" s="557"/>
      <c r="C1866" s="558" t="s">
        <v>2073</v>
      </c>
      <c r="D1866" s="556" t="s">
        <v>9326</v>
      </c>
      <c r="E1866" s="17" t="s">
        <v>5310</v>
      </c>
      <c r="F1866" s="17">
        <v>5</v>
      </c>
      <c r="G1866" s="17">
        <v>6</v>
      </c>
      <c r="H1866" s="17" t="s">
        <v>3452</v>
      </c>
      <c r="I1866" s="17"/>
      <c r="J1866" s="17"/>
      <c r="K1866" s="17"/>
      <c r="L1866" s="17"/>
      <c r="M1866" s="17"/>
      <c r="N1866" s="17"/>
      <c r="O1866" s="17"/>
      <c r="P1866" s="17"/>
      <c r="Q1866" s="17"/>
    </row>
    <row r="1867" spans="1:17">
      <c r="A1867" s="556" t="s">
        <v>3613</v>
      </c>
      <c r="B1867" s="557"/>
      <c r="C1867" s="558" t="s">
        <v>2073</v>
      </c>
      <c r="D1867" s="556" t="s">
        <v>9327</v>
      </c>
      <c r="E1867" s="17" t="s">
        <v>5311</v>
      </c>
      <c r="F1867" s="17">
        <v>5</v>
      </c>
      <c r="G1867" s="17">
        <v>7</v>
      </c>
      <c r="H1867" s="17" t="s">
        <v>7805</v>
      </c>
      <c r="I1867" s="17"/>
      <c r="J1867" s="17"/>
      <c r="K1867" s="17"/>
      <c r="L1867" s="17"/>
      <c r="M1867" s="17"/>
      <c r="N1867" s="17"/>
      <c r="O1867" s="17"/>
      <c r="P1867" s="17"/>
      <c r="Q1867" s="17"/>
    </row>
    <row r="1868" spans="1:17">
      <c r="A1868" s="556" t="s">
        <v>3613</v>
      </c>
      <c r="B1868" s="557"/>
      <c r="C1868" s="558" t="s">
        <v>2074</v>
      </c>
      <c r="D1868" s="556" t="s">
        <v>1693</v>
      </c>
      <c r="E1868" s="17" t="s">
        <v>5312</v>
      </c>
      <c r="F1868" s="17">
        <v>6</v>
      </c>
      <c r="G1868" s="17">
        <v>1</v>
      </c>
      <c r="H1868" s="17" t="s">
        <v>7772</v>
      </c>
      <c r="I1868" s="17"/>
      <c r="J1868" s="17"/>
      <c r="K1868" s="17"/>
      <c r="L1868" s="17"/>
      <c r="M1868" s="17"/>
      <c r="N1868" s="17"/>
      <c r="O1868" s="17"/>
      <c r="P1868" s="17"/>
      <c r="Q1868" s="17"/>
    </row>
    <row r="1869" spans="1:17">
      <c r="A1869" s="556" t="s">
        <v>3613</v>
      </c>
      <c r="B1869" s="557"/>
      <c r="C1869" s="558" t="s">
        <v>2074</v>
      </c>
      <c r="D1869" s="556" t="s">
        <v>1694</v>
      </c>
      <c r="E1869" s="17" t="s">
        <v>5313</v>
      </c>
      <c r="F1869" s="17">
        <v>6</v>
      </c>
      <c r="G1869" s="17">
        <v>2</v>
      </c>
      <c r="H1869" s="17" t="s">
        <v>3347</v>
      </c>
      <c r="I1869" s="17"/>
      <c r="J1869" s="17"/>
      <c r="K1869" s="17"/>
      <c r="L1869" s="17"/>
      <c r="M1869" s="17"/>
      <c r="N1869" s="17"/>
      <c r="O1869" s="17"/>
      <c r="P1869" s="17"/>
      <c r="Q1869" s="17"/>
    </row>
    <row r="1870" spans="1:17">
      <c r="A1870" s="556" t="s">
        <v>3613</v>
      </c>
      <c r="B1870" s="557"/>
      <c r="C1870" s="558" t="s">
        <v>2074</v>
      </c>
      <c r="D1870" s="556" t="s">
        <v>4426</v>
      </c>
      <c r="E1870" s="17" t="s">
        <v>5314</v>
      </c>
      <c r="F1870" s="17">
        <v>6</v>
      </c>
      <c r="G1870" s="17">
        <v>3</v>
      </c>
      <c r="H1870" s="17" t="s">
        <v>3348</v>
      </c>
      <c r="I1870" s="17">
        <v>0</v>
      </c>
      <c r="J1870" s="17"/>
      <c r="K1870" s="17"/>
      <c r="L1870" s="17"/>
      <c r="M1870" s="17"/>
      <c r="N1870" s="17"/>
      <c r="O1870" s="17"/>
      <c r="P1870" s="17"/>
      <c r="Q1870" s="17"/>
    </row>
    <row r="1871" spans="1:17">
      <c r="A1871" s="556" t="s">
        <v>3613</v>
      </c>
      <c r="B1871" s="557"/>
      <c r="C1871" s="558" t="s">
        <v>2074</v>
      </c>
      <c r="D1871" s="556" t="s">
        <v>4324</v>
      </c>
      <c r="E1871" s="17" t="s">
        <v>5315</v>
      </c>
      <c r="F1871" s="17">
        <v>6</v>
      </c>
      <c r="G1871" s="17">
        <v>4</v>
      </c>
      <c r="H1871" s="17" t="s">
        <v>3349</v>
      </c>
      <c r="I1871" s="17"/>
      <c r="J1871" s="17"/>
      <c r="K1871" s="17"/>
      <c r="L1871" s="17"/>
      <c r="M1871" s="17"/>
      <c r="N1871" s="17"/>
      <c r="O1871" s="17"/>
      <c r="P1871" s="17"/>
      <c r="Q1871" s="17"/>
    </row>
    <row r="1872" spans="1:17">
      <c r="A1872" s="556" t="s">
        <v>3613</v>
      </c>
      <c r="B1872" s="557"/>
      <c r="C1872" s="558" t="s">
        <v>2074</v>
      </c>
      <c r="D1872" s="556" t="s">
        <v>4326</v>
      </c>
      <c r="E1872" s="17" t="s">
        <v>5316</v>
      </c>
      <c r="F1872" s="17">
        <v>6</v>
      </c>
      <c r="G1872" s="17">
        <v>5</v>
      </c>
      <c r="H1872" s="17" t="s">
        <v>3350</v>
      </c>
      <c r="I1872" s="17"/>
      <c r="J1872" s="17"/>
      <c r="K1872" s="17"/>
      <c r="L1872" s="17"/>
      <c r="M1872" s="17"/>
      <c r="N1872" s="17"/>
      <c r="O1872" s="17"/>
      <c r="P1872" s="17"/>
      <c r="Q1872" s="17"/>
    </row>
    <row r="1873" spans="1:17">
      <c r="A1873" s="556" t="s">
        <v>3613</v>
      </c>
      <c r="B1873" s="557"/>
      <c r="C1873" s="558" t="s">
        <v>2074</v>
      </c>
      <c r="D1873" s="556" t="s">
        <v>9326</v>
      </c>
      <c r="E1873" s="17" t="s">
        <v>5317</v>
      </c>
      <c r="F1873" s="17">
        <v>6</v>
      </c>
      <c r="G1873" s="17">
        <v>6</v>
      </c>
      <c r="H1873" s="17" t="s">
        <v>3453</v>
      </c>
      <c r="I1873" s="17"/>
      <c r="J1873" s="17"/>
      <c r="K1873" s="17"/>
      <c r="L1873" s="17"/>
      <c r="M1873" s="17"/>
      <c r="N1873" s="17"/>
      <c r="O1873" s="17"/>
      <c r="P1873" s="17"/>
      <c r="Q1873" s="17"/>
    </row>
    <row r="1874" spans="1:17">
      <c r="A1874" s="556" t="s">
        <v>3613</v>
      </c>
      <c r="B1874" s="557"/>
      <c r="C1874" s="558" t="s">
        <v>2074</v>
      </c>
      <c r="D1874" s="556" t="s">
        <v>9327</v>
      </c>
      <c r="E1874" s="17" t="s">
        <v>5318</v>
      </c>
      <c r="F1874" s="17">
        <v>6</v>
      </c>
      <c r="G1874" s="17">
        <v>7</v>
      </c>
      <c r="H1874" s="17" t="s">
        <v>7807</v>
      </c>
      <c r="I1874" s="17"/>
      <c r="J1874" s="17"/>
      <c r="K1874" s="17"/>
      <c r="L1874" s="17"/>
      <c r="M1874" s="17"/>
      <c r="N1874" s="17"/>
      <c r="O1874" s="17"/>
      <c r="P1874" s="17"/>
      <c r="Q1874" s="17"/>
    </row>
    <row r="1875" spans="1:17">
      <c r="A1875" s="556" t="s">
        <v>3613</v>
      </c>
      <c r="B1875" s="557"/>
      <c r="C1875" s="558" t="s">
        <v>2075</v>
      </c>
      <c r="D1875" s="556" t="s">
        <v>1693</v>
      </c>
      <c r="E1875" s="17" t="s">
        <v>5319</v>
      </c>
      <c r="F1875" s="17">
        <v>7</v>
      </c>
      <c r="G1875" s="17">
        <v>1</v>
      </c>
      <c r="H1875" s="17" t="s">
        <v>7774</v>
      </c>
      <c r="I1875" s="17"/>
      <c r="J1875" s="17"/>
      <c r="K1875" s="17"/>
      <c r="L1875" s="17"/>
      <c r="M1875" s="17"/>
      <c r="N1875" s="17"/>
      <c r="O1875" s="17"/>
      <c r="P1875" s="17"/>
      <c r="Q1875" s="17"/>
    </row>
    <row r="1876" spans="1:17">
      <c r="A1876" s="556" t="s">
        <v>3613</v>
      </c>
      <c r="B1876" s="557"/>
      <c r="C1876" s="558" t="s">
        <v>2075</v>
      </c>
      <c r="D1876" s="556" t="s">
        <v>1694</v>
      </c>
      <c r="E1876" s="17" t="s">
        <v>5320</v>
      </c>
      <c r="F1876" s="17">
        <v>7</v>
      </c>
      <c r="G1876" s="17">
        <v>2</v>
      </c>
      <c r="H1876" s="17" t="s">
        <v>3351</v>
      </c>
      <c r="I1876" s="17"/>
      <c r="J1876" s="17"/>
      <c r="K1876" s="17"/>
      <c r="L1876" s="17"/>
      <c r="M1876" s="17"/>
      <c r="N1876" s="17"/>
      <c r="O1876" s="17"/>
      <c r="P1876" s="17"/>
      <c r="Q1876" s="17"/>
    </row>
    <row r="1877" spans="1:17">
      <c r="A1877" s="556" t="s">
        <v>3613</v>
      </c>
      <c r="B1877" s="557"/>
      <c r="C1877" s="558" t="s">
        <v>2075</v>
      </c>
      <c r="D1877" s="556" t="s">
        <v>4426</v>
      </c>
      <c r="E1877" s="17" t="s">
        <v>5321</v>
      </c>
      <c r="F1877" s="17">
        <v>7</v>
      </c>
      <c r="G1877" s="17">
        <v>3</v>
      </c>
      <c r="H1877" s="17" t="s">
        <v>3352</v>
      </c>
      <c r="I1877" s="17">
        <v>0</v>
      </c>
      <c r="J1877" s="17"/>
      <c r="K1877" s="17"/>
      <c r="L1877" s="17"/>
      <c r="M1877" s="17"/>
      <c r="N1877" s="17"/>
      <c r="O1877" s="17"/>
      <c r="P1877" s="17"/>
      <c r="Q1877" s="17"/>
    </row>
    <row r="1878" spans="1:17">
      <c r="A1878" s="556" t="s">
        <v>3613</v>
      </c>
      <c r="B1878" s="557"/>
      <c r="C1878" s="558" t="s">
        <v>2075</v>
      </c>
      <c r="D1878" s="556" t="s">
        <v>4324</v>
      </c>
      <c r="E1878" s="17" t="s">
        <v>5322</v>
      </c>
      <c r="F1878" s="17">
        <v>7</v>
      </c>
      <c r="G1878" s="17">
        <v>4</v>
      </c>
      <c r="H1878" s="17" t="s">
        <v>3353</v>
      </c>
      <c r="I1878" s="17"/>
      <c r="J1878" s="17"/>
      <c r="K1878" s="17"/>
      <c r="L1878" s="17"/>
      <c r="M1878" s="17"/>
      <c r="N1878" s="17"/>
      <c r="O1878" s="17"/>
      <c r="P1878" s="17"/>
      <c r="Q1878" s="17"/>
    </row>
    <row r="1879" spans="1:17">
      <c r="A1879" s="556" t="s">
        <v>3613</v>
      </c>
      <c r="B1879" s="557"/>
      <c r="C1879" s="558" t="s">
        <v>2075</v>
      </c>
      <c r="D1879" s="556" t="s">
        <v>4326</v>
      </c>
      <c r="E1879" s="17" t="s">
        <v>5323</v>
      </c>
      <c r="F1879" s="17">
        <v>7</v>
      </c>
      <c r="G1879" s="17">
        <v>5</v>
      </c>
      <c r="H1879" s="17" t="s">
        <v>3354</v>
      </c>
      <c r="I1879" s="17"/>
      <c r="J1879" s="17"/>
      <c r="K1879" s="17"/>
      <c r="L1879" s="17"/>
      <c r="M1879" s="17"/>
      <c r="N1879" s="17"/>
      <c r="O1879" s="17"/>
      <c r="P1879" s="17"/>
      <c r="Q1879" s="17"/>
    </row>
    <row r="1880" spans="1:17">
      <c r="A1880" s="556" t="s">
        <v>3613</v>
      </c>
      <c r="B1880" s="557"/>
      <c r="C1880" s="558" t="s">
        <v>2075</v>
      </c>
      <c r="D1880" s="556" t="s">
        <v>9326</v>
      </c>
      <c r="E1880" s="17" t="s">
        <v>5324</v>
      </c>
      <c r="F1880" s="17">
        <v>7</v>
      </c>
      <c r="G1880" s="17">
        <v>6</v>
      </c>
      <c r="H1880" s="17" t="s">
        <v>3454</v>
      </c>
      <c r="I1880" s="17"/>
      <c r="J1880" s="17"/>
      <c r="K1880" s="17"/>
      <c r="L1880" s="17"/>
      <c r="M1880" s="17"/>
      <c r="N1880" s="17"/>
      <c r="O1880" s="17"/>
      <c r="P1880" s="17"/>
      <c r="Q1880" s="17"/>
    </row>
    <row r="1881" spans="1:17">
      <c r="A1881" s="556" t="s">
        <v>3613</v>
      </c>
      <c r="B1881" s="557"/>
      <c r="C1881" s="558" t="s">
        <v>2075</v>
      </c>
      <c r="D1881" s="556" t="s">
        <v>9327</v>
      </c>
      <c r="E1881" s="17" t="s">
        <v>5325</v>
      </c>
      <c r="F1881" s="17">
        <v>7</v>
      </c>
      <c r="G1881" s="17">
        <v>7</v>
      </c>
      <c r="H1881" s="17" t="s">
        <v>7809</v>
      </c>
      <c r="I1881" s="17"/>
      <c r="J1881" s="17"/>
      <c r="K1881" s="17"/>
      <c r="L1881" s="17"/>
      <c r="M1881" s="17"/>
      <c r="N1881" s="17"/>
      <c r="O1881" s="17"/>
      <c r="P1881" s="17"/>
      <c r="Q1881" s="17"/>
    </row>
    <row r="1882" spans="1:17">
      <c r="A1882" s="556" t="s">
        <v>3613</v>
      </c>
      <c r="B1882" s="557"/>
      <c r="C1882" s="558" t="s">
        <v>2076</v>
      </c>
      <c r="D1882" s="556" t="s">
        <v>1693</v>
      </c>
      <c r="E1882" s="17" t="s">
        <v>5326</v>
      </c>
      <c r="F1882" s="17">
        <v>8</v>
      </c>
      <c r="G1882" s="17">
        <v>1</v>
      </c>
      <c r="H1882" s="17" t="s">
        <v>7776</v>
      </c>
      <c r="I1882" s="17"/>
      <c r="J1882" s="17"/>
      <c r="K1882" s="17"/>
      <c r="L1882" s="17"/>
      <c r="M1882" s="17"/>
      <c r="N1882" s="17"/>
      <c r="O1882" s="17"/>
      <c r="P1882" s="17"/>
      <c r="Q1882" s="17"/>
    </row>
    <row r="1883" spans="1:17">
      <c r="A1883" s="556" t="s">
        <v>3613</v>
      </c>
      <c r="B1883" s="557"/>
      <c r="C1883" s="558" t="s">
        <v>2076</v>
      </c>
      <c r="D1883" s="556" t="s">
        <v>1694</v>
      </c>
      <c r="E1883" s="17" t="s">
        <v>5327</v>
      </c>
      <c r="F1883" s="17">
        <v>8</v>
      </c>
      <c r="G1883" s="17">
        <v>2</v>
      </c>
      <c r="H1883" s="17" t="s">
        <v>3355</v>
      </c>
      <c r="I1883" s="17"/>
      <c r="J1883" s="17"/>
      <c r="K1883" s="17"/>
      <c r="L1883" s="17"/>
      <c r="M1883" s="17"/>
      <c r="N1883" s="17"/>
      <c r="O1883" s="17"/>
      <c r="P1883" s="17"/>
      <c r="Q1883" s="17"/>
    </row>
    <row r="1884" spans="1:17">
      <c r="A1884" s="556" t="s">
        <v>3613</v>
      </c>
      <c r="B1884" s="557"/>
      <c r="C1884" s="558" t="s">
        <v>2076</v>
      </c>
      <c r="D1884" s="556" t="s">
        <v>4426</v>
      </c>
      <c r="E1884" s="17" t="s">
        <v>5328</v>
      </c>
      <c r="F1884" s="17">
        <v>8</v>
      </c>
      <c r="G1884" s="17">
        <v>3</v>
      </c>
      <c r="H1884" s="17" t="s">
        <v>3356</v>
      </c>
      <c r="I1884" s="17">
        <v>0</v>
      </c>
      <c r="J1884" s="17"/>
      <c r="K1884" s="17"/>
      <c r="L1884" s="17"/>
      <c r="M1884" s="17"/>
      <c r="N1884" s="17"/>
      <c r="O1884" s="17"/>
      <c r="P1884" s="17"/>
      <c r="Q1884" s="17"/>
    </row>
    <row r="1885" spans="1:17">
      <c r="A1885" s="556" t="s">
        <v>3613</v>
      </c>
      <c r="B1885" s="557"/>
      <c r="C1885" s="558" t="s">
        <v>2076</v>
      </c>
      <c r="D1885" s="556" t="s">
        <v>4324</v>
      </c>
      <c r="E1885" s="17" t="s">
        <v>5329</v>
      </c>
      <c r="F1885" s="17">
        <v>8</v>
      </c>
      <c r="G1885" s="17">
        <v>4</v>
      </c>
      <c r="H1885" s="17" t="s">
        <v>3357</v>
      </c>
      <c r="I1885" s="17"/>
      <c r="J1885" s="17"/>
      <c r="K1885" s="17"/>
      <c r="L1885" s="17"/>
      <c r="M1885" s="17"/>
      <c r="N1885" s="17"/>
      <c r="O1885" s="17"/>
      <c r="P1885" s="17"/>
      <c r="Q1885" s="17"/>
    </row>
    <row r="1886" spans="1:17">
      <c r="A1886" s="556" t="s">
        <v>3613</v>
      </c>
      <c r="B1886" s="557"/>
      <c r="C1886" s="558" t="s">
        <v>2076</v>
      </c>
      <c r="D1886" s="556" t="s">
        <v>4326</v>
      </c>
      <c r="E1886" s="17" t="s">
        <v>5330</v>
      </c>
      <c r="F1886" s="17">
        <v>8</v>
      </c>
      <c r="G1886" s="17">
        <v>5</v>
      </c>
      <c r="H1886" s="17" t="s">
        <v>3358</v>
      </c>
      <c r="I1886" s="17"/>
      <c r="J1886" s="17"/>
      <c r="K1886" s="17"/>
      <c r="L1886" s="17"/>
      <c r="M1886" s="17"/>
      <c r="N1886" s="17"/>
      <c r="O1886" s="17"/>
      <c r="P1886" s="17"/>
      <c r="Q1886" s="17"/>
    </row>
    <row r="1887" spans="1:17">
      <c r="A1887" s="556" t="s">
        <v>3613</v>
      </c>
      <c r="B1887" s="557"/>
      <c r="C1887" s="558" t="s">
        <v>2076</v>
      </c>
      <c r="D1887" s="556" t="s">
        <v>9326</v>
      </c>
      <c r="E1887" s="17" t="s">
        <v>5331</v>
      </c>
      <c r="F1887" s="17">
        <v>8</v>
      </c>
      <c r="G1887" s="17">
        <v>6</v>
      </c>
      <c r="H1887" s="17" t="s">
        <v>3455</v>
      </c>
      <c r="I1887" s="17"/>
      <c r="J1887" s="17"/>
      <c r="K1887" s="17"/>
      <c r="L1887" s="17"/>
      <c r="M1887" s="17"/>
      <c r="N1887" s="17"/>
      <c r="O1887" s="17"/>
      <c r="P1887" s="17"/>
      <c r="Q1887" s="17"/>
    </row>
    <row r="1888" spans="1:17">
      <c r="A1888" s="556" t="s">
        <v>3613</v>
      </c>
      <c r="B1888" s="557"/>
      <c r="C1888" s="558" t="s">
        <v>2076</v>
      </c>
      <c r="D1888" s="556" t="s">
        <v>9327</v>
      </c>
      <c r="E1888" s="17" t="s">
        <v>5332</v>
      </c>
      <c r="F1888" s="17">
        <v>8</v>
      </c>
      <c r="G1888" s="17">
        <v>7</v>
      </c>
      <c r="H1888" s="17" t="s">
        <v>7814</v>
      </c>
      <c r="I1888" s="17"/>
      <c r="J1888" s="17"/>
      <c r="K1888" s="17"/>
      <c r="L1888" s="17"/>
      <c r="M1888" s="17"/>
      <c r="N1888" s="17"/>
      <c r="O1888" s="17"/>
      <c r="P1888" s="17"/>
      <c r="Q1888" s="17"/>
    </row>
    <row r="1889" spans="1:17">
      <c r="A1889" s="556" t="s">
        <v>3613</v>
      </c>
      <c r="B1889" s="557"/>
      <c r="C1889" s="558" t="s">
        <v>2077</v>
      </c>
      <c r="D1889" s="556" t="s">
        <v>1693</v>
      </c>
      <c r="E1889" s="17" t="s">
        <v>5333</v>
      </c>
      <c r="F1889" s="17">
        <v>9</v>
      </c>
      <c r="G1889" s="17">
        <v>1</v>
      </c>
      <c r="H1889" s="17" t="s">
        <v>7778</v>
      </c>
      <c r="I1889" s="17"/>
      <c r="J1889" s="17"/>
      <c r="K1889" s="17"/>
      <c r="L1889" s="17"/>
      <c r="M1889" s="17"/>
      <c r="N1889" s="17"/>
      <c r="O1889" s="17"/>
      <c r="P1889" s="17"/>
      <c r="Q1889" s="17"/>
    </row>
    <row r="1890" spans="1:17">
      <c r="A1890" s="556" t="s">
        <v>3613</v>
      </c>
      <c r="B1890" s="557"/>
      <c r="C1890" s="558" t="s">
        <v>2077</v>
      </c>
      <c r="D1890" s="556" t="s">
        <v>1694</v>
      </c>
      <c r="E1890" s="17" t="s">
        <v>5334</v>
      </c>
      <c r="F1890" s="17">
        <v>9</v>
      </c>
      <c r="G1890" s="17">
        <v>2</v>
      </c>
      <c r="H1890" s="17" t="s">
        <v>3359</v>
      </c>
      <c r="I1890" s="17"/>
      <c r="J1890" s="17"/>
      <c r="K1890" s="17"/>
      <c r="L1890" s="17"/>
      <c r="M1890" s="17"/>
      <c r="N1890" s="17"/>
      <c r="O1890" s="17"/>
      <c r="P1890" s="17"/>
      <c r="Q1890" s="17"/>
    </row>
    <row r="1891" spans="1:17">
      <c r="A1891" s="556" t="s">
        <v>3613</v>
      </c>
      <c r="B1891" s="557"/>
      <c r="C1891" s="558" t="s">
        <v>2077</v>
      </c>
      <c r="D1891" s="556" t="s">
        <v>4426</v>
      </c>
      <c r="E1891" s="17" t="s">
        <v>5335</v>
      </c>
      <c r="F1891" s="17">
        <v>9</v>
      </c>
      <c r="G1891" s="17">
        <v>3</v>
      </c>
      <c r="H1891" s="17" t="s">
        <v>3360</v>
      </c>
      <c r="I1891" s="17">
        <v>0</v>
      </c>
      <c r="J1891" s="17"/>
      <c r="K1891" s="17"/>
      <c r="L1891" s="17"/>
      <c r="M1891" s="17"/>
      <c r="N1891" s="17"/>
      <c r="O1891" s="17"/>
      <c r="P1891" s="17"/>
      <c r="Q1891" s="17"/>
    </row>
    <row r="1892" spans="1:17">
      <c r="A1892" s="556" t="s">
        <v>3613</v>
      </c>
      <c r="B1892" s="557"/>
      <c r="C1892" s="558" t="s">
        <v>2077</v>
      </c>
      <c r="D1892" s="556" t="s">
        <v>4324</v>
      </c>
      <c r="E1892" s="17" t="s">
        <v>5336</v>
      </c>
      <c r="F1892" s="17">
        <v>9</v>
      </c>
      <c r="G1892" s="17">
        <v>4</v>
      </c>
      <c r="H1892" s="17" t="s">
        <v>3327</v>
      </c>
      <c r="I1892" s="17"/>
      <c r="J1892" s="17"/>
      <c r="K1892" s="17"/>
      <c r="L1892" s="17"/>
      <c r="M1892" s="17"/>
      <c r="N1892" s="17"/>
      <c r="O1892" s="17"/>
      <c r="P1892" s="17"/>
      <c r="Q1892" s="17"/>
    </row>
    <row r="1893" spans="1:17">
      <c r="A1893" s="556" t="s">
        <v>3613</v>
      </c>
      <c r="B1893" s="557"/>
      <c r="C1893" s="558" t="s">
        <v>2077</v>
      </c>
      <c r="D1893" s="556" t="s">
        <v>4326</v>
      </c>
      <c r="E1893" s="17" t="s">
        <v>5337</v>
      </c>
      <c r="F1893" s="17">
        <v>9</v>
      </c>
      <c r="G1893" s="17">
        <v>5</v>
      </c>
      <c r="H1893" s="17" t="s">
        <v>3361</v>
      </c>
      <c r="I1893" s="17"/>
      <c r="J1893" s="17"/>
      <c r="K1893" s="17"/>
      <c r="L1893" s="17"/>
      <c r="M1893" s="17"/>
      <c r="N1893" s="17"/>
      <c r="O1893" s="17"/>
      <c r="P1893" s="17"/>
      <c r="Q1893" s="17"/>
    </row>
    <row r="1894" spans="1:17">
      <c r="A1894" s="556" t="s">
        <v>3613</v>
      </c>
      <c r="B1894" s="557"/>
      <c r="C1894" s="558" t="s">
        <v>2077</v>
      </c>
      <c r="D1894" s="556" t="s">
        <v>9326</v>
      </c>
      <c r="E1894" s="17" t="s">
        <v>5338</v>
      </c>
      <c r="F1894" s="17">
        <v>9</v>
      </c>
      <c r="G1894" s="17">
        <v>6</v>
      </c>
      <c r="H1894" s="17" t="s">
        <v>3456</v>
      </c>
      <c r="I1894" s="17"/>
      <c r="J1894" s="17"/>
      <c r="K1894" s="17"/>
      <c r="L1894" s="17"/>
      <c r="M1894" s="17"/>
      <c r="N1894" s="17"/>
      <c r="O1894" s="17"/>
      <c r="P1894" s="17"/>
      <c r="Q1894" s="17"/>
    </row>
    <row r="1895" spans="1:17">
      <c r="A1895" s="556" t="s">
        <v>3613</v>
      </c>
      <c r="B1895" s="557"/>
      <c r="C1895" s="558" t="s">
        <v>2077</v>
      </c>
      <c r="D1895" s="556" t="s">
        <v>9327</v>
      </c>
      <c r="E1895" s="17" t="s">
        <v>5339</v>
      </c>
      <c r="F1895" s="17">
        <v>9</v>
      </c>
      <c r="G1895" s="17">
        <v>7</v>
      </c>
      <c r="H1895" s="17" t="s">
        <v>7815</v>
      </c>
      <c r="I1895" s="17"/>
      <c r="J1895" s="17"/>
      <c r="K1895" s="17"/>
      <c r="L1895" s="17"/>
      <c r="M1895" s="17"/>
      <c r="N1895" s="17"/>
      <c r="O1895" s="17"/>
      <c r="P1895" s="17"/>
      <c r="Q1895" s="17"/>
    </row>
    <row r="1896" spans="1:17">
      <c r="A1896" s="556" t="s">
        <v>3613</v>
      </c>
      <c r="B1896" s="557"/>
      <c r="C1896" s="558" t="s">
        <v>2078</v>
      </c>
      <c r="D1896" s="556" t="s">
        <v>1693</v>
      </c>
      <c r="E1896" s="17" t="s">
        <v>5340</v>
      </c>
      <c r="F1896" s="17">
        <v>10</v>
      </c>
      <c r="G1896" s="17">
        <v>1</v>
      </c>
      <c r="H1896" s="17" t="s">
        <v>7779</v>
      </c>
      <c r="I1896" s="17"/>
      <c r="J1896" s="17"/>
      <c r="K1896" s="17"/>
      <c r="L1896" s="17"/>
      <c r="M1896" s="17"/>
      <c r="N1896" s="17"/>
      <c r="O1896" s="17"/>
      <c r="P1896" s="17"/>
      <c r="Q1896" s="17"/>
    </row>
    <row r="1897" spans="1:17">
      <c r="A1897" s="556" t="s">
        <v>3613</v>
      </c>
      <c r="B1897" s="557"/>
      <c r="C1897" s="558" t="s">
        <v>2078</v>
      </c>
      <c r="D1897" s="556" t="s">
        <v>1694</v>
      </c>
      <c r="E1897" s="17" t="s">
        <v>5341</v>
      </c>
      <c r="F1897" s="17">
        <v>10</v>
      </c>
      <c r="G1897" s="17">
        <v>2</v>
      </c>
      <c r="H1897" s="17" t="s">
        <v>3362</v>
      </c>
      <c r="I1897" s="17"/>
      <c r="J1897" s="17"/>
      <c r="K1897" s="17"/>
      <c r="L1897" s="17"/>
      <c r="M1897" s="17"/>
      <c r="N1897" s="17"/>
      <c r="O1897" s="17"/>
      <c r="P1897" s="17"/>
      <c r="Q1897" s="17"/>
    </row>
    <row r="1898" spans="1:17">
      <c r="A1898" s="556" t="s">
        <v>3613</v>
      </c>
      <c r="B1898" s="557"/>
      <c r="C1898" s="558" t="s">
        <v>2078</v>
      </c>
      <c r="D1898" s="556" t="s">
        <v>4426</v>
      </c>
      <c r="E1898" s="17" t="s">
        <v>5342</v>
      </c>
      <c r="F1898" s="17">
        <v>10</v>
      </c>
      <c r="G1898" s="17">
        <v>3</v>
      </c>
      <c r="H1898" s="17" t="s">
        <v>3363</v>
      </c>
      <c r="I1898" s="17">
        <v>0</v>
      </c>
      <c r="J1898" s="17"/>
      <c r="K1898" s="17"/>
      <c r="L1898" s="17"/>
      <c r="M1898" s="17"/>
      <c r="N1898" s="17"/>
      <c r="O1898" s="17"/>
      <c r="P1898" s="17"/>
      <c r="Q1898" s="17"/>
    </row>
    <row r="1899" spans="1:17">
      <c r="A1899" s="556" t="s">
        <v>3613</v>
      </c>
      <c r="B1899" s="557"/>
      <c r="C1899" s="558" t="s">
        <v>2078</v>
      </c>
      <c r="D1899" s="556" t="s">
        <v>4324</v>
      </c>
      <c r="E1899" s="17" t="s">
        <v>5343</v>
      </c>
      <c r="F1899" s="17">
        <v>10</v>
      </c>
      <c r="G1899" s="17">
        <v>4</v>
      </c>
      <c r="H1899" s="17" t="s">
        <v>3364</v>
      </c>
      <c r="I1899" s="17"/>
      <c r="J1899" s="17"/>
      <c r="K1899" s="17"/>
      <c r="L1899" s="17"/>
      <c r="M1899" s="17"/>
      <c r="N1899" s="17"/>
      <c r="O1899" s="17"/>
      <c r="P1899" s="17"/>
      <c r="Q1899" s="17"/>
    </row>
    <row r="1900" spans="1:17">
      <c r="A1900" s="556" t="s">
        <v>3613</v>
      </c>
      <c r="B1900" s="557"/>
      <c r="C1900" s="558" t="s">
        <v>2078</v>
      </c>
      <c r="D1900" s="556" t="s">
        <v>4326</v>
      </c>
      <c r="E1900" s="17" t="s">
        <v>5344</v>
      </c>
      <c r="F1900" s="17">
        <v>10</v>
      </c>
      <c r="G1900" s="17">
        <v>5</v>
      </c>
      <c r="H1900" s="17" t="s">
        <v>3365</v>
      </c>
      <c r="I1900" s="17"/>
      <c r="J1900" s="17"/>
      <c r="K1900" s="17"/>
      <c r="L1900" s="17"/>
      <c r="M1900" s="17"/>
      <c r="N1900" s="17"/>
      <c r="O1900" s="17"/>
      <c r="P1900" s="17"/>
      <c r="Q1900" s="17"/>
    </row>
    <row r="1901" spans="1:17">
      <c r="A1901" s="556" t="s">
        <v>3613</v>
      </c>
      <c r="B1901" s="557"/>
      <c r="C1901" s="558" t="s">
        <v>2078</v>
      </c>
      <c r="D1901" s="556" t="s">
        <v>9326</v>
      </c>
      <c r="E1901" s="17" t="s">
        <v>5345</v>
      </c>
      <c r="F1901" s="17">
        <v>10</v>
      </c>
      <c r="G1901" s="17">
        <v>6</v>
      </c>
      <c r="H1901" s="17" t="s">
        <v>3457</v>
      </c>
      <c r="I1901" s="17"/>
      <c r="J1901" s="17"/>
      <c r="K1901" s="17"/>
      <c r="L1901" s="17"/>
      <c r="M1901" s="17"/>
      <c r="N1901" s="17"/>
      <c r="O1901" s="17"/>
      <c r="P1901" s="17"/>
      <c r="Q1901" s="17"/>
    </row>
    <row r="1902" spans="1:17">
      <c r="A1902" s="556" t="s">
        <v>3613</v>
      </c>
      <c r="B1902" s="557"/>
      <c r="C1902" s="558" t="s">
        <v>2078</v>
      </c>
      <c r="D1902" s="556" t="s">
        <v>9327</v>
      </c>
      <c r="E1902" s="17" t="s">
        <v>5346</v>
      </c>
      <c r="F1902" s="17">
        <v>10</v>
      </c>
      <c r="G1902" s="17">
        <v>7</v>
      </c>
      <c r="H1902" s="17" t="s">
        <v>7816</v>
      </c>
      <c r="I1902" s="17"/>
      <c r="J1902" s="17"/>
      <c r="K1902" s="17"/>
      <c r="L1902" s="17"/>
      <c r="M1902" s="17"/>
      <c r="N1902" s="17"/>
      <c r="O1902" s="17"/>
      <c r="P1902" s="17"/>
      <c r="Q1902" s="17"/>
    </row>
    <row r="1903" spans="1:17">
      <c r="A1903" s="556" t="s">
        <v>3613</v>
      </c>
      <c r="B1903" s="557"/>
      <c r="C1903" s="558" t="s">
        <v>2079</v>
      </c>
      <c r="D1903" s="556" t="s">
        <v>1693</v>
      </c>
      <c r="E1903" s="17" t="s">
        <v>5347</v>
      </c>
      <c r="F1903" s="17">
        <v>11</v>
      </c>
      <c r="G1903" s="17">
        <v>1</v>
      </c>
      <c r="H1903" s="17" t="s">
        <v>7781</v>
      </c>
      <c r="I1903" s="17">
        <v>0</v>
      </c>
      <c r="J1903" s="17"/>
      <c r="K1903" s="17"/>
      <c r="L1903" s="17"/>
      <c r="M1903" s="17"/>
      <c r="N1903" s="17"/>
      <c r="O1903" s="17"/>
      <c r="P1903" s="17"/>
      <c r="Q1903" s="17"/>
    </row>
    <row r="1904" spans="1:17">
      <c r="A1904" s="556" t="s">
        <v>3613</v>
      </c>
      <c r="B1904" s="557"/>
      <c r="C1904" s="558" t="s">
        <v>2079</v>
      </c>
      <c r="D1904" s="556" t="s">
        <v>1694</v>
      </c>
      <c r="E1904" s="17" t="s">
        <v>5348</v>
      </c>
      <c r="F1904" s="17">
        <v>11</v>
      </c>
      <c r="G1904" s="17">
        <v>2</v>
      </c>
      <c r="H1904" s="17" t="s">
        <v>3366</v>
      </c>
      <c r="I1904" s="17">
        <v>0</v>
      </c>
      <c r="J1904" s="17"/>
      <c r="K1904" s="17"/>
      <c r="L1904" s="17"/>
      <c r="M1904" s="17"/>
      <c r="N1904" s="17"/>
      <c r="O1904" s="17"/>
      <c r="P1904" s="17"/>
      <c r="Q1904" s="17"/>
    </row>
    <row r="1905" spans="1:17">
      <c r="A1905" s="556" t="s">
        <v>3613</v>
      </c>
      <c r="B1905" s="557"/>
      <c r="C1905" s="558" t="s">
        <v>2079</v>
      </c>
      <c r="D1905" s="556" t="s">
        <v>4426</v>
      </c>
      <c r="E1905" s="17" t="s">
        <v>5349</v>
      </c>
      <c r="F1905" s="17">
        <v>11</v>
      </c>
      <c r="G1905" s="17">
        <v>3</v>
      </c>
      <c r="H1905" s="17" t="s">
        <v>3367</v>
      </c>
      <c r="I1905" s="17">
        <v>0</v>
      </c>
      <c r="J1905" s="17"/>
      <c r="K1905" s="17"/>
      <c r="L1905" s="17"/>
      <c r="M1905" s="17"/>
      <c r="N1905" s="17"/>
      <c r="O1905" s="17"/>
      <c r="P1905" s="17"/>
      <c r="Q1905" s="17"/>
    </row>
    <row r="1906" spans="1:17">
      <c r="A1906" s="556" t="s">
        <v>3613</v>
      </c>
      <c r="B1906" s="557"/>
      <c r="C1906" s="558" t="s">
        <v>2079</v>
      </c>
      <c r="D1906" s="556" t="s">
        <v>4324</v>
      </c>
      <c r="E1906" s="17" t="s">
        <v>5350</v>
      </c>
      <c r="F1906" s="17">
        <v>11</v>
      </c>
      <c r="G1906" s="17">
        <v>4</v>
      </c>
      <c r="H1906" s="17" t="s">
        <v>3368</v>
      </c>
      <c r="I1906" s="17"/>
      <c r="J1906" s="17"/>
      <c r="K1906" s="17"/>
      <c r="L1906" s="17"/>
      <c r="M1906" s="17"/>
      <c r="N1906" s="17"/>
      <c r="O1906" s="17"/>
      <c r="P1906" s="17"/>
      <c r="Q1906" s="17"/>
    </row>
    <row r="1907" spans="1:17">
      <c r="A1907" s="556" t="s">
        <v>3613</v>
      </c>
      <c r="B1907" s="557"/>
      <c r="C1907" s="558" t="s">
        <v>2079</v>
      </c>
      <c r="D1907" s="556" t="s">
        <v>4326</v>
      </c>
      <c r="E1907" s="17" t="s">
        <v>5351</v>
      </c>
      <c r="F1907" s="17">
        <v>11</v>
      </c>
      <c r="G1907" s="17">
        <v>5</v>
      </c>
      <c r="H1907" s="17" t="s">
        <v>3369</v>
      </c>
      <c r="I1907" s="17">
        <v>0</v>
      </c>
      <c r="J1907" s="17"/>
      <c r="K1907" s="17"/>
      <c r="L1907" s="17"/>
      <c r="M1907" s="17"/>
      <c r="N1907" s="17"/>
      <c r="O1907" s="17"/>
      <c r="P1907" s="17"/>
      <c r="Q1907" s="17"/>
    </row>
    <row r="1908" spans="1:17">
      <c r="A1908" s="556" t="s">
        <v>3613</v>
      </c>
      <c r="B1908" s="557"/>
      <c r="C1908" s="558" t="s">
        <v>2079</v>
      </c>
      <c r="D1908" s="556" t="s">
        <v>9326</v>
      </c>
      <c r="E1908" s="17" t="s">
        <v>5352</v>
      </c>
      <c r="F1908" s="17">
        <v>11</v>
      </c>
      <c r="G1908" s="17">
        <v>6</v>
      </c>
      <c r="H1908" s="17" t="s">
        <v>3458</v>
      </c>
      <c r="I1908" s="17">
        <v>0</v>
      </c>
      <c r="J1908" s="17"/>
      <c r="K1908" s="17"/>
      <c r="L1908" s="17"/>
      <c r="M1908" s="17"/>
      <c r="N1908" s="17"/>
      <c r="O1908" s="17"/>
      <c r="P1908" s="17"/>
      <c r="Q1908" s="17"/>
    </row>
    <row r="1909" spans="1:17">
      <c r="A1909" s="556" t="s">
        <v>3613</v>
      </c>
      <c r="B1909" s="557"/>
      <c r="C1909" s="558" t="s">
        <v>2079</v>
      </c>
      <c r="D1909" s="556" t="s">
        <v>9327</v>
      </c>
      <c r="E1909" s="17" t="s">
        <v>5353</v>
      </c>
      <c r="F1909" s="17">
        <v>11</v>
      </c>
      <c r="G1909" s="17">
        <v>7</v>
      </c>
      <c r="H1909" s="17" t="s">
        <v>7817</v>
      </c>
      <c r="I1909" s="17">
        <v>0</v>
      </c>
      <c r="J1909" s="17"/>
      <c r="K1909" s="17"/>
      <c r="L1909" s="17"/>
      <c r="M1909" s="17"/>
      <c r="N1909" s="17"/>
      <c r="O1909" s="17"/>
      <c r="P1909" s="17"/>
      <c r="Q1909" s="17"/>
    </row>
    <row r="1910" spans="1:17">
      <c r="A1910" s="556" t="s">
        <v>3613</v>
      </c>
      <c r="B1910" s="557"/>
      <c r="C1910" s="558" t="s">
        <v>2080</v>
      </c>
      <c r="D1910" s="556" t="s">
        <v>1693</v>
      </c>
      <c r="E1910" s="17" t="s">
        <v>5354</v>
      </c>
      <c r="F1910" s="17">
        <v>12</v>
      </c>
      <c r="G1910" s="17">
        <v>1</v>
      </c>
      <c r="H1910" s="17" t="s">
        <v>7783</v>
      </c>
      <c r="I1910" s="17"/>
      <c r="J1910" s="17"/>
      <c r="K1910" s="17"/>
      <c r="L1910" s="17"/>
      <c r="M1910" s="17"/>
      <c r="N1910" s="17"/>
      <c r="O1910" s="17"/>
      <c r="P1910" s="17"/>
      <c r="Q1910" s="17"/>
    </row>
    <row r="1911" spans="1:17">
      <c r="A1911" s="556" t="s">
        <v>3613</v>
      </c>
      <c r="B1911" s="557"/>
      <c r="C1911" s="558" t="s">
        <v>2080</v>
      </c>
      <c r="D1911" s="556" t="s">
        <v>1694</v>
      </c>
      <c r="E1911" s="17" t="s">
        <v>5355</v>
      </c>
      <c r="F1911" s="17">
        <v>12</v>
      </c>
      <c r="G1911" s="17">
        <v>2</v>
      </c>
      <c r="H1911" s="17" t="s">
        <v>3370</v>
      </c>
      <c r="I1911" s="17"/>
      <c r="J1911" s="17"/>
      <c r="K1911" s="17"/>
      <c r="L1911" s="17"/>
      <c r="M1911" s="17"/>
      <c r="N1911" s="17"/>
      <c r="O1911" s="17"/>
      <c r="P1911" s="17"/>
      <c r="Q1911" s="17"/>
    </row>
    <row r="1912" spans="1:17">
      <c r="A1912" s="556" t="s">
        <v>3613</v>
      </c>
      <c r="B1912" s="557"/>
      <c r="C1912" s="558" t="s">
        <v>2080</v>
      </c>
      <c r="D1912" s="556" t="s">
        <v>4426</v>
      </c>
      <c r="E1912" s="17" t="s">
        <v>5356</v>
      </c>
      <c r="F1912" s="17">
        <v>12</v>
      </c>
      <c r="G1912" s="17">
        <v>3</v>
      </c>
      <c r="H1912" s="17" t="s">
        <v>3371</v>
      </c>
      <c r="I1912" s="17">
        <v>0</v>
      </c>
      <c r="J1912" s="17"/>
      <c r="K1912" s="17"/>
      <c r="L1912" s="17"/>
      <c r="M1912" s="17"/>
      <c r="N1912" s="17"/>
      <c r="O1912" s="17"/>
      <c r="P1912" s="17"/>
      <c r="Q1912" s="17"/>
    </row>
    <row r="1913" spans="1:17">
      <c r="A1913" s="556" t="s">
        <v>3613</v>
      </c>
      <c r="B1913" s="557"/>
      <c r="C1913" s="558" t="s">
        <v>2080</v>
      </c>
      <c r="D1913" s="556" t="s">
        <v>4324</v>
      </c>
      <c r="E1913" s="17" t="s">
        <v>5357</v>
      </c>
      <c r="F1913" s="17">
        <v>12</v>
      </c>
      <c r="G1913" s="17">
        <v>4</v>
      </c>
      <c r="H1913" s="17" t="s">
        <v>3372</v>
      </c>
      <c r="I1913" s="17"/>
      <c r="J1913" s="17"/>
      <c r="K1913" s="17"/>
      <c r="L1913" s="17"/>
      <c r="M1913" s="17"/>
      <c r="N1913" s="17"/>
      <c r="O1913" s="17"/>
      <c r="P1913" s="17"/>
      <c r="Q1913" s="17"/>
    </row>
    <row r="1914" spans="1:17">
      <c r="A1914" s="556" t="s">
        <v>3613</v>
      </c>
      <c r="B1914" s="557"/>
      <c r="C1914" s="558" t="s">
        <v>2080</v>
      </c>
      <c r="D1914" s="556" t="s">
        <v>4326</v>
      </c>
      <c r="E1914" s="17" t="s">
        <v>5358</v>
      </c>
      <c r="F1914" s="17">
        <v>12</v>
      </c>
      <c r="G1914" s="17">
        <v>5</v>
      </c>
      <c r="H1914" s="17" t="s">
        <v>3373</v>
      </c>
      <c r="I1914" s="17"/>
      <c r="J1914" s="17"/>
      <c r="K1914" s="17"/>
      <c r="L1914" s="17"/>
      <c r="M1914" s="17"/>
      <c r="N1914" s="17"/>
      <c r="O1914" s="17"/>
      <c r="P1914" s="17"/>
      <c r="Q1914" s="17"/>
    </row>
    <row r="1915" spans="1:17">
      <c r="A1915" s="556" t="s">
        <v>3613</v>
      </c>
      <c r="B1915" s="557"/>
      <c r="C1915" s="558" t="s">
        <v>2080</v>
      </c>
      <c r="D1915" s="556" t="s">
        <v>9326</v>
      </c>
      <c r="E1915" s="17" t="s">
        <v>5359</v>
      </c>
      <c r="F1915" s="17">
        <v>12</v>
      </c>
      <c r="G1915" s="17">
        <v>6</v>
      </c>
      <c r="H1915" s="17" t="s">
        <v>3459</v>
      </c>
      <c r="I1915" s="17"/>
      <c r="J1915" s="17"/>
      <c r="K1915" s="17"/>
      <c r="L1915" s="17"/>
      <c r="M1915" s="17"/>
      <c r="N1915" s="17"/>
      <c r="O1915" s="17"/>
      <c r="P1915" s="17"/>
      <c r="Q1915" s="17"/>
    </row>
    <row r="1916" spans="1:17">
      <c r="A1916" s="556" t="s">
        <v>3613</v>
      </c>
      <c r="B1916" s="557"/>
      <c r="C1916" s="558" t="s">
        <v>2080</v>
      </c>
      <c r="D1916" s="556" t="s">
        <v>9327</v>
      </c>
      <c r="E1916" s="17" t="s">
        <v>5360</v>
      </c>
      <c r="F1916" s="17">
        <v>12</v>
      </c>
      <c r="G1916" s="17">
        <v>7</v>
      </c>
      <c r="H1916" s="17" t="s">
        <v>7818</v>
      </c>
      <c r="I1916" s="17"/>
      <c r="J1916" s="17"/>
      <c r="K1916" s="17"/>
      <c r="L1916" s="17"/>
      <c r="M1916" s="17"/>
      <c r="N1916" s="17"/>
      <c r="O1916" s="17"/>
      <c r="P1916" s="17"/>
      <c r="Q1916" s="17"/>
    </row>
    <row r="1917" spans="1:17">
      <c r="A1917" s="556" t="s">
        <v>3613</v>
      </c>
      <c r="B1917" s="557"/>
      <c r="C1917" s="558" t="s">
        <v>2081</v>
      </c>
      <c r="D1917" s="556" t="s">
        <v>1693</v>
      </c>
      <c r="E1917" s="17" t="s">
        <v>5361</v>
      </c>
      <c r="F1917" s="17">
        <v>13</v>
      </c>
      <c r="G1917" s="17">
        <v>1</v>
      </c>
      <c r="H1917" s="17" t="s">
        <v>7785</v>
      </c>
      <c r="I1917" s="17"/>
      <c r="J1917" s="17"/>
      <c r="K1917" s="17"/>
      <c r="L1917" s="17"/>
      <c r="M1917" s="17"/>
      <c r="N1917" s="17"/>
      <c r="O1917" s="17"/>
      <c r="P1917" s="17"/>
      <c r="Q1917" s="17"/>
    </row>
    <row r="1918" spans="1:17">
      <c r="A1918" s="556" t="s">
        <v>3613</v>
      </c>
      <c r="B1918" s="557"/>
      <c r="C1918" s="558" t="s">
        <v>2081</v>
      </c>
      <c r="D1918" s="556" t="s">
        <v>1694</v>
      </c>
      <c r="E1918" s="17" t="s">
        <v>5362</v>
      </c>
      <c r="F1918" s="17">
        <v>13</v>
      </c>
      <c r="G1918" s="17">
        <v>2</v>
      </c>
      <c r="H1918" s="17" t="s">
        <v>3374</v>
      </c>
      <c r="I1918" s="17"/>
      <c r="J1918" s="17"/>
      <c r="K1918" s="17"/>
      <c r="L1918" s="17"/>
      <c r="M1918" s="17"/>
      <c r="N1918" s="17"/>
      <c r="O1918" s="17"/>
      <c r="P1918" s="17"/>
      <c r="Q1918" s="17"/>
    </row>
    <row r="1919" spans="1:17">
      <c r="A1919" s="556" t="s">
        <v>3613</v>
      </c>
      <c r="B1919" s="557"/>
      <c r="C1919" s="558" t="s">
        <v>2081</v>
      </c>
      <c r="D1919" s="556" t="s">
        <v>4426</v>
      </c>
      <c r="E1919" s="17" t="s">
        <v>5363</v>
      </c>
      <c r="F1919" s="17">
        <v>13</v>
      </c>
      <c r="G1919" s="17">
        <v>3</v>
      </c>
      <c r="H1919" s="17" t="s">
        <v>3375</v>
      </c>
      <c r="I1919" s="17">
        <v>0</v>
      </c>
      <c r="J1919" s="17"/>
      <c r="K1919" s="17"/>
      <c r="L1919" s="17"/>
      <c r="M1919" s="17"/>
      <c r="N1919" s="17"/>
      <c r="O1919" s="17"/>
      <c r="P1919" s="17"/>
      <c r="Q1919" s="17"/>
    </row>
    <row r="1920" spans="1:17">
      <c r="A1920" s="556" t="s">
        <v>3613</v>
      </c>
      <c r="B1920" s="557"/>
      <c r="C1920" s="558" t="s">
        <v>2081</v>
      </c>
      <c r="D1920" s="556" t="s">
        <v>4324</v>
      </c>
      <c r="E1920" s="17" t="s">
        <v>5364</v>
      </c>
      <c r="F1920" s="17">
        <v>13</v>
      </c>
      <c r="G1920" s="17">
        <v>4</v>
      </c>
      <c r="H1920" s="17" t="s">
        <v>3376</v>
      </c>
      <c r="I1920" s="17"/>
      <c r="J1920" s="17"/>
      <c r="K1920" s="17"/>
      <c r="L1920" s="17"/>
      <c r="M1920" s="17"/>
      <c r="N1920" s="17"/>
      <c r="O1920" s="17"/>
      <c r="P1920" s="17"/>
      <c r="Q1920" s="17"/>
    </row>
    <row r="1921" spans="1:17">
      <c r="A1921" s="556" t="s">
        <v>3613</v>
      </c>
      <c r="B1921" s="557"/>
      <c r="C1921" s="558" t="s">
        <v>2081</v>
      </c>
      <c r="D1921" s="556" t="s">
        <v>4326</v>
      </c>
      <c r="E1921" s="17" t="s">
        <v>5365</v>
      </c>
      <c r="F1921" s="17">
        <v>13</v>
      </c>
      <c r="G1921" s="17">
        <v>5</v>
      </c>
      <c r="H1921" s="17" t="s">
        <v>3377</v>
      </c>
      <c r="I1921" s="17"/>
      <c r="J1921" s="17"/>
      <c r="K1921" s="17"/>
      <c r="L1921" s="17"/>
      <c r="M1921" s="17"/>
      <c r="N1921" s="17"/>
      <c r="O1921" s="17"/>
      <c r="P1921" s="17"/>
      <c r="Q1921" s="17"/>
    </row>
    <row r="1922" spans="1:17">
      <c r="A1922" s="556" t="s">
        <v>3613</v>
      </c>
      <c r="B1922" s="557"/>
      <c r="C1922" s="558" t="s">
        <v>2081</v>
      </c>
      <c r="D1922" s="556" t="s">
        <v>9326</v>
      </c>
      <c r="E1922" s="17" t="s">
        <v>5366</v>
      </c>
      <c r="F1922" s="17">
        <v>13</v>
      </c>
      <c r="G1922" s="17">
        <v>6</v>
      </c>
      <c r="H1922" s="17" t="s">
        <v>3460</v>
      </c>
      <c r="I1922" s="17"/>
      <c r="J1922" s="17"/>
      <c r="K1922" s="17"/>
      <c r="L1922" s="17"/>
      <c r="M1922" s="17"/>
      <c r="N1922" s="17"/>
      <c r="O1922" s="17"/>
      <c r="P1922" s="17"/>
      <c r="Q1922" s="17"/>
    </row>
    <row r="1923" spans="1:17">
      <c r="A1923" s="556" t="s">
        <v>3613</v>
      </c>
      <c r="B1923" s="557"/>
      <c r="C1923" s="558" t="s">
        <v>2081</v>
      </c>
      <c r="D1923" s="556" t="s">
        <v>9327</v>
      </c>
      <c r="E1923" s="17" t="s">
        <v>5367</v>
      </c>
      <c r="F1923" s="17">
        <v>13</v>
      </c>
      <c r="G1923" s="17">
        <v>7</v>
      </c>
      <c r="H1923" s="17" t="s">
        <v>7819</v>
      </c>
      <c r="I1923" s="17"/>
      <c r="J1923" s="17"/>
      <c r="K1923" s="17"/>
      <c r="L1923" s="17"/>
      <c r="M1923" s="17"/>
      <c r="N1923" s="17"/>
      <c r="O1923" s="17"/>
      <c r="P1923" s="17"/>
      <c r="Q1923" s="17"/>
    </row>
    <row r="1924" spans="1:17">
      <c r="A1924" s="556" t="s">
        <v>3613</v>
      </c>
      <c r="B1924" s="557"/>
      <c r="C1924" s="558" t="s">
        <v>2082</v>
      </c>
      <c r="D1924" s="556" t="s">
        <v>1693</v>
      </c>
      <c r="E1924" s="17" t="s">
        <v>5368</v>
      </c>
      <c r="F1924" s="17">
        <v>14</v>
      </c>
      <c r="G1924" s="17">
        <v>1</v>
      </c>
      <c r="H1924" s="17" t="s">
        <v>3695</v>
      </c>
      <c r="I1924" s="17"/>
      <c r="J1924" s="17"/>
      <c r="K1924" s="17"/>
      <c r="L1924" s="17"/>
      <c r="M1924" s="17"/>
      <c r="N1924" s="17"/>
      <c r="O1924" s="17"/>
      <c r="P1924" s="17"/>
      <c r="Q1924" s="17"/>
    </row>
    <row r="1925" spans="1:17">
      <c r="A1925" s="556" t="s">
        <v>3613</v>
      </c>
      <c r="B1925" s="557"/>
      <c r="C1925" s="558" t="s">
        <v>2082</v>
      </c>
      <c r="D1925" s="556" t="s">
        <v>1694</v>
      </c>
      <c r="E1925" s="17" t="s">
        <v>5369</v>
      </c>
      <c r="F1925" s="17">
        <v>14</v>
      </c>
      <c r="G1925" s="17">
        <v>2</v>
      </c>
      <c r="H1925" s="17" t="s">
        <v>3378</v>
      </c>
      <c r="I1925" s="17"/>
      <c r="J1925" s="17"/>
      <c r="K1925" s="17"/>
      <c r="L1925" s="17"/>
      <c r="M1925" s="17"/>
      <c r="N1925" s="17"/>
      <c r="O1925" s="17"/>
      <c r="P1925" s="17"/>
      <c r="Q1925" s="17"/>
    </row>
    <row r="1926" spans="1:17">
      <c r="A1926" s="556" t="s">
        <v>3613</v>
      </c>
      <c r="B1926" s="557"/>
      <c r="C1926" s="558" t="s">
        <v>2082</v>
      </c>
      <c r="D1926" s="556" t="s">
        <v>4426</v>
      </c>
      <c r="E1926" s="17" t="s">
        <v>5370</v>
      </c>
      <c r="F1926" s="17">
        <v>14</v>
      </c>
      <c r="G1926" s="17">
        <v>3</v>
      </c>
      <c r="H1926" s="17" t="s">
        <v>3379</v>
      </c>
      <c r="I1926" s="17">
        <v>0</v>
      </c>
      <c r="J1926" s="17"/>
      <c r="K1926" s="17"/>
      <c r="L1926" s="17"/>
      <c r="M1926" s="17"/>
      <c r="N1926" s="17"/>
      <c r="O1926" s="17"/>
      <c r="P1926" s="17"/>
      <c r="Q1926" s="17"/>
    </row>
    <row r="1927" spans="1:17">
      <c r="A1927" s="556" t="s">
        <v>3613</v>
      </c>
      <c r="B1927" s="557"/>
      <c r="C1927" s="558" t="s">
        <v>2082</v>
      </c>
      <c r="D1927" s="556" t="s">
        <v>4324</v>
      </c>
      <c r="E1927" s="17" t="s">
        <v>5371</v>
      </c>
      <c r="F1927" s="17">
        <v>14</v>
      </c>
      <c r="G1927" s="17">
        <v>4</v>
      </c>
      <c r="H1927" s="17" t="s">
        <v>3380</v>
      </c>
      <c r="I1927" s="17"/>
      <c r="J1927" s="17"/>
      <c r="K1927" s="17"/>
      <c r="L1927" s="17"/>
      <c r="M1927" s="17"/>
      <c r="N1927" s="17"/>
      <c r="O1927" s="17"/>
      <c r="P1927" s="17"/>
      <c r="Q1927" s="17"/>
    </row>
    <row r="1928" spans="1:17">
      <c r="A1928" s="556" t="s">
        <v>3613</v>
      </c>
      <c r="B1928" s="557"/>
      <c r="C1928" s="558" t="s">
        <v>2082</v>
      </c>
      <c r="D1928" s="556" t="s">
        <v>4326</v>
      </c>
      <c r="E1928" s="17" t="s">
        <v>5372</v>
      </c>
      <c r="F1928" s="17">
        <v>14</v>
      </c>
      <c r="G1928" s="17">
        <v>5</v>
      </c>
      <c r="H1928" s="17" t="s">
        <v>3381</v>
      </c>
      <c r="I1928" s="17"/>
      <c r="J1928" s="17"/>
      <c r="K1928" s="17"/>
      <c r="L1928" s="17"/>
      <c r="M1928" s="17"/>
      <c r="N1928" s="17"/>
      <c r="O1928" s="17"/>
      <c r="P1928" s="17"/>
      <c r="Q1928" s="17"/>
    </row>
    <row r="1929" spans="1:17">
      <c r="A1929" s="556" t="s">
        <v>3613</v>
      </c>
      <c r="B1929" s="557"/>
      <c r="C1929" s="558" t="s">
        <v>2082</v>
      </c>
      <c r="D1929" s="556" t="s">
        <v>9326</v>
      </c>
      <c r="E1929" s="17" t="s">
        <v>5373</v>
      </c>
      <c r="F1929" s="17">
        <v>14</v>
      </c>
      <c r="G1929" s="17">
        <v>6</v>
      </c>
      <c r="H1929" s="17" t="s">
        <v>3461</v>
      </c>
      <c r="I1929" s="17"/>
      <c r="J1929" s="17"/>
      <c r="K1929" s="17"/>
      <c r="L1929" s="17"/>
      <c r="M1929" s="17"/>
      <c r="N1929" s="17"/>
      <c r="O1929" s="17"/>
      <c r="P1929" s="17"/>
      <c r="Q1929" s="17"/>
    </row>
    <row r="1930" spans="1:17">
      <c r="A1930" s="556" t="s">
        <v>3613</v>
      </c>
      <c r="B1930" s="557"/>
      <c r="C1930" s="558" t="s">
        <v>2082</v>
      </c>
      <c r="D1930" s="556" t="s">
        <v>9327</v>
      </c>
      <c r="E1930" s="17" t="s">
        <v>5374</v>
      </c>
      <c r="F1930" s="17">
        <v>14</v>
      </c>
      <c r="G1930" s="17">
        <v>7</v>
      </c>
      <c r="H1930" s="17" t="s">
        <v>7820</v>
      </c>
      <c r="I1930" s="17"/>
      <c r="J1930" s="17"/>
      <c r="K1930" s="17"/>
      <c r="L1930" s="17"/>
      <c r="M1930" s="17"/>
      <c r="N1930" s="17"/>
      <c r="O1930" s="17"/>
      <c r="P1930" s="17"/>
      <c r="Q1930" s="17"/>
    </row>
    <row r="1931" spans="1:17">
      <c r="A1931" s="556" t="s">
        <v>3613</v>
      </c>
      <c r="B1931" s="557"/>
      <c r="C1931" s="558" t="s">
        <v>2083</v>
      </c>
      <c r="D1931" s="556" t="s">
        <v>1693</v>
      </c>
      <c r="E1931" s="17" t="s">
        <v>5375</v>
      </c>
      <c r="F1931" s="17">
        <v>15</v>
      </c>
      <c r="G1931" s="17">
        <v>1</v>
      </c>
      <c r="H1931" s="17" t="s">
        <v>7788</v>
      </c>
      <c r="I1931" s="17"/>
      <c r="J1931" s="17"/>
      <c r="K1931" s="17"/>
      <c r="L1931" s="17"/>
      <c r="M1931" s="17"/>
      <c r="N1931" s="17"/>
      <c r="O1931" s="17"/>
      <c r="P1931" s="17"/>
      <c r="Q1931" s="17"/>
    </row>
    <row r="1932" spans="1:17">
      <c r="A1932" s="556" t="s">
        <v>3613</v>
      </c>
      <c r="B1932" s="557"/>
      <c r="C1932" s="558" t="s">
        <v>2083</v>
      </c>
      <c r="D1932" s="556" t="s">
        <v>1694</v>
      </c>
      <c r="E1932" s="17" t="s">
        <v>5376</v>
      </c>
      <c r="F1932" s="17">
        <v>15</v>
      </c>
      <c r="G1932" s="17">
        <v>2</v>
      </c>
      <c r="H1932" s="17" t="s">
        <v>3382</v>
      </c>
      <c r="I1932" s="17"/>
      <c r="J1932" s="17"/>
      <c r="K1932" s="17"/>
      <c r="L1932" s="17"/>
      <c r="M1932" s="17"/>
      <c r="N1932" s="17"/>
      <c r="O1932" s="17"/>
      <c r="P1932" s="17"/>
      <c r="Q1932" s="17"/>
    </row>
    <row r="1933" spans="1:17">
      <c r="A1933" s="556" t="s">
        <v>3613</v>
      </c>
      <c r="B1933" s="557"/>
      <c r="C1933" s="558" t="s">
        <v>2083</v>
      </c>
      <c r="D1933" s="556" t="s">
        <v>4426</v>
      </c>
      <c r="E1933" s="17" t="s">
        <v>5377</v>
      </c>
      <c r="F1933" s="17">
        <v>15</v>
      </c>
      <c r="G1933" s="17">
        <v>3</v>
      </c>
      <c r="H1933" s="17" t="s">
        <v>3383</v>
      </c>
      <c r="I1933" s="17">
        <v>0</v>
      </c>
      <c r="J1933" s="17"/>
      <c r="K1933" s="17"/>
      <c r="L1933" s="17"/>
      <c r="M1933" s="17"/>
      <c r="N1933" s="17"/>
      <c r="O1933" s="17"/>
      <c r="P1933" s="17"/>
      <c r="Q1933" s="17"/>
    </row>
    <row r="1934" spans="1:17">
      <c r="A1934" s="556" t="s">
        <v>3613</v>
      </c>
      <c r="B1934" s="557"/>
      <c r="C1934" s="558" t="s">
        <v>2083</v>
      </c>
      <c r="D1934" s="556" t="s">
        <v>4324</v>
      </c>
      <c r="E1934" s="17" t="s">
        <v>5378</v>
      </c>
      <c r="F1934" s="17">
        <v>15</v>
      </c>
      <c r="G1934" s="17">
        <v>4</v>
      </c>
      <c r="H1934" s="17" t="s">
        <v>3384</v>
      </c>
      <c r="I1934" s="17"/>
      <c r="J1934" s="17"/>
      <c r="K1934" s="17"/>
      <c r="L1934" s="17"/>
      <c r="M1934" s="17"/>
      <c r="N1934" s="17"/>
      <c r="O1934" s="17"/>
      <c r="P1934" s="17"/>
      <c r="Q1934" s="17"/>
    </row>
    <row r="1935" spans="1:17">
      <c r="A1935" s="556" t="s">
        <v>3613</v>
      </c>
      <c r="B1935" s="557"/>
      <c r="C1935" s="558" t="s">
        <v>2083</v>
      </c>
      <c r="D1935" s="556" t="s">
        <v>4326</v>
      </c>
      <c r="E1935" s="17" t="s">
        <v>5379</v>
      </c>
      <c r="F1935" s="17">
        <v>15</v>
      </c>
      <c r="G1935" s="17">
        <v>5</v>
      </c>
      <c r="H1935" s="17" t="s">
        <v>3385</v>
      </c>
      <c r="I1935" s="17"/>
      <c r="J1935" s="17"/>
      <c r="K1935" s="17"/>
      <c r="L1935" s="17"/>
      <c r="M1935" s="17"/>
      <c r="N1935" s="17"/>
      <c r="O1935" s="17"/>
      <c r="P1935" s="17"/>
      <c r="Q1935" s="17"/>
    </row>
    <row r="1936" spans="1:17">
      <c r="A1936" s="556" t="s">
        <v>3613</v>
      </c>
      <c r="B1936" s="557"/>
      <c r="C1936" s="558" t="s">
        <v>2083</v>
      </c>
      <c r="D1936" s="556" t="s">
        <v>9326</v>
      </c>
      <c r="E1936" s="17" t="s">
        <v>5380</v>
      </c>
      <c r="F1936" s="17">
        <v>15</v>
      </c>
      <c r="G1936" s="17">
        <v>6</v>
      </c>
      <c r="H1936" s="17" t="s">
        <v>3462</v>
      </c>
      <c r="I1936" s="17"/>
      <c r="J1936" s="17"/>
      <c r="K1936" s="17"/>
      <c r="L1936" s="17"/>
      <c r="M1936" s="17"/>
      <c r="N1936" s="17"/>
      <c r="O1936" s="17"/>
      <c r="P1936" s="17"/>
      <c r="Q1936" s="17"/>
    </row>
    <row r="1937" spans="1:17">
      <c r="A1937" s="556" t="s">
        <v>3613</v>
      </c>
      <c r="B1937" s="557"/>
      <c r="C1937" s="558" t="s">
        <v>2083</v>
      </c>
      <c r="D1937" s="556" t="s">
        <v>9327</v>
      </c>
      <c r="E1937" s="17" t="s">
        <v>5381</v>
      </c>
      <c r="F1937" s="17">
        <v>15</v>
      </c>
      <c r="G1937" s="17">
        <v>7</v>
      </c>
      <c r="H1937" s="17" t="s">
        <v>7821</v>
      </c>
      <c r="I1937" s="17"/>
      <c r="J1937" s="17"/>
      <c r="K1937" s="17"/>
      <c r="L1937" s="17"/>
      <c r="M1937" s="17"/>
      <c r="N1937" s="17"/>
      <c r="O1937" s="17"/>
      <c r="P1937" s="17"/>
      <c r="Q1937" s="17"/>
    </row>
    <row r="1938" spans="1:17">
      <c r="A1938" s="556" t="s">
        <v>3613</v>
      </c>
      <c r="B1938" s="557"/>
      <c r="C1938" s="558" t="s">
        <v>2084</v>
      </c>
      <c r="D1938" s="556" t="s">
        <v>1693</v>
      </c>
      <c r="E1938" s="17" t="s">
        <v>5382</v>
      </c>
      <c r="F1938" s="17">
        <v>16</v>
      </c>
      <c r="G1938" s="17">
        <v>1</v>
      </c>
      <c r="H1938" s="17" t="s">
        <v>7790</v>
      </c>
      <c r="I1938" s="17"/>
      <c r="J1938" s="17"/>
      <c r="K1938" s="17"/>
      <c r="L1938" s="17"/>
      <c r="M1938" s="17"/>
      <c r="N1938" s="17"/>
      <c r="O1938" s="17"/>
      <c r="P1938" s="17"/>
      <c r="Q1938" s="17"/>
    </row>
    <row r="1939" spans="1:17">
      <c r="A1939" s="556" t="s">
        <v>3613</v>
      </c>
      <c r="B1939" s="557"/>
      <c r="C1939" s="558" t="s">
        <v>2084</v>
      </c>
      <c r="D1939" s="556" t="s">
        <v>1694</v>
      </c>
      <c r="E1939" s="17" t="s">
        <v>5383</v>
      </c>
      <c r="F1939" s="17">
        <v>16</v>
      </c>
      <c r="G1939" s="17">
        <v>2</v>
      </c>
      <c r="H1939" s="17" t="s">
        <v>3386</v>
      </c>
      <c r="I1939" s="17"/>
      <c r="J1939" s="17"/>
      <c r="K1939" s="17"/>
      <c r="L1939" s="17"/>
      <c r="M1939" s="17"/>
      <c r="N1939" s="17"/>
      <c r="O1939" s="17"/>
      <c r="P1939" s="17"/>
      <c r="Q1939" s="17"/>
    </row>
    <row r="1940" spans="1:17">
      <c r="A1940" s="556" t="s">
        <v>3613</v>
      </c>
      <c r="B1940" s="557"/>
      <c r="C1940" s="558" t="s">
        <v>2084</v>
      </c>
      <c r="D1940" s="556" t="s">
        <v>4426</v>
      </c>
      <c r="E1940" s="17" t="s">
        <v>5384</v>
      </c>
      <c r="F1940" s="17">
        <v>16</v>
      </c>
      <c r="G1940" s="17">
        <v>3</v>
      </c>
      <c r="H1940" s="17" t="s">
        <v>3387</v>
      </c>
      <c r="I1940" s="17">
        <v>0</v>
      </c>
      <c r="J1940" s="17"/>
      <c r="K1940" s="17"/>
      <c r="L1940" s="17"/>
      <c r="M1940" s="17"/>
      <c r="N1940" s="17"/>
      <c r="O1940" s="17"/>
      <c r="P1940" s="17"/>
      <c r="Q1940" s="17"/>
    </row>
    <row r="1941" spans="1:17">
      <c r="A1941" s="556" t="s">
        <v>3613</v>
      </c>
      <c r="B1941" s="557"/>
      <c r="C1941" s="558" t="s">
        <v>2084</v>
      </c>
      <c r="D1941" s="556" t="s">
        <v>4324</v>
      </c>
      <c r="E1941" s="17" t="s">
        <v>5385</v>
      </c>
      <c r="F1941" s="17">
        <v>16</v>
      </c>
      <c r="G1941" s="17">
        <v>4</v>
      </c>
      <c r="H1941" s="17" t="s">
        <v>3388</v>
      </c>
      <c r="I1941" s="17"/>
      <c r="J1941" s="17"/>
      <c r="K1941" s="17"/>
      <c r="L1941" s="17"/>
      <c r="M1941" s="17"/>
      <c r="N1941" s="17"/>
      <c r="O1941" s="17"/>
      <c r="P1941" s="17"/>
      <c r="Q1941" s="17"/>
    </row>
    <row r="1942" spans="1:17">
      <c r="A1942" s="556" t="s">
        <v>3613</v>
      </c>
      <c r="B1942" s="557"/>
      <c r="C1942" s="558" t="s">
        <v>2084</v>
      </c>
      <c r="D1942" s="556" t="s">
        <v>4326</v>
      </c>
      <c r="E1942" s="17" t="s">
        <v>5386</v>
      </c>
      <c r="F1942" s="17">
        <v>16</v>
      </c>
      <c r="G1942" s="17">
        <v>5</v>
      </c>
      <c r="H1942" s="17" t="s">
        <v>3389</v>
      </c>
      <c r="I1942" s="17"/>
      <c r="J1942" s="17"/>
      <c r="K1942" s="17"/>
      <c r="L1942" s="17"/>
      <c r="M1942" s="17"/>
      <c r="N1942" s="17"/>
      <c r="O1942" s="17"/>
      <c r="P1942" s="17"/>
      <c r="Q1942" s="17"/>
    </row>
    <row r="1943" spans="1:17">
      <c r="A1943" s="556" t="s">
        <v>3613</v>
      </c>
      <c r="B1943" s="557"/>
      <c r="C1943" s="558" t="s">
        <v>2084</v>
      </c>
      <c r="D1943" s="556" t="s">
        <v>9326</v>
      </c>
      <c r="E1943" s="17" t="s">
        <v>5387</v>
      </c>
      <c r="F1943" s="17">
        <v>16</v>
      </c>
      <c r="G1943" s="17">
        <v>6</v>
      </c>
      <c r="H1943" s="17" t="s">
        <v>3463</v>
      </c>
      <c r="I1943" s="17"/>
      <c r="J1943" s="17"/>
      <c r="K1943" s="17"/>
      <c r="L1943" s="17"/>
      <c r="M1943" s="17"/>
      <c r="N1943" s="17"/>
      <c r="O1943" s="17"/>
      <c r="P1943" s="17"/>
      <c r="Q1943" s="17"/>
    </row>
    <row r="1944" spans="1:17">
      <c r="A1944" s="556" t="s">
        <v>3613</v>
      </c>
      <c r="B1944" s="557"/>
      <c r="C1944" s="558" t="s">
        <v>2084</v>
      </c>
      <c r="D1944" s="556" t="s">
        <v>9327</v>
      </c>
      <c r="E1944" s="17" t="s">
        <v>5388</v>
      </c>
      <c r="F1944" s="17">
        <v>16</v>
      </c>
      <c r="G1944" s="17">
        <v>7</v>
      </c>
      <c r="H1944" s="17" t="s">
        <v>7822</v>
      </c>
      <c r="I1944" s="17"/>
      <c r="J1944" s="17"/>
      <c r="K1944" s="17"/>
      <c r="L1944" s="17"/>
      <c r="M1944" s="17"/>
      <c r="N1944" s="17"/>
      <c r="O1944" s="17"/>
      <c r="P1944" s="17"/>
      <c r="Q1944" s="17"/>
    </row>
    <row r="1945" spans="1:17">
      <c r="A1945" s="556" t="s">
        <v>3613</v>
      </c>
      <c r="B1945" s="557"/>
      <c r="C1945" s="558" t="s">
        <v>2085</v>
      </c>
      <c r="D1945" s="556" t="s">
        <v>1693</v>
      </c>
      <c r="E1945" s="17" t="s">
        <v>5389</v>
      </c>
      <c r="F1945" s="17">
        <v>17</v>
      </c>
      <c r="G1945" s="17">
        <v>1</v>
      </c>
      <c r="H1945" s="17" t="s">
        <v>7792</v>
      </c>
      <c r="I1945" s="17">
        <v>0</v>
      </c>
      <c r="J1945" s="17"/>
      <c r="K1945" s="17"/>
      <c r="L1945" s="17"/>
      <c r="M1945" s="17"/>
      <c r="N1945" s="17"/>
      <c r="O1945" s="17"/>
      <c r="P1945" s="17"/>
      <c r="Q1945" s="17"/>
    </row>
    <row r="1946" spans="1:17">
      <c r="A1946" s="556" t="s">
        <v>3613</v>
      </c>
      <c r="B1946" s="557"/>
      <c r="C1946" s="558" t="s">
        <v>2085</v>
      </c>
      <c r="D1946" s="556" t="s">
        <v>1694</v>
      </c>
      <c r="E1946" s="17" t="s">
        <v>5390</v>
      </c>
      <c r="F1946" s="17">
        <v>17</v>
      </c>
      <c r="G1946" s="17">
        <v>2</v>
      </c>
      <c r="H1946" s="17" t="s">
        <v>3390</v>
      </c>
      <c r="I1946" s="17">
        <v>0</v>
      </c>
      <c r="J1946" s="17"/>
      <c r="K1946" s="17"/>
      <c r="L1946" s="17"/>
      <c r="M1946" s="17"/>
      <c r="N1946" s="17"/>
      <c r="O1946" s="17"/>
      <c r="P1946" s="17"/>
      <c r="Q1946" s="17"/>
    </row>
    <row r="1947" spans="1:17">
      <c r="A1947" s="556" t="s">
        <v>3613</v>
      </c>
      <c r="B1947" s="557"/>
      <c r="C1947" s="558" t="s">
        <v>2085</v>
      </c>
      <c r="D1947" s="556" t="s">
        <v>4426</v>
      </c>
      <c r="E1947" s="17" t="s">
        <v>5391</v>
      </c>
      <c r="F1947" s="17">
        <v>17</v>
      </c>
      <c r="G1947" s="17">
        <v>3</v>
      </c>
      <c r="H1947" s="17" t="s">
        <v>3391</v>
      </c>
      <c r="I1947" s="17">
        <v>0</v>
      </c>
      <c r="J1947" s="17"/>
      <c r="K1947" s="17"/>
      <c r="L1947" s="17"/>
      <c r="M1947" s="17"/>
      <c r="N1947" s="17"/>
      <c r="O1947" s="17"/>
      <c r="P1947" s="17"/>
      <c r="Q1947" s="17"/>
    </row>
    <row r="1948" spans="1:17">
      <c r="A1948" s="556" t="s">
        <v>3613</v>
      </c>
      <c r="B1948" s="557"/>
      <c r="C1948" s="558" t="s">
        <v>2085</v>
      </c>
      <c r="D1948" s="556" t="s">
        <v>4324</v>
      </c>
      <c r="E1948" s="17" t="s">
        <v>5392</v>
      </c>
      <c r="F1948" s="17">
        <v>17</v>
      </c>
      <c r="G1948" s="17">
        <v>4</v>
      </c>
      <c r="H1948" s="17" t="s">
        <v>3392</v>
      </c>
      <c r="I1948" s="17"/>
      <c r="J1948" s="17"/>
      <c r="K1948" s="17"/>
      <c r="L1948" s="17"/>
      <c r="M1948" s="17"/>
      <c r="N1948" s="17"/>
      <c r="O1948" s="17"/>
      <c r="P1948" s="17"/>
      <c r="Q1948" s="17"/>
    </row>
    <row r="1949" spans="1:17">
      <c r="A1949" s="556" t="s">
        <v>3613</v>
      </c>
      <c r="B1949" s="557"/>
      <c r="C1949" s="558" t="s">
        <v>2085</v>
      </c>
      <c r="D1949" s="556" t="s">
        <v>4326</v>
      </c>
      <c r="E1949" s="17" t="s">
        <v>5393</v>
      </c>
      <c r="F1949" s="17">
        <v>17</v>
      </c>
      <c r="G1949" s="17">
        <v>5</v>
      </c>
      <c r="H1949" s="17" t="s">
        <v>3393</v>
      </c>
      <c r="I1949" s="17">
        <v>0</v>
      </c>
      <c r="J1949" s="17"/>
      <c r="K1949" s="17"/>
      <c r="L1949" s="17"/>
      <c r="M1949" s="17"/>
      <c r="N1949" s="17"/>
      <c r="O1949" s="17"/>
      <c r="P1949" s="17"/>
      <c r="Q1949" s="17"/>
    </row>
    <row r="1950" spans="1:17">
      <c r="A1950" s="556" t="s">
        <v>3613</v>
      </c>
      <c r="B1950" s="557"/>
      <c r="C1950" s="558" t="s">
        <v>2085</v>
      </c>
      <c r="D1950" s="556" t="s">
        <v>9326</v>
      </c>
      <c r="E1950" s="17" t="s">
        <v>5394</v>
      </c>
      <c r="F1950" s="17">
        <v>17</v>
      </c>
      <c r="G1950" s="17">
        <v>6</v>
      </c>
      <c r="H1950" s="17" t="s">
        <v>3464</v>
      </c>
      <c r="I1950" s="17">
        <v>0</v>
      </c>
      <c r="J1950" s="17"/>
      <c r="K1950" s="17"/>
      <c r="L1950" s="17"/>
      <c r="M1950" s="17"/>
      <c r="N1950" s="17"/>
      <c r="O1950" s="17"/>
      <c r="P1950" s="17"/>
      <c r="Q1950" s="17"/>
    </row>
    <row r="1951" spans="1:17">
      <c r="A1951" s="556" t="s">
        <v>3613</v>
      </c>
      <c r="B1951" s="557"/>
      <c r="C1951" s="558" t="s">
        <v>2085</v>
      </c>
      <c r="D1951" s="556" t="s">
        <v>9327</v>
      </c>
      <c r="E1951" s="17" t="s">
        <v>5395</v>
      </c>
      <c r="F1951" s="17">
        <v>17</v>
      </c>
      <c r="G1951" s="17">
        <v>7</v>
      </c>
      <c r="H1951" s="17" t="s">
        <v>3694</v>
      </c>
      <c r="I1951" s="17">
        <v>0</v>
      </c>
      <c r="J1951" s="17"/>
      <c r="K1951" s="17"/>
      <c r="L1951" s="17"/>
      <c r="M1951" s="17"/>
      <c r="N1951" s="17"/>
      <c r="O1951" s="17"/>
      <c r="P1951" s="17"/>
      <c r="Q1951" s="17"/>
    </row>
    <row r="1952" spans="1:17">
      <c r="A1952" s="556" t="s">
        <v>3613</v>
      </c>
      <c r="B1952" s="557"/>
      <c r="C1952" s="558" t="s">
        <v>2086</v>
      </c>
      <c r="D1952" s="556" t="s">
        <v>1693</v>
      </c>
      <c r="E1952" s="17" t="s">
        <v>5396</v>
      </c>
      <c r="F1952" s="17">
        <v>18</v>
      </c>
      <c r="G1952" s="17">
        <v>1</v>
      </c>
      <c r="H1952" s="17" t="s">
        <v>7794</v>
      </c>
      <c r="I1952" s="17">
        <v>0</v>
      </c>
      <c r="J1952" s="17"/>
      <c r="K1952" s="17"/>
      <c r="L1952" s="17"/>
      <c r="M1952" s="17"/>
      <c r="N1952" s="17"/>
      <c r="O1952" s="17"/>
      <c r="P1952" s="17"/>
      <c r="Q1952" s="17"/>
    </row>
    <row r="1953" spans="1:17">
      <c r="A1953" s="556" t="s">
        <v>3613</v>
      </c>
      <c r="B1953" s="557"/>
      <c r="C1953" s="558" t="s">
        <v>2086</v>
      </c>
      <c r="D1953" s="556" t="s">
        <v>1694</v>
      </c>
      <c r="E1953" s="17" t="s">
        <v>5397</v>
      </c>
      <c r="F1953" s="17">
        <v>18</v>
      </c>
      <c r="G1953" s="17">
        <v>2</v>
      </c>
      <c r="H1953" s="17" t="s">
        <v>3394</v>
      </c>
      <c r="I1953" s="17">
        <v>0</v>
      </c>
      <c r="J1953" s="17"/>
      <c r="K1953" s="17"/>
      <c r="L1953" s="17"/>
      <c r="M1953" s="17"/>
      <c r="N1953" s="17"/>
      <c r="O1953" s="17"/>
      <c r="P1953" s="17"/>
      <c r="Q1953" s="17"/>
    </row>
    <row r="1954" spans="1:17">
      <c r="A1954" s="556" t="s">
        <v>3613</v>
      </c>
      <c r="B1954" s="557"/>
      <c r="C1954" s="558" t="s">
        <v>2086</v>
      </c>
      <c r="D1954" s="556" t="s">
        <v>4426</v>
      </c>
      <c r="E1954" s="17" t="s">
        <v>5398</v>
      </c>
      <c r="F1954" s="17">
        <v>18</v>
      </c>
      <c r="G1954" s="17">
        <v>3</v>
      </c>
      <c r="H1954" s="17" t="s">
        <v>3395</v>
      </c>
      <c r="I1954" s="17">
        <v>0</v>
      </c>
      <c r="J1954" s="17"/>
      <c r="K1954" s="17"/>
      <c r="L1954" s="17"/>
      <c r="M1954" s="17"/>
      <c r="N1954" s="17"/>
      <c r="O1954" s="17"/>
      <c r="P1954" s="17"/>
      <c r="Q1954" s="17"/>
    </row>
    <row r="1955" spans="1:17">
      <c r="A1955" s="556" t="s">
        <v>3613</v>
      </c>
      <c r="B1955" s="557"/>
      <c r="C1955" s="558" t="s">
        <v>2086</v>
      </c>
      <c r="D1955" s="556" t="s">
        <v>4324</v>
      </c>
      <c r="E1955" s="17" t="s">
        <v>5399</v>
      </c>
      <c r="F1955" s="17">
        <v>18</v>
      </c>
      <c r="G1955" s="17">
        <v>4</v>
      </c>
      <c r="H1955" s="17" t="s">
        <v>3396</v>
      </c>
      <c r="I1955" s="17"/>
      <c r="J1955" s="17"/>
      <c r="K1955" s="17"/>
      <c r="L1955" s="17"/>
      <c r="M1955" s="17"/>
      <c r="N1955" s="17"/>
      <c r="O1955" s="17"/>
      <c r="P1955" s="17"/>
      <c r="Q1955" s="17"/>
    </row>
    <row r="1956" spans="1:17">
      <c r="A1956" s="556" t="s">
        <v>3613</v>
      </c>
      <c r="B1956" s="557"/>
      <c r="C1956" s="558" t="s">
        <v>2086</v>
      </c>
      <c r="D1956" s="556" t="s">
        <v>4326</v>
      </c>
      <c r="E1956" s="17" t="s">
        <v>5400</v>
      </c>
      <c r="F1956" s="17">
        <v>18</v>
      </c>
      <c r="G1956" s="17">
        <v>5</v>
      </c>
      <c r="H1956" s="17" t="s">
        <v>3397</v>
      </c>
      <c r="I1956" s="17">
        <v>0</v>
      </c>
      <c r="J1956" s="17"/>
      <c r="K1956" s="17"/>
      <c r="L1956" s="17"/>
      <c r="M1956" s="17"/>
      <c r="N1956" s="17"/>
      <c r="O1956" s="17"/>
      <c r="P1956" s="17"/>
      <c r="Q1956" s="17"/>
    </row>
    <row r="1957" spans="1:17">
      <c r="A1957" s="556" t="s">
        <v>3613</v>
      </c>
      <c r="B1957" s="557"/>
      <c r="C1957" s="558" t="s">
        <v>2086</v>
      </c>
      <c r="D1957" s="556" t="s">
        <v>9326</v>
      </c>
      <c r="E1957" s="17" t="s">
        <v>5401</v>
      </c>
      <c r="F1957" s="17">
        <v>18</v>
      </c>
      <c r="G1957" s="17">
        <v>6</v>
      </c>
      <c r="H1957" s="17" t="s">
        <v>3465</v>
      </c>
      <c r="I1957" s="17">
        <v>0</v>
      </c>
      <c r="J1957" s="17"/>
      <c r="K1957" s="17"/>
      <c r="L1957" s="17"/>
      <c r="M1957" s="17"/>
      <c r="N1957" s="17"/>
      <c r="O1957" s="17"/>
      <c r="P1957" s="17"/>
      <c r="Q1957" s="17"/>
    </row>
    <row r="1958" spans="1:17">
      <c r="A1958" s="556" t="s">
        <v>3613</v>
      </c>
      <c r="B1958" s="557"/>
      <c r="C1958" s="558" t="s">
        <v>2086</v>
      </c>
      <c r="D1958" s="556" t="s">
        <v>9327</v>
      </c>
      <c r="E1958" s="17" t="s">
        <v>5402</v>
      </c>
      <c r="F1958" s="17">
        <v>18</v>
      </c>
      <c r="G1958" s="17">
        <v>7</v>
      </c>
      <c r="H1958" s="17" t="s">
        <v>7832</v>
      </c>
      <c r="I1958" s="17">
        <v>0</v>
      </c>
      <c r="J1958" s="17"/>
      <c r="K1958" s="17"/>
      <c r="L1958" s="17"/>
      <c r="M1958" s="17"/>
      <c r="N1958" s="17"/>
      <c r="O1958" s="17"/>
      <c r="P1958" s="17"/>
      <c r="Q1958" s="17"/>
    </row>
    <row r="1959" spans="1:17">
      <c r="A1959" s="556" t="s">
        <v>3614</v>
      </c>
      <c r="B1959" s="557"/>
      <c r="C1959" s="558" t="s">
        <v>1558</v>
      </c>
      <c r="D1959" s="556" t="s">
        <v>1693</v>
      </c>
      <c r="E1959" s="17" t="s">
        <v>5403</v>
      </c>
      <c r="F1959" s="17">
        <v>1</v>
      </c>
      <c r="G1959" s="17">
        <v>1</v>
      </c>
      <c r="H1959" s="17" t="s">
        <v>3696</v>
      </c>
      <c r="I1959" s="17"/>
      <c r="J1959" s="17"/>
      <c r="K1959" s="17"/>
      <c r="L1959" s="17"/>
      <c r="M1959" s="17"/>
      <c r="N1959" s="17"/>
      <c r="O1959" s="17"/>
      <c r="P1959" s="17"/>
      <c r="Q1959" s="17"/>
    </row>
    <row r="1960" spans="1:17">
      <c r="A1960" s="556" t="s">
        <v>3614</v>
      </c>
      <c r="B1960" s="557"/>
      <c r="C1960" s="558" t="s">
        <v>1558</v>
      </c>
      <c r="D1960" s="556" t="s">
        <v>1694</v>
      </c>
      <c r="E1960" s="17" t="s">
        <v>5404</v>
      </c>
      <c r="F1960" s="17">
        <v>1</v>
      </c>
      <c r="G1960" s="17">
        <v>2</v>
      </c>
      <c r="H1960" s="17" t="s">
        <v>3692</v>
      </c>
      <c r="I1960" s="17"/>
      <c r="J1960" s="17"/>
      <c r="K1960" s="17"/>
      <c r="L1960" s="17"/>
      <c r="M1960" s="17"/>
      <c r="N1960" s="17"/>
      <c r="O1960" s="17"/>
      <c r="P1960" s="17"/>
      <c r="Q1960" s="17"/>
    </row>
    <row r="1961" spans="1:17">
      <c r="A1961" s="556" t="s">
        <v>3614</v>
      </c>
      <c r="B1961" s="557"/>
      <c r="C1961" s="558" t="s">
        <v>1558</v>
      </c>
      <c r="D1961" s="556" t="s">
        <v>4426</v>
      </c>
      <c r="E1961" s="17" t="s">
        <v>5405</v>
      </c>
      <c r="F1961" s="17">
        <v>1</v>
      </c>
      <c r="G1961" s="17">
        <v>3</v>
      </c>
      <c r="H1961" s="17" t="s">
        <v>3701</v>
      </c>
      <c r="I1961" s="17">
        <v>0</v>
      </c>
      <c r="J1961" s="17"/>
      <c r="K1961" s="17"/>
      <c r="L1961" s="17"/>
      <c r="M1961" s="17"/>
      <c r="N1961" s="17"/>
      <c r="O1961" s="17"/>
      <c r="P1961" s="17"/>
      <c r="Q1961" s="17"/>
    </row>
    <row r="1962" spans="1:17">
      <c r="A1962" s="556" t="s">
        <v>3614</v>
      </c>
      <c r="B1962" s="557"/>
      <c r="C1962" s="558" t="s">
        <v>1558</v>
      </c>
      <c r="D1962" s="556" t="s">
        <v>4324</v>
      </c>
      <c r="E1962" s="17" t="s">
        <v>5406</v>
      </c>
      <c r="F1962" s="17">
        <v>1</v>
      </c>
      <c r="G1962" s="17">
        <v>4</v>
      </c>
      <c r="H1962" s="17" t="s">
        <v>3714</v>
      </c>
      <c r="I1962" s="17"/>
      <c r="J1962" s="17"/>
      <c r="K1962" s="17"/>
      <c r="L1962" s="17"/>
      <c r="M1962" s="17"/>
      <c r="N1962" s="17"/>
      <c r="O1962" s="17"/>
      <c r="P1962" s="17"/>
      <c r="Q1962" s="17"/>
    </row>
    <row r="1963" spans="1:17">
      <c r="A1963" s="556" t="s">
        <v>3614</v>
      </c>
      <c r="B1963" s="557"/>
      <c r="C1963" s="558" t="s">
        <v>1558</v>
      </c>
      <c r="D1963" s="556" t="s">
        <v>4944</v>
      </c>
      <c r="E1963" s="17" t="s">
        <v>5407</v>
      </c>
      <c r="F1963" s="17">
        <v>1</v>
      </c>
      <c r="G1963" s="17">
        <v>5</v>
      </c>
      <c r="H1963" s="17" t="s">
        <v>3720</v>
      </c>
      <c r="I1963" s="17"/>
      <c r="J1963" s="17"/>
      <c r="K1963" s="17"/>
      <c r="L1963" s="17"/>
      <c r="M1963" s="17"/>
      <c r="N1963" s="17"/>
      <c r="O1963" s="17"/>
      <c r="P1963" s="17"/>
      <c r="Q1963" s="17"/>
    </row>
    <row r="1964" spans="1:17">
      <c r="A1964" s="556" t="s">
        <v>3614</v>
      </c>
      <c r="B1964" s="557"/>
      <c r="C1964" s="558" t="s">
        <v>1558</v>
      </c>
      <c r="D1964" s="556" t="s">
        <v>9328</v>
      </c>
      <c r="E1964" s="17" t="s">
        <v>5408</v>
      </c>
      <c r="F1964" s="17">
        <v>1</v>
      </c>
      <c r="G1964" s="17">
        <v>6</v>
      </c>
      <c r="H1964" s="17" t="s">
        <v>3721</v>
      </c>
      <c r="I1964" s="17"/>
      <c r="J1964" s="17"/>
      <c r="K1964" s="17"/>
      <c r="L1964" s="17"/>
      <c r="M1964" s="17"/>
      <c r="N1964" s="17"/>
      <c r="O1964" s="17"/>
      <c r="P1964" s="17"/>
      <c r="Q1964" s="17"/>
    </row>
    <row r="1965" spans="1:17">
      <c r="A1965" s="556" t="s">
        <v>3614</v>
      </c>
      <c r="B1965" s="557"/>
      <c r="C1965" s="558" t="s">
        <v>1558</v>
      </c>
      <c r="D1965" s="556" t="s">
        <v>9329</v>
      </c>
      <c r="E1965" s="17" t="s">
        <v>5409</v>
      </c>
      <c r="F1965" s="17">
        <v>1</v>
      </c>
      <c r="G1965" s="17">
        <v>7</v>
      </c>
      <c r="H1965" s="17" t="s">
        <v>7813</v>
      </c>
      <c r="I1965" s="17"/>
      <c r="J1965" s="17"/>
      <c r="K1965" s="17"/>
      <c r="L1965" s="17"/>
      <c r="M1965" s="17"/>
      <c r="N1965" s="17"/>
      <c r="O1965" s="17"/>
      <c r="P1965" s="17"/>
      <c r="Q1965" s="17"/>
    </row>
    <row r="1966" spans="1:17">
      <c r="A1966" s="556" t="s">
        <v>3614</v>
      </c>
      <c r="B1966" s="557"/>
      <c r="C1966" s="558" t="s">
        <v>2093</v>
      </c>
      <c r="D1966" s="556" t="s">
        <v>1693</v>
      </c>
      <c r="E1966" s="17" t="s">
        <v>5410</v>
      </c>
      <c r="F1966" s="17">
        <v>2</v>
      </c>
      <c r="G1966" s="17">
        <v>1</v>
      </c>
      <c r="H1966" s="17" t="s">
        <v>3517</v>
      </c>
      <c r="I1966" s="17"/>
      <c r="J1966" s="17"/>
      <c r="K1966" s="17"/>
      <c r="L1966" s="17"/>
      <c r="M1966" s="17"/>
      <c r="N1966" s="17"/>
      <c r="O1966" s="17"/>
      <c r="P1966" s="17"/>
      <c r="Q1966" s="17"/>
    </row>
    <row r="1967" spans="1:17">
      <c r="A1967" s="556" t="s">
        <v>3614</v>
      </c>
      <c r="B1967" s="557"/>
      <c r="C1967" s="558" t="s">
        <v>2093</v>
      </c>
      <c r="D1967" s="556" t="s">
        <v>1694</v>
      </c>
      <c r="E1967" s="17" t="s">
        <v>5411</v>
      </c>
      <c r="F1967" s="17">
        <v>2</v>
      </c>
      <c r="G1967" s="17">
        <v>2</v>
      </c>
      <c r="H1967" s="17" t="s">
        <v>3518</v>
      </c>
      <c r="I1967" s="17"/>
      <c r="J1967" s="17"/>
      <c r="K1967" s="17"/>
      <c r="L1967" s="17"/>
      <c r="M1967" s="17"/>
      <c r="N1967" s="17"/>
      <c r="O1967" s="17"/>
      <c r="P1967" s="17"/>
      <c r="Q1967" s="17"/>
    </row>
    <row r="1968" spans="1:17">
      <c r="A1968" s="556" t="s">
        <v>3614</v>
      </c>
      <c r="B1968" s="557"/>
      <c r="C1968" s="558" t="s">
        <v>2093</v>
      </c>
      <c r="D1968" s="556" t="s">
        <v>4426</v>
      </c>
      <c r="E1968" s="17" t="s">
        <v>5412</v>
      </c>
      <c r="F1968" s="17">
        <v>2</v>
      </c>
      <c r="G1968" s="17">
        <v>3</v>
      </c>
      <c r="H1968" s="17" t="s">
        <v>3519</v>
      </c>
      <c r="I1968" s="17">
        <v>0</v>
      </c>
      <c r="J1968" s="17"/>
      <c r="K1968" s="17"/>
      <c r="L1968" s="17"/>
      <c r="M1968" s="17"/>
      <c r="N1968" s="17"/>
      <c r="O1968" s="17"/>
      <c r="P1968" s="17"/>
      <c r="Q1968" s="17"/>
    </row>
    <row r="1969" spans="1:17">
      <c r="A1969" s="556" t="s">
        <v>3614</v>
      </c>
      <c r="B1969" s="557"/>
      <c r="C1969" s="558" t="s">
        <v>2093</v>
      </c>
      <c r="D1969" s="556" t="s">
        <v>4324</v>
      </c>
      <c r="E1969" s="17" t="s">
        <v>5413</v>
      </c>
      <c r="F1969" s="17">
        <v>2</v>
      </c>
      <c r="G1969" s="17">
        <v>4</v>
      </c>
      <c r="H1969" s="17" t="s">
        <v>3520</v>
      </c>
      <c r="I1969" s="17"/>
      <c r="J1969" s="17"/>
      <c r="K1969" s="17"/>
      <c r="L1969" s="17"/>
      <c r="M1969" s="17"/>
      <c r="N1969" s="17"/>
      <c r="O1969" s="17"/>
      <c r="P1969" s="17"/>
      <c r="Q1969" s="17"/>
    </row>
    <row r="1970" spans="1:17">
      <c r="A1970" s="556" t="s">
        <v>3614</v>
      </c>
      <c r="B1970" s="557"/>
      <c r="C1970" s="558" t="s">
        <v>2093</v>
      </c>
      <c r="D1970" s="556" t="s">
        <v>4944</v>
      </c>
      <c r="E1970" s="17" t="s">
        <v>5414</v>
      </c>
      <c r="F1970" s="17">
        <v>2</v>
      </c>
      <c r="G1970" s="17">
        <v>5</v>
      </c>
      <c r="H1970" s="17" t="s">
        <v>3521</v>
      </c>
      <c r="I1970" s="17"/>
      <c r="J1970" s="17"/>
      <c r="K1970" s="17"/>
      <c r="L1970" s="17"/>
      <c r="M1970" s="17"/>
      <c r="N1970" s="17"/>
      <c r="O1970" s="17"/>
      <c r="P1970" s="17"/>
      <c r="Q1970" s="17"/>
    </row>
    <row r="1971" spans="1:17">
      <c r="A1971" s="556" t="s">
        <v>3614</v>
      </c>
      <c r="B1971" s="557"/>
      <c r="C1971" s="558" t="s">
        <v>2093</v>
      </c>
      <c r="D1971" s="556" t="s">
        <v>9328</v>
      </c>
      <c r="E1971" s="17" t="s">
        <v>5415</v>
      </c>
      <c r="F1971" s="17">
        <v>2</v>
      </c>
      <c r="G1971" s="17">
        <v>6</v>
      </c>
      <c r="H1971" s="17" t="s">
        <v>3505</v>
      </c>
      <c r="I1971" s="17"/>
      <c r="J1971" s="17"/>
      <c r="K1971" s="17"/>
      <c r="L1971" s="17"/>
      <c r="M1971" s="17"/>
      <c r="N1971" s="17"/>
      <c r="O1971" s="17"/>
      <c r="P1971" s="17"/>
      <c r="Q1971" s="17"/>
    </row>
    <row r="1972" spans="1:17">
      <c r="A1972" s="556" t="s">
        <v>3614</v>
      </c>
      <c r="B1972" s="557"/>
      <c r="C1972" s="558" t="s">
        <v>2093</v>
      </c>
      <c r="D1972" s="556" t="s">
        <v>9329</v>
      </c>
      <c r="E1972" s="17" t="s">
        <v>5416</v>
      </c>
      <c r="F1972" s="17">
        <v>2</v>
      </c>
      <c r="G1972" s="17">
        <v>7</v>
      </c>
      <c r="H1972" s="17" t="s">
        <v>3522</v>
      </c>
      <c r="I1972" s="17"/>
      <c r="J1972" s="17"/>
      <c r="K1972" s="17"/>
      <c r="L1972" s="17"/>
      <c r="M1972" s="17"/>
      <c r="N1972" s="17"/>
      <c r="O1972" s="17"/>
      <c r="P1972" s="17"/>
      <c r="Q1972" s="17"/>
    </row>
    <row r="1973" spans="1:17">
      <c r="A1973" s="556" t="s">
        <v>3614</v>
      </c>
      <c r="B1973" s="557"/>
      <c r="C1973" s="558" t="s">
        <v>2094</v>
      </c>
      <c r="D1973" s="556" t="s">
        <v>1693</v>
      </c>
      <c r="E1973" s="17" t="s">
        <v>5417</v>
      </c>
      <c r="F1973" s="17">
        <v>3</v>
      </c>
      <c r="G1973" s="17">
        <v>1</v>
      </c>
      <c r="H1973" s="17" t="s">
        <v>3326</v>
      </c>
      <c r="I1973" s="17"/>
      <c r="J1973" s="17"/>
      <c r="K1973" s="17"/>
      <c r="L1973" s="17"/>
      <c r="M1973" s="17"/>
      <c r="N1973" s="17"/>
      <c r="O1973" s="17"/>
      <c r="P1973" s="17"/>
      <c r="Q1973" s="17"/>
    </row>
    <row r="1974" spans="1:17">
      <c r="A1974" s="556" t="s">
        <v>3614</v>
      </c>
      <c r="B1974" s="557"/>
      <c r="C1974" s="558" t="s">
        <v>2094</v>
      </c>
      <c r="D1974" s="556" t="s">
        <v>1694</v>
      </c>
      <c r="E1974" s="17" t="s">
        <v>5418</v>
      </c>
      <c r="F1974" s="17">
        <v>3</v>
      </c>
      <c r="G1974" s="17">
        <v>2</v>
      </c>
      <c r="H1974" s="17" t="s">
        <v>2990</v>
      </c>
      <c r="I1974" s="17"/>
      <c r="J1974" s="17"/>
      <c r="K1974" s="17"/>
      <c r="L1974" s="17"/>
      <c r="M1974" s="17"/>
      <c r="N1974" s="17"/>
      <c r="O1974" s="17"/>
      <c r="P1974" s="17"/>
      <c r="Q1974" s="17"/>
    </row>
    <row r="1975" spans="1:17">
      <c r="A1975" s="556" t="s">
        <v>3614</v>
      </c>
      <c r="B1975" s="557"/>
      <c r="C1975" s="558" t="s">
        <v>2094</v>
      </c>
      <c r="D1975" s="556" t="s">
        <v>4426</v>
      </c>
      <c r="E1975" s="17" t="s">
        <v>5419</v>
      </c>
      <c r="F1975" s="17">
        <v>3</v>
      </c>
      <c r="G1975" s="17">
        <v>3</v>
      </c>
      <c r="H1975" s="17" t="s">
        <v>3338</v>
      </c>
      <c r="I1975" s="17">
        <v>0</v>
      </c>
      <c r="J1975" s="17"/>
      <c r="K1975" s="17"/>
      <c r="L1975" s="17"/>
      <c r="M1975" s="17"/>
      <c r="N1975" s="17"/>
      <c r="O1975" s="17"/>
      <c r="P1975" s="17"/>
      <c r="Q1975" s="17"/>
    </row>
    <row r="1976" spans="1:17">
      <c r="A1976" s="556" t="s">
        <v>3614</v>
      </c>
      <c r="B1976" s="557"/>
      <c r="C1976" s="558" t="s">
        <v>2094</v>
      </c>
      <c r="D1976" s="556" t="s">
        <v>4324</v>
      </c>
      <c r="E1976" s="17" t="s">
        <v>5420</v>
      </c>
      <c r="F1976" s="17">
        <v>3</v>
      </c>
      <c r="G1976" s="17">
        <v>4</v>
      </c>
      <c r="H1976" s="17" t="s">
        <v>2991</v>
      </c>
      <c r="I1976" s="17"/>
      <c r="J1976" s="17"/>
      <c r="K1976" s="17"/>
      <c r="L1976" s="17"/>
      <c r="M1976" s="17"/>
      <c r="N1976" s="17"/>
      <c r="O1976" s="17"/>
      <c r="P1976" s="17"/>
      <c r="Q1976" s="17"/>
    </row>
    <row r="1977" spans="1:17">
      <c r="A1977" s="556" t="s">
        <v>3614</v>
      </c>
      <c r="B1977" s="557"/>
      <c r="C1977" s="558" t="s">
        <v>2094</v>
      </c>
      <c r="D1977" s="556" t="s">
        <v>4944</v>
      </c>
      <c r="E1977" s="17" t="s">
        <v>5421</v>
      </c>
      <c r="F1977" s="17">
        <v>3</v>
      </c>
      <c r="G1977" s="17">
        <v>5</v>
      </c>
      <c r="H1977" s="17" t="s">
        <v>2992</v>
      </c>
      <c r="I1977" s="17"/>
      <c r="J1977" s="17"/>
      <c r="K1977" s="17"/>
      <c r="L1977" s="17"/>
      <c r="M1977" s="17"/>
      <c r="N1977" s="17"/>
      <c r="O1977" s="17"/>
      <c r="P1977" s="17"/>
      <c r="Q1977" s="17"/>
    </row>
    <row r="1978" spans="1:17">
      <c r="A1978" s="556" t="s">
        <v>3614</v>
      </c>
      <c r="B1978" s="557"/>
      <c r="C1978" s="558" t="s">
        <v>2094</v>
      </c>
      <c r="D1978" s="556" t="s">
        <v>9328</v>
      </c>
      <c r="E1978" s="17" t="s">
        <v>5422</v>
      </c>
      <c r="F1978" s="17">
        <v>3</v>
      </c>
      <c r="G1978" s="17">
        <v>6</v>
      </c>
      <c r="H1978" s="17" t="s">
        <v>3450</v>
      </c>
      <c r="I1978" s="17"/>
      <c r="J1978" s="17"/>
      <c r="K1978" s="17"/>
      <c r="L1978" s="17"/>
      <c r="M1978" s="17"/>
      <c r="N1978" s="17"/>
      <c r="O1978" s="17"/>
      <c r="P1978" s="17"/>
      <c r="Q1978" s="17"/>
    </row>
    <row r="1979" spans="1:17">
      <c r="A1979" s="556" t="s">
        <v>3614</v>
      </c>
      <c r="B1979" s="557"/>
      <c r="C1979" s="558" t="s">
        <v>2094</v>
      </c>
      <c r="D1979" s="556" t="s">
        <v>9329</v>
      </c>
      <c r="E1979" s="17" t="s">
        <v>5423</v>
      </c>
      <c r="F1979" s="17">
        <v>3</v>
      </c>
      <c r="G1979" s="17">
        <v>7</v>
      </c>
      <c r="H1979" s="17" t="s">
        <v>7803</v>
      </c>
      <c r="I1979" s="17"/>
      <c r="J1979" s="17"/>
      <c r="K1979" s="17"/>
      <c r="L1979" s="17"/>
      <c r="M1979" s="17"/>
      <c r="N1979" s="17"/>
      <c r="O1979" s="17"/>
      <c r="P1979" s="17"/>
      <c r="Q1979" s="17"/>
    </row>
    <row r="1980" spans="1:17">
      <c r="A1980" s="556" t="s">
        <v>3614</v>
      </c>
      <c r="B1980" s="557"/>
      <c r="C1980" s="558" t="s">
        <v>2095</v>
      </c>
      <c r="D1980" s="556" t="s">
        <v>1693</v>
      </c>
      <c r="E1980" s="17" t="s">
        <v>5424</v>
      </c>
      <c r="F1980" s="17">
        <v>4</v>
      </c>
      <c r="G1980" s="17">
        <v>1</v>
      </c>
      <c r="H1980" s="17" t="s">
        <v>3525</v>
      </c>
      <c r="I1980" s="17"/>
      <c r="J1980" s="17"/>
      <c r="K1980" s="17"/>
      <c r="L1980" s="17"/>
      <c r="M1980" s="17"/>
      <c r="N1980" s="17"/>
      <c r="O1980" s="17"/>
      <c r="P1980" s="17"/>
      <c r="Q1980" s="17"/>
    </row>
    <row r="1981" spans="1:17">
      <c r="A1981" s="556" t="s">
        <v>3614</v>
      </c>
      <c r="B1981" s="557"/>
      <c r="C1981" s="558" t="s">
        <v>2095</v>
      </c>
      <c r="D1981" s="556" t="s">
        <v>1694</v>
      </c>
      <c r="E1981" s="17" t="s">
        <v>5425</v>
      </c>
      <c r="F1981" s="17">
        <v>4</v>
      </c>
      <c r="G1981" s="17">
        <v>2</v>
      </c>
      <c r="H1981" s="17" t="s">
        <v>3339</v>
      </c>
      <c r="I1981" s="17"/>
      <c r="J1981" s="17"/>
      <c r="K1981" s="17"/>
      <c r="L1981" s="17"/>
      <c r="M1981" s="17"/>
      <c r="N1981" s="17"/>
      <c r="O1981" s="17"/>
      <c r="P1981" s="17"/>
      <c r="Q1981" s="17"/>
    </row>
    <row r="1982" spans="1:17">
      <c r="A1982" s="556" t="s">
        <v>3614</v>
      </c>
      <c r="B1982" s="557"/>
      <c r="C1982" s="558" t="s">
        <v>2095</v>
      </c>
      <c r="D1982" s="556" t="s">
        <v>4426</v>
      </c>
      <c r="E1982" s="17" t="s">
        <v>5426</v>
      </c>
      <c r="F1982" s="17">
        <v>4</v>
      </c>
      <c r="G1982" s="17">
        <v>3</v>
      </c>
      <c r="H1982" s="17" t="s">
        <v>3340</v>
      </c>
      <c r="I1982" s="17">
        <v>0</v>
      </c>
      <c r="J1982" s="17"/>
      <c r="K1982" s="17"/>
      <c r="L1982" s="17"/>
      <c r="M1982" s="17"/>
      <c r="N1982" s="17"/>
      <c r="O1982" s="17"/>
      <c r="P1982" s="17"/>
      <c r="Q1982" s="17"/>
    </row>
    <row r="1983" spans="1:17">
      <c r="A1983" s="556" t="s">
        <v>3614</v>
      </c>
      <c r="B1983" s="557"/>
      <c r="C1983" s="558" t="s">
        <v>2095</v>
      </c>
      <c r="D1983" s="556" t="s">
        <v>4324</v>
      </c>
      <c r="E1983" s="17" t="s">
        <v>5427</v>
      </c>
      <c r="F1983" s="17">
        <v>4</v>
      </c>
      <c r="G1983" s="17">
        <v>4</v>
      </c>
      <c r="H1983" s="17" t="s">
        <v>3341</v>
      </c>
      <c r="I1983" s="17"/>
      <c r="J1983" s="17"/>
      <c r="K1983" s="17"/>
      <c r="L1983" s="17"/>
      <c r="M1983" s="17"/>
      <c r="N1983" s="17"/>
      <c r="O1983" s="17"/>
      <c r="P1983" s="17"/>
      <c r="Q1983" s="17"/>
    </row>
    <row r="1984" spans="1:17">
      <c r="A1984" s="556" t="s">
        <v>3614</v>
      </c>
      <c r="B1984" s="557"/>
      <c r="C1984" s="558" t="s">
        <v>2095</v>
      </c>
      <c r="D1984" s="556" t="s">
        <v>4944</v>
      </c>
      <c r="E1984" s="17" t="s">
        <v>5428</v>
      </c>
      <c r="F1984" s="17">
        <v>4</v>
      </c>
      <c r="G1984" s="17">
        <v>5</v>
      </c>
      <c r="H1984" s="17" t="s">
        <v>3342</v>
      </c>
      <c r="I1984" s="17"/>
      <c r="J1984" s="17"/>
      <c r="K1984" s="17"/>
      <c r="L1984" s="17"/>
      <c r="M1984" s="17"/>
      <c r="N1984" s="17"/>
      <c r="O1984" s="17"/>
      <c r="P1984" s="17"/>
      <c r="Q1984" s="17"/>
    </row>
    <row r="1985" spans="1:17">
      <c r="A1985" s="556" t="s">
        <v>3614</v>
      </c>
      <c r="B1985" s="557"/>
      <c r="C1985" s="558" t="s">
        <v>2095</v>
      </c>
      <c r="D1985" s="556" t="s">
        <v>9328</v>
      </c>
      <c r="E1985" s="17" t="s">
        <v>5429</v>
      </c>
      <c r="F1985" s="17">
        <v>4</v>
      </c>
      <c r="G1985" s="17">
        <v>6</v>
      </c>
      <c r="H1985" s="17" t="s">
        <v>3451</v>
      </c>
      <c r="I1985" s="17"/>
      <c r="J1985" s="17"/>
      <c r="K1985" s="17"/>
      <c r="L1985" s="17"/>
      <c r="M1985" s="17"/>
      <c r="N1985" s="17"/>
      <c r="O1985" s="17"/>
      <c r="P1985" s="17"/>
      <c r="Q1985" s="17"/>
    </row>
    <row r="1986" spans="1:17">
      <c r="A1986" s="556" t="s">
        <v>3614</v>
      </c>
      <c r="B1986" s="557"/>
      <c r="C1986" s="558" t="s">
        <v>2095</v>
      </c>
      <c r="D1986" s="556" t="s">
        <v>9329</v>
      </c>
      <c r="E1986" s="17" t="s">
        <v>5430</v>
      </c>
      <c r="F1986" s="17">
        <v>4</v>
      </c>
      <c r="G1986" s="17">
        <v>7</v>
      </c>
      <c r="H1986" s="17" t="s">
        <v>7804</v>
      </c>
      <c r="I1986" s="17"/>
      <c r="J1986" s="17"/>
      <c r="K1986" s="17"/>
      <c r="L1986" s="17"/>
      <c r="M1986" s="17"/>
      <c r="N1986" s="17"/>
      <c r="O1986" s="17"/>
      <c r="P1986" s="17"/>
      <c r="Q1986" s="17"/>
    </row>
    <row r="1987" spans="1:17">
      <c r="A1987" s="556" t="s">
        <v>3614</v>
      </c>
      <c r="B1987" s="557"/>
      <c r="C1987" s="558" t="s">
        <v>2096</v>
      </c>
      <c r="D1987" s="556" t="s">
        <v>1693</v>
      </c>
      <c r="E1987" s="17" t="s">
        <v>5431</v>
      </c>
      <c r="F1987" s="17">
        <v>5</v>
      </c>
      <c r="G1987" s="17">
        <v>1</v>
      </c>
      <c r="H1987" s="17" t="s">
        <v>3697</v>
      </c>
      <c r="I1987" s="17"/>
      <c r="J1987" s="17"/>
      <c r="K1987" s="17"/>
      <c r="L1987" s="17"/>
      <c r="M1987" s="17"/>
      <c r="N1987" s="17"/>
      <c r="O1987" s="17"/>
      <c r="P1987" s="17"/>
      <c r="Q1987" s="17"/>
    </row>
    <row r="1988" spans="1:17">
      <c r="A1988" s="556" t="s">
        <v>3614</v>
      </c>
      <c r="B1988" s="557"/>
      <c r="C1988" s="558" t="s">
        <v>2096</v>
      </c>
      <c r="D1988" s="556" t="s">
        <v>1694</v>
      </c>
      <c r="E1988" s="17" t="s">
        <v>5432</v>
      </c>
      <c r="F1988" s="17">
        <v>5</v>
      </c>
      <c r="G1988" s="17">
        <v>2</v>
      </c>
      <c r="H1988" s="17" t="s">
        <v>3343</v>
      </c>
      <c r="I1988" s="17"/>
      <c r="J1988" s="17"/>
      <c r="K1988" s="17"/>
      <c r="L1988" s="17"/>
      <c r="M1988" s="17"/>
      <c r="N1988" s="17"/>
      <c r="O1988" s="17"/>
      <c r="P1988" s="17"/>
      <c r="Q1988" s="17"/>
    </row>
    <row r="1989" spans="1:17">
      <c r="A1989" s="556" t="s">
        <v>3614</v>
      </c>
      <c r="B1989" s="557"/>
      <c r="C1989" s="558" t="s">
        <v>2096</v>
      </c>
      <c r="D1989" s="556" t="s">
        <v>4426</v>
      </c>
      <c r="E1989" s="17" t="s">
        <v>5433</v>
      </c>
      <c r="F1989" s="17">
        <v>5</v>
      </c>
      <c r="G1989" s="17">
        <v>3</v>
      </c>
      <c r="H1989" s="17" t="s">
        <v>3344</v>
      </c>
      <c r="I1989" s="17">
        <v>0</v>
      </c>
      <c r="J1989" s="17"/>
      <c r="K1989" s="17"/>
      <c r="L1989" s="17"/>
      <c r="M1989" s="17"/>
      <c r="N1989" s="17"/>
      <c r="O1989" s="17"/>
      <c r="P1989" s="17"/>
      <c r="Q1989" s="17"/>
    </row>
    <row r="1990" spans="1:17">
      <c r="A1990" s="556" t="s">
        <v>3614</v>
      </c>
      <c r="B1990" s="557"/>
      <c r="C1990" s="558" t="s">
        <v>2096</v>
      </c>
      <c r="D1990" s="556" t="s">
        <v>4324</v>
      </c>
      <c r="E1990" s="17" t="s">
        <v>5434</v>
      </c>
      <c r="F1990" s="17">
        <v>5</v>
      </c>
      <c r="G1990" s="17">
        <v>4</v>
      </c>
      <c r="H1990" s="17" t="s">
        <v>3345</v>
      </c>
      <c r="I1990" s="17"/>
      <c r="J1990" s="17"/>
      <c r="K1990" s="17"/>
      <c r="L1990" s="17"/>
      <c r="M1990" s="17"/>
      <c r="N1990" s="17"/>
      <c r="O1990" s="17"/>
      <c r="P1990" s="17"/>
      <c r="Q1990" s="17"/>
    </row>
    <row r="1991" spans="1:17">
      <c r="A1991" s="556" t="s">
        <v>3614</v>
      </c>
      <c r="B1991" s="557"/>
      <c r="C1991" s="558" t="s">
        <v>2096</v>
      </c>
      <c r="D1991" s="556" t="s">
        <v>4944</v>
      </c>
      <c r="E1991" s="17" t="s">
        <v>5435</v>
      </c>
      <c r="F1991" s="17">
        <v>5</v>
      </c>
      <c r="G1991" s="17">
        <v>5</v>
      </c>
      <c r="H1991" s="17" t="s">
        <v>3346</v>
      </c>
      <c r="I1991" s="17"/>
      <c r="J1991" s="17"/>
      <c r="K1991" s="17"/>
      <c r="L1991" s="17"/>
      <c r="M1991" s="17"/>
      <c r="N1991" s="17"/>
      <c r="O1991" s="17"/>
      <c r="P1991" s="17"/>
      <c r="Q1991" s="17"/>
    </row>
    <row r="1992" spans="1:17">
      <c r="A1992" s="556" t="s">
        <v>3614</v>
      </c>
      <c r="B1992" s="557"/>
      <c r="C1992" s="558" t="s">
        <v>2096</v>
      </c>
      <c r="D1992" s="556" t="s">
        <v>9328</v>
      </c>
      <c r="E1992" s="17" t="s">
        <v>5436</v>
      </c>
      <c r="F1992" s="17">
        <v>5</v>
      </c>
      <c r="G1992" s="17">
        <v>6</v>
      </c>
      <c r="H1992" s="17" t="s">
        <v>3452</v>
      </c>
      <c r="I1992" s="17"/>
      <c r="J1992" s="17"/>
      <c r="K1992" s="17"/>
      <c r="L1992" s="17"/>
      <c r="M1992" s="17"/>
      <c r="N1992" s="17"/>
      <c r="O1992" s="17"/>
      <c r="P1992" s="17"/>
      <c r="Q1992" s="17"/>
    </row>
    <row r="1993" spans="1:17">
      <c r="A1993" s="556" t="s">
        <v>3614</v>
      </c>
      <c r="B1993" s="557"/>
      <c r="C1993" s="558" t="s">
        <v>2096</v>
      </c>
      <c r="D1993" s="556" t="s">
        <v>9329</v>
      </c>
      <c r="E1993" s="17" t="s">
        <v>5437</v>
      </c>
      <c r="F1993" s="17">
        <v>5</v>
      </c>
      <c r="G1993" s="17">
        <v>7</v>
      </c>
      <c r="H1993" s="17" t="s">
        <v>7805</v>
      </c>
      <c r="I1993" s="17"/>
      <c r="J1993" s="17"/>
      <c r="K1993" s="17"/>
      <c r="L1993" s="17"/>
      <c r="M1993" s="17"/>
      <c r="N1993" s="17"/>
      <c r="O1993" s="17"/>
      <c r="P1993" s="17"/>
      <c r="Q1993" s="17"/>
    </row>
    <row r="1994" spans="1:17">
      <c r="A1994" s="556" t="s">
        <v>3614</v>
      </c>
      <c r="B1994" s="557"/>
      <c r="C1994" s="558" t="s">
        <v>2097</v>
      </c>
      <c r="D1994" s="556" t="s">
        <v>1693</v>
      </c>
      <c r="E1994" s="17" t="s">
        <v>5438</v>
      </c>
      <c r="F1994" s="17">
        <v>6</v>
      </c>
      <c r="G1994" s="17">
        <v>1</v>
      </c>
      <c r="H1994" s="17" t="s">
        <v>7772</v>
      </c>
      <c r="I1994" s="17"/>
      <c r="J1994" s="17"/>
      <c r="K1994" s="17"/>
      <c r="L1994" s="17"/>
      <c r="M1994" s="17"/>
      <c r="N1994" s="17"/>
      <c r="O1994" s="17"/>
      <c r="P1994" s="17"/>
      <c r="Q1994" s="17"/>
    </row>
    <row r="1995" spans="1:17">
      <c r="A1995" s="556" t="s">
        <v>3614</v>
      </c>
      <c r="B1995" s="557"/>
      <c r="C1995" s="558" t="s">
        <v>2097</v>
      </c>
      <c r="D1995" s="556" t="s">
        <v>1694</v>
      </c>
      <c r="E1995" s="17" t="s">
        <v>5439</v>
      </c>
      <c r="F1995" s="17">
        <v>6</v>
      </c>
      <c r="G1995" s="17">
        <v>2</v>
      </c>
      <c r="H1995" s="17" t="s">
        <v>3347</v>
      </c>
      <c r="I1995" s="17"/>
      <c r="J1995" s="17"/>
      <c r="K1995" s="17"/>
      <c r="L1995" s="17"/>
      <c r="M1995" s="17"/>
      <c r="N1995" s="17"/>
      <c r="O1995" s="17"/>
      <c r="P1995" s="17"/>
      <c r="Q1995" s="17"/>
    </row>
    <row r="1996" spans="1:17">
      <c r="A1996" s="556" t="s">
        <v>3614</v>
      </c>
      <c r="B1996" s="557"/>
      <c r="C1996" s="558" t="s">
        <v>2097</v>
      </c>
      <c r="D1996" s="556" t="s">
        <v>4426</v>
      </c>
      <c r="E1996" s="17" t="s">
        <v>5440</v>
      </c>
      <c r="F1996" s="17">
        <v>6</v>
      </c>
      <c r="G1996" s="17">
        <v>3</v>
      </c>
      <c r="H1996" s="17" t="s">
        <v>3348</v>
      </c>
      <c r="I1996" s="17">
        <v>0</v>
      </c>
      <c r="J1996" s="17"/>
      <c r="K1996" s="17"/>
      <c r="L1996" s="17"/>
      <c r="M1996" s="17"/>
      <c r="N1996" s="17"/>
      <c r="O1996" s="17"/>
      <c r="P1996" s="17"/>
      <c r="Q1996" s="17"/>
    </row>
    <row r="1997" spans="1:17">
      <c r="A1997" s="556" t="s">
        <v>3614</v>
      </c>
      <c r="B1997" s="557"/>
      <c r="C1997" s="558" t="s">
        <v>2097</v>
      </c>
      <c r="D1997" s="556" t="s">
        <v>4324</v>
      </c>
      <c r="E1997" s="17" t="s">
        <v>5441</v>
      </c>
      <c r="F1997" s="17">
        <v>6</v>
      </c>
      <c r="G1997" s="17">
        <v>4</v>
      </c>
      <c r="H1997" s="17" t="s">
        <v>3349</v>
      </c>
      <c r="I1997" s="17"/>
      <c r="J1997" s="17"/>
      <c r="K1997" s="17"/>
      <c r="L1997" s="17"/>
      <c r="M1997" s="17"/>
      <c r="N1997" s="17"/>
      <c r="O1997" s="17"/>
      <c r="P1997" s="17"/>
      <c r="Q1997" s="17"/>
    </row>
    <row r="1998" spans="1:17">
      <c r="A1998" s="556" t="s">
        <v>3614</v>
      </c>
      <c r="B1998" s="557"/>
      <c r="C1998" s="558" t="s">
        <v>2097</v>
      </c>
      <c r="D1998" s="556" t="s">
        <v>4944</v>
      </c>
      <c r="E1998" s="17" t="s">
        <v>5442</v>
      </c>
      <c r="F1998" s="17">
        <v>6</v>
      </c>
      <c r="G1998" s="17">
        <v>5</v>
      </c>
      <c r="H1998" s="17" t="s">
        <v>3350</v>
      </c>
      <c r="I1998" s="17"/>
      <c r="J1998" s="17"/>
      <c r="K1998" s="17"/>
      <c r="L1998" s="17"/>
      <c r="M1998" s="17"/>
      <c r="N1998" s="17"/>
      <c r="O1998" s="17"/>
      <c r="P1998" s="17"/>
      <c r="Q1998" s="17"/>
    </row>
    <row r="1999" spans="1:17">
      <c r="A1999" s="556" t="s">
        <v>3614</v>
      </c>
      <c r="B1999" s="557"/>
      <c r="C1999" s="558" t="s">
        <v>2097</v>
      </c>
      <c r="D1999" s="556" t="s">
        <v>9328</v>
      </c>
      <c r="E1999" s="17" t="s">
        <v>5443</v>
      </c>
      <c r="F1999" s="17">
        <v>6</v>
      </c>
      <c r="G1999" s="17">
        <v>6</v>
      </c>
      <c r="H1999" s="17" t="s">
        <v>3453</v>
      </c>
      <c r="I1999" s="17"/>
      <c r="J1999" s="17"/>
      <c r="K1999" s="17"/>
      <c r="L1999" s="17"/>
      <c r="M1999" s="17"/>
      <c r="N1999" s="17"/>
      <c r="O1999" s="17"/>
      <c r="P1999" s="17"/>
      <c r="Q1999" s="17"/>
    </row>
    <row r="2000" spans="1:17">
      <c r="A2000" s="556" t="s">
        <v>3614</v>
      </c>
      <c r="B2000" s="557"/>
      <c r="C2000" s="558" t="s">
        <v>2097</v>
      </c>
      <c r="D2000" s="556" t="s">
        <v>9329</v>
      </c>
      <c r="E2000" s="17" t="s">
        <v>5444</v>
      </c>
      <c r="F2000" s="17">
        <v>6</v>
      </c>
      <c r="G2000" s="17">
        <v>7</v>
      </c>
      <c r="H2000" s="17" t="s">
        <v>7807</v>
      </c>
      <c r="I2000" s="17"/>
      <c r="J2000" s="17"/>
      <c r="K2000" s="17"/>
      <c r="L2000" s="17"/>
      <c r="M2000" s="17"/>
      <c r="N2000" s="17"/>
      <c r="O2000" s="17"/>
      <c r="P2000" s="17"/>
      <c r="Q2000" s="17"/>
    </row>
    <row r="2001" spans="1:17">
      <c r="A2001" s="556" t="s">
        <v>3614</v>
      </c>
      <c r="B2001" s="557"/>
      <c r="C2001" s="558" t="s">
        <v>2098</v>
      </c>
      <c r="D2001" s="556" t="s">
        <v>1693</v>
      </c>
      <c r="E2001" s="17" t="s">
        <v>5445</v>
      </c>
      <c r="F2001" s="17">
        <v>7</v>
      </c>
      <c r="G2001" s="17">
        <v>1</v>
      </c>
      <c r="H2001" s="17" t="s">
        <v>7774</v>
      </c>
      <c r="I2001" s="17">
        <v>0</v>
      </c>
      <c r="J2001" s="17"/>
      <c r="K2001" s="17"/>
      <c r="L2001" s="17"/>
      <c r="M2001" s="17"/>
      <c r="N2001" s="17"/>
      <c r="O2001" s="17"/>
      <c r="P2001" s="17"/>
      <c r="Q2001" s="17"/>
    </row>
    <row r="2002" spans="1:17">
      <c r="A2002" s="556" t="s">
        <v>3614</v>
      </c>
      <c r="B2002" s="557"/>
      <c r="C2002" s="558" t="s">
        <v>2098</v>
      </c>
      <c r="D2002" s="556" t="s">
        <v>1694</v>
      </c>
      <c r="E2002" s="17" t="s">
        <v>5446</v>
      </c>
      <c r="F2002" s="17">
        <v>7</v>
      </c>
      <c r="G2002" s="17">
        <v>2</v>
      </c>
      <c r="H2002" s="17" t="s">
        <v>3351</v>
      </c>
      <c r="I2002" s="17">
        <v>0</v>
      </c>
      <c r="J2002" s="17"/>
      <c r="K2002" s="17"/>
      <c r="L2002" s="17"/>
      <c r="M2002" s="17"/>
      <c r="N2002" s="17"/>
      <c r="O2002" s="17"/>
      <c r="P2002" s="17"/>
      <c r="Q2002" s="17"/>
    </row>
    <row r="2003" spans="1:17">
      <c r="A2003" s="556" t="s">
        <v>3614</v>
      </c>
      <c r="B2003" s="557"/>
      <c r="C2003" s="558" t="s">
        <v>2098</v>
      </c>
      <c r="D2003" s="556" t="s">
        <v>4426</v>
      </c>
      <c r="E2003" s="17" t="s">
        <v>5447</v>
      </c>
      <c r="F2003" s="17">
        <v>7</v>
      </c>
      <c r="G2003" s="17">
        <v>3</v>
      </c>
      <c r="H2003" s="17" t="s">
        <v>3352</v>
      </c>
      <c r="I2003" s="17">
        <v>0</v>
      </c>
      <c r="J2003" s="17"/>
      <c r="K2003" s="17"/>
      <c r="L2003" s="17"/>
      <c r="M2003" s="17"/>
      <c r="N2003" s="17"/>
      <c r="O2003" s="17"/>
      <c r="P2003" s="17"/>
      <c r="Q2003" s="17"/>
    </row>
    <row r="2004" spans="1:17">
      <c r="A2004" s="556" t="s">
        <v>3614</v>
      </c>
      <c r="B2004" s="557"/>
      <c r="C2004" s="558" t="s">
        <v>2098</v>
      </c>
      <c r="D2004" s="556" t="s">
        <v>4324</v>
      </c>
      <c r="E2004" s="17" t="s">
        <v>5448</v>
      </c>
      <c r="F2004" s="17">
        <v>7</v>
      </c>
      <c r="G2004" s="17">
        <v>4</v>
      </c>
      <c r="H2004" s="17" t="s">
        <v>3353</v>
      </c>
      <c r="I2004" s="17"/>
      <c r="J2004" s="17"/>
      <c r="K2004" s="17"/>
      <c r="L2004" s="17"/>
      <c r="M2004" s="17"/>
      <c r="N2004" s="17"/>
      <c r="O2004" s="17"/>
      <c r="P2004" s="17"/>
      <c r="Q2004" s="17"/>
    </row>
    <row r="2005" spans="1:17">
      <c r="A2005" s="556" t="s">
        <v>3614</v>
      </c>
      <c r="B2005" s="557"/>
      <c r="C2005" s="558" t="s">
        <v>2098</v>
      </c>
      <c r="D2005" s="556" t="s">
        <v>4944</v>
      </c>
      <c r="E2005" s="17" t="s">
        <v>5449</v>
      </c>
      <c r="F2005" s="17">
        <v>7</v>
      </c>
      <c r="G2005" s="17">
        <v>5</v>
      </c>
      <c r="H2005" s="17" t="s">
        <v>3354</v>
      </c>
      <c r="I2005" s="17">
        <v>0</v>
      </c>
      <c r="J2005" s="17"/>
      <c r="K2005" s="17"/>
      <c r="L2005" s="17"/>
      <c r="M2005" s="17"/>
      <c r="N2005" s="17"/>
      <c r="O2005" s="17"/>
      <c r="P2005" s="17"/>
      <c r="Q2005" s="17"/>
    </row>
    <row r="2006" spans="1:17">
      <c r="A2006" s="556" t="s">
        <v>3614</v>
      </c>
      <c r="B2006" s="557"/>
      <c r="C2006" s="558" t="s">
        <v>2098</v>
      </c>
      <c r="D2006" s="556" t="s">
        <v>9328</v>
      </c>
      <c r="E2006" s="17" t="s">
        <v>5450</v>
      </c>
      <c r="F2006" s="17">
        <v>7</v>
      </c>
      <c r="G2006" s="17">
        <v>6</v>
      </c>
      <c r="H2006" s="17" t="s">
        <v>3454</v>
      </c>
      <c r="I2006" s="17">
        <v>0</v>
      </c>
      <c r="J2006" s="17"/>
      <c r="K2006" s="17"/>
      <c r="L2006" s="17"/>
      <c r="M2006" s="17"/>
      <c r="N2006" s="17"/>
      <c r="O2006" s="17"/>
      <c r="P2006" s="17"/>
      <c r="Q2006" s="17"/>
    </row>
    <row r="2007" spans="1:17">
      <c r="A2007" s="556" t="s">
        <v>3614</v>
      </c>
      <c r="B2007" s="557"/>
      <c r="C2007" s="558" t="s">
        <v>2098</v>
      </c>
      <c r="D2007" s="556" t="s">
        <v>9329</v>
      </c>
      <c r="E2007" s="17" t="s">
        <v>5451</v>
      </c>
      <c r="F2007" s="17">
        <v>7</v>
      </c>
      <c r="G2007" s="17">
        <v>7</v>
      </c>
      <c r="H2007" s="17" t="s">
        <v>7809</v>
      </c>
      <c r="I2007" s="17">
        <v>0</v>
      </c>
      <c r="J2007" s="17"/>
      <c r="K2007" s="17"/>
      <c r="L2007" s="17"/>
      <c r="M2007" s="17"/>
      <c r="N2007" s="17"/>
      <c r="O2007" s="17"/>
      <c r="P2007" s="17"/>
      <c r="Q2007" s="17"/>
    </row>
    <row r="2008" spans="1:17">
      <c r="A2008" s="556" t="s">
        <v>3614</v>
      </c>
      <c r="B2008" s="557"/>
      <c r="C2008" s="558" t="s">
        <v>1560</v>
      </c>
      <c r="D2008" s="556" t="s">
        <v>1693</v>
      </c>
      <c r="E2008" s="17" t="s">
        <v>5452</v>
      </c>
      <c r="F2008" s="17">
        <v>8</v>
      </c>
      <c r="G2008" s="17">
        <v>1</v>
      </c>
      <c r="H2008" s="17" t="s">
        <v>7776</v>
      </c>
      <c r="I2008" s="17"/>
      <c r="J2008" s="17"/>
      <c r="K2008" s="17"/>
      <c r="L2008" s="17"/>
      <c r="M2008" s="17"/>
      <c r="N2008" s="17"/>
      <c r="O2008" s="17"/>
      <c r="P2008" s="17"/>
      <c r="Q2008" s="17"/>
    </row>
    <row r="2009" spans="1:17">
      <c r="A2009" s="556" t="s">
        <v>3614</v>
      </c>
      <c r="B2009" s="557"/>
      <c r="C2009" s="558" t="s">
        <v>1560</v>
      </c>
      <c r="D2009" s="556" t="s">
        <v>1694</v>
      </c>
      <c r="E2009" s="17" t="s">
        <v>5453</v>
      </c>
      <c r="F2009" s="17">
        <v>8</v>
      </c>
      <c r="G2009" s="17">
        <v>2</v>
      </c>
      <c r="H2009" s="17" t="s">
        <v>3355</v>
      </c>
      <c r="I2009" s="17"/>
      <c r="J2009" s="17"/>
      <c r="K2009" s="17"/>
      <c r="L2009" s="17"/>
      <c r="M2009" s="17"/>
      <c r="N2009" s="17"/>
      <c r="O2009" s="17"/>
      <c r="P2009" s="17"/>
      <c r="Q2009" s="17"/>
    </row>
    <row r="2010" spans="1:17">
      <c r="A2010" s="556" t="s">
        <v>3614</v>
      </c>
      <c r="B2010" s="557"/>
      <c r="C2010" s="558" t="s">
        <v>1560</v>
      </c>
      <c r="D2010" s="556" t="s">
        <v>4426</v>
      </c>
      <c r="E2010" s="17" t="s">
        <v>5454</v>
      </c>
      <c r="F2010" s="17">
        <v>8</v>
      </c>
      <c r="G2010" s="17">
        <v>3</v>
      </c>
      <c r="H2010" s="17" t="s">
        <v>3356</v>
      </c>
      <c r="I2010" s="17">
        <v>0</v>
      </c>
      <c r="J2010" s="17"/>
      <c r="K2010" s="17"/>
      <c r="L2010" s="17"/>
      <c r="M2010" s="17"/>
      <c r="N2010" s="17"/>
      <c r="O2010" s="17"/>
      <c r="P2010" s="17"/>
      <c r="Q2010" s="17"/>
    </row>
    <row r="2011" spans="1:17">
      <c r="A2011" s="556" t="s">
        <v>3614</v>
      </c>
      <c r="B2011" s="557"/>
      <c r="C2011" s="558" t="s">
        <v>1560</v>
      </c>
      <c r="D2011" s="556" t="s">
        <v>4324</v>
      </c>
      <c r="E2011" s="17" t="s">
        <v>5455</v>
      </c>
      <c r="F2011" s="17">
        <v>8</v>
      </c>
      <c r="G2011" s="17">
        <v>4</v>
      </c>
      <c r="H2011" s="17" t="s">
        <v>3357</v>
      </c>
      <c r="I2011" s="17"/>
      <c r="J2011" s="17"/>
      <c r="K2011" s="17"/>
      <c r="L2011" s="17"/>
      <c r="M2011" s="17"/>
      <c r="N2011" s="17"/>
      <c r="O2011" s="17"/>
      <c r="P2011" s="17"/>
      <c r="Q2011" s="17"/>
    </row>
    <row r="2012" spans="1:17">
      <c r="A2012" s="556" t="s">
        <v>3614</v>
      </c>
      <c r="B2012" s="557"/>
      <c r="C2012" s="558" t="s">
        <v>1560</v>
      </c>
      <c r="D2012" s="556" t="s">
        <v>4944</v>
      </c>
      <c r="E2012" s="17" t="s">
        <v>5456</v>
      </c>
      <c r="F2012" s="17">
        <v>8</v>
      </c>
      <c r="G2012" s="17">
        <v>5</v>
      </c>
      <c r="H2012" s="17" t="s">
        <v>3358</v>
      </c>
      <c r="I2012" s="17"/>
      <c r="J2012" s="17"/>
      <c r="K2012" s="17"/>
      <c r="L2012" s="17"/>
      <c r="M2012" s="17"/>
      <c r="N2012" s="17"/>
      <c r="O2012" s="17"/>
      <c r="P2012" s="17"/>
      <c r="Q2012" s="17"/>
    </row>
    <row r="2013" spans="1:17">
      <c r="A2013" s="556" t="s">
        <v>3614</v>
      </c>
      <c r="B2013" s="557"/>
      <c r="C2013" s="558" t="s">
        <v>1560</v>
      </c>
      <c r="D2013" s="556" t="s">
        <v>9328</v>
      </c>
      <c r="E2013" s="17" t="s">
        <v>5457</v>
      </c>
      <c r="F2013" s="17">
        <v>8</v>
      </c>
      <c r="G2013" s="17">
        <v>6</v>
      </c>
      <c r="H2013" s="17" t="s">
        <v>3455</v>
      </c>
      <c r="I2013" s="17"/>
      <c r="J2013" s="17"/>
      <c r="K2013" s="17"/>
      <c r="L2013" s="17"/>
      <c r="M2013" s="17"/>
      <c r="N2013" s="17"/>
      <c r="O2013" s="17"/>
      <c r="P2013" s="17"/>
      <c r="Q2013" s="17"/>
    </row>
    <row r="2014" spans="1:17">
      <c r="A2014" s="556" t="s">
        <v>3614</v>
      </c>
      <c r="B2014" s="557"/>
      <c r="C2014" s="558" t="s">
        <v>1560</v>
      </c>
      <c r="D2014" s="556" t="s">
        <v>9329</v>
      </c>
      <c r="E2014" s="17" t="s">
        <v>5458</v>
      </c>
      <c r="F2014" s="17">
        <v>8</v>
      </c>
      <c r="G2014" s="17">
        <v>7</v>
      </c>
      <c r="H2014" s="17" t="s">
        <v>7814</v>
      </c>
      <c r="I2014" s="17"/>
      <c r="J2014" s="17"/>
      <c r="K2014" s="17"/>
      <c r="L2014" s="17"/>
      <c r="M2014" s="17"/>
      <c r="N2014" s="17"/>
      <c r="O2014" s="17"/>
      <c r="P2014" s="17"/>
      <c r="Q2014" s="17"/>
    </row>
    <row r="2015" spans="1:17">
      <c r="A2015" s="556" t="s">
        <v>3614</v>
      </c>
      <c r="B2015" s="557"/>
      <c r="C2015" s="558" t="s">
        <v>2099</v>
      </c>
      <c r="D2015" s="556" t="s">
        <v>1693</v>
      </c>
      <c r="E2015" s="17" t="s">
        <v>5459</v>
      </c>
      <c r="F2015" s="17">
        <v>9</v>
      </c>
      <c r="G2015" s="17">
        <v>1</v>
      </c>
      <c r="H2015" s="17" t="s">
        <v>7778</v>
      </c>
      <c r="I2015" s="17"/>
      <c r="J2015" s="17"/>
      <c r="K2015" s="17"/>
      <c r="L2015" s="17"/>
      <c r="M2015" s="17"/>
      <c r="N2015" s="17"/>
      <c r="O2015" s="17"/>
      <c r="P2015" s="17"/>
      <c r="Q2015" s="17"/>
    </row>
    <row r="2016" spans="1:17">
      <c r="A2016" s="556" t="s">
        <v>3614</v>
      </c>
      <c r="B2016" s="557"/>
      <c r="C2016" s="558" t="s">
        <v>2099</v>
      </c>
      <c r="D2016" s="556" t="s">
        <v>1694</v>
      </c>
      <c r="E2016" s="17" t="s">
        <v>5460</v>
      </c>
      <c r="F2016" s="17">
        <v>9</v>
      </c>
      <c r="G2016" s="17">
        <v>2</v>
      </c>
      <c r="H2016" s="17" t="s">
        <v>3359</v>
      </c>
      <c r="I2016" s="17"/>
      <c r="J2016" s="17"/>
      <c r="K2016" s="17"/>
      <c r="L2016" s="17"/>
      <c r="M2016" s="17"/>
      <c r="N2016" s="17"/>
      <c r="O2016" s="17"/>
      <c r="P2016" s="17"/>
      <c r="Q2016" s="17"/>
    </row>
    <row r="2017" spans="1:17">
      <c r="A2017" s="556" t="s">
        <v>3614</v>
      </c>
      <c r="B2017" s="557"/>
      <c r="C2017" s="558" t="s">
        <v>2099</v>
      </c>
      <c r="D2017" s="556" t="s">
        <v>4426</v>
      </c>
      <c r="E2017" s="17" t="s">
        <v>5461</v>
      </c>
      <c r="F2017" s="17">
        <v>9</v>
      </c>
      <c r="G2017" s="17">
        <v>3</v>
      </c>
      <c r="H2017" s="17" t="s">
        <v>3360</v>
      </c>
      <c r="I2017" s="17">
        <v>0</v>
      </c>
      <c r="J2017" s="17"/>
      <c r="K2017" s="17"/>
      <c r="L2017" s="17"/>
      <c r="M2017" s="17"/>
      <c r="N2017" s="17"/>
      <c r="O2017" s="17"/>
      <c r="P2017" s="17"/>
      <c r="Q2017" s="17"/>
    </row>
    <row r="2018" spans="1:17">
      <c r="A2018" s="556" t="s">
        <v>3614</v>
      </c>
      <c r="B2018" s="557"/>
      <c r="C2018" s="558" t="s">
        <v>2099</v>
      </c>
      <c r="D2018" s="556" t="s">
        <v>4324</v>
      </c>
      <c r="E2018" s="17" t="s">
        <v>5462</v>
      </c>
      <c r="F2018" s="17">
        <v>9</v>
      </c>
      <c r="G2018" s="17">
        <v>4</v>
      </c>
      <c r="H2018" s="17" t="s">
        <v>3327</v>
      </c>
      <c r="I2018" s="17"/>
      <c r="J2018" s="17"/>
      <c r="K2018" s="17"/>
      <c r="L2018" s="17"/>
      <c r="M2018" s="17"/>
      <c r="N2018" s="17"/>
      <c r="O2018" s="17"/>
      <c r="P2018" s="17"/>
      <c r="Q2018" s="17"/>
    </row>
    <row r="2019" spans="1:17">
      <c r="A2019" s="556" t="s">
        <v>3614</v>
      </c>
      <c r="B2019" s="557"/>
      <c r="C2019" s="558" t="s">
        <v>2099</v>
      </c>
      <c r="D2019" s="556" t="s">
        <v>4944</v>
      </c>
      <c r="E2019" s="17" t="s">
        <v>5463</v>
      </c>
      <c r="F2019" s="17">
        <v>9</v>
      </c>
      <c r="G2019" s="17">
        <v>5</v>
      </c>
      <c r="H2019" s="17" t="s">
        <v>3361</v>
      </c>
      <c r="I2019" s="17"/>
      <c r="J2019" s="17"/>
      <c r="K2019" s="17"/>
      <c r="L2019" s="17"/>
      <c r="M2019" s="17"/>
      <c r="N2019" s="17"/>
      <c r="O2019" s="17"/>
      <c r="P2019" s="17"/>
      <c r="Q2019" s="17"/>
    </row>
    <row r="2020" spans="1:17">
      <c r="A2020" s="556" t="s">
        <v>3614</v>
      </c>
      <c r="B2020" s="557"/>
      <c r="C2020" s="558" t="s">
        <v>2099</v>
      </c>
      <c r="D2020" s="556" t="s">
        <v>9328</v>
      </c>
      <c r="E2020" s="17" t="s">
        <v>5464</v>
      </c>
      <c r="F2020" s="17">
        <v>9</v>
      </c>
      <c r="G2020" s="17">
        <v>6</v>
      </c>
      <c r="H2020" s="17" t="s">
        <v>3456</v>
      </c>
      <c r="I2020" s="17"/>
      <c r="J2020" s="17"/>
      <c r="K2020" s="17"/>
      <c r="L2020" s="17"/>
      <c r="M2020" s="17"/>
      <c r="N2020" s="17"/>
      <c r="O2020" s="17"/>
      <c r="P2020" s="17"/>
      <c r="Q2020" s="17"/>
    </row>
    <row r="2021" spans="1:17">
      <c r="A2021" s="556" t="s">
        <v>3614</v>
      </c>
      <c r="B2021" s="557"/>
      <c r="C2021" s="558" t="s">
        <v>2099</v>
      </c>
      <c r="D2021" s="556" t="s">
        <v>9329</v>
      </c>
      <c r="E2021" s="17" t="s">
        <v>5465</v>
      </c>
      <c r="F2021" s="17">
        <v>9</v>
      </c>
      <c r="G2021" s="17">
        <v>7</v>
      </c>
      <c r="H2021" s="17" t="s">
        <v>7815</v>
      </c>
      <c r="I2021" s="17"/>
      <c r="J2021" s="17"/>
      <c r="K2021" s="17"/>
      <c r="L2021" s="17"/>
      <c r="M2021" s="17"/>
      <c r="N2021" s="17"/>
      <c r="O2021" s="17"/>
      <c r="P2021" s="17"/>
      <c r="Q2021" s="17"/>
    </row>
    <row r="2022" spans="1:17">
      <c r="A2022" s="556" t="s">
        <v>3614</v>
      </c>
      <c r="B2022" s="557"/>
      <c r="C2022" s="558" t="s">
        <v>2100</v>
      </c>
      <c r="D2022" s="556" t="s">
        <v>1693</v>
      </c>
      <c r="E2022" s="17" t="s">
        <v>5466</v>
      </c>
      <c r="F2022" s="17">
        <v>10</v>
      </c>
      <c r="G2022" s="17">
        <v>1</v>
      </c>
      <c r="H2022" s="17" t="s">
        <v>7779</v>
      </c>
      <c r="I2022" s="17"/>
      <c r="J2022" s="17"/>
      <c r="K2022" s="17"/>
      <c r="L2022" s="17"/>
      <c r="M2022" s="17"/>
      <c r="N2022" s="17"/>
      <c r="O2022" s="17"/>
      <c r="P2022" s="17"/>
      <c r="Q2022" s="17"/>
    </row>
    <row r="2023" spans="1:17">
      <c r="A2023" s="556" t="s">
        <v>3614</v>
      </c>
      <c r="B2023" s="557"/>
      <c r="C2023" s="558" t="s">
        <v>2100</v>
      </c>
      <c r="D2023" s="556" t="s">
        <v>1694</v>
      </c>
      <c r="E2023" s="17" t="s">
        <v>5467</v>
      </c>
      <c r="F2023" s="17">
        <v>10</v>
      </c>
      <c r="G2023" s="17">
        <v>2</v>
      </c>
      <c r="H2023" s="17" t="s">
        <v>3362</v>
      </c>
      <c r="I2023" s="17"/>
      <c r="J2023" s="17"/>
      <c r="K2023" s="17"/>
      <c r="L2023" s="17"/>
      <c r="M2023" s="17"/>
      <c r="N2023" s="17"/>
      <c r="O2023" s="17"/>
      <c r="P2023" s="17"/>
      <c r="Q2023" s="17"/>
    </row>
    <row r="2024" spans="1:17">
      <c r="A2024" s="556" t="s">
        <v>3614</v>
      </c>
      <c r="B2024" s="557"/>
      <c r="C2024" s="558" t="s">
        <v>2100</v>
      </c>
      <c r="D2024" s="556" t="s">
        <v>4426</v>
      </c>
      <c r="E2024" s="17" t="s">
        <v>5468</v>
      </c>
      <c r="F2024" s="17">
        <v>10</v>
      </c>
      <c r="G2024" s="17">
        <v>3</v>
      </c>
      <c r="H2024" s="17" t="s">
        <v>3363</v>
      </c>
      <c r="I2024" s="17">
        <v>0</v>
      </c>
      <c r="J2024" s="17"/>
      <c r="K2024" s="17"/>
      <c r="L2024" s="17"/>
      <c r="M2024" s="17"/>
      <c r="N2024" s="17"/>
      <c r="O2024" s="17"/>
      <c r="P2024" s="17"/>
      <c r="Q2024" s="17"/>
    </row>
    <row r="2025" spans="1:17">
      <c r="A2025" s="556" t="s">
        <v>3614</v>
      </c>
      <c r="B2025" s="557"/>
      <c r="C2025" s="558" t="s">
        <v>2100</v>
      </c>
      <c r="D2025" s="556" t="s">
        <v>4324</v>
      </c>
      <c r="E2025" s="17" t="s">
        <v>5469</v>
      </c>
      <c r="F2025" s="17">
        <v>10</v>
      </c>
      <c r="G2025" s="17">
        <v>4</v>
      </c>
      <c r="H2025" s="17" t="s">
        <v>3364</v>
      </c>
      <c r="I2025" s="17"/>
      <c r="J2025" s="17"/>
      <c r="K2025" s="17"/>
      <c r="L2025" s="17"/>
      <c r="M2025" s="17"/>
      <c r="N2025" s="17"/>
      <c r="O2025" s="17"/>
      <c r="P2025" s="17"/>
      <c r="Q2025" s="17"/>
    </row>
    <row r="2026" spans="1:17">
      <c r="A2026" s="556" t="s">
        <v>3614</v>
      </c>
      <c r="B2026" s="557"/>
      <c r="C2026" s="558" t="s">
        <v>2100</v>
      </c>
      <c r="D2026" s="556" t="s">
        <v>4944</v>
      </c>
      <c r="E2026" s="17" t="s">
        <v>5470</v>
      </c>
      <c r="F2026" s="17">
        <v>10</v>
      </c>
      <c r="G2026" s="17">
        <v>5</v>
      </c>
      <c r="H2026" s="17" t="s">
        <v>3365</v>
      </c>
      <c r="I2026" s="17"/>
      <c r="J2026" s="17"/>
      <c r="K2026" s="17"/>
      <c r="L2026" s="17"/>
      <c r="M2026" s="17"/>
      <c r="N2026" s="17"/>
      <c r="O2026" s="17"/>
      <c r="P2026" s="17"/>
      <c r="Q2026" s="17"/>
    </row>
    <row r="2027" spans="1:17">
      <c r="A2027" s="556" t="s">
        <v>3614</v>
      </c>
      <c r="B2027" s="557"/>
      <c r="C2027" s="558" t="s">
        <v>2100</v>
      </c>
      <c r="D2027" s="556" t="s">
        <v>9328</v>
      </c>
      <c r="E2027" s="17" t="s">
        <v>5471</v>
      </c>
      <c r="F2027" s="17">
        <v>10</v>
      </c>
      <c r="G2027" s="17">
        <v>6</v>
      </c>
      <c r="H2027" s="17" t="s">
        <v>3457</v>
      </c>
      <c r="I2027" s="17"/>
      <c r="J2027" s="17"/>
      <c r="K2027" s="17"/>
      <c r="L2027" s="17"/>
      <c r="M2027" s="17"/>
      <c r="N2027" s="17"/>
      <c r="O2027" s="17"/>
      <c r="P2027" s="17"/>
      <c r="Q2027" s="17"/>
    </row>
    <row r="2028" spans="1:17">
      <c r="A2028" s="556" t="s">
        <v>3614</v>
      </c>
      <c r="B2028" s="557"/>
      <c r="C2028" s="558" t="s">
        <v>2100</v>
      </c>
      <c r="D2028" s="556" t="s">
        <v>9329</v>
      </c>
      <c r="E2028" s="17" t="s">
        <v>5472</v>
      </c>
      <c r="F2028" s="17">
        <v>10</v>
      </c>
      <c r="G2028" s="17">
        <v>7</v>
      </c>
      <c r="H2028" s="17" t="s">
        <v>7816</v>
      </c>
      <c r="I2028" s="17"/>
      <c r="J2028" s="17"/>
      <c r="K2028" s="17"/>
      <c r="L2028" s="17"/>
      <c r="M2028" s="17"/>
      <c r="N2028" s="17"/>
      <c r="O2028" s="17"/>
      <c r="P2028" s="17"/>
      <c r="Q2028" s="17"/>
    </row>
    <row r="2029" spans="1:17">
      <c r="A2029" s="556" t="s">
        <v>3614</v>
      </c>
      <c r="B2029" s="557"/>
      <c r="C2029" s="558" t="s">
        <v>2101</v>
      </c>
      <c r="D2029" s="556" t="s">
        <v>1693</v>
      </c>
      <c r="E2029" s="17" t="s">
        <v>5473</v>
      </c>
      <c r="F2029" s="17">
        <v>11</v>
      </c>
      <c r="G2029" s="17">
        <v>1</v>
      </c>
      <c r="H2029" s="17" t="s">
        <v>7781</v>
      </c>
      <c r="I2029" s="17"/>
      <c r="J2029" s="17"/>
      <c r="K2029" s="17"/>
      <c r="L2029" s="17"/>
      <c r="M2029" s="17"/>
      <c r="N2029" s="17"/>
      <c r="O2029" s="17"/>
      <c r="P2029" s="17"/>
      <c r="Q2029" s="17"/>
    </row>
    <row r="2030" spans="1:17">
      <c r="A2030" s="556" t="s">
        <v>3614</v>
      </c>
      <c r="B2030" s="557"/>
      <c r="C2030" s="558" t="s">
        <v>2101</v>
      </c>
      <c r="D2030" s="556" t="s">
        <v>1694</v>
      </c>
      <c r="E2030" s="17" t="s">
        <v>5474</v>
      </c>
      <c r="F2030" s="17">
        <v>11</v>
      </c>
      <c r="G2030" s="17">
        <v>2</v>
      </c>
      <c r="H2030" s="17" t="s">
        <v>3366</v>
      </c>
      <c r="I2030" s="17"/>
      <c r="J2030" s="17"/>
      <c r="K2030" s="17"/>
      <c r="L2030" s="17"/>
      <c r="M2030" s="17"/>
      <c r="N2030" s="17"/>
      <c r="O2030" s="17"/>
      <c r="P2030" s="17"/>
      <c r="Q2030" s="17"/>
    </row>
    <row r="2031" spans="1:17">
      <c r="A2031" s="556" t="s">
        <v>3614</v>
      </c>
      <c r="B2031" s="557"/>
      <c r="C2031" s="558" t="s">
        <v>2101</v>
      </c>
      <c r="D2031" s="556" t="s">
        <v>4426</v>
      </c>
      <c r="E2031" s="17" t="s">
        <v>5475</v>
      </c>
      <c r="F2031" s="17">
        <v>11</v>
      </c>
      <c r="G2031" s="17">
        <v>3</v>
      </c>
      <c r="H2031" s="17" t="s">
        <v>3367</v>
      </c>
      <c r="I2031" s="17">
        <v>0</v>
      </c>
      <c r="J2031" s="17"/>
      <c r="K2031" s="17"/>
      <c r="L2031" s="17"/>
      <c r="M2031" s="17"/>
      <c r="N2031" s="17"/>
      <c r="O2031" s="17"/>
      <c r="P2031" s="17"/>
      <c r="Q2031" s="17"/>
    </row>
    <row r="2032" spans="1:17">
      <c r="A2032" s="556" t="s">
        <v>3614</v>
      </c>
      <c r="B2032" s="557"/>
      <c r="C2032" s="558" t="s">
        <v>2101</v>
      </c>
      <c r="D2032" s="556" t="s">
        <v>4324</v>
      </c>
      <c r="E2032" s="17" t="s">
        <v>5476</v>
      </c>
      <c r="F2032" s="17">
        <v>11</v>
      </c>
      <c r="G2032" s="17">
        <v>4</v>
      </c>
      <c r="H2032" s="17" t="s">
        <v>3368</v>
      </c>
      <c r="I2032" s="17"/>
      <c r="J2032" s="17"/>
      <c r="K2032" s="17"/>
      <c r="L2032" s="17"/>
      <c r="M2032" s="17"/>
      <c r="N2032" s="17"/>
      <c r="O2032" s="17"/>
      <c r="P2032" s="17"/>
      <c r="Q2032" s="17"/>
    </row>
    <row r="2033" spans="1:17">
      <c r="A2033" s="556" t="s">
        <v>3614</v>
      </c>
      <c r="B2033" s="557"/>
      <c r="C2033" s="558" t="s">
        <v>2101</v>
      </c>
      <c r="D2033" s="556" t="s">
        <v>4944</v>
      </c>
      <c r="E2033" s="17" t="s">
        <v>5477</v>
      </c>
      <c r="F2033" s="17">
        <v>11</v>
      </c>
      <c r="G2033" s="17">
        <v>5</v>
      </c>
      <c r="H2033" s="17" t="s">
        <v>3369</v>
      </c>
      <c r="I2033" s="17"/>
      <c r="J2033" s="17"/>
      <c r="K2033" s="17"/>
      <c r="L2033" s="17"/>
      <c r="M2033" s="17"/>
      <c r="N2033" s="17"/>
      <c r="O2033" s="17"/>
      <c r="P2033" s="17"/>
      <c r="Q2033" s="17"/>
    </row>
    <row r="2034" spans="1:17">
      <c r="A2034" s="556" t="s">
        <v>3614</v>
      </c>
      <c r="B2034" s="557"/>
      <c r="C2034" s="558" t="s">
        <v>2101</v>
      </c>
      <c r="D2034" s="556" t="s">
        <v>9328</v>
      </c>
      <c r="E2034" s="17" t="s">
        <v>5478</v>
      </c>
      <c r="F2034" s="17">
        <v>11</v>
      </c>
      <c r="G2034" s="17">
        <v>6</v>
      </c>
      <c r="H2034" s="17" t="s">
        <v>3458</v>
      </c>
      <c r="I2034" s="17"/>
      <c r="J2034" s="17"/>
      <c r="K2034" s="17"/>
      <c r="L2034" s="17"/>
      <c r="M2034" s="17"/>
      <c r="N2034" s="17"/>
      <c r="O2034" s="17"/>
      <c r="P2034" s="17"/>
      <c r="Q2034" s="17"/>
    </row>
    <row r="2035" spans="1:17">
      <c r="A2035" s="556" t="s">
        <v>3614</v>
      </c>
      <c r="B2035" s="557"/>
      <c r="C2035" s="558" t="s">
        <v>2101</v>
      </c>
      <c r="D2035" s="556" t="s">
        <v>9329</v>
      </c>
      <c r="E2035" s="17" t="s">
        <v>5479</v>
      </c>
      <c r="F2035" s="17">
        <v>11</v>
      </c>
      <c r="G2035" s="17">
        <v>7</v>
      </c>
      <c r="H2035" s="17" t="s">
        <v>7817</v>
      </c>
      <c r="I2035" s="17"/>
      <c r="J2035" s="17"/>
      <c r="K2035" s="17"/>
      <c r="L2035" s="17"/>
      <c r="M2035" s="17"/>
      <c r="N2035" s="17"/>
      <c r="O2035" s="17"/>
      <c r="P2035" s="17"/>
      <c r="Q2035" s="17"/>
    </row>
    <row r="2036" spans="1:17">
      <c r="A2036" s="556" t="s">
        <v>3614</v>
      </c>
      <c r="B2036" s="557"/>
      <c r="C2036" s="558" t="s">
        <v>5480</v>
      </c>
      <c r="D2036" s="556" t="s">
        <v>1693</v>
      </c>
      <c r="E2036" s="17" t="s">
        <v>5481</v>
      </c>
      <c r="F2036" s="17">
        <v>12</v>
      </c>
      <c r="G2036" s="17">
        <v>1</v>
      </c>
      <c r="H2036" s="17" t="s">
        <v>7783</v>
      </c>
      <c r="I2036" s="17"/>
      <c r="J2036" s="17"/>
      <c r="K2036" s="17"/>
      <c r="L2036" s="17"/>
      <c r="M2036" s="17"/>
      <c r="N2036" s="17"/>
      <c r="O2036" s="17"/>
      <c r="P2036" s="17"/>
      <c r="Q2036" s="17"/>
    </row>
    <row r="2037" spans="1:17">
      <c r="A2037" s="556" t="s">
        <v>3614</v>
      </c>
      <c r="B2037" s="557"/>
      <c r="C2037" s="558" t="s">
        <v>5480</v>
      </c>
      <c r="D2037" s="556" t="s">
        <v>1694</v>
      </c>
      <c r="E2037" s="17" t="s">
        <v>5482</v>
      </c>
      <c r="F2037" s="17">
        <v>12</v>
      </c>
      <c r="G2037" s="17">
        <v>2</v>
      </c>
      <c r="H2037" s="17" t="s">
        <v>3370</v>
      </c>
      <c r="I2037" s="17"/>
      <c r="J2037" s="17"/>
      <c r="K2037" s="17"/>
      <c r="L2037" s="17"/>
      <c r="M2037" s="17"/>
      <c r="N2037" s="17"/>
      <c r="O2037" s="17"/>
      <c r="P2037" s="17"/>
      <c r="Q2037" s="17"/>
    </row>
    <row r="2038" spans="1:17">
      <c r="A2038" s="556" t="s">
        <v>3614</v>
      </c>
      <c r="B2038" s="557"/>
      <c r="C2038" s="558" t="s">
        <v>5480</v>
      </c>
      <c r="D2038" s="556" t="s">
        <v>4426</v>
      </c>
      <c r="E2038" s="17" t="s">
        <v>5483</v>
      </c>
      <c r="F2038" s="17">
        <v>12</v>
      </c>
      <c r="G2038" s="17">
        <v>3</v>
      </c>
      <c r="H2038" s="17" t="s">
        <v>3371</v>
      </c>
      <c r="I2038" s="17">
        <v>0</v>
      </c>
      <c r="J2038" s="17"/>
      <c r="K2038" s="17"/>
      <c r="L2038" s="17"/>
      <c r="M2038" s="17"/>
      <c r="N2038" s="17"/>
      <c r="O2038" s="17"/>
      <c r="P2038" s="17"/>
      <c r="Q2038" s="17"/>
    </row>
    <row r="2039" spans="1:17">
      <c r="A2039" s="556" t="s">
        <v>3614</v>
      </c>
      <c r="B2039" s="557"/>
      <c r="C2039" s="558" t="s">
        <v>5480</v>
      </c>
      <c r="D2039" s="556" t="s">
        <v>4324</v>
      </c>
      <c r="E2039" s="17" t="s">
        <v>5484</v>
      </c>
      <c r="F2039" s="17">
        <v>12</v>
      </c>
      <c r="G2039" s="17">
        <v>4</v>
      </c>
      <c r="H2039" s="17" t="s">
        <v>3372</v>
      </c>
      <c r="I2039" s="17"/>
      <c r="J2039" s="17"/>
      <c r="K2039" s="17"/>
      <c r="L2039" s="17"/>
      <c r="M2039" s="17"/>
      <c r="N2039" s="17"/>
      <c r="O2039" s="17"/>
      <c r="P2039" s="17"/>
      <c r="Q2039" s="17"/>
    </row>
    <row r="2040" spans="1:17">
      <c r="A2040" s="556" t="s">
        <v>3614</v>
      </c>
      <c r="B2040" s="557"/>
      <c r="C2040" s="558" t="s">
        <v>5480</v>
      </c>
      <c r="D2040" s="556" t="s">
        <v>4944</v>
      </c>
      <c r="E2040" s="17" t="s">
        <v>5485</v>
      </c>
      <c r="F2040" s="17">
        <v>12</v>
      </c>
      <c r="G2040" s="17">
        <v>5</v>
      </c>
      <c r="H2040" s="17" t="s">
        <v>3373</v>
      </c>
      <c r="I2040" s="17"/>
      <c r="J2040" s="17"/>
      <c r="K2040" s="17"/>
      <c r="L2040" s="17"/>
      <c r="M2040" s="17"/>
      <c r="N2040" s="17"/>
      <c r="O2040" s="17"/>
      <c r="P2040" s="17"/>
      <c r="Q2040" s="17"/>
    </row>
    <row r="2041" spans="1:17">
      <c r="A2041" s="556" t="s">
        <v>3614</v>
      </c>
      <c r="B2041" s="557"/>
      <c r="C2041" s="558" t="s">
        <v>5480</v>
      </c>
      <c r="D2041" s="556" t="s">
        <v>9328</v>
      </c>
      <c r="E2041" s="17" t="s">
        <v>5486</v>
      </c>
      <c r="F2041" s="17">
        <v>12</v>
      </c>
      <c r="G2041" s="17">
        <v>6</v>
      </c>
      <c r="H2041" s="17" t="s">
        <v>3459</v>
      </c>
      <c r="I2041" s="17"/>
      <c r="J2041" s="17"/>
      <c r="K2041" s="17"/>
      <c r="L2041" s="17"/>
      <c r="M2041" s="17"/>
      <c r="N2041" s="17"/>
      <c r="O2041" s="17"/>
      <c r="P2041" s="17"/>
      <c r="Q2041" s="17"/>
    </row>
    <row r="2042" spans="1:17">
      <c r="A2042" s="556" t="s">
        <v>3614</v>
      </c>
      <c r="B2042" s="557"/>
      <c r="C2042" s="558" t="s">
        <v>5480</v>
      </c>
      <c r="D2042" s="556" t="s">
        <v>9329</v>
      </c>
      <c r="E2042" s="17" t="s">
        <v>5487</v>
      </c>
      <c r="F2042" s="17">
        <v>12</v>
      </c>
      <c r="G2042" s="17">
        <v>7</v>
      </c>
      <c r="H2042" s="17" t="s">
        <v>7818</v>
      </c>
      <c r="I2042" s="17"/>
      <c r="J2042" s="17"/>
      <c r="K2042" s="17"/>
      <c r="L2042" s="17"/>
      <c r="M2042" s="17"/>
      <c r="N2042" s="17"/>
      <c r="O2042" s="17"/>
      <c r="P2042" s="17"/>
      <c r="Q2042" s="17"/>
    </row>
    <row r="2043" spans="1:17">
      <c r="A2043" s="556" t="s">
        <v>3614</v>
      </c>
      <c r="B2043" s="557"/>
      <c r="C2043" s="558" t="s">
        <v>5488</v>
      </c>
      <c r="D2043" s="556" t="s">
        <v>1693</v>
      </c>
      <c r="E2043" s="17" t="s">
        <v>5489</v>
      </c>
      <c r="F2043" s="17">
        <v>13</v>
      </c>
      <c r="G2043" s="17">
        <v>1</v>
      </c>
      <c r="H2043" s="17" t="s">
        <v>7785</v>
      </c>
      <c r="I2043" s="17"/>
      <c r="J2043" s="17"/>
      <c r="K2043" s="17"/>
      <c r="L2043" s="17"/>
      <c r="M2043" s="17"/>
      <c r="N2043" s="17"/>
      <c r="O2043" s="17"/>
      <c r="P2043" s="17"/>
      <c r="Q2043" s="17"/>
    </row>
    <row r="2044" spans="1:17">
      <c r="A2044" s="556" t="s">
        <v>3614</v>
      </c>
      <c r="B2044" s="557"/>
      <c r="C2044" s="558" t="s">
        <v>5488</v>
      </c>
      <c r="D2044" s="556" t="s">
        <v>1694</v>
      </c>
      <c r="E2044" s="17" t="s">
        <v>5490</v>
      </c>
      <c r="F2044" s="17">
        <v>13</v>
      </c>
      <c r="G2044" s="17">
        <v>2</v>
      </c>
      <c r="H2044" s="17" t="s">
        <v>3374</v>
      </c>
      <c r="I2044" s="17"/>
      <c r="J2044" s="17"/>
      <c r="K2044" s="17"/>
      <c r="L2044" s="17"/>
      <c r="M2044" s="17"/>
      <c r="N2044" s="17"/>
      <c r="O2044" s="17"/>
      <c r="P2044" s="17"/>
      <c r="Q2044" s="17"/>
    </row>
    <row r="2045" spans="1:17">
      <c r="A2045" s="556" t="s">
        <v>3614</v>
      </c>
      <c r="B2045" s="557"/>
      <c r="C2045" s="558" t="s">
        <v>5488</v>
      </c>
      <c r="D2045" s="556" t="s">
        <v>4426</v>
      </c>
      <c r="E2045" s="17" t="s">
        <v>5491</v>
      </c>
      <c r="F2045" s="17">
        <v>13</v>
      </c>
      <c r="G2045" s="17">
        <v>3</v>
      </c>
      <c r="H2045" s="17" t="s">
        <v>3375</v>
      </c>
      <c r="I2045" s="17">
        <v>0</v>
      </c>
      <c r="J2045" s="17"/>
      <c r="K2045" s="17"/>
      <c r="L2045" s="17"/>
      <c r="M2045" s="17"/>
      <c r="N2045" s="17"/>
      <c r="O2045" s="17"/>
      <c r="P2045" s="17"/>
      <c r="Q2045" s="17"/>
    </row>
    <row r="2046" spans="1:17">
      <c r="A2046" s="556" t="s">
        <v>3614</v>
      </c>
      <c r="B2046" s="557"/>
      <c r="C2046" s="558" t="s">
        <v>5488</v>
      </c>
      <c r="D2046" s="556" t="s">
        <v>4324</v>
      </c>
      <c r="E2046" s="17" t="s">
        <v>5492</v>
      </c>
      <c r="F2046" s="17">
        <v>13</v>
      </c>
      <c r="G2046" s="17">
        <v>4</v>
      </c>
      <c r="H2046" s="17" t="s">
        <v>3376</v>
      </c>
      <c r="I2046" s="17"/>
      <c r="J2046" s="17"/>
      <c r="K2046" s="17"/>
      <c r="L2046" s="17"/>
      <c r="M2046" s="17"/>
      <c r="N2046" s="17"/>
      <c r="O2046" s="17"/>
      <c r="P2046" s="17"/>
      <c r="Q2046" s="17"/>
    </row>
    <row r="2047" spans="1:17">
      <c r="A2047" s="556" t="s">
        <v>3614</v>
      </c>
      <c r="B2047" s="557"/>
      <c r="C2047" s="558" t="s">
        <v>5488</v>
      </c>
      <c r="D2047" s="556" t="s">
        <v>4944</v>
      </c>
      <c r="E2047" s="17" t="s">
        <v>5493</v>
      </c>
      <c r="F2047" s="17">
        <v>13</v>
      </c>
      <c r="G2047" s="17">
        <v>5</v>
      </c>
      <c r="H2047" s="17" t="s">
        <v>3377</v>
      </c>
      <c r="I2047" s="17"/>
      <c r="J2047" s="17"/>
      <c r="K2047" s="17"/>
      <c r="L2047" s="17"/>
      <c r="M2047" s="17"/>
      <c r="N2047" s="17"/>
      <c r="O2047" s="17"/>
      <c r="P2047" s="17"/>
      <c r="Q2047" s="17"/>
    </row>
    <row r="2048" spans="1:17">
      <c r="A2048" s="556" t="s">
        <v>3614</v>
      </c>
      <c r="B2048" s="557"/>
      <c r="C2048" s="558" t="s">
        <v>5488</v>
      </c>
      <c r="D2048" s="556" t="s">
        <v>9328</v>
      </c>
      <c r="E2048" s="17" t="s">
        <v>5494</v>
      </c>
      <c r="F2048" s="17">
        <v>13</v>
      </c>
      <c r="G2048" s="17">
        <v>6</v>
      </c>
      <c r="H2048" s="17" t="s">
        <v>3460</v>
      </c>
      <c r="I2048" s="17"/>
      <c r="J2048" s="17"/>
      <c r="K2048" s="17"/>
      <c r="L2048" s="17"/>
      <c r="M2048" s="17"/>
      <c r="N2048" s="17"/>
      <c r="O2048" s="17"/>
      <c r="P2048" s="17"/>
      <c r="Q2048" s="17"/>
    </row>
    <row r="2049" spans="1:17">
      <c r="A2049" s="556" t="s">
        <v>3614</v>
      </c>
      <c r="B2049" s="557"/>
      <c r="C2049" s="558" t="s">
        <v>5488</v>
      </c>
      <c r="D2049" s="556" t="s">
        <v>9329</v>
      </c>
      <c r="E2049" s="17" t="s">
        <v>5495</v>
      </c>
      <c r="F2049" s="17">
        <v>13</v>
      </c>
      <c r="G2049" s="17">
        <v>7</v>
      </c>
      <c r="H2049" s="17" t="s">
        <v>7819</v>
      </c>
      <c r="I2049" s="17"/>
      <c r="J2049" s="17"/>
      <c r="K2049" s="17"/>
      <c r="L2049" s="17"/>
      <c r="M2049" s="17"/>
      <c r="N2049" s="17"/>
      <c r="O2049" s="17"/>
      <c r="P2049" s="17"/>
      <c r="Q2049" s="17"/>
    </row>
    <row r="2050" spans="1:17">
      <c r="A2050" s="556" t="s">
        <v>3614</v>
      </c>
      <c r="B2050" s="557"/>
      <c r="C2050" s="558" t="s">
        <v>2104</v>
      </c>
      <c r="D2050" s="556" t="s">
        <v>1693</v>
      </c>
      <c r="E2050" s="17" t="s">
        <v>5496</v>
      </c>
      <c r="F2050" s="17">
        <v>14</v>
      </c>
      <c r="G2050" s="17">
        <v>1</v>
      </c>
      <c r="H2050" s="17" t="s">
        <v>3695</v>
      </c>
      <c r="I2050" s="17"/>
      <c r="J2050" s="17"/>
      <c r="K2050" s="17"/>
      <c r="L2050" s="17"/>
      <c r="M2050" s="17"/>
      <c r="N2050" s="17"/>
      <c r="O2050" s="17"/>
      <c r="P2050" s="17"/>
      <c r="Q2050" s="17"/>
    </row>
    <row r="2051" spans="1:17">
      <c r="A2051" s="556" t="s">
        <v>3614</v>
      </c>
      <c r="B2051" s="557"/>
      <c r="C2051" s="558" t="s">
        <v>2104</v>
      </c>
      <c r="D2051" s="556" t="s">
        <v>1694</v>
      </c>
      <c r="E2051" s="17" t="s">
        <v>5497</v>
      </c>
      <c r="F2051" s="17">
        <v>14</v>
      </c>
      <c r="G2051" s="17">
        <v>2</v>
      </c>
      <c r="H2051" s="17" t="s">
        <v>3378</v>
      </c>
      <c r="I2051" s="17"/>
      <c r="J2051" s="17"/>
      <c r="K2051" s="17"/>
      <c r="L2051" s="17"/>
      <c r="M2051" s="17"/>
      <c r="N2051" s="17"/>
      <c r="O2051" s="17"/>
      <c r="P2051" s="17"/>
      <c r="Q2051" s="17"/>
    </row>
    <row r="2052" spans="1:17">
      <c r="A2052" s="556" t="s">
        <v>3614</v>
      </c>
      <c r="B2052" s="557"/>
      <c r="C2052" s="558" t="s">
        <v>2104</v>
      </c>
      <c r="D2052" s="556" t="s">
        <v>4426</v>
      </c>
      <c r="E2052" s="17" t="s">
        <v>5498</v>
      </c>
      <c r="F2052" s="17">
        <v>14</v>
      </c>
      <c r="G2052" s="17">
        <v>3</v>
      </c>
      <c r="H2052" s="17" t="s">
        <v>3379</v>
      </c>
      <c r="I2052" s="17">
        <v>0</v>
      </c>
      <c r="J2052" s="17"/>
      <c r="K2052" s="17"/>
      <c r="L2052" s="17"/>
      <c r="M2052" s="17"/>
      <c r="N2052" s="17"/>
      <c r="O2052" s="17"/>
      <c r="P2052" s="17"/>
      <c r="Q2052" s="17"/>
    </row>
    <row r="2053" spans="1:17">
      <c r="A2053" s="556" t="s">
        <v>3614</v>
      </c>
      <c r="B2053" s="557"/>
      <c r="C2053" s="558" t="s">
        <v>2104</v>
      </c>
      <c r="D2053" s="556" t="s">
        <v>4324</v>
      </c>
      <c r="E2053" s="17" t="s">
        <v>5499</v>
      </c>
      <c r="F2053" s="17">
        <v>14</v>
      </c>
      <c r="G2053" s="17">
        <v>4</v>
      </c>
      <c r="H2053" s="17" t="s">
        <v>3380</v>
      </c>
      <c r="I2053" s="17"/>
      <c r="J2053" s="17"/>
      <c r="K2053" s="17"/>
      <c r="L2053" s="17"/>
      <c r="M2053" s="17"/>
      <c r="N2053" s="17"/>
      <c r="O2053" s="17"/>
      <c r="P2053" s="17"/>
      <c r="Q2053" s="17"/>
    </row>
    <row r="2054" spans="1:17">
      <c r="A2054" s="556" t="s">
        <v>3614</v>
      </c>
      <c r="B2054" s="557"/>
      <c r="C2054" s="558" t="s">
        <v>2104</v>
      </c>
      <c r="D2054" s="556" t="s">
        <v>4944</v>
      </c>
      <c r="E2054" s="17" t="s">
        <v>5500</v>
      </c>
      <c r="F2054" s="17">
        <v>14</v>
      </c>
      <c r="G2054" s="17">
        <v>5</v>
      </c>
      <c r="H2054" s="17" t="s">
        <v>3381</v>
      </c>
      <c r="I2054" s="17"/>
      <c r="J2054" s="17"/>
      <c r="K2054" s="17"/>
      <c r="L2054" s="17"/>
      <c r="M2054" s="17"/>
      <c r="N2054" s="17"/>
      <c r="O2054" s="17"/>
      <c r="P2054" s="17"/>
      <c r="Q2054" s="17"/>
    </row>
    <row r="2055" spans="1:17">
      <c r="A2055" s="556" t="s">
        <v>3614</v>
      </c>
      <c r="B2055" s="557"/>
      <c r="C2055" s="558" t="s">
        <v>2104</v>
      </c>
      <c r="D2055" s="556" t="s">
        <v>9328</v>
      </c>
      <c r="E2055" s="17" t="s">
        <v>5501</v>
      </c>
      <c r="F2055" s="17">
        <v>14</v>
      </c>
      <c r="G2055" s="17">
        <v>6</v>
      </c>
      <c r="H2055" s="17" t="s">
        <v>3461</v>
      </c>
      <c r="I2055" s="17"/>
      <c r="J2055" s="17"/>
      <c r="K2055" s="17"/>
      <c r="L2055" s="17"/>
      <c r="M2055" s="17"/>
      <c r="N2055" s="17"/>
      <c r="O2055" s="17"/>
      <c r="P2055" s="17"/>
      <c r="Q2055" s="17"/>
    </row>
    <row r="2056" spans="1:17">
      <c r="A2056" s="556" t="s">
        <v>3614</v>
      </c>
      <c r="B2056" s="557"/>
      <c r="C2056" s="558" t="s">
        <v>2104</v>
      </c>
      <c r="D2056" s="556" t="s">
        <v>9329</v>
      </c>
      <c r="E2056" s="17" t="s">
        <v>5502</v>
      </c>
      <c r="F2056" s="17">
        <v>14</v>
      </c>
      <c r="G2056" s="17">
        <v>7</v>
      </c>
      <c r="H2056" s="17" t="s">
        <v>7820</v>
      </c>
      <c r="I2056" s="17"/>
      <c r="J2056" s="17"/>
      <c r="K2056" s="17"/>
      <c r="L2056" s="17"/>
      <c r="M2056" s="17"/>
      <c r="N2056" s="17"/>
      <c r="O2056" s="17"/>
      <c r="P2056" s="17"/>
      <c r="Q2056" s="17"/>
    </row>
    <row r="2057" spans="1:17">
      <c r="A2057" s="556" t="s">
        <v>3614</v>
      </c>
      <c r="B2057" s="557"/>
      <c r="C2057" s="558" t="s">
        <v>2105</v>
      </c>
      <c r="D2057" s="556" t="s">
        <v>1693</v>
      </c>
      <c r="E2057" s="17" t="s">
        <v>5503</v>
      </c>
      <c r="F2057" s="17">
        <v>15</v>
      </c>
      <c r="G2057" s="17">
        <v>1</v>
      </c>
      <c r="H2057" s="17" t="s">
        <v>7788</v>
      </c>
      <c r="I2057" s="17">
        <v>0</v>
      </c>
      <c r="J2057" s="17"/>
      <c r="K2057" s="17"/>
      <c r="L2057" s="17"/>
      <c r="M2057" s="17"/>
      <c r="N2057" s="17"/>
      <c r="O2057" s="17"/>
      <c r="P2057" s="17"/>
      <c r="Q2057" s="17"/>
    </row>
    <row r="2058" spans="1:17">
      <c r="A2058" s="556" t="s">
        <v>3614</v>
      </c>
      <c r="B2058" s="557"/>
      <c r="C2058" s="558" t="s">
        <v>2105</v>
      </c>
      <c r="D2058" s="556" t="s">
        <v>1694</v>
      </c>
      <c r="E2058" s="17" t="s">
        <v>5504</v>
      </c>
      <c r="F2058" s="17">
        <v>15</v>
      </c>
      <c r="G2058" s="17">
        <v>2</v>
      </c>
      <c r="H2058" s="17" t="s">
        <v>3382</v>
      </c>
      <c r="I2058" s="17">
        <v>0</v>
      </c>
      <c r="J2058" s="17"/>
      <c r="K2058" s="17"/>
      <c r="L2058" s="17"/>
      <c r="M2058" s="17"/>
      <c r="N2058" s="17"/>
      <c r="O2058" s="17"/>
      <c r="P2058" s="17"/>
      <c r="Q2058" s="17"/>
    </row>
    <row r="2059" spans="1:17">
      <c r="A2059" s="556" t="s">
        <v>3614</v>
      </c>
      <c r="B2059" s="557"/>
      <c r="C2059" s="558" t="s">
        <v>2105</v>
      </c>
      <c r="D2059" s="556" t="s">
        <v>4426</v>
      </c>
      <c r="E2059" s="17" t="s">
        <v>5505</v>
      </c>
      <c r="F2059" s="17">
        <v>15</v>
      </c>
      <c r="G2059" s="17">
        <v>3</v>
      </c>
      <c r="H2059" s="17" t="s">
        <v>3383</v>
      </c>
      <c r="I2059" s="17">
        <v>0</v>
      </c>
      <c r="J2059" s="17"/>
      <c r="K2059" s="17"/>
      <c r="L2059" s="17"/>
      <c r="M2059" s="17"/>
      <c r="N2059" s="17"/>
      <c r="O2059" s="17"/>
      <c r="P2059" s="17"/>
      <c r="Q2059" s="17"/>
    </row>
    <row r="2060" spans="1:17">
      <c r="A2060" s="556" t="s">
        <v>3614</v>
      </c>
      <c r="B2060" s="557"/>
      <c r="C2060" s="558" t="s">
        <v>2105</v>
      </c>
      <c r="D2060" s="556" t="s">
        <v>4324</v>
      </c>
      <c r="E2060" s="17" t="s">
        <v>5506</v>
      </c>
      <c r="F2060" s="17">
        <v>15</v>
      </c>
      <c r="G2060" s="17">
        <v>4</v>
      </c>
      <c r="H2060" s="17" t="s">
        <v>3384</v>
      </c>
      <c r="I2060" s="17"/>
      <c r="J2060" s="17"/>
      <c r="K2060" s="17"/>
      <c r="L2060" s="17"/>
      <c r="M2060" s="17"/>
      <c r="N2060" s="17"/>
      <c r="O2060" s="17"/>
      <c r="P2060" s="17"/>
      <c r="Q2060" s="17"/>
    </row>
    <row r="2061" spans="1:17">
      <c r="A2061" s="556" t="s">
        <v>3614</v>
      </c>
      <c r="B2061" s="557"/>
      <c r="C2061" s="558" t="s">
        <v>2105</v>
      </c>
      <c r="D2061" s="556" t="s">
        <v>4944</v>
      </c>
      <c r="E2061" s="17" t="s">
        <v>5507</v>
      </c>
      <c r="F2061" s="17">
        <v>15</v>
      </c>
      <c r="G2061" s="17">
        <v>5</v>
      </c>
      <c r="H2061" s="17" t="s">
        <v>3385</v>
      </c>
      <c r="I2061" s="17">
        <v>0</v>
      </c>
      <c r="J2061" s="17"/>
      <c r="K2061" s="17"/>
      <c r="L2061" s="17"/>
      <c r="M2061" s="17"/>
      <c r="N2061" s="17"/>
      <c r="O2061" s="17"/>
      <c r="P2061" s="17"/>
      <c r="Q2061" s="17"/>
    </row>
    <row r="2062" spans="1:17">
      <c r="A2062" s="556" t="s">
        <v>3614</v>
      </c>
      <c r="B2062" s="557"/>
      <c r="C2062" s="558" t="s">
        <v>2105</v>
      </c>
      <c r="D2062" s="556" t="s">
        <v>9328</v>
      </c>
      <c r="E2062" s="17" t="s">
        <v>5508</v>
      </c>
      <c r="F2062" s="17">
        <v>15</v>
      </c>
      <c r="G2062" s="17">
        <v>6</v>
      </c>
      <c r="H2062" s="17" t="s">
        <v>3462</v>
      </c>
      <c r="I2062" s="17">
        <v>0</v>
      </c>
      <c r="J2062" s="17"/>
      <c r="K2062" s="17"/>
      <c r="L2062" s="17"/>
      <c r="M2062" s="17"/>
      <c r="N2062" s="17"/>
      <c r="O2062" s="17"/>
      <c r="P2062" s="17"/>
      <c r="Q2062" s="17"/>
    </row>
    <row r="2063" spans="1:17">
      <c r="A2063" s="556" t="s">
        <v>3614</v>
      </c>
      <c r="B2063" s="557"/>
      <c r="C2063" s="558" t="s">
        <v>2105</v>
      </c>
      <c r="D2063" s="556" t="s">
        <v>9329</v>
      </c>
      <c r="E2063" s="17" t="s">
        <v>5509</v>
      </c>
      <c r="F2063" s="17">
        <v>15</v>
      </c>
      <c r="G2063" s="17">
        <v>7</v>
      </c>
      <c r="H2063" s="17" t="s">
        <v>7821</v>
      </c>
      <c r="I2063" s="17">
        <v>0</v>
      </c>
      <c r="J2063" s="17"/>
      <c r="K2063" s="17"/>
      <c r="L2063" s="17"/>
      <c r="M2063" s="17"/>
      <c r="N2063" s="17"/>
      <c r="O2063" s="17"/>
      <c r="P2063" s="17"/>
      <c r="Q2063" s="17"/>
    </row>
    <row r="2064" spans="1:17">
      <c r="A2064" s="556" t="s">
        <v>3614</v>
      </c>
      <c r="B2064" s="557"/>
      <c r="C2064" s="558" t="s">
        <v>1792</v>
      </c>
      <c r="D2064" s="556" t="s">
        <v>1693</v>
      </c>
      <c r="E2064" s="17" t="s">
        <v>5510</v>
      </c>
      <c r="F2064" s="17">
        <v>16</v>
      </c>
      <c r="G2064" s="17">
        <v>1</v>
      </c>
      <c r="H2064" s="17" t="s">
        <v>7790</v>
      </c>
      <c r="I2064" s="17"/>
      <c r="J2064" s="17"/>
      <c r="K2064" s="17"/>
      <c r="L2064" s="17"/>
      <c r="M2064" s="17"/>
      <c r="N2064" s="17"/>
      <c r="O2064" s="17"/>
      <c r="P2064" s="17"/>
      <c r="Q2064" s="17"/>
    </row>
    <row r="2065" spans="1:17">
      <c r="A2065" s="556" t="s">
        <v>3614</v>
      </c>
      <c r="B2065" s="557"/>
      <c r="C2065" s="558" t="s">
        <v>1792</v>
      </c>
      <c r="D2065" s="556" t="s">
        <v>1694</v>
      </c>
      <c r="E2065" s="17" t="s">
        <v>5511</v>
      </c>
      <c r="F2065" s="17">
        <v>16</v>
      </c>
      <c r="G2065" s="17">
        <v>2</v>
      </c>
      <c r="H2065" s="17" t="s">
        <v>3386</v>
      </c>
      <c r="I2065" s="17"/>
      <c r="J2065" s="17"/>
      <c r="K2065" s="17"/>
      <c r="L2065" s="17"/>
      <c r="M2065" s="17"/>
      <c r="N2065" s="17"/>
      <c r="O2065" s="17"/>
      <c r="P2065" s="17"/>
      <c r="Q2065" s="17"/>
    </row>
    <row r="2066" spans="1:17">
      <c r="A2066" s="556" t="s">
        <v>3614</v>
      </c>
      <c r="B2066" s="557"/>
      <c r="C2066" s="558" t="s">
        <v>1792</v>
      </c>
      <c r="D2066" s="556" t="s">
        <v>4426</v>
      </c>
      <c r="E2066" s="17" t="s">
        <v>5512</v>
      </c>
      <c r="F2066" s="17">
        <v>16</v>
      </c>
      <c r="G2066" s="17">
        <v>3</v>
      </c>
      <c r="H2066" s="17" t="s">
        <v>3387</v>
      </c>
      <c r="I2066" s="17">
        <v>0</v>
      </c>
      <c r="J2066" s="17"/>
      <c r="K2066" s="17"/>
      <c r="L2066" s="17"/>
      <c r="M2066" s="17"/>
      <c r="N2066" s="17"/>
      <c r="O2066" s="17"/>
      <c r="P2066" s="17"/>
      <c r="Q2066" s="17"/>
    </row>
    <row r="2067" spans="1:17">
      <c r="A2067" s="556" t="s">
        <v>3614</v>
      </c>
      <c r="B2067" s="557"/>
      <c r="C2067" s="558" t="s">
        <v>1792</v>
      </c>
      <c r="D2067" s="556" t="s">
        <v>4324</v>
      </c>
      <c r="E2067" s="17" t="s">
        <v>5513</v>
      </c>
      <c r="F2067" s="17">
        <v>16</v>
      </c>
      <c r="G2067" s="17">
        <v>4</v>
      </c>
      <c r="H2067" s="17" t="s">
        <v>3388</v>
      </c>
      <c r="I2067" s="17"/>
      <c r="J2067" s="17"/>
      <c r="K2067" s="17"/>
      <c r="L2067" s="17"/>
      <c r="M2067" s="17"/>
      <c r="N2067" s="17"/>
      <c r="O2067" s="17"/>
      <c r="P2067" s="17"/>
      <c r="Q2067" s="17"/>
    </row>
    <row r="2068" spans="1:17">
      <c r="A2068" s="556" t="s">
        <v>3614</v>
      </c>
      <c r="B2068" s="557"/>
      <c r="C2068" s="558" t="s">
        <v>1792</v>
      </c>
      <c r="D2068" s="556" t="s">
        <v>4944</v>
      </c>
      <c r="E2068" s="17" t="s">
        <v>5514</v>
      </c>
      <c r="F2068" s="17">
        <v>16</v>
      </c>
      <c r="G2068" s="17">
        <v>5</v>
      </c>
      <c r="H2068" s="17" t="s">
        <v>3389</v>
      </c>
      <c r="I2068" s="17"/>
      <c r="J2068" s="17"/>
      <c r="K2068" s="17"/>
      <c r="L2068" s="17"/>
      <c r="M2068" s="17"/>
      <c r="N2068" s="17"/>
      <c r="O2068" s="17"/>
      <c r="P2068" s="17"/>
      <c r="Q2068" s="17"/>
    </row>
    <row r="2069" spans="1:17">
      <c r="A2069" s="556" t="s">
        <v>3614</v>
      </c>
      <c r="B2069" s="557"/>
      <c r="C2069" s="558" t="s">
        <v>1792</v>
      </c>
      <c r="D2069" s="556" t="s">
        <v>9328</v>
      </c>
      <c r="E2069" s="17" t="s">
        <v>5515</v>
      </c>
      <c r="F2069" s="17">
        <v>16</v>
      </c>
      <c r="G2069" s="17">
        <v>6</v>
      </c>
      <c r="H2069" s="17" t="s">
        <v>3463</v>
      </c>
      <c r="I2069" s="17"/>
      <c r="J2069" s="17"/>
      <c r="K2069" s="17"/>
      <c r="L2069" s="17"/>
      <c r="M2069" s="17"/>
      <c r="N2069" s="17"/>
      <c r="O2069" s="17"/>
      <c r="P2069" s="17"/>
      <c r="Q2069" s="17"/>
    </row>
    <row r="2070" spans="1:17">
      <c r="A2070" s="556" t="s">
        <v>3614</v>
      </c>
      <c r="B2070" s="557"/>
      <c r="C2070" s="558" t="s">
        <v>1792</v>
      </c>
      <c r="D2070" s="556" t="s">
        <v>9329</v>
      </c>
      <c r="E2070" s="17" t="s">
        <v>5516</v>
      </c>
      <c r="F2070" s="17">
        <v>16</v>
      </c>
      <c r="G2070" s="17">
        <v>7</v>
      </c>
      <c r="H2070" s="17" t="s">
        <v>7822</v>
      </c>
      <c r="I2070" s="17"/>
      <c r="J2070" s="17"/>
      <c r="K2070" s="17"/>
      <c r="L2070" s="17"/>
      <c r="M2070" s="17"/>
      <c r="N2070" s="17"/>
      <c r="O2070" s="17"/>
      <c r="P2070" s="17"/>
      <c r="Q2070" s="17"/>
    </row>
    <row r="2071" spans="1:17">
      <c r="A2071" s="556" t="s">
        <v>3614</v>
      </c>
      <c r="B2071" s="557"/>
      <c r="C2071" s="558" t="s">
        <v>1793</v>
      </c>
      <c r="D2071" s="556" t="s">
        <v>1693</v>
      </c>
      <c r="E2071" s="17" t="s">
        <v>5517</v>
      </c>
      <c r="F2071" s="17">
        <v>17</v>
      </c>
      <c r="G2071" s="17">
        <v>1</v>
      </c>
      <c r="H2071" s="17" t="s">
        <v>7792</v>
      </c>
      <c r="I2071" s="17"/>
      <c r="J2071" s="17"/>
      <c r="K2071" s="17"/>
      <c r="L2071" s="17"/>
      <c r="M2071" s="17"/>
      <c r="N2071" s="17"/>
      <c r="O2071" s="17"/>
      <c r="P2071" s="17"/>
      <c r="Q2071" s="17"/>
    </row>
    <row r="2072" spans="1:17">
      <c r="A2072" s="556" t="s">
        <v>3614</v>
      </c>
      <c r="B2072" s="557"/>
      <c r="C2072" s="558" t="s">
        <v>1793</v>
      </c>
      <c r="D2072" s="556" t="s">
        <v>1694</v>
      </c>
      <c r="E2072" s="17" t="s">
        <v>5518</v>
      </c>
      <c r="F2072" s="17">
        <v>17</v>
      </c>
      <c r="G2072" s="17">
        <v>2</v>
      </c>
      <c r="H2072" s="17" t="s">
        <v>3390</v>
      </c>
      <c r="I2072" s="17"/>
      <c r="J2072" s="17"/>
      <c r="K2072" s="17"/>
      <c r="L2072" s="17"/>
      <c r="M2072" s="17"/>
      <c r="N2072" s="17"/>
      <c r="O2072" s="17"/>
      <c r="P2072" s="17"/>
      <c r="Q2072" s="17"/>
    </row>
    <row r="2073" spans="1:17">
      <c r="A2073" s="556" t="s">
        <v>3614</v>
      </c>
      <c r="B2073" s="557"/>
      <c r="C2073" s="558" t="s">
        <v>1793</v>
      </c>
      <c r="D2073" s="556" t="s">
        <v>4426</v>
      </c>
      <c r="E2073" s="17" t="s">
        <v>5519</v>
      </c>
      <c r="F2073" s="17">
        <v>17</v>
      </c>
      <c r="G2073" s="17">
        <v>3</v>
      </c>
      <c r="H2073" s="17" t="s">
        <v>3391</v>
      </c>
      <c r="I2073" s="17">
        <v>0</v>
      </c>
      <c r="J2073" s="17"/>
      <c r="K2073" s="17"/>
      <c r="L2073" s="17"/>
      <c r="M2073" s="17"/>
      <c r="N2073" s="17"/>
      <c r="O2073" s="17"/>
      <c r="P2073" s="17"/>
      <c r="Q2073" s="17"/>
    </row>
    <row r="2074" spans="1:17">
      <c r="A2074" s="556" t="s">
        <v>3614</v>
      </c>
      <c r="B2074" s="557"/>
      <c r="C2074" s="558" t="s">
        <v>1793</v>
      </c>
      <c r="D2074" s="556" t="s">
        <v>4324</v>
      </c>
      <c r="E2074" s="17" t="s">
        <v>5520</v>
      </c>
      <c r="F2074" s="17">
        <v>17</v>
      </c>
      <c r="G2074" s="17">
        <v>4</v>
      </c>
      <c r="H2074" s="17" t="s">
        <v>3392</v>
      </c>
      <c r="I2074" s="17"/>
      <c r="J2074" s="17"/>
      <c r="K2074" s="17"/>
      <c r="L2074" s="17"/>
      <c r="M2074" s="17"/>
      <c r="N2074" s="17"/>
      <c r="O2074" s="17"/>
      <c r="P2074" s="17"/>
      <c r="Q2074" s="17"/>
    </row>
    <row r="2075" spans="1:17">
      <c r="A2075" s="556" t="s">
        <v>3614</v>
      </c>
      <c r="B2075" s="557"/>
      <c r="C2075" s="558" t="s">
        <v>1793</v>
      </c>
      <c r="D2075" s="556" t="s">
        <v>4944</v>
      </c>
      <c r="E2075" s="17" t="s">
        <v>5521</v>
      </c>
      <c r="F2075" s="17">
        <v>17</v>
      </c>
      <c r="G2075" s="17">
        <v>5</v>
      </c>
      <c r="H2075" s="17" t="s">
        <v>3393</v>
      </c>
      <c r="I2075" s="17"/>
      <c r="J2075" s="17"/>
      <c r="K2075" s="17"/>
      <c r="L2075" s="17"/>
      <c r="M2075" s="17"/>
      <c r="N2075" s="17"/>
      <c r="O2075" s="17"/>
      <c r="P2075" s="17"/>
      <c r="Q2075" s="17"/>
    </row>
    <row r="2076" spans="1:17">
      <c r="A2076" s="556" t="s">
        <v>3614</v>
      </c>
      <c r="B2076" s="557"/>
      <c r="C2076" s="558" t="s">
        <v>1793</v>
      </c>
      <c r="D2076" s="556" t="s">
        <v>9328</v>
      </c>
      <c r="E2076" s="17" t="s">
        <v>5522</v>
      </c>
      <c r="F2076" s="17">
        <v>17</v>
      </c>
      <c r="G2076" s="17">
        <v>6</v>
      </c>
      <c r="H2076" s="17" t="s">
        <v>3464</v>
      </c>
      <c r="I2076" s="17"/>
      <c r="J2076" s="17"/>
      <c r="K2076" s="17"/>
      <c r="L2076" s="17"/>
      <c r="M2076" s="17"/>
      <c r="N2076" s="17"/>
      <c r="O2076" s="17"/>
      <c r="P2076" s="17"/>
      <c r="Q2076" s="17"/>
    </row>
    <row r="2077" spans="1:17">
      <c r="A2077" s="556" t="s">
        <v>3614</v>
      </c>
      <c r="B2077" s="557"/>
      <c r="C2077" s="558" t="s">
        <v>1793</v>
      </c>
      <c r="D2077" s="556" t="s">
        <v>9329</v>
      </c>
      <c r="E2077" s="17" t="s">
        <v>5523</v>
      </c>
      <c r="F2077" s="17">
        <v>17</v>
      </c>
      <c r="G2077" s="17">
        <v>7</v>
      </c>
      <c r="H2077" s="17" t="s">
        <v>3694</v>
      </c>
      <c r="I2077" s="17"/>
      <c r="J2077" s="17"/>
      <c r="K2077" s="17"/>
      <c r="L2077" s="17"/>
      <c r="M2077" s="17"/>
      <c r="N2077" s="17"/>
      <c r="O2077" s="17"/>
      <c r="P2077" s="17"/>
      <c r="Q2077" s="17"/>
    </row>
    <row r="2078" spans="1:17">
      <c r="A2078" s="556" t="s">
        <v>3614</v>
      </c>
      <c r="B2078" s="557"/>
      <c r="C2078" s="558" t="s">
        <v>1794</v>
      </c>
      <c r="D2078" s="556" t="s">
        <v>1693</v>
      </c>
      <c r="E2078" s="17" t="s">
        <v>5524</v>
      </c>
      <c r="F2078" s="17">
        <v>18</v>
      </c>
      <c r="G2078" s="17">
        <v>1</v>
      </c>
      <c r="H2078" s="17" t="s">
        <v>7794</v>
      </c>
      <c r="I2078" s="17"/>
      <c r="J2078" s="17"/>
      <c r="K2078" s="17"/>
      <c r="L2078" s="17"/>
      <c r="M2078" s="17"/>
      <c r="N2078" s="17"/>
      <c r="O2078" s="17"/>
      <c r="P2078" s="17"/>
      <c r="Q2078" s="17"/>
    </row>
    <row r="2079" spans="1:17">
      <c r="A2079" s="556" t="s">
        <v>3614</v>
      </c>
      <c r="B2079" s="557"/>
      <c r="C2079" s="558" t="s">
        <v>1794</v>
      </c>
      <c r="D2079" s="556" t="s">
        <v>1694</v>
      </c>
      <c r="E2079" s="17" t="s">
        <v>5525</v>
      </c>
      <c r="F2079" s="17">
        <v>18</v>
      </c>
      <c r="G2079" s="17">
        <v>2</v>
      </c>
      <c r="H2079" s="17" t="s">
        <v>3394</v>
      </c>
      <c r="I2079" s="17"/>
      <c r="J2079" s="17"/>
      <c r="K2079" s="17"/>
      <c r="L2079" s="17"/>
      <c r="M2079" s="17"/>
      <c r="N2079" s="17"/>
      <c r="O2079" s="17"/>
      <c r="P2079" s="17"/>
      <c r="Q2079" s="17"/>
    </row>
    <row r="2080" spans="1:17">
      <c r="A2080" s="556" t="s">
        <v>3614</v>
      </c>
      <c r="B2080" s="557"/>
      <c r="C2080" s="558" t="s">
        <v>1794</v>
      </c>
      <c r="D2080" s="556" t="s">
        <v>4426</v>
      </c>
      <c r="E2080" s="17" t="s">
        <v>5526</v>
      </c>
      <c r="F2080" s="17">
        <v>18</v>
      </c>
      <c r="G2080" s="17">
        <v>3</v>
      </c>
      <c r="H2080" s="17" t="s">
        <v>3395</v>
      </c>
      <c r="I2080" s="17">
        <v>0</v>
      </c>
      <c r="J2080" s="17"/>
      <c r="K2080" s="17"/>
      <c r="L2080" s="17"/>
      <c r="M2080" s="17"/>
      <c r="N2080" s="17"/>
      <c r="O2080" s="17"/>
      <c r="P2080" s="17"/>
      <c r="Q2080" s="17"/>
    </row>
    <row r="2081" spans="1:17">
      <c r="A2081" s="556" t="s">
        <v>3614</v>
      </c>
      <c r="B2081" s="557"/>
      <c r="C2081" s="558" t="s">
        <v>1794</v>
      </c>
      <c r="D2081" s="556" t="s">
        <v>4324</v>
      </c>
      <c r="E2081" s="17" t="s">
        <v>5527</v>
      </c>
      <c r="F2081" s="17">
        <v>18</v>
      </c>
      <c r="G2081" s="17">
        <v>4</v>
      </c>
      <c r="H2081" s="17" t="s">
        <v>3396</v>
      </c>
      <c r="I2081" s="17"/>
      <c r="J2081" s="17"/>
      <c r="K2081" s="17"/>
      <c r="L2081" s="17"/>
      <c r="M2081" s="17"/>
      <c r="N2081" s="17"/>
      <c r="O2081" s="17"/>
      <c r="P2081" s="17"/>
      <c r="Q2081" s="17"/>
    </row>
    <row r="2082" spans="1:17">
      <c r="A2082" s="556" t="s">
        <v>3614</v>
      </c>
      <c r="B2082" s="557"/>
      <c r="C2082" s="558" t="s">
        <v>1794</v>
      </c>
      <c r="D2082" s="556" t="s">
        <v>4944</v>
      </c>
      <c r="E2082" s="17" t="s">
        <v>5528</v>
      </c>
      <c r="F2082" s="17">
        <v>18</v>
      </c>
      <c r="G2082" s="17">
        <v>5</v>
      </c>
      <c r="H2082" s="17" t="s">
        <v>3397</v>
      </c>
      <c r="I2082" s="17"/>
      <c r="J2082" s="17"/>
      <c r="K2082" s="17"/>
      <c r="L2082" s="17"/>
      <c r="M2082" s="17"/>
      <c r="N2082" s="17"/>
      <c r="O2082" s="17"/>
      <c r="P2082" s="17"/>
      <c r="Q2082" s="17"/>
    </row>
    <row r="2083" spans="1:17">
      <c r="A2083" s="556" t="s">
        <v>3614</v>
      </c>
      <c r="B2083" s="557"/>
      <c r="C2083" s="558" t="s">
        <v>1794</v>
      </c>
      <c r="D2083" s="556" t="s">
        <v>9328</v>
      </c>
      <c r="E2083" s="17" t="s">
        <v>5529</v>
      </c>
      <c r="F2083" s="17">
        <v>18</v>
      </c>
      <c r="G2083" s="17">
        <v>6</v>
      </c>
      <c r="H2083" s="17" t="s">
        <v>3465</v>
      </c>
      <c r="I2083" s="17"/>
      <c r="J2083" s="17"/>
      <c r="K2083" s="17"/>
      <c r="L2083" s="17"/>
      <c r="M2083" s="17"/>
      <c r="N2083" s="17"/>
      <c r="O2083" s="17"/>
      <c r="P2083" s="17"/>
      <c r="Q2083" s="17"/>
    </row>
    <row r="2084" spans="1:17">
      <c r="A2084" s="556" t="s">
        <v>3614</v>
      </c>
      <c r="B2084" s="557"/>
      <c r="C2084" s="558" t="s">
        <v>1794</v>
      </c>
      <c r="D2084" s="556" t="s">
        <v>9329</v>
      </c>
      <c r="E2084" s="17" t="s">
        <v>5530</v>
      </c>
      <c r="F2084" s="17">
        <v>18</v>
      </c>
      <c r="G2084" s="17">
        <v>7</v>
      </c>
      <c r="H2084" s="17" t="s">
        <v>7832</v>
      </c>
      <c r="I2084" s="17"/>
      <c r="J2084" s="17"/>
      <c r="K2084" s="17"/>
      <c r="L2084" s="17"/>
      <c r="M2084" s="17"/>
      <c r="N2084" s="17"/>
      <c r="O2084" s="17"/>
      <c r="P2084" s="17"/>
      <c r="Q2084" s="17"/>
    </row>
    <row r="2085" spans="1:17">
      <c r="A2085" s="556" t="s">
        <v>3614</v>
      </c>
      <c r="B2085" s="557"/>
      <c r="C2085" s="558" t="s">
        <v>2107</v>
      </c>
      <c r="D2085" s="556" t="s">
        <v>1693</v>
      </c>
      <c r="E2085" s="17" t="s">
        <v>5531</v>
      </c>
      <c r="F2085" s="17">
        <v>19</v>
      </c>
      <c r="G2085" s="17">
        <v>1</v>
      </c>
      <c r="H2085" s="17" t="s">
        <v>7796</v>
      </c>
      <c r="I2085" s="17">
        <v>0</v>
      </c>
      <c r="J2085" s="17"/>
      <c r="K2085" s="17"/>
      <c r="L2085" s="17"/>
      <c r="M2085" s="17"/>
      <c r="N2085" s="17"/>
      <c r="O2085" s="17"/>
      <c r="P2085" s="17"/>
      <c r="Q2085" s="17"/>
    </row>
    <row r="2086" spans="1:17">
      <c r="A2086" s="556" t="s">
        <v>3614</v>
      </c>
      <c r="B2086" s="557"/>
      <c r="C2086" s="558" t="s">
        <v>2107</v>
      </c>
      <c r="D2086" s="556" t="s">
        <v>1694</v>
      </c>
      <c r="E2086" s="17" t="s">
        <v>5532</v>
      </c>
      <c r="F2086" s="17">
        <v>19</v>
      </c>
      <c r="G2086" s="17">
        <v>2</v>
      </c>
      <c r="H2086" s="17" t="s">
        <v>3398</v>
      </c>
      <c r="I2086" s="17">
        <v>0</v>
      </c>
      <c r="J2086" s="17"/>
      <c r="K2086" s="17"/>
      <c r="L2086" s="17"/>
      <c r="M2086" s="17"/>
      <c r="N2086" s="17"/>
      <c r="O2086" s="17"/>
      <c r="P2086" s="17"/>
      <c r="Q2086" s="17"/>
    </row>
    <row r="2087" spans="1:17">
      <c r="A2087" s="556" t="s">
        <v>3614</v>
      </c>
      <c r="B2087" s="557"/>
      <c r="C2087" s="558" t="s">
        <v>2107</v>
      </c>
      <c r="D2087" s="556" t="s">
        <v>4426</v>
      </c>
      <c r="E2087" s="17" t="s">
        <v>5533</v>
      </c>
      <c r="F2087" s="17">
        <v>19</v>
      </c>
      <c r="G2087" s="17">
        <v>3</v>
      </c>
      <c r="H2087" s="17" t="s">
        <v>3399</v>
      </c>
      <c r="I2087" s="17">
        <v>0</v>
      </c>
      <c r="J2087" s="17"/>
      <c r="K2087" s="17"/>
      <c r="L2087" s="17"/>
      <c r="M2087" s="17"/>
      <c r="N2087" s="17"/>
      <c r="O2087" s="17"/>
      <c r="P2087" s="17"/>
      <c r="Q2087" s="17"/>
    </row>
    <row r="2088" spans="1:17">
      <c r="A2088" s="556" t="s">
        <v>3614</v>
      </c>
      <c r="B2088" s="557"/>
      <c r="C2088" s="558" t="s">
        <v>2107</v>
      </c>
      <c r="D2088" s="556" t="s">
        <v>4324</v>
      </c>
      <c r="E2088" s="17" t="s">
        <v>5534</v>
      </c>
      <c r="F2088" s="17">
        <v>19</v>
      </c>
      <c r="G2088" s="17">
        <v>4</v>
      </c>
      <c r="H2088" s="17" t="s">
        <v>3400</v>
      </c>
      <c r="I2088" s="17"/>
      <c r="J2088" s="17"/>
      <c r="K2088" s="17"/>
      <c r="L2088" s="17"/>
      <c r="M2088" s="17"/>
      <c r="N2088" s="17"/>
      <c r="O2088" s="17"/>
      <c r="P2088" s="17"/>
      <c r="Q2088" s="17"/>
    </row>
    <row r="2089" spans="1:17">
      <c r="A2089" s="556" t="s">
        <v>3614</v>
      </c>
      <c r="B2089" s="557"/>
      <c r="C2089" s="558" t="s">
        <v>2107</v>
      </c>
      <c r="D2089" s="556" t="s">
        <v>4944</v>
      </c>
      <c r="E2089" s="17" t="s">
        <v>5535</v>
      </c>
      <c r="F2089" s="17">
        <v>19</v>
      </c>
      <c r="G2089" s="17">
        <v>5</v>
      </c>
      <c r="H2089" s="17" t="s">
        <v>3401</v>
      </c>
      <c r="I2089" s="17">
        <v>0</v>
      </c>
      <c r="J2089" s="17"/>
      <c r="K2089" s="17"/>
      <c r="L2089" s="17"/>
      <c r="M2089" s="17"/>
      <c r="N2089" s="17"/>
      <c r="O2089" s="17"/>
      <c r="P2089" s="17"/>
      <c r="Q2089" s="17"/>
    </row>
    <row r="2090" spans="1:17">
      <c r="A2090" s="556" t="s">
        <v>3614</v>
      </c>
      <c r="B2090" s="557"/>
      <c r="C2090" s="558" t="s">
        <v>2107</v>
      </c>
      <c r="D2090" s="556" t="s">
        <v>9328</v>
      </c>
      <c r="E2090" s="17" t="s">
        <v>5536</v>
      </c>
      <c r="F2090" s="17">
        <v>19</v>
      </c>
      <c r="G2090" s="17">
        <v>6</v>
      </c>
      <c r="H2090" s="17" t="s">
        <v>3466</v>
      </c>
      <c r="I2090" s="17">
        <v>0</v>
      </c>
      <c r="J2090" s="17"/>
      <c r="K2090" s="17"/>
      <c r="L2090" s="17"/>
      <c r="M2090" s="17"/>
      <c r="N2090" s="17"/>
      <c r="O2090" s="17"/>
      <c r="P2090" s="17"/>
      <c r="Q2090" s="17"/>
    </row>
    <row r="2091" spans="1:17">
      <c r="A2091" s="556" t="s">
        <v>3614</v>
      </c>
      <c r="B2091" s="557"/>
      <c r="C2091" s="558" t="s">
        <v>2107</v>
      </c>
      <c r="D2091" s="556" t="s">
        <v>9329</v>
      </c>
      <c r="E2091" s="17" t="s">
        <v>5537</v>
      </c>
      <c r="F2091" s="17">
        <v>19</v>
      </c>
      <c r="G2091" s="17">
        <v>7</v>
      </c>
      <c r="H2091" s="17" t="s">
        <v>7833</v>
      </c>
      <c r="I2091" s="17">
        <v>0</v>
      </c>
      <c r="J2091" s="17"/>
      <c r="K2091" s="17"/>
      <c r="L2091" s="17"/>
      <c r="M2091" s="17"/>
      <c r="N2091" s="17"/>
      <c r="O2091" s="17"/>
      <c r="P2091" s="17"/>
      <c r="Q2091" s="17"/>
    </row>
    <row r="2092" spans="1:17">
      <c r="A2092" s="556" t="s">
        <v>3614</v>
      </c>
      <c r="B2092" s="557"/>
      <c r="C2092" s="558" t="s">
        <v>2108</v>
      </c>
      <c r="D2092" s="556" t="s">
        <v>1693</v>
      </c>
      <c r="E2092" s="17" t="s">
        <v>5538</v>
      </c>
      <c r="F2092" s="17">
        <v>20</v>
      </c>
      <c r="G2092" s="17">
        <v>1</v>
      </c>
      <c r="H2092" s="17" t="s">
        <v>7798</v>
      </c>
      <c r="I2092" s="17">
        <v>0</v>
      </c>
      <c r="J2092" s="17"/>
      <c r="K2092" s="17"/>
      <c r="L2092" s="17"/>
      <c r="M2092" s="17"/>
      <c r="N2092" s="17"/>
      <c r="O2092" s="17"/>
      <c r="P2092" s="17"/>
      <c r="Q2092" s="17"/>
    </row>
    <row r="2093" spans="1:17">
      <c r="A2093" s="556" t="s">
        <v>3614</v>
      </c>
      <c r="B2093" s="557"/>
      <c r="C2093" s="558" t="s">
        <v>2108</v>
      </c>
      <c r="D2093" s="556" t="s">
        <v>1694</v>
      </c>
      <c r="E2093" s="17" t="s">
        <v>5539</v>
      </c>
      <c r="F2093" s="17">
        <v>20</v>
      </c>
      <c r="G2093" s="17">
        <v>2</v>
      </c>
      <c r="H2093" s="17" t="s">
        <v>3402</v>
      </c>
      <c r="I2093" s="17">
        <v>0</v>
      </c>
      <c r="J2093" s="17"/>
      <c r="K2093" s="17"/>
      <c r="L2093" s="17"/>
      <c r="M2093" s="17"/>
      <c r="N2093" s="17"/>
      <c r="O2093" s="17"/>
      <c r="P2093" s="17"/>
      <c r="Q2093" s="17"/>
    </row>
    <row r="2094" spans="1:17">
      <c r="A2094" s="556" t="s">
        <v>3614</v>
      </c>
      <c r="B2094" s="557"/>
      <c r="C2094" s="558" t="s">
        <v>2108</v>
      </c>
      <c r="D2094" s="556" t="s">
        <v>4426</v>
      </c>
      <c r="E2094" s="17" t="s">
        <v>5540</v>
      </c>
      <c r="F2094" s="17">
        <v>20</v>
      </c>
      <c r="G2094" s="17">
        <v>3</v>
      </c>
      <c r="H2094" s="17" t="s">
        <v>3403</v>
      </c>
      <c r="I2094" s="17">
        <v>0</v>
      </c>
      <c r="J2094" s="17"/>
      <c r="K2094" s="17"/>
      <c r="L2094" s="17"/>
      <c r="M2094" s="17"/>
      <c r="N2094" s="17"/>
      <c r="O2094" s="17"/>
      <c r="P2094" s="17"/>
      <c r="Q2094" s="17"/>
    </row>
    <row r="2095" spans="1:17">
      <c r="A2095" s="556" t="s">
        <v>3614</v>
      </c>
      <c r="B2095" s="557"/>
      <c r="C2095" s="558" t="s">
        <v>2108</v>
      </c>
      <c r="D2095" s="556" t="s">
        <v>4324</v>
      </c>
      <c r="E2095" s="17" t="s">
        <v>5541</v>
      </c>
      <c r="F2095" s="17">
        <v>20</v>
      </c>
      <c r="G2095" s="17">
        <v>4</v>
      </c>
      <c r="H2095" s="17" t="s">
        <v>3404</v>
      </c>
      <c r="I2095" s="17"/>
      <c r="J2095" s="17"/>
      <c r="K2095" s="17"/>
      <c r="L2095" s="17"/>
      <c r="M2095" s="17"/>
      <c r="N2095" s="17"/>
      <c r="O2095" s="17"/>
      <c r="P2095" s="17"/>
      <c r="Q2095" s="17"/>
    </row>
    <row r="2096" spans="1:17">
      <c r="A2096" s="556" t="s">
        <v>3614</v>
      </c>
      <c r="B2096" s="557"/>
      <c r="C2096" s="558" t="s">
        <v>2108</v>
      </c>
      <c r="D2096" s="556" t="s">
        <v>4944</v>
      </c>
      <c r="E2096" s="17" t="s">
        <v>5542</v>
      </c>
      <c r="F2096" s="17">
        <v>20</v>
      </c>
      <c r="G2096" s="17">
        <v>5</v>
      </c>
      <c r="H2096" s="17" t="s">
        <v>3405</v>
      </c>
      <c r="I2096" s="17">
        <v>0</v>
      </c>
      <c r="J2096" s="17"/>
      <c r="K2096" s="17"/>
      <c r="L2096" s="17"/>
      <c r="M2096" s="17"/>
      <c r="N2096" s="17"/>
      <c r="O2096" s="17"/>
      <c r="P2096" s="17"/>
      <c r="Q2096" s="17"/>
    </row>
    <row r="2097" spans="1:17">
      <c r="A2097" s="556" t="s">
        <v>3614</v>
      </c>
      <c r="B2097" s="557"/>
      <c r="C2097" s="558" t="s">
        <v>2108</v>
      </c>
      <c r="D2097" s="556" t="s">
        <v>9328</v>
      </c>
      <c r="E2097" s="17" t="s">
        <v>5543</v>
      </c>
      <c r="F2097" s="17">
        <v>20</v>
      </c>
      <c r="G2097" s="17">
        <v>6</v>
      </c>
      <c r="H2097" s="17" t="s">
        <v>3467</v>
      </c>
      <c r="I2097" s="17">
        <v>0</v>
      </c>
      <c r="J2097" s="17"/>
      <c r="K2097" s="17"/>
      <c r="L2097" s="17"/>
      <c r="M2097" s="17"/>
      <c r="N2097" s="17"/>
      <c r="O2097" s="17"/>
      <c r="P2097" s="17"/>
      <c r="Q2097" s="17"/>
    </row>
    <row r="2098" spans="1:17">
      <c r="A2098" s="556" t="s">
        <v>3614</v>
      </c>
      <c r="B2098" s="557"/>
      <c r="C2098" s="558" t="s">
        <v>2108</v>
      </c>
      <c r="D2098" s="556" t="s">
        <v>9329</v>
      </c>
      <c r="E2098" s="17" t="s">
        <v>5544</v>
      </c>
      <c r="F2098" s="17">
        <v>20</v>
      </c>
      <c r="G2098" s="17">
        <v>7</v>
      </c>
      <c r="H2098" s="17" t="s">
        <v>7834</v>
      </c>
      <c r="I2098" s="17">
        <v>0</v>
      </c>
      <c r="J2098" s="17"/>
      <c r="K2098" s="17"/>
      <c r="L2098" s="17"/>
      <c r="M2098" s="17"/>
      <c r="N2098" s="17"/>
      <c r="O2098" s="17"/>
      <c r="P2098" s="17"/>
      <c r="Q2098" s="17"/>
    </row>
    <row r="2099" spans="1:17">
      <c r="A2099" s="556" t="s">
        <v>3614</v>
      </c>
      <c r="B2099" s="557"/>
      <c r="C2099" s="558" t="s">
        <v>2109</v>
      </c>
      <c r="D2099" s="556" t="s">
        <v>1693</v>
      </c>
      <c r="E2099" s="17" t="s">
        <v>5545</v>
      </c>
      <c r="F2099" s="17">
        <v>21</v>
      </c>
      <c r="G2099" s="17">
        <v>1</v>
      </c>
      <c r="H2099" s="17" t="s">
        <v>7800</v>
      </c>
      <c r="I2099" s="17"/>
      <c r="J2099" s="17"/>
      <c r="K2099" s="17"/>
      <c r="L2099" s="17"/>
      <c r="M2099" s="17"/>
      <c r="N2099" s="17"/>
      <c r="O2099" s="17"/>
      <c r="P2099" s="17"/>
      <c r="Q2099" s="17"/>
    </row>
    <row r="2100" spans="1:17">
      <c r="A2100" s="556" t="s">
        <v>3614</v>
      </c>
      <c r="B2100" s="557"/>
      <c r="C2100" s="558" t="s">
        <v>2109</v>
      </c>
      <c r="D2100" s="556" t="s">
        <v>1694</v>
      </c>
      <c r="E2100" s="17" t="s">
        <v>5546</v>
      </c>
      <c r="F2100" s="17">
        <v>21</v>
      </c>
      <c r="G2100" s="17">
        <v>2</v>
      </c>
      <c r="H2100" s="17" t="s">
        <v>3406</v>
      </c>
      <c r="I2100" s="17"/>
      <c r="J2100" s="17"/>
      <c r="K2100" s="17"/>
      <c r="L2100" s="17"/>
      <c r="M2100" s="17"/>
      <c r="N2100" s="17"/>
      <c r="O2100" s="17"/>
      <c r="P2100" s="17"/>
      <c r="Q2100" s="17"/>
    </row>
    <row r="2101" spans="1:17">
      <c r="A2101" s="556" t="s">
        <v>3614</v>
      </c>
      <c r="B2101" s="557"/>
      <c r="C2101" s="558" t="s">
        <v>2109</v>
      </c>
      <c r="D2101" s="556" t="s">
        <v>4426</v>
      </c>
      <c r="E2101" s="17" t="s">
        <v>5547</v>
      </c>
      <c r="F2101" s="17">
        <v>21</v>
      </c>
      <c r="G2101" s="17">
        <v>3</v>
      </c>
      <c r="H2101" s="17" t="s">
        <v>3407</v>
      </c>
      <c r="I2101" s="17">
        <v>0</v>
      </c>
      <c r="J2101" s="17"/>
      <c r="K2101" s="17"/>
      <c r="L2101" s="17"/>
      <c r="M2101" s="17"/>
      <c r="N2101" s="17"/>
      <c r="O2101" s="17"/>
      <c r="P2101" s="17"/>
      <c r="Q2101" s="17"/>
    </row>
    <row r="2102" spans="1:17">
      <c r="A2102" s="556" t="s">
        <v>3614</v>
      </c>
      <c r="B2102" s="557"/>
      <c r="C2102" s="558" t="s">
        <v>2109</v>
      </c>
      <c r="D2102" s="556" t="s">
        <v>4324</v>
      </c>
      <c r="E2102" s="17" t="s">
        <v>5548</v>
      </c>
      <c r="F2102" s="17">
        <v>21</v>
      </c>
      <c r="G2102" s="17">
        <v>4</v>
      </c>
      <c r="H2102" s="17" t="s">
        <v>3408</v>
      </c>
      <c r="I2102" s="17"/>
      <c r="J2102" s="17"/>
      <c r="K2102" s="17"/>
      <c r="L2102" s="17"/>
      <c r="M2102" s="17"/>
      <c r="N2102" s="17"/>
      <c r="O2102" s="17"/>
      <c r="P2102" s="17"/>
      <c r="Q2102" s="17"/>
    </row>
    <row r="2103" spans="1:17">
      <c r="A2103" s="556" t="s">
        <v>3614</v>
      </c>
      <c r="B2103" s="557"/>
      <c r="C2103" s="558" t="s">
        <v>2109</v>
      </c>
      <c r="D2103" s="556" t="s">
        <v>4944</v>
      </c>
      <c r="E2103" s="17" t="s">
        <v>5549</v>
      </c>
      <c r="F2103" s="17">
        <v>21</v>
      </c>
      <c r="G2103" s="17">
        <v>5</v>
      </c>
      <c r="H2103" s="17" t="s">
        <v>3409</v>
      </c>
      <c r="I2103" s="17"/>
      <c r="J2103" s="17"/>
      <c r="K2103" s="17"/>
      <c r="L2103" s="17"/>
      <c r="M2103" s="17"/>
      <c r="N2103" s="17"/>
      <c r="O2103" s="17"/>
      <c r="P2103" s="17"/>
      <c r="Q2103" s="17"/>
    </row>
    <row r="2104" spans="1:17">
      <c r="A2104" s="556" t="s">
        <v>3614</v>
      </c>
      <c r="B2104" s="557"/>
      <c r="C2104" s="558" t="s">
        <v>2109</v>
      </c>
      <c r="D2104" s="556" t="s">
        <v>9328</v>
      </c>
      <c r="E2104" s="17" t="s">
        <v>5550</v>
      </c>
      <c r="F2104" s="17">
        <v>21</v>
      </c>
      <c r="G2104" s="17">
        <v>6</v>
      </c>
      <c r="H2104" s="17" t="s">
        <v>3468</v>
      </c>
      <c r="I2104" s="17"/>
      <c r="J2104" s="17"/>
      <c r="K2104" s="17"/>
      <c r="L2104" s="17"/>
      <c r="M2104" s="17"/>
      <c r="N2104" s="17"/>
      <c r="O2104" s="17"/>
      <c r="P2104" s="17"/>
      <c r="Q2104" s="17"/>
    </row>
    <row r="2105" spans="1:17">
      <c r="A2105" s="556" t="s">
        <v>3614</v>
      </c>
      <c r="B2105" s="557"/>
      <c r="C2105" s="558" t="s">
        <v>2109</v>
      </c>
      <c r="D2105" s="556" t="s">
        <v>9329</v>
      </c>
      <c r="E2105" s="17" t="s">
        <v>5551</v>
      </c>
      <c r="F2105" s="17">
        <v>21</v>
      </c>
      <c r="G2105" s="17">
        <v>7</v>
      </c>
      <c r="H2105" s="17" t="s">
        <v>7835</v>
      </c>
      <c r="I2105" s="17"/>
      <c r="J2105" s="17"/>
      <c r="K2105" s="17"/>
      <c r="L2105" s="17"/>
      <c r="M2105" s="17"/>
      <c r="N2105" s="17"/>
      <c r="O2105" s="17"/>
      <c r="P2105" s="17"/>
      <c r="Q2105" s="17"/>
    </row>
    <row r="2106" spans="1:17">
      <c r="A2106" s="556" t="s">
        <v>3616</v>
      </c>
      <c r="B2106" s="557"/>
      <c r="C2106" s="558" t="s">
        <v>2116</v>
      </c>
      <c r="D2106" s="556" t="s">
        <v>1693</v>
      </c>
      <c r="E2106" s="17" t="s">
        <v>5552</v>
      </c>
      <c r="F2106" s="17">
        <v>1</v>
      </c>
      <c r="G2106" s="17">
        <v>1</v>
      </c>
      <c r="H2106" s="17" t="s">
        <v>3692</v>
      </c>
      <c r="I2106" s="17"/>
      <c r="J2106" s="17"/>
      <c r="K2106" s="17"/>
      <c r="L2106" s="17"/>
      <c r="M2106" s="17"/>
      <c r="N2106" s="17"/>
      <c r="O2106" s="17"/>
      <c r="P2106" s="17"/>
      <c r="Q2106" s="17"/>
    </row>
    <row r="2107" spans="1:17">
      <c r="A2107" s="556" t="s">
        <v>3616</v>
      </c>
      <c r="B2107" s="557"/>
      <c r="C2107" s="558" t="s">
        <v>2116</v>
      </c>
      <c r="D2107" s="556" t="s">
        <v>1694</v>
      </c>
      <c r="E2107" s="17" t="s">
        <v>5553</v>
      </c>
      <c r="F2107" s="17">
        <v>1</v>
      </c>
      <c r="G2107" s="17">
        <v>2</v>
      </c>
      <c r="H2107" s="17" t="s">
        <v>3701</v>
      </c>
      <c r="I2107" s="17"/>
      <c r="J2107" s="17"/>
      <c r="K2107" s="17"/>
      <c r="L2107" s="17"/>
      <c r="M2107" s="17"/>
      <c r="N2107" s="17"/>
      <c r="O2107" s="17"/>
      <c r="P2107" s="17"/>
      <c r="Q2107" s="17"/>
    </row>
    <row r="2108" spans="1:17">
      <c r="A2108" s="556" t="s">
        <v>3616</v>
      </c>
      <c r="B2108" s="557"/>
      <c r="C2108" s="558" t="s">
        <v>2116</v>
      </c>
      <c r="D2108" s="556" t="s">
        <v>4324</v>
      </c>
      <c r="E2108" s="17" t="s">
        <v>5554</v>
      </c>
      <c r="F2108" s="17">
        <v>1</v>
      </c>
      <c r="G2108" s="17">
        <v>3</v>
      </c>
      <c r="H2108" s="17" t="s">
        <v>3714</v>
      </c>
      <c r="I2108" s="17"/>
      <c r="J2108" s="17"/>
      <c r="K2108" s="17"/>
      <c r="L2108" s="17"/>
      <c r="M2108" s="17"/>
      <c r="N2108" s="17"/>
      <c r="O2108" s="17"/>
      <c r="P2108" s="17"/>
      <c r="Q2108" s="17"/>
    </row>
    <row r="2109" spans="1:17">
      <c r="A2109" s="556" t="s">
        <v>3616</v>
      </c>
      <c r="B2109" s="557"/>
      <c r="C2109" s="558" t="s">
        <v>2117</v>
      </c>
      <c r="D2109" s="556" t="s">
        <v>1693</v>
      </c>
      <c r="E2109" s="17" t="s">
        <v>5555</v>
      </c>
      <c r="F2109" s="17">
        <v>2</v>
      </c>
      <c r="G2109" s="17">
        <v>1</v>
      </c>
      <c r="H2109" s="17" t="s">
        <v>3518</v>
      </c>
      <c r="I2109" s="17"/>
      <c r="J2109" s="17"/>
      <c r="K2109" s="17"/>
      <c r="L2109" s="17"/>
      <c r="M2109" s="17"/>
      <c r="N2109" s="17"/>
      <c r="O2109" s="17"/>
      <c r="P2109" s="17"/>
      <c r="Q2109" s="17"/>
    </row>
    <row r="2110" spans="1:17">
      <c r="A2110" s="556" t="s">
        <v>3616</v>
      </c>
      <c r="B2110" s="557"/>
      <c r="C2110" s="558" t="s">
        <v>2117</v>
      </c>
      <c r="D2110" s="556" t="s">
        <v>1694</v>
      </c>
      <c r="E2110" s="17" t="s">
        <v>5556</v>
      </c>
      <c r="F2110" s="17">
        <v>2</v>
      </c>
      <c r="G2110" s="17">
        <v>2</v>
      </c>
      <c r="H2110" s="17" t="s">
        <v>3519</v>
      </c>
      <c r="I2110" s="17"/>
      <c r="J2110" s="17"/>
      <c r="K2110" s="17"/>
      <c r="L2110" s="17"/>
      <c r="M2110" s="17"/>
      <c r="N2110" s="17"/>
      <c r="O2110" s="17"/>
      <c r="P2110" s="17"/>
      <c r="Q2110" s="17"/>
    </row>
    <row r="2111" spans="1:17">
      <c r="A2111" s="556" t="s">
        <v>3616</v>
      </c>
      <c r="B2111" s="557"/>
      <c r="C2111" s="558" t="s">
        <v>2117</v>
      </c>
      <c r="D2111" s="556" t="s">
        <v>4324</v>
      </c>
      <c r="E2111" s="17" t="s">
        <v>5557</v>
      </c>
      <c r="F2111" s="17">
        <v>2</v>
      </c>
      <c r="G2111" s="17">
        <v>3</v>
      </c>
      <c r="H2111" s="17" t="s">
        <v>3520</v>
      </c>
      <c r="I2111" s="17"/>
      <c r="J2111" s="17"/>
      <c r="K2111" s="17"/>
      <c r="L2111" s="17"/>
      <c r="M2111" s="17"/>
      <c r="N2111" s="17"/>
      <c r="O2111" s="17"/>
      <c r="P2111" s="17"/>
      <c r="Q2111" s="17"/>
    </row>
    <row r="2112" spans="1:17">
      <c r="A2112" s="556" t="s">
        <v>3616</v>
      </c>
      <c r="B2112" s="557"/>
      <c r="C2112" s="558" t="s">
        <v>2118</v>
      </c>
      <c r="D2112" s="556" t="s">
        <v>1693</v>
      </c>
      <c r="E2112" s="17" t="s">
        <v>5558</v>
      </c>
      <c r="F2112" s="17">
        <v>3</v>
      </c>
      <c r="G2112" s="17">
        <v>1</v>
      </c>
      <c r="H2112" s="17" t="s">
        <v>2990</v>
      </c>
      <c r="I2112" s="17">
        <v>0</v>
      </c>
      <c r="J2112" s="17"/>
      <c r="K2112" s="17"/>
      <c r="L2112" s="17"/>
      <c r="M2112" s="17"/>
      <c r="N2112" s="17"/>
      <c r="O2112" s="17"/>
      <c r="P2112" s="17"/>
      <c r="Q2112" s="17"/>
    </row>
    <row r="2113" spans="1:17">
      <c r="A2113" s="556" t="s">
        <v>3616</v>
      </c>
      <c r="B2113" s="557"/>
      <c r="C2113" s="558" t="s">
        <v>2118</v>
      </c>
      <c r="D2113" s="556" t="s">
        <v>1694</v>
      </c>
      <c r="E2113" s="17" t="s">
        <v>5559</v>
      </c>
      <c r="F2113" s="17">
        <v>3</v>
      </c>
      <c r="G2113" s="17">
        <v>2</v>
      </c>
      <c r="H2113" s="17" t="s">
        <v>3338</v>
      </c>
      <c r="I2113" s="17">
        <v>0</v>
      </c>
      <c r="J2113" s="17"/>
      <c r="K2113" s="17"/>
      <c r="L2113" s="17"/>
      <c r="M2113" s="17"/>
      <c r="N2113" s="17"/>
      <c r="O2113" s="17"/>
      <c r="P2113" s="17"/>
      <c r="Q2113" s="17"/>
    </row>
    <row r="2114" spans="1:17">
      <c r="A2114" s="556" t="s">
        <v>3616</v>
      </c>
      <c r="B2114" s="557"/>
      <c r="C2114" s="558" t="s">
        <v>2118</v>
      </c>
      <c r="D2114" s="556" t="s">
        <v>4324</v>
      </c>
      <c r="E2114" s="17" t="s">
        <v>5560</v>
      </c>
      <c r="F2114" s="17">
        <v>3</v>
      </c>
      <c r="G2114" s="17">
        <v>3</v>
      </c>
      <c r="H2114" s="17" t="s">
        <v>2991</v>
      </c>
      <c r="I2114" s="17"/>
      <c r="J2114" s="17"/>
      <c r="K2114" s="17"/>
      <c r="L2114" s="17"/>
      <c r="M2114" s="17"/>
      <c r="N2114" s="17"/>
      <c r="O2114" s="17"/>
      <c r="P2114" s="17"/>
      <c r="Q2114" s="17"/>
    </row>
    <row r="2115" spans="1:17">
      <c r="A2115" s="556" t="s">
        <v>3616</v>
      </c>
      <c r="B2115" s="557"/>
      <c r="C2115" s="558" t="s">
        <v>1843</v>
      </c>
      <c r="D2115" s="556" t="s">
        <v>1693</v>
      </c>
      <c r="E2115" s="17" t="s">
        <v>5561</v>
      </c>
      <c r="F2115" s="17">
        <v>4</v>
      </c>
      <c r="G2115" s="17">
        <v>1</v>
      </c>
      <c r="H2115" s="17" t="s">
        <v>3339</v>
      </c>
      <c r="I2115" s="17"/>
      <c r="J2115" s="17"/>
      <c r="K2115" s="17"/>
      <c r="L2115" s="17"/>
      <c r="M2115" s="17"/>
      <c r="N2115" s="17"/>
      <c r="O2115" s="17"/>
      <c r="P2115" s="17"/>
      <c r="Q2115" s="17"/>
    </row>
    <row r="2116" spans="1:17">
      <c r="A2116" s="556" t="s">
        <v>3616</v>
      </c>
      <c r="B2116" s="557"/>
      <c r="C2116" s="558" t="s">
        <v>1843</v>
      </c>
      <c r="D2116" s="556" t="s">
        <v>1694</v>
      </c>
      <c r="E2116" s="17" t="s">
        <v>5562</v>
      </c>
      <c r="F2116" s="17">
        <v>4</v>
      </c>
      <c r="G2116" s="17">
        <v>2</v>
      </c>
      <c r="H2116" s="17" t="s">
        <v>3340</v>
      </c>
      <c r="I2116" s="17"/>
      <c r="J2116" s="17"/>
      <c r="K2116" s="17"/>
      <c r="L2116" s="17"/>
      <c r="M2116" s="17"/>
      <c r="N2116" s="17"/>
      <c r="O2116" s="17"/>
      <c r="P2116" s="17"/>
      <c r="Q2116" s="17"/>
    </row>
    <row r="2117" spans="1:17">
      <c r="A2117" s="556" t="s">
        <v>3616</v>
      </c>
      <c r="B2117" s="557"/>
      <c r="C2117" s="558" t="s">
        <v>1843</v>
      </c>
      <c r="D2117" s="556" t="s">
        <v>4324</v>
      </c>
      <c r="E2117" s="17" t="s">
        <v>5563</v>
      </c>
      <c r="F2117" s="17">
        <v>4</v>
      </c>
      <c r="G2117" s="17">
        <v>3</v>
      </c>
      <c r="H2117" s="17" t="s">
        <v>3341</v>
      </c>
      <c r="I2117" s="17"/>
      <c r="J2117" s="17"/>
      <c r="K2117" s="17"/>
      <c r="L2117" s="17"/>
      <c r="M2117" s="17"/>
      <c r="N2117" s="17"/>
      <c r="O2117" s="17"/>
      <c r="P2117" s="17"/>
      <c r="Q2117" s="17"/>
    </row>
    <row r="2118" spans="1:17">
      <c r="A2118" s="556" t="s">
        <v>3616</v>
      </c>
      <c r="B2118" s="557"/>
      <c r="C2118" s="558" t="s">
        <v>1844</v>
      </c>
      <c r="D2118" s="556" t="s">
        <v>1693</v>
      </c>
      <c r="E2118" s="17" t="s">
        <v>5564</v>
      </c>
      <c r="F2118" s="17">
        <v>5</v>
      </c>
      <c r="G2118" s="17">
        <v>1</v>
      </c>
      <c r="H2118" s="17" t="s">
        <v>3343</v>
      </c>
      <c r="I2118" s="17"/>
      <c r="J2118" s="17"/>
      <c r="K2118" s="17"/>
      <c r="L2118" s="17"/>
      <c r="M2118" s="17"/>
      <c r="N2118" s="17"/>
      <c r="O2118" s="17"/>
      <c r="P2118" s="17"/>
      <c r="Q2118" s="17"/>
    </row>
    <row r="2119" spans="1:17">
      <c r="A2119" s="556" t="s">
        <v>3616</v>
      </c>
      <c r="B2119" s="557"/>
      <c r="C2119" s="558" t="s">
        <v>1844</v>
      </c>
      <c r="D2119" s="556" t="s">
        <v>1694</v>
      </c>
      <c r="E2119" s="17" t="s">
        <v>5565</v>
      </c>
      <c r="F2119" s="17">
        <v>5</v>
      </c>
      <c r="G2119" s="17">
        <v>2</v>
      </c>
      <c r="H2119" s="17" t="s">
        <v>3344</v>
      </c>
      <c r="I2119" s="17"/>
      <c r="J2119" s="17"/>
      <c r="K2119" s="17"/>
      <c r="L2119" s="17"/>
      <c r="M2119" s="17"/>
      <c r="N2119" s="17"/>
      <c r="O2119" s="17"/>
      <c r="P2119" s="17"/>
      <c r="Q2119" s="17"/>
    </row>
    <row r="2120" spans="1:17">
      <c r="A2120" s="556" t="s">
        <v>3616</v>
      </c>
      <c r="B2120" s="557"/>
      <c r="C2120" s="558" t="s">
        <v>1844</v>
      </c>
      <c r="D2120" s="556" t="s">
        <v>4324</v>
      </c>
      <c r="E2120" s="17" t="s">
        <v>5566</v>
      </c>
      <c r="F2120" s="17">
        <v>5</v>
      </c>
      <c r="G2120" s="17">
        <v>3</v>
      </c>
      <c r="H2120" s="17" t="s">
        <v>3345</v>
      </c>
      <c r="I2120" s="17"/>
      <c r="J2120" s="17"/>
      <c r="K2120" s="17"/>
      <c r="L2120" s="17"/>
      <c r="M2120" s="17"/>
      <c r="N2120" s="17"/>
      <c r="O2120" s="17"/>
      <c r="P2120" s="17"/>
      <c r="Q2120" s="17"/>
    </row>
    <row r="2121" spans="1:17">
      <c r="A2121" s="556" t="s">
        <v>3616</v>
      </c>
      <c r="B2121" s="557"/>
      <c r="C2121" s="558" t="s">
        <v>1846</v>
      </c>
      <c r="D2121" s="556" t="s">
        <v>1693</v>
      </c>
      <c r="E2121" s="17" t="s">
        <v>5567</v>
      </c>
      <c r="F2121" s="17">
        <v>6</v>
      </c>
      <c r="G2121" s="17">
        <v>1</v>
      </c>
      <c r="H2121" s="17" t="s">
        <v>3347</v>
      </c>
      <c r="I2121" s="17"/>
      <c r="J2121" s="17"/>
      <c r="K2121" s="17"/>
      <c r="L2121" s="17"/>
      <c r="M2121" s="17"/>
      <c r="N2121" s="17"/>
      <c r="O2121" s="17"/>
      <c r="P2121" s="17"/>
      <c r="Q2121" s="17"/>
    </row>
    <row r="2122" spans="1:17">
      <c r="A2122" s="556" t="s">
        <v>3616</v>
      </c>
      <c r="B2122" s="557"/>
      <c r="C2122" s="558" t="s">
        <v>1846</v>
      </c>
      <c r="D2122" s="556" t="s">
        <v>1694</v>
      </c>
      <c r="E2122" s="17" t="s">
        <v>5568</v>
      </c>
      <c r="F2122" s="17">
        <v>6</v>
      </c>
      <c r="G2122" s="17">
        <v>2</v>
      </c>
      <c r="H2122" s="17" t="s">
        <v>3348</v>
      </c>
      <c r="I2122" s="17"/>
      <c r="J2122" s="17"/>
      <c r="K2122" s="17"/>
      <c r="L2122" s="17"/>
      <c r="M2122" s="17"/>
      <c r="N2122" s="17"/>
      <c r="O2122" s="17"/>
      <c r="P2122" s="17"/>
      <c r="Q2122" s="17"/>
    </row>
    <row r="2123" spans="1:17">
      <c r="A2123" s="556" t="s">
        <v>3616</v>
      </c>
      <c r="B2123" s="557"/>
      <c r="C2123" s="558" t="s">
        <v>1846</v>
      </c>
      <c r="D2123" s="556" t="s">
        <v>4324</v>
      </c>
      <c r="E2123" s="17" t="s">
        <v>5569</v>
      </c>
      <c r="F2123" s="17">
        <v>6</v>
      </c>
      <c r="G2123" s="17">
        <v>3</v>
      </c>
      <c r="H2123" s="17" t="s">
        <v>3349</v>
      </c>
      <c r="I2123" s="17"/>
      <c r="J2123" s="17"/>
      <c r="K2123" s="17"/>
      <c r="L2123" s="17"/>
      <c r="M2123" s="17"/>
      <c r="N2123" s="17"/>
      <c r="O2123" s="17"/>
      <c r="P2123" s="17"/>
      <c r="Q2123" s="17"/>
    </row>
    <row r="2124" spans="1:17">
      <c r="A2124" s="556" t="s">
        <v>3616</v>
      </c>
      <c r="B2124" s="557"/>
      <c r="C2124" s="558" t="s">
        <v>1847</v>
      </c>
      <c r="D2124" s="556" t="s">
        <v>1693</v>
      </c>
      <c r="E2124" s="17" t="s">
        <v>5570</v>
      </c>
      <c r="F2124" s="17">
        <v>7</v>
      </c>
      <c r="G2124" s="17">
        <v>1</v>
      </c>
      <c r="H2124" s="17" t="s">
        <v>3351</v>
      </c>
      <c r="I2124" s="17"/>
      <c r="J2124" s="17"/>
      <c r="K2124" s="17"/>
      <c r="L2124" s="17"/>
      <c r="M2124" s="17"/>
      <c r="N2124" s="17"/>
      <c r="O2124" s="17"/>
      <c r="P2124" s="17"/>
      <c r="Q2124" s="17"/>
    </row>
    <row r="2125" spans="1:17">
      <c r="A2125" s="556" t="s">
        <v>3616</v>
      </c>
      <c r="B2125" s="557"/>
      <c r="C2125" s="558" t="s">
        <v>1847</v>
      </c>
      <c r="D2125" s="556" t="s">
        <v>1694</v>
      </c>
      <c r="E2125" s="17" t="s">
        <v>5571</v>
      </c>
      <c r="F2125" s="17">
        <v>7</v>
      </c>
      <c r="G2125" s="17">
        <v>2</v>
      </c>
      <c r="H2125" s="17" t="s">
        <v>3352</v>
      </c>
      <c r="I2125" s="17"/>
      <c r="J2125" s="17"/>
      <c r="K2125" s="17"/>
      <c r="L2125" s="17"/>
      <c r="M2125" s="17"/>
      <c r="N2125" s="17"/>
      <c r="O2125" s="17"/>
      <c r="P2125" s="17"/>
      <c r="Q2125" s="17"/>
    </row>
    <row r="2126" spans="1:17">
      <c r="A2126" s="556" t="s">
        <v>3616</v>
      </c>
      <c r="B2126" s="557"/>
      <c r="C2126" s="558" t="s">
        <v>1847</v>
      </c>
      <c r="D2126" s="556" t="s">
        <v>4324</v>
      </c>
      <c r="E2126" s="17" t="s">
        <v>5572</v>
      </c>
      <c r="F2126" s="17">
        <v>7</v>
      </c>
      <c r="G2126" s="17">
        <v>3</v>
      </c>
      <c r="H2126" s="17" t="s">
        <v>3353</v>
      </c>
      <c r="I2126" s="17"/>
      <c r="J2126" s="17"/>
      <c r="K2126" s="17"/>
      <c r="L2126" s="17"/>
      <c r="M2126" s="17"/>
      <c r="N2126" s="17"/>
      <c r="O2126" s="17"/>
      <c r="P2126" s="17"/>
      <c r="Q2126" s="17"/>
    </row>
    <row r="2127" spans="1:17">
      <c r="A2127" s="556" t="s">
        <v>3616</v>
      </c>
      <c r="B2127" s="557"/>
      <c r="C2127" s="558" t="s">
        <v>2119</v>
      </c>
      <c r="D2127" s="556" t="s">
        <v>1693</v>
      </c>
      <c r="E2127" s="17" t="s">
        <v>5573</v>
      </c>
      <c r="F2127" s="17">
        <v>8</v>
      </c>
      <c r="G2127" s="17">
        <v>1</v>
      </c>
      <c r="H2127" s="17" t="s">
        <v>3355</v>
      </c>
      <c r="I2127" s="17"/>
      <c r="J2127" s="17"/>
      <c r="K2127" s="17"/>
      <c r="L2127" s="17"/>
      <c r="M2127" s="17"/>
      <c r="N2127" s="17"/>
      <c r="O2127" s="17"/>
      <c r="P2127" s="17"/>
      <c r="Q2127" s="17"/>
    </row>
    <row r="2128" spans="1:17">
      <c r="A2128" s="556" t="s">
        <v>3616</v>
      </c>
      <c r="B2128" s="557"/>
      <c r="C2128" s="558" t="s">
        <v>2119</v>
      </c>
      <c r="D2128" s="556" t="s">
        <v>1694</v>
      </c>
      <c r="E2128" s="17" t="s">
        <v>5574</v>
      </c>
      <c r="F2128" s="17">
        <v>8</v>
      </c>
      <c r="G2128" s="17">
        <v>2</v>
      </c>
      <c r="H2128" s="17" t="s">
        <v>3356</v>
      </c>
      <c r="I2128" s="17"/>
      <c r="J2128" s="17"/>
      <c r="K2128" s="17"/>
      <c r="L2128" s="17"/>
      <c r="M2128" s="17"/>
      <c r="N2128" s="17"/>
      <c r="O2128" s="17"/>
      <c r="P2128" s="17"/>
      <c r="Q2128" s="17"/>
    </row>
    <row r="2129" spans="1:17">
      <c r="A2129" s="556" t="s">
        <v>3616</v>
      </c>
      <c r="B2129" s="557"/>
      <c r="C2129" s="558" t="s">
        <v>2119</v>
      </c>
      <c r="D2129" s="556" t="s">
        <v>4324</v>
      </c>
      <c r="E2129" s="17" t="s">
        <v>5575</v>
      </c>
      <c r="F2129" s="17">
        <v>8</v>
      </c>
      <c r="G2129" s="17">
        <v>3</v>
      </c>
      <c r="H2129" s="17" t="s">
        <v>3357</v>
      </c>
      <c r="I2129" s="17"/>
      <c r="J2129" s="17"/>
      <c r="K2129" s="17"/>
      <c r="L2129" s="17"/>
      <c r="M2129" s="17"/>
      <c r="N2129" s="17"/>
      <c r="O2129" s="17"/>
      <c r="P2129" s="17"/>
      <c r="Q2129" s="17"/>
    </row>
    <row r="2130" spans="1:17">
      <c r="A2130" s="556" t="s">
        <v>3616</v>
      </c>
      <c r="B2130" s="557"/>
      <c r="C2130" s="558" t="s">
        <v>2120</v>
      </c>
      <c r="D2130" s="556" t="s">
        <v>1693</v>
      </c>
      <c r="E2130" s="17" t="s">
        <v>5576</v>
      </c>
      <c r="F2130" s="17">
        <v>9</v>
      </c>
      <c r="G2130" s="17">
        <v>1</v>
      </c>
      <c r="H2130" s="17" t="s">
        <v>3359</v>
      </c>
      <c r="I2130" s="17">
        <v>0</v>
      </c>
      <c r="J2130" s="17"/>
      <c r="K2130" s="17"/>
      <c r="L2130" s="17"/>
      <c r="M2130" s="17"/>
      <c r="N2130" s="17"/>
      <c r="O2130" s="17"/>
      <c r="P2130" s="17"/>
      <c r="Q2130" s="17"/>
    </row>
    <row r="2131" spans="1:17">
      <c r="A2131" s="556" t="s">
        <v>3616</v>
      </c>
      <c r="B2131" s="557"/>
      <c r="C2131" s="558" t="s">
        <v>2120</v>
      </c>
      <c r="D2131" s="556" t="s">
        <v>1694</v>
      </c>
      <c r="E2131" s="17" t="s">
        <v>5577</v>
      </c>
      <c r="F2131" s="17">
        <v>9</v>
      </c>
      <c r="G2131" s="17">
        <v>2</v>
      </c>
      <c r="H2131" s="17" t="s">
        <v>3360</v>
      </c>
      <c r="I2131" s="17">
        <v>0</v>
      </c>
      <c r="J2131" s="17"/>
      <c r="K2131" s="17"/>
      <c r="L2131" s="17"/>
      <c r="M2131" s="17"/>
      <c r="N2131" s="17"/>
      <c r="O2131" s="17"/>
      <c r="P2131" s="17"/>
      <c r="Q2131" s="17"/>
    </row>
    <row r="2132" spans="1:17">
      <c r="A2132" s="556" t="s">
        <v>3616</v>
      </c>
      <c r="B2132" s="557"/>
      <c r="C2132" s="558" t="s">
        <v>2120</v>
      </c>
      <c r="D2132" s="556" t="s">
        <v>4324</v>
      </c>
      <c r="E2132" s="17" t="s">
        <v>5578</v>
      </c>
      <c r="F2132" s="17">
        <v>9</v>
      </c>
      <c r="G2132" s="17">
        <v>3</v>
      </c>
      <c r="H2132" s="17" t="s">
        <v>3327</v>
      </c>
      <c r="I2132" s="17"/>
      <c r="J2132" s="17"/>
      <c r="K2132" s="17"/>
      <c r="L2132" s="17"/>
      <c r="M2132" s="17"/>
      <c r="N2132" s="17"/>
      <c r="O2132" s="17"/>
      <c r="P2132" s="17"/>
      <c r="Q2132" s="17"/>
    </row>
    <row r="2133" spans="1:17">
      <c r="A2133" s="556" t="s">
        <v>3616</v>
      </c>
      <c r="B2133" s="557"/>
      <c r="C2133" s="558" t="s">
        <v>1232</v>
      </c>
      <c r="D2133" s="556" t="s">
        <v>1693</v>
      </c>
      <c r="E2133" s="17" t="s">
        <v>5579</v>
      </c>
      <c r="F2133" s="17">
        <v>10</v>
      </c>
      <c r="G2133" s="17">
        <v>1</v>
      </c>
      <c r="H2133" s="17" t="s">
        <v>3362</v>
      </c>
      <c r="I2133" s="17">
        <v>0</v>
      </c>
      <c r="J2133" s="17"/>
      <c r="K2133" s="17"/>
      <c r="L2133" s="17"/>
      <c r="M2133" s="17"/>
      <c r="N2133" s="17"/>
      <c r="O2133" s="17"/>
      <c r="P2133" s="17"/>
      <c r="Q2133" s="17"/>
    </row>
    <row r="2134" spans="1:17">
      <c r="A2134" s="556" t="s">
        <v>3616</v>
      </c>
      <c r="B2134" s="557"/>
      <c r="C2134" s="558" t="s">
        <v>1232</v>
      </c>
      <c r="D2134" s="556" t="s">
        <v>1694</v>
      </c>
      <c r="E2134" s="17" t="s">
        <v>5580</v>
      </c>
      <c r="F2134" s="17">
        <v>10</v>
      </c>
      <c r="G2134" s="17">
        <v>2</v>
      </c>
      <c r="H2134" s="17" t="s">
        <v>3363</v>
      </c>
      <c r="I2134" s="17">
        <v>0</v>
      </c>
      <c r="J2134" s="17"/>
      <c r="K2134" s="17"/>
      <c r="L2134" s="17"/>
      <c r="M2134" s="17"/>
      <c r="N2134" s="17"/>
      <c r="O2134" s="17"/>
      <c r="P2134" s="17"/>
      <c r="Q2134" s="17"/>
    </row>
    <row r="2135" spans="1:17">
      <c r="A2135" s="556" t="s">
        <v>3616</v>
      </c>
      <c r="B2135" s="557"/>
      <c r="C2135" s="558" t="s">
        <v>1232</v>
      </c>
      <c r="D2135" s="556" t="s">
        <v>4324</v>
      </c>
      <c r="E2135" s="17" t="s">
        <v>5581</v>
      </c>
      <c r="F2135" s="17">
        <v>10</v>
      </c>
      <c r="G2135" s="17">
        <v>3</v>
      </c>
      <c r="H2135" s="17" t="s">
        <v>3364</v>
      </c>
      <c r="I2135" s="17"/>
      <c r="J2135" s="17"/>
      <c r="K2135" s="17"/>
      <c r="L2135" s="17"/>
      <c r="M2135" s="17"/>
      <c r="N2135" s="17"/>
      <c r="O2135" s="17"/>
      <c r="P2135" s="17"/>
      <c r="Q2135" s="17"/>
    </row>
    <row r="2136" spans="1:17">
      <c r="A2136" s="556" t="s">
        <v>3618</v>
      </c>
      <c r="B2136" s="557"/>
      <c r="C2136" s="558" t="s">
        <v>2125</v>
      </c>
      <c r="D2136" s="556" t="s">
        <v>1693</v>
      </c>
      <c r="E2136" s="17" t="s">
        <v>5582</v>
      </c>
      <c r="F2136" s="17">
        <v>1</v>
      </c>
      <c r="G2136" s="17">
        <v>1</v>
      </c>
      <c r="H2136" s="17" t="s">
        <v>3692</v>
      </c>
      <c r="I2136" s="17"/>
      <c r="J2136" s="17"/>
      <c r="K2136" s="17"/>
      <c r="L2136" s="17"/>
      <c r="M2136" s="17"/>
      <c r="N2136" s="17"/>
      <c r="O2136" s="17"/>
      <c r="P2136" s="17"/>
      <c r="Q2136" s="17"/>
    </row>
    <row r="2137" spans="1:17">
      <c r="A2137" s="556" t="s">
        <v>3618</v>
      </c>
      <c r="B2137" s="557"/>
      <c r="C2137" s="558" t="s">
        <v>2125</v>
      </c>
      <c r="D2137" s="556" t="s">
        <v>1694</v>
      </c>
      <c r="E2137" s="17" t="s">
        <v>5583</v>
      </c>
      <c r="F2137" s="17">
        <v>1</v>
      </c>
      <c r="G2137" s="17">
        <v>2</v>
      </c>
      <c r="H2137" s="17" t="s">
        <v>3701</v>
      </c>
      <c r="I2137" s="17"/>
      <c r="J2137" s="17"/>
      <c r="K2137" s="17"/>
      <c r="L2137" s="17"/>
      <c r="M2137" s="17"/>
      <c r="N2137" s="17"/>
      <c r="O2137" s="17"/>
      <c r="P2137" s="17"/>
      <c r="Q2137" s="17"/>
    </row>
    <row r="2138" spans="1:17">
      <c r="A2138" s="556" t="s">
        <v>3618</v>
      </c>
      <c r="B2138" s="557"/>
      <c r="C2138" s="558" t="s">
        <v>2125</v>
      </c>
      <c r="D2138" s="556" t="s">
        <v>4324</v>
      </c>
      <c r="E2138" s="17" t="s">
        <v>5584</v>
      </c>
      <c r="F2138" s="17">
        <v>1</v>
      </c>
      <c r="G2138" s="17">
        <v>3</v>
      </c>
      <c r="H2138" s="17" t="s">
        <v>3714</v>
      </c>
      <c r="I2138" s="17"/>
      <c r="J2138" s="17"/>
      <c r="K2138" s="17"/>
      <c r="L2138" s="17"/>
      <c r="M2138" s="17"/>
      <c r="N2138" s="17"/>
      <c r="O2138" s="17"/>
      <c r="P2138" s="17"/>
      <c r="Q2138" s="17"/>
    </row>
    <row r="2139" spans="1:17">
      <c r="A2139" s="556" t="s">
        <v>3618</v>
      </c>
      <c r="B2139" s="557"/>
      <c r="C2139" s="558" t="s">
        <v>2126</v>
      </c>
      <c r="D2139" s="556" t="s">
        <v>1693</v>
      </c>
      <c r="E2139" s="17" t="s">
        <v>5585</v>
      </c>
      <c r="F2139" s="17">
        <v>2</v>
      </c>
      <c r="G2139" s="17">
        <v>1</v>
      </c>
      <c r="H2139" s="17" t="s">
        <v>3518</v>
      </c>
      <c r="I2139" s="17"/>
      <c r="J2139" s="17"/>
      <c r="K2139" s="17"/>
      <c r="L2139" s="17"/>
      <c r="M2139" s="17"/>
      <c r="N2139" s="17"/>
      <c r="O2139" s="17"/>
      <c r="P2139" s="17"/>
      <c r="Q2139" s="17"/>
    </row>
    <row r="2140" spans="1:17">
      <c r="A2140" s="556" t="s">
        <v>3618</v>
      </c>
      <c r="B2140" s="557"/>
      <c r="C2140" s="558" t="s">
        <v>2126</v>
      </c>
      <c r="D2140" s="556" t="s">
        <v>1694</v>
      </c>
      <c r="E2140" s="17" t="s">
        <v>5586</v>
      </c>
      <c r="F2140" s="17">
        <v>2</v>
      </c>
      <c r="G2140" s="17">
        <v>2</v>
      </c>
      <c r="H2140" s="17" t="s">
        <v>3519</v>
      </c>
      <c r="I2140" s="17"/>
      <c r="J2140" s="17"/>
      <c r="K2140" s="17"/>
      <c r="L2140" s="17"/>
      <c r="M2140" s="17"/>
      <c r="N2140" s="17"/>
      <c r="O2140" s="17"/>
      <c r="P2140" s="17"/>
      <c r="Q2140" s="17"/>
    </row>
    <row r="2141" spans="1:17">
      <c r="A2141" s="556" t="s">
        <v>3618</v>
      </c>
      <c r="B2141" s="557"/>
      <c r="C2141" s="558" t="s">
        <v>2126</v>
      </c>
      <c r="D2141" s="556" t="s">
        <v>4324</v>
      </c>
      <c r="E2141" s="17" t="s">
        <v>5587</v>
      </c>
      <c r="F2141" s="17">
        <v>2</v>
      </c>
      <c r="G2141" s="17">
        <v>3</v>
      </c>
      <c r="H2141" s="17" t="s">
        <v>3520</v>
      </c>
      <c r="I2141" s="17"/>
      <c r="J2141" s="17"/>
      <c r="K2141" s="17"/>
      <c r="L2141" s="17"/>
      <c r="M2141" s="17"/>
      <c r="N2141" s="17"/>
      <c r="O2141" s="17"/>
      <c r="P2141" s="17"/>
      <c r="Q2141" s="17"/>
    </row>
    <row r="2142" spans="1:17">
      <c r="A2142" s="556" t="s">
        <v>3618</v>
      </c>
      <c r="B2142" s="557"/>
      <c r="C2142" s="558" t="s">
        <v>2127</v>
      </c>
      <c r="D2142" s="556" t="s">
        <v>1693</v>
      </c>
      <c r="E2142" s="17" t="s">
        <v>5588</v>
      </c>
      <c r="F2142" s="17">
        <v>3</v>
      </c>
      <c r="G2142" s="17">
        <v>1</v>
      </c>
      <c r="H2142" s="17" t="s">
        <v>2990</v>
      </c>
      <c r="I2142" s="17"/>
      <c r="J2142" s="17"/>
      <c r="K2142" s="17"/>
      <c r="L2142" s="17"/>
      <c r="M2142" s="17"/>
      <c r="N2142" s="17"/>
      <c r="O2142" s="17"/>
      <c r="P2142" s="17"/>
      <c r="Q2142" s="17"/>
    </row>
    <row r="2143" spans="1:17">
      <c r="A2143" s="556" t="s">
        <v>3618</v>
      </c>
      <c r="B2143" s="557"/>
      <c r="C2143" s="558" t="s">
        <v>2127</v>
      </c>
      <c r="D2143" s="556" t="s">
        <v>1694</v>
      </c>
      <c r="E2143" s="17" t="s">
        <v>5589</v>
      </c>
      <c r="F2143" s="17">
        <v>3</v>
      </c>
      <c r="G2143" s="17">
        <v>2</v>
      </c>
      <c r="H2143" s="17" t="s">
        <v>3338</v>
      </c>
      <c r="I2143" s="17"/>
      <c r="J2143" s="17"/>
      <c r="K2143" s="17"/>
      <c r="L2143" s="17"/>
      <c r="M2143" s="17"/>
      <c r="N2143" s="17"/>
      <c r="O2143" s="17"/>
      <c r="P2143" s="17"/>
      <c r="Q2143" s="17"/>
    </row>
    <row r="2144" spans="1:17">
      <c r="A2144" s="556" t="s">
        <v>3618</v>
      </c>
      <c r="B2144" s="557"/>
      <c r="C2144" s="558" t="s">
        <v>2127</v>
      </c>
      <c r="D2144" s="556" t="s">
        <v>4324</v>
      </c>
      <c r="E2144" s="17" t="s">
        <v>5590</v>
      </c>
      <c r="F2144" s="17">
        <v>3</v>
      </c>
      <c r="G2144" s="17">
        <v>3</v>
      </c>
      <c r="H2144" s="17" t="s">
        <v>2991</v>
      </c>
      <c r="I2144" s="17"/>
      <c r="J2144" s="17"/>
      <c r="K2144" s="17"/>
      <c r="L2144" s="17"/>
      <c r="M2144" s="17"/>
      <c r="N2144" s="17"/>
      <c r="O2144" s="17"/>
      <c r="P2144" s="17"/>
      <c r="Q2144" s="17"/>
    </row>
    <row r="2145" spans="1:17">
      <c r="A2145" s="556" t="s">
        <v>3618</v>
      </c>
      <c r="B2145" s="557"/>
      <c r="C2145" s="558" t="s">
        <v>2128</v>
      </c>
      <c r="D2145" s="556" t="s">
        <v>1693</v>
      </c>
      <c r="E2145" s="17" t="s">
        <v>5591</v>
      </c>
      <c r="F2145" s="17">
        <v>4</v>
      </c>
      <c r="G2145" s="17">
        <v>1</v>
      </c>
      <c r="H2145" s="17" t="s">
        <v>3339</v>
      </c>
      <c r="I2145" s="17"/>
      <c r="J2145" s="17"/>
      <c r="K2145" s="17"/>
      <c r="L2145" s="17"/>
      <c r="M2145" s="17"/>
      <c r="N2145" s="17"/>
      <c r="O2145" s="17"/>
      <c r="P2145" s="17"/>
      <c r="Q2145" s="17"/>
    </row>
    <row r="2146" spans="1:17">
      <c r="A2146" s="556" t="s">
        <v>3618</v>
      </c>
      <c r="B2146" s="557"/>
      <c r="C2146" s="558" t="s">
        <v>2128</v>
      </c>
      <c r="D2146" s="556" t="s">
        <v>1694</v>
      </c>
      <c r="E2146" s="17" t="s">
        <v>5592</v>
      </c>
      <c r="F2146" s="17">
        <v>4</v>
      </c>
      <c r="G2146" s="17">
        <v>2</v>
      </c>
      <c r="H2146" s="17" t="s">
        <v>3340</v>
      </c>
      <c r="I2146" s="17"/>
      <c r="J2146" s="17"/>
      <c r="K2146" s="17"/>
      <c r="L2146" s="17"/>
      <c r="M2146" s="17"/>
      <c r="N2146" s="17"/>
      <c r="O2146" s="17"/>
      <c r="P2146" s="17"/>
      <c r="Q2146" s="17"/>
    </row>
    <row r="2147" spans="1:17">
      <c r="A2147" s="556" t="s">
        <v>3618</v>
      </c>
      <c r="B2147" s="557"/>
      <c r="C2147" s="558" t="s">
        <v>2128</v>
      </c>
      <c r="D2147" s="556" t="s">
        <v>4324</v>
      </c>
      <c r="E2147" s="17" t="s">
        <v>5593</v>
      </c>
      <c r="F2147" s="17">
        <v>4</v>
      </c>
      <c r="G2147" s="17">
        <v>3</v>
      </c>
      <c r="H2147" s="17" t="s">
        <v>3341</v>
      </c>
      <c r="I2147" s="17"/>
      <c r="J2147" s="17"/>
      <c r="K2147" s="17"/>
      <c r="L2147" s="17"/>
      <c r="M2147" s="17"/>
      <c r="N2147" s="17"/>
      <c r="O2147" s="17"/>
      <c r="P2147" s="17"/>
      <c r="Q2147" s="17"/>
    </row>
    <row r="2148" spans="1:17">
      <c r="A2148" s="556" t="s">
        <v>3618</v>
      </c>
      <c r="B2148" s="557"/>
      <c r="C2148" s="558" t="s">
        <v>2129</v>
      </c>
      <c r="D2148" s="556" t="s">
        <v>1693</v>
      </c>
      <c r="E2148" s="17" t="s">
        <v>5594</v>
      </c>
      <c r="F2148" s="17">
        <v>5</v>
      </c>
      <c r="G2148" s="17">
        <v>1</v>
      </c>
      <c r="H2148" s="17" t="s">
        <v>3343</v>
      </c>
      <c r="I2148" s="17"/>
      <c r="J2148" s="17"/>
      <c r="K2148" s="17"/>
      <c r="L2148" s="17"/>
      <c r="M2148" s="17"/>
      <c r="N2148" s="17"/>
      <c r="O2148" s="17"/>
      <c r="P2148" s="17"/>
      <c r="Q2148" s="17"/>
    </row>
    <row r="2149" spans="1:17">
      <c r="A2149" s="556" t="s">
        <v>3618</v>
      </c>
      <c r="B2149" s="557"/>
      <c r="C2149" s="558" t="s">
        <v>2129</v>
      </c>
      <c r="D2149" s="556" t="s">
        <v>1694</v>
      </c>
      <c r="E2149" s="17" t="s">
        <v>5595</v>
      </c>
      <c r="F2149" s="17">
        <v>5</v>
      </c>
      <c r="G2149" s="17">
        <v>2</v>
      </c>
      <c r="H2149" s="17" t="s">
        <v>3344</v>
      </c>
      <c r="I2149" s="17"/>
      <c r="J2149" s="17"/>
      <c r="K2149" s="17"/>
      <c r="L2149" s="17"/>
      <c r="M2149" s="17"/>
      <c r="N2149" s="17"/>
      <c r="O2149" s="17"/>
      <c r="P2149" s="17"/>
      <c r="Q2149" s="17"/>
    </row>
    <row r="2150" spans="1:17">
      <c r="A2150" s="556" t="s">
        <v>3618</v>
      </c>
      <c r="B2150" s="557"/>
      <c r="C2150" s="558" t="s">
        <v>2129</v>
      </c>
      <c r="D2150" s="556" t="s">
        <v>4324</v>
      </c>
      <c r="E2150" s="17" t="s">
        <v>5596</v>
      </c>
      <c r="F2150" s="17">
        <v>5</v>
      </c>
      <c r="G2150" s="17">
        <v>3</v>
      </c>
      <c r="H2150" s="17" t="s">
        <v>3345</v>
      </c>
      <c r="I2150" s="17"/>
      <c r="J2150" s="17"/>
      <c r="K2150" s="17"/>
      <c r="L2150" s="17"/>
      <c r="M2150" s="17"/>
      <c r="N2150" s="17"/>
      <c r="O2150" s="17"/>
      <c r="P2150" s="17"/>
      <c r="Q2150" s="17"/>
    </row>
    <row r="2151" spans="1:17">
      <c r="A2151" s="556" t="s">
        <v>3618</v>
      </c>
      <c r="B2151" s="557"/>
      <c r="C2151" s="558" t="s">
        <v>2130</v>
      </c>
      <c r="D2151" s="556" t="s">
        <v>1693</v>
      </c>
      <c r="E2151" s="17" t="s">
        <v>5597</v>
      </c>
      <c r="F2151" s="17">
        <v>6</v>
      </c>
      <c r="G2151" s="17">
        <v>1</v>
      </c>
      <c r="H2151" s="17" t="s">
        <v>3347</v>
      </c>
      <c r="I2151" s="17">
        <v>0</v>
      </c>
      <c r="J2151" s="17"/>
      <c r="K2151" s="17"/>
      <c r="L2151" s="17"/>
      <c r="M2151" s="17"/>
      <c r="N2151" s="17"/>
      <c r="O2151" s="17"/>
      <c r="P2151" s="17"/>
      <c r="Q2151" s="17"/>
    </row>
    <row r="2152" spans="1:17">
      <c r="A2152" s="556" t="s">
        <v>3618</v>
      </c>
      <c r="B2152" s="557"/>
      <c r="C2152" s="558" t="s">
        <v>2130</v>
      </c>
      <c r="D2152" s="556" t="s">
        <v>1694</v>
      </c>
      <c r="E2152" s="17" t="s">
        <v>5598</v>
      </c>
      <c r="F2152" s="17">
        <v>6</v>
      </c>
      <c r="G2152" s="17">
        <v>2</v>
      </c>
      <c r="H2152" s="17" t="s">
        <v>3348</v>
      </c>
      <c r="I2152" s="17">
        <v>0</v>
      </c>
      <c r="J2152" s="17"/>
      <c r="K2152" s="17"/>
      <c r="L2152" s="17"/>
      <c r="M2152" s="17"/>
      <c r="N2152" s="17"/>
      <c r="O2152" s="17"/>
      <c r="P2152" s="17"/>
      <c r="Q2152" s="17"/>
    </row>
    <row r="2153" spans="1:17">
      <c r="A2153" s="556" t="s">
        <v>3618</v>
      </c>
      <c r="B2153" s="557"/>
      <c r="C2153" s="558" t="s">
        <v>2130</v>
      </c>
      <c r="D2153" s="556" t="s">
        <v>4324</v>
      </c>
      <c r="E2153" s="17" t="s">
        <v>5599</v>
      </c>
      <c r="F2153" s="17">
        <v>6</v>
      </c>
      <c r="G2153" s="17">
        <v>3</v>
      </c>
      <c r="H2153" s="17" t="s">
        <v>3349</v>
      </c>
      <c r="I2153" s="17"/>
      <c r="J2153" s="17"/>
      <c r="K2153" s="17"/>
      <c r="L2153" s="17"/>
      <c r="M2153" s="17"/>
      <c r="N2153" s="17"/>
      <c r="O2153" s="17"/>
      <c r="P2153" s="17"/>
      <c r="Q2153" s="17"/>
    </row>
    <row r="2154" spans="1:17">
      <c r="A2154" s="556" t="s">
        <v>3618</v>
      </c>
      <c r="B2154" s="557"/>
      <c r="C2154" s="558" t="s">
        <v>2131</v>
      </c>
      <c r="D2154" s="556" t="s">
        <v>1693</v>
      </c>
      <c r="E2154" s="17" t="s">
        <v>5600</v>
      </c>
      <c r="F2154" s="17">
        <v>7</v>
      </c>
      <c r="G2154" s="17">
        <v>1</v>
      </c>
      <c r="H2154" s="17" t="s">
        <v>3351</v>
      </c>
      <c r="I2154" s="17"/>
      <c r="J2154" s="17"/>
      <c r="K2154" s="17"/>
      <c r="L2154" s="17"/>
      <c r="M2154" s="17"/>
      <c r="N2154" s="17"/>
      <c r="O2154" s="17"/>
      <c r="P2154" s="17"/>
      <c r="Q2154" s="17"/>
    </row>
    <row r="2155" spans="1:17">
      <c r="A2155" s="556" t="s">
        <v>3618</v>
      </c>
      <c r="B2155" s="557"/>
      <c r="C2155" s="558" t="s">
        <v>2131</v>
      </c>
      <c r="D2155" s="556" t="s">
        <v>1694</v>
      </c>
      <c r="E2155" s="17" t="s">
        <v>5601</v>
      </c>
      <c r="F2155" s="17">
        <v>7</v>
      </c>
      <c r="G2155" s="17">
        <v>2</v>
      </c>
      <c r="H2155" s="17" t="s">
        <v>3352</v>
      </c>
      <c r="I2155" s="17"/>
      <c r="J2155" s="17"/>
      <c r="K2155" s="17"/>
      <c r="L2155" s="17"/>
      <c r="M2155" s="17"/>
      <c r="N2155" s="17"/>
      <c r="O2155" s="17"/>
      <c r="P2155" s="17"/>
      <c r="Q2155" s="17"/>
    </row>
    <row r="2156" spans="1:17">
      <c r="A2156" s="556" t="s">
        <v>3618</v>
      </c>
      <c r="B2156" s="557"/>
      <c r="C2156" s="558" t="s">
        <v>2131</v>
      </c>
      <c r="D2156" s="556" t="s">
        <v>4324</v>
      </c>
      <c r="E2156" s="17" t="s">
        <v>5602</v>
      </c>
      <c r="F2156" s="17">
        <v>7</v>
      </c>
      <c r="G2156" s="17">
        <v>3</v>
      </c>
      <c r="H2156" s="17" t="s">
        <v>3353</v>
      </c>
      <c r="I2156" s="17"/>
      <c r="J2156" s="17"/>
      <c r="K2156" s="17"/>
      <c r="L2156" s="17"/>
      <c r="M2156" s="17"/>
      <c r="N2156" s="17"/>
      <c r="O2156" s="17"/>
      <c r="P2156" s="17"/>
      <c r="Q2156" s="17"/>
    </row>
    <row r="2157" spans="1:17">
      <c r="A2157" s="556" t="s">
        <v>3618</v>
      </c>
      <c r="B2157" s="557"/>
      <c r="C2157" s="558" t="s">
        <v>2132</v>
      </c>
      <c r="D2157" s="556" t="s">
        <v>1693</v>
      </c>
      <c r="E2157" s="17" t="s">
        <v>5603</v>
      </c>
      <c r="F2157" s="17">
        <v>8</v>
      </c>
      <c r="G2157" s="17">
        <v>1</v>
      </c>
      <c r="H2157" s="17" t="s">
        <v>3355</v>
      </c>
      <c r="I2157" s="17"/>
      <c r="J2157" s="17"/>
      <c r="K2157" s="17"/>
      <c r="L2157" s="17"/>
      <c r="M2157" s="17"/>
      <c r="N2157" s="17"/>
      <c r="O2157" s="17"/>
      <c r="P2157" s="17"/>
      <c r="Q2157" s="17"/>
    </row>
    <row r="2158" spans="1:17">
      <c r="A2158" s="556" t="s">
        <v>3618</v>
      </c>
      <c r="B2158" s="557"/>
      <c r="C2158" s="558" t="s">
        <v>2132</v>
      </c>
      <c r="D2158" s="556" t="s">
        <v>1694</v>
      </c>
      <c r="E2158" s="17" t="s">
        <v>5604</v>
      </c>
      <c r="F2158" s="17">
        <v>8</v>
      </c>
      <c r="G2158" s="17">
        <v>2</v>
      </c>
      <c r="H2158" s="17" t="s">
        <v>3356</v>
      </c>
      <c r="I2158" s="17"/>
      <c r="J2158" s="17"/>
      <c r="K2158" s="17"/>
      <c r="L2158" s="17"/>
      <c r="M2158" s="17"/>
      <c r="N2158" s="17"/>
      <c r="O2158" s="17"/>
      <c r="P2158" s="17"/>
      <c r="Q2158" s="17"/>
    </row>
    <row r="2159" spans="1:17">
      <c r="A2159" s="556" t="s">
        <v>3618</v>
      </c>
      <c r="B2159" s="557"/>
      <c r="C2159" s="558" t="s">
        <v>2132</v>
      </c>
      <c r="D2159" s="556" t="s">
        <v>4324</v>
      </c>
      <c r="E2159" s="17" t="s">
        <v>5605</v>
      </c>
      <c r="F2159" s="17">
        <v>8</v>
      </c>
      <c r="G2159" s="17">
        <v>3</v>
      </c>
      <c r="H2159" s="17" t="s">
        <v>3357</v>
      </c>
      <c r="I2159" s="17"/>
      <c r="J2159" s="17"/>
      <c r="K2159" s="17"/>
      <c r="L2159" s="17"/>
      <c r="M2159" s="17"/>
      <c r="N2159" s="17"/>
      <c r="O2159" s="17"/>
      <c r="P2159" s="17"/>
      <c r="Q2159" s="17"/>
    </row>
    <row r="2160" spans="1:17">
      <c r="A2160" s="556" t="s">
        <v>3618</v>
      </c>
      <c r="B2160" s="557"/>
      <c r="C2160" s="558" t="s">
        <v>2133</v>
      </c>
      <c r="D2160" s="556" t="s">
        <v>1693</v>
      </c>
      <c r="E2160" s="17" t="s">
        <v>5606</v>
      </c>
      <c r="F2160" s="17">
        <v>9</v>
      </c>
      <c r="G2160" s="17">
        <v>1</v>
      </c>
      <c r="H2160" s="17" t="s">
        <v>3359</v>
      </c>
      <c r="I2160" s="17"/>
      <c r="J2160" s="17"/>
      <c r="K2160" s="17"/>
      <c r="L2160" s="17"/>
      <c r="M2160" s="17"/>
      <c r="N2160" s="17"/>
      <c r="O2160" s="17"/>
      <c r="P2160" s="17"/>
      <c r="Q2160" s="17"/>
    </row>
    <row r="2161" spans="1:17">
      <c r="A2161" s="556" t="s">
        <v>3618</v>
      </c>
      <c r="B2161" s="557"/>
      <c r="C2161" s="558" t="s">
        <v>2133</v>
      </c>
      <c r="D2161" s="556" t="s">
        <v>1694</v>
      </c>
      <c r="E2161" s="17" t="s">
        <v>5607</v>
      </c>
      <c r="F2161" s="17">
        <v>9</v>
      </c>
      <c r="G2161" s="17">
        <v>2</v>
      </c>
      <c r="H2161" s="17" t="s">
        <v>3360</v>
      </c>
      <c r="I2161" s="17"/>
      <c r="J2161" s="17"/>
      <c r="K2161" s="17"/>
      <c r="L2161" s="17"/>
      <c r="M2161" s="17"/>
      <c r="N2161" s="17"/>
      <c r="O2161" s="17"/>
      <c r="P2161" s="17"/>
      <c r="Q2161" s="17"/>
    </row>
    <row r="2162" spans="1:17">
      <c r="A2162" s="556" t="s">
        <v>3618</v>
      </c>
      <c r="B2162" s="557"/>
      <c r="C2162" s="558" t="s">
        <v>2133</v>
      </c>
      <c r="D2162" s="556" t="s">
        <v>4324</v>
      </c>
      <c r="E2162" s="17" t="s">
        <v>5608</v>
      </c>
      <c r="F2162" s="17">
        <v>9</v>
      </c>
      <c r="G2162" s="17">
        <v>3</v>
      </c>
      <c r="H2162" s="17" t="s">
        <v>3327</v>
      </c>
      <c r="I2162" s="17"/>
      <c r="J2162" s="17"/>
      <c r="K2162" s="17"/>
      <c r="L2162" s="17"/>
      <c r="M2162" s="17"/>
      <c r="N2162" s="17"/>
      <c r="O2162" s="17"/>
      <c r="P2162" s="17"/>
      <c r="Q2162" s="17"/>
    </row>
    <row r="2163" spans="1:17">
      <c r="A2163" s="556" t="s">
        <v>3618</v>
      </c>
      <c r="B2163" s="557"/>
      <c r="C2163" s="558" t="s">
        <v>2134</v>
      </c>
      <c r="D2163" s="556" t="s">
        <v>1693</v>
      </c>
      <c r="E2163" s="17" t="s">
        <v>5609</v>
      </c>
      <c r="F2163" s="17">
        <v>10</v>
      </c>
      <c r="G2163" s="17">
        <v>1</v>
      </c>
      <c r="H2163" s="17" t="s">
        <v>3362</v>
      </c>
      <c r="I2163" s="17"/>
      <c r="J2163" s="17"/>
      <c r="K2163" s="17"/>
      <c r="L2163" s="17"/>
      <c r="M2163" s="17"/>
      <c r="N2163" s="17"/>
      <c r="O2163" s="17"/>
      <c r="P2163" s="17"/>
      <c r="Q2163" s="17"/>
    </row>
    <row r="2164" spans="1:17">
      <c r="A2164" s="556" t="s">
        <v>3618</v>
      </c>
      <c r="B2164" s="557"/>
      <c r="C2164" s="558" t="s">
        <v>2134</v>
      </c>
      <c r="D2164" s="556" t="s">
        <v>1694</v>
      </c>
      <c r="E2164" s="17" t="s">
        <v>5610</v>
      </c>
      <c r="F2164" s="17">
        <v>10</v>
      </c>
      <c r="G2164" s="17">
        <v>2</v>
      </c>
      <c r="H2164" s="17" t="s">
        <v>3363</v>
      </c>
      <c r="I2164" s="17"/>
      <c r="J2164" s="17"/>
      <c r="K2164" s="17"/>
      <c r="L2164" s="17"/>
      <c r="M2164" s="17"/>
      <c r="N2164" s="17"/>
      <c r="O2164" s="17"/>
      <c r="P2164" s="17"/>
      <c r="Q2164" s="17"/>
    </row>
    <row r="2165" spans="1:17">
      <c r="A2165" s="556" t="s">
        <v>3618</v>
      </c>
      <c r="B2165" s="557"/>
      <c r="C2165" s="558" t="s">
        <v>2134</v>
      </c>
      <c r="D2165" s="556" t="s">
        <v>4324</v>
      </c>
      <c r="E2165" s="17" t="s">
        <v>5611</v>
      </c>
      <c r="F2165" s="17">
        <v>10</v>
      </c>
      <c r="G2165" s="17">
        <v>3</v>
      </c>
      <c r="H2165" s="17" t="s">
        <v>3364</v>
      </c>
      <c r="I2165" s="17"/>
      <c r="J2165" s="17"/>
      <c r="K2165" s="17"/>
      <c r="L2165" s="17"/>
      <c r="M2165" s="17"/>
      <c r="N2165" s="17"/>
      <c r="O2165" s="17"/>
      <c r="P2165" s="17"/>
      <c r="Q2165" s="17"/>
    </row>
    <row r="2166" spans="1:17">
      <c r="A2166" s="556" t="s">
        <v>3618</v>
      </c>
      <c r="B2166" s="557"/>
      <c r="C2166" s="558" t="s">
        <v>2135</v>
      </c>
      <c r="D2166" s="556" t="s">
        <v>1693</v>
      </c>
      <c r="E2166" s="17" t="s">
        <v>5612</v>
      </c>
      <c r="F2166" s="17">
        <v>11</v>
      </c>
      <c r="G2166" s="17">
        <v>1</v>
      </c>
      <c r="H2166" s="17" t="s">
        <v>3366</v>
      </c>
      <c r="I2166" s="17"/>
      <c r="J2166" s="17"/>
      <c r="K2166" s="17"/>
      <c r="L2166" s="17"/>
      <c r="M2166" s="17"/>
      <c r="N2166" s="17"/>
      <c r="O2166" s="17"/>
      <c r="P2166" s="17"/>
      <c r="Q2166" s="17"/>
    </row>
    <row r="2167" spans="1:17">
      <c r="A2167" s="556" t="s">
        <v>3618</v>
      </c>
      <c r="B2167" s="557"/>
      <c r="C2167" s="558" t="s">
        <v>2135</v>
      </c>
      <c r="D2167" s="556" t="s">
        <v>1694</v>
      </c>
      <c r="E2167" s="17" t="s">
        <v>5613</v>
      </c>
      <c r="F2167" s="17">
        <v>11</v>
      </c>
      <c r="G2167" s="17">
        <v>2</v>
      </c>
      <c r="H2167" s="17" t="s">
        <v>3367</v>
      </c>
      <c r="I2167" s="17"/>
      <c r="J2167" s="17"/>
      <c r="K2167" s="17"/>
      <c r="L2167" s="17"/>
      <c r="M2167" s="17"/>
      <c r="N2167" s="17"/>
      <c r="O2167" s="17"/>
      <c r="P2167" s="17"/>
      <c r="Q2167" s="17"/>
    </row>
    <row r="2168" spans="1:17">
      <c r="A2168" s="556" t="s">
        <v>3618</v>
      </c>
      <c r="B2168" s="557"/>
      <c r="C2168" s="558" t="s">
        <v>2135</v>
      </c>
      <c r="D2168" s="556" t="s">
        <v>4324</v>
      </c>
      <c r="E2168" s="17" t="s">
        <v>5614</v>
      </c>
      <c r="F2168" s="17">
        <v>11</v>
      </c>
      <c r="G2168" s="17">
        <v>3</v>
      </c>
      <c r="H2168" s="17" t="s">
        <v>3368</v>
      </c>
      <c r="I2168" s="17"/>
      <c r="J2168" s="17"/>
      <c r="K2168" s="17"/>
      <c r="L2168" s="17"/>
      <c r="M2168" s="17"/>
      <c r="N2168" s="17"/>
      <c r="O2168" s="17"/>
      <c r="P2168" s="17"/>
      <c r="Q2168" s="17"/>
    </row>
    <row r="2169" spans="1:17">
      <c r="A2169" s="556" t="s">
        <v>3618</v>
      </c>
      <c r="B2169" s="557"/>
      <c r="C2169" s="558" t="s">
        <v>2136</v>
      </c>
      <c r="D2169" s="556" t="s">
        <v>1693</v>
      </c>
      <c r="E2169" s="17" t="s">
        <v>5615</v>
      </c>
      <c r="F2169" s="17">
        <v>12</v>
      </c>
      <c r="G2169" s="17">
        <v>1</v>
      </c>
      <c r="H2169" s="17" t="s">
        <v>3370</v>
      </c>
      <c r="I2169" s="17">
        <v>0</v>
      </c>
      <c r="J2169" s="17"/>
      <c r="K2169" s="17"/>
      <c r="L2169" s="17"/>
      <c r="M2169" s="17"/>
      <c r="N2169" s="17"/>
      <c r="O2169" s="17"/>
      <c r="P2169" s="17"/>
      <c r="Q2169" s="17"/>
    </row>
    <row r="2170" spans="1:17">
      <c r="A2170" s="556" t="s">
        <v>3618</v>
      </c>
      <c r="B2170" s="557"/>
      <c r="C2170" s="558" t="s">
        <v>2136</v>
      </c>
      <c r="D2170" s="556" t="s">
        <v>1694</v>
      </c>
      <c r="E2170" s="17" t="s">
        <v>5616</v>
      </c>
      <c r="F2170" s="17">
        <v>12</v>
      </c>
      <c r="G2170" s="17">
        <v>2</v>
      </c>
      <c r="H2170" s="17" t="s">
        <v>3371</v>
      </c>
      <c r="I2170" s="17">
        <v>0</v>
      </c>
      <c r="J2170" s="17"/>
      <c r="K2170" s="17"/>
      <c r="L2170" s="17"/>
      <c r="M2170" s="17"/>
      <c r="N2170" s="17"/>
      <c r="O2170" s="17"/>
      <c r="P2170" s="17"/>
      <c r="Q2170" s="17"/>
    </row>
    <row r="2171" spans="1:17">
      <c r="A2171" s="556" t="s">
        <v>3618</v>
      </c>
      <c r="B2171" s="557"/>
      <c r="C2171" s="558" t="s">
        <v>2136</v>
      </c>
      <c r="D2171" s="556" t="s">
        <v>4324</v>
      </c>
      <c r="E2171" s="17" t="s">
        <v>5617</v>
      </c>
      <c r="F2171" s="17">
        <v>12</v>
      </c>
      <c r="G2171" s="17">
        <v>3</v>
      </c>
      <c r="H2171" s="17" t="s">
        <v>3372</v>
      </c>
      <c r="I2171" s="17"/>
      <c r="J2171" s="17"/>
      <c r="K2171" s="17"/>
      <c r="L2171" s="17"/>
      <c r="M2171" s="17"/>
      <c r="N2171" s="17"/>
      <c r="O2171" s="17"/>
      <c r="P2171" s="17"/>
      <c r="Q2171" s="17"/>
    </row>
    <row r="2172" spans="1:17">
      <c r="A2172" s="556" t="s">
        <v>3618</v>
      </c>
      <c r="B2172" s="557"/>
      <c r="C2172" s="558" t="s">
        <v>2137</v>
      </c>
      <c r="D2172" s="556" t="s">
        <v>1693</v>
      </c>
      <c r="E2172" s="17" t="s">
        <v>5618</v>
      </c>
      <c r="F2172" s="17">
        <v>13</v>
      </c>
      <c r="G2172" s="17">
        <v>1</v>
      </c>
      <c r="H2172" s="17" t="s">
        <v>3374</v>
      </c>
      <c r="I2172" s="17"/>
      <c r="J2172" s="17"/>
      <c r="K2172" s="17"/>
      <c r="L2172" s="17"/>
      <c r="M2172" s="17"/>
      <c r="N2172" s="17"/>
      <c r="O2172" s="17"/>
      <c r="P2172" s="17"/>
      <c r="Q2172" s="17"/>
    </row>
    <row r="2173" spans="1:17">
      <c r="A2173" s="556" t="s">
        <v>3618</v>
      </c>
      <c r="B2173" s="557"/>
      <c r="C2173" s="558" t="s">
        <v>2137</v>
      </c>
      <c r="D2173" s="556" t="s">
        <v>1694</v>
      </c>
      <c r="E2173" s="17" t="s">
        <v>5619</v>
      </c>
      <c r="F2173" s="17">
        <v>13</v>
      </c>
      <c r="G2173" s="17">
        <v>2</v>
      </c>
      <c r="H2173" s="17" t="s">
        <v>3375</v>
      </c>
      <c r="I2173" s="17"/>
      <c r="J2173" s="17"/>
      <c r="K2173" s="17"/>
      <c r="L2173" s="17"/>
      <c r="M2173" s="17"/>
      <c r="N2173" s="17"/>
      <c r="O2173" s="17"/>
      <c r="P2173" s="17"/>
      <c r="Q2173" s="17"/>
    </row>
    <row r="2174" spans="1:17">
      <c r="A2174" s="556" t="s">
        <v>3618</v>
      </c>
      <c r="B2174" s="557"/>
      <c r="C2174" s="558" t="s">
        <v>2137</v>
      </c>
      <c r="D2174" s="556" t="s">
        <v>4324</v>
      </c>
      <c r="E2174" s="17" t="s">
        <v>5620</v>
      </c>
      <c r="F2174" s="17">
        <v>13</v>
      </c>
      <c r="G2174" s="17">
        <v>3</v>
      </c>
      <c r="H2174" s="17" t="s">
        <v>3376</v>
      </c>
      <c r="I2174" s="17"/>
      <c r="J2174" s="17"/>
      <c r="K2174" s="17"/>
      <c r="L2174" s="17"/>
      <c r="M2174" s="17"/>
      <c r="N2174" s="17"/>
      <c r="O2174" s="17"/>
      <c r="P2174" s="17"/>
      <c r="Q2174" s="17"/>
    </row>
    <row r="2175" spans="1:17">
      <c r="A2175" s="556" t="s">
        <v>3618</v>
      </c>
      <c r="B2175" s="557"/>
      <c r="C2175" s="558" t="s">
        <v>2138</v>
      </c>
      <c r="D2175" s="556" t="s">
        <v>1693</v>
      </c>
      <c r="E2175" s="17" t="s">
        <v>5621</v>
      </c>
      <c r="F2175" s="17">
        <v>14</v>
      </c>
      <c r="G2175" s="17">
        <v>1</v>
      </c>
      <c r="H2175" s="17" t="s">
        <v>3378</v>
      </c>
      <c r="I2175" s="17"/>
      <c r="J2175" s="17"/>
      <c r="K2175" s="17"/>
      <c r="L2175" s="17"/>
      <c r="M2175" s="17"/>
      <c r="N2175" s="17"/>
      <c r="O2175" s="17"/>
      <c r="P2175" s="17"/>
      <c r="Q2175" s="17"/>
    </row>
    <row r="2176" spans="1:17">
      <c r="A2176" s="556" t="s">
        <v>3618</v>
      </c>
      <c r="B2176" s="557"/>
      <c r="C2176" s="558" t="s">
        <v>2138</v>
      </c>
      <c r="D2176" s="556" t="s">
        <v>1694</v>
      </c>
      <c r="E2176" s="17" t="s">
        <v>5622</v>
      </c>
      <c r="F2176" s="17">
        <v>14</v>
      </c>
      <c r="G2176" s="17">
        <v>2</v>
      </c>
      <c r="H2176" s="17" t="s">
        <v>3379</v>
      </c>
      <c r="I2176" s="17"/>
      <c r="J2176" s="17"/>
      <c r="K2176" s="17"/>
      <c r="L2176" s="17"/>
      <c r="M2176" s="17"/>
      <c r="N2176" s="17"/>
      <c r="O2176" s="17"/>
      <c r="P2176" s="17"/>
      <c r="Q2176" s="17"/>
    </row>
    <row r="2177" spans="1:17">
      <c r="A2177" s="556" t="s">
        <v>3618</v>
      </c>
      <c r="B2177" s="557"/>
      <c r="C2177" s="558" t="s">
        <v>2138</v>
      </c>
      <c r="D2177" s="556" t="s">
        <v>4324</v>
      </c>
      <c r="E2177" s="17" t="s">
        <v>5623</v>
      </c>
      <c r="F2177" s="17">
        <v>14</v>
      </c>
      <c r="G2177" s="17">
        <v>3</v>
      </c>
      <c r="H2177" s="17" t="s">
        <v>3380</v>
      </c>
      <c r="I2177" s="17"/>
      <c r="J2177" s="17"/>
      <c r="K2177" s="17"/>
      <c r="L2177" s="17"/>
      <c r="M2177" s="17"/>
      <c r="N2177" s="17"/>
      <c r="O2177" s="17"/>
      <c r="P2177" s="17"/>
      <c r="Q2177" s="17"/>
    </row>
    <row r="2178" spans="1:17">
      <c r="A2178" s="556" t="s">
        <v>3618</v>
      </c>
      <c r="B2178" s="557"/>
      <c r="C2178" s="558" t="s">
        <v>2139</v>
      </c>
      <c r="D2178" s="556" t="s">
        <v>1693</v>
      </c>
      <c r="E2178" s="17" t="s">
        <v>5624</v>
      </c>
      <c r="F2178" s="17">
        <v>15</v>
      </c>
      <c r="G2178" s="17">
        <v>1</v>
      </c>
      <c r="H2178" s="17" t="s">
        <v>3382</v>
      </c>
      <c r="I2178" s="17"/>
      <c r="J2178" s="17"/>
      <c r="K2178" s="17"/>
      <c r="L2178" s="17"/>
      <c r="M2178" s="17"/>
      <c r="N2178" s="17"/>
      <c r="O2178" s="17"/>
      <c r="P2178" s="17"/>
      <c r="Q2178" s="17"/>
    </row>
    <row r="2179" spans="1:17">
      <c r="A2179" s="556" t="s">
        <v>3618</v>
      </c>
      <c r="B2179" s="557"/>
      <c r="C2179" s="558" t="s">
        <v>2139</v>
      </c>
      <c r="D2179" s="556" t="s">
        <v>1694</v>
      </c>
      <c r="E2179" s="17" t="s">
        <v>5625</v>
      </c>
      <c r="F2179" s="17">
        <v>15</v>
      </c>
      <c r="G2179" s="17">
        <v>2</v>
      </c>
      <c r="H2179" s="17" t="s">
        <v>3383</v>
      </c>
      <c r="I2179" s="17"/>
      <c r="J2179" s="17"/>
      <c r="K2179" s="17"/>
      <c r="L2179" s="17"/>
      <c r="M2179" s="17"/>
      <c r="N2179" s="17"/>
      <c r="O2179" s="17"/>
      <c r="P2179" s="17"/>
      <c r="Q2179" s="17"/>
    </row>
    <row r="2180" spans="1:17">
      <c r="A2180" s="556" t="s">
        <v>3618</v>
      </c>
      <c r="B2180" s="557"/>
      <c r="C2180" s="558" t="s">
        <v>2139</v>
      </c>
      <c r="D2180" s="556" t="s">
        <v>4324</v>
      </c>
      <c r="E2180" s="17" t="s">
        <v>5626</v>
      </c>
      <c r="F2180" s="17">
        <v>15</v>
      </c>
      <c r="G2180" s="17">
        <v>3</v>
      </c>
      <c r="H2180" s="17" t="s">
        <v>3384</v>
      </c>
      <c r="I2180" s="17"/>
      <c r="J2180" s="17"/>
      <c r="K2180" s="17"/>
      <c r="L2180" s="17"/>
      <c r="M2180" s="17"/>
      <c r="N2180" s="17"/>
      <c r="O2180" s="17"/>
      <c r="P2180" s="17"/>
      <c r="Q2180" s="17"/>
    </row>
    <row r="2181" spans="1:17">
      <c r="A2181" s="556" t="s">
        <v>3618</v>
      </c>
      <c r="B2181" s="557"/>
      <c r="C2181" s="558" t="s">
        <v>2140</v>
      </c>
      <c r="D2181" s="556" t="s">
        <v>1693</v>
      </c>
      <c r="E2181" s="17" t="s">
        <v>5627</v>
      </c>
      <c r="F2181" s="17">
        <v>16</v>
      </c>
      <c r="G2181" s="17">
        <v>1</v>
      </c>
      <c r="H2181" s="17" t="s">
        <v>3386</v>
      </c>
      <c r="I2181" s="17"/>
      <c r="J2181" s="17"/>
      <c r="K2181" s="17"/>
      <c r="L2181" s="17"/>
      <c r="M2181" s="17"/>
      <c r="N2181" s="17"/>
      <c r="O2181" s="17"/>
      <c r="P2181" s="17"/>
      <c r="Q2181" s="17"/>
    </row>
    <row r="2182" spans="1:17">
      <c r="A2182" s="556" t="s">
        <v>3618</v>
      </c>
      <c r="B2182" s="557"/>
      <c r="C2182" s="558" t="s">
        <v>2140</v>
      </c>
      <c r="D2182" s="556" t="s">
        <v>1694</v>
      </c>
      <c r="E2182" s="17" t="s">
        <v>5628</v>
      </c>
      <c r="F2182" s="17">
        <v>16</v>
      </c>
      <c r="G2182" s="17">
        <v>2</v>
      </c>
      <c r="H2182" s="17" t="s">
        <v>3387</v>
      </c>
      <c r="I2182" s="17"/>
      <c r="J2182" s="17"/>
      <c r="K2182" s="17"/>
      <c r="L2182" s="17"/>
      <c r="M2182" s="17"/>
      <c r="N2182" s="17"/>
      <c r="O2182" s="17"/>
      <c r="P2182" s="17"/>
      <c r="Q2182" s="17"/>
    </row>
    <row r="2183" spans="1:17">
      <c r="A2183" s="556" t="s">
        <v>3618</v>
      </c>
      <c r="B2183" s="557"/>
      <c r="C2183" s="558" t="s">
        <v>2140</v>
      </c>
      <c r="D2183" s="556" t="s">
        <v>4324</v>
      </c>
      <c r="E2183" s="17" t="s">
        <v>5629</v>
      </c>
      <c r="F2183" s="17">
        <v>16</v>
      </c>
      <c r="G2183" s="17">
        <v>3</v>
      </c>
      <c r="H2183" s="17" t="s">
        <v>3388</v>
      </c>
      <c r="I2183" s="17"/>
      <c r="J2183" s="17"/>
      <c r="K2183" s="17"/>
      <c r="L2183" s="17"/>
      <c r="M2183" s="17"/>
      <c r="N2183" s="17"/>
      <c r="O2183" s="17"/>
      <c r="P2183" s="17"/>
      <c r="Q2183" s="17"/>
    </row>
    <row r="2184" spans="1:17">
      <c r="A2184" s="556" t="s">
        <v>3618</v>
      </c>
      <c r="B2184" s="557"/>
      <c r="C2184" s="558" t="s">
        <v>2141</v>
      </c>
      <c r="D2184" s="556" t="s">
        <v>1693</v>
      </c>
      <c r="E2184" s="17" t="s">
        <v>5630</v>
      </c>
      <c r="F2184" s="17">
        <v>17</v>
      </c>
      <c r="G2184" s="17">
        <v>1</v>
      </c>
      <c r="H2184" s="17" t="s">
        <v>3390</v>
      </c>
      <c r="I2184" s="17"/>
      <c r="J2184" s="17"/>
      <c r="K2184" s="17"/>
      <c r="L2184" s="17"/>
      <c r="M2184" s="17"/>
      <c r="N2184" s="17"/>
      <c r="O2184" s="17"/>
      <c r="P2184" s="17"/>
      <c r="Q2184" s="17"/>
    </row>
    <row r="2185" spans="1:17">
      <c r="A2185" s="556" t="s">
        <v>3618</v>
      </c>
      <c r="B2185" s="557"/>
      <c r="C2185" s="558" t="s">
        <v>2141</v>
      </c>
      <c r="D2185" s="556" t="s">
        <v>1694</v>
      </c>
      <c r="E2185" s="17" t="s">
        <v>5631</v>
      </c>
      <c r="F2185" s="17">
        <v>17</v>
      </c>
      <c r="G2185" s="17">
        <v>2</v>
      </c>
      <c r="H2185" s="17" t="s">
        <v>3391</v>
      </c>
      <c r="I2185" s="17"/>
      <c r="J2185" s="17"/>
      <c r="K2185" s="17"/>
      <c r="L2185" s="17"/>
      <c r="M2185" s="17"/>
      <c r="N2185" s="17"/>
      <c r="O2185" s="17"/>
      <c r="P2185" s="17"/>
      <c r="Q2185" s="17"/>
    </row>
    <row r="2186" spans="1:17">
      <c r="A2186" s="556" t="s">
        <v>3618</v>
      </c>
      <c r="B2186" s="557"/>
      <c r="C2186" s="558" t="s">
        <v>2141</v>
      </c>
      <c r="D2186" s="556" t="s">
        <v>4324</v>
      </c>
      <c r="E2186" s="17" t="s">
        <v>5632</v>
      </c>
      <c r="F2186" s="17">
        <v>17</v>
      </c>
      <c r="G2186" s="17">
        <v>3</v>
      </c>
      <c r="H2186" s="17" t="s">
        <v>3392</v>
      </c>
      <c r="I2186" s="17"/>
      <c r="J2186" s="17"/>
      <c r="K2186" s="17"/>
      <c r="L2186" s="17"/>
      <c r="M2186" s="17"/>
      <c r="N2186" s="17"/>
      <c r="O2186" s="17"/>
      <c r="P2186" s="17"/>
      <c r="Q2186" s="17"/>
    </row>
    <row r="2187" spans="1:17">
      <c r="A2187" s="556" t="s">
        <v>3618</v>
      </c>
      <c r="B2187" s="557"/>
      <c r="C2187" s="558" t="s">
        <v>2142</v>
      </c>
      <c r="D2187" s="556" t="s">
        <v>1693</v>
      </c>
      <c r="E2187" s="17" t="s">
        <v>5633</v>
      </c>
      <c r="F2187" s="17">
        <v>18</v>
      </c>
      <c r="G2187" s="17">
        <v>1</v>
      </c>
      <c r="H2187" s="17" t="s">
        <v>3394</v>
      </c>
      <c r="I2187" s="17">
        <v>0</v>
      </c>
      <c r="J2187" s="17"/>
      <c r="K2187" s="17"/>
      <c r="L2187" s="17"/>
      <c r="M2187" s="17"/>
      <c r="N2187" s="17"/>
      <c r="O2187" s="17"/>
      <c r="P2187" s="17"/>
      <c r="Q2187" s="17"/>
    </row>
    <row r="2188" spans="1:17">
      <c r="A2188" s="556" t="s">
        <v>3618</v>
      </c>
      <c r="B2188" s="557"/>
      <c r="C2188" s="558" t="s">
        <v>2142</v>
      </c>
      <c r="D2188" s="556" t="s">
        <v>1694</v>
      </c>
      <c r="E2188" s="17" t="s">
        <v>5634</v>
      </c>
      <c r="F2188" s="17">
        <v>18</v>
      </c>
      <c r="G2188" s="17">
        <v>2</v>
      </c>
      <c r="H2188" s="17" t="s">
        <v>3395</v>
      </c>
      <c r="I2188" s="17">
        <v>0</v>
      </c>
      <c r="J2188" s="17"/>
      <c r="K2188" s="17"/>
      <c r="L2188" s="17"/>
      <c r="M2188" s="17"/>
      <c r="N2188" s="17"/>
      <c r="O2188" s="17"/>
      <c r="P2188" s="17"/>
      <c r="Q2188" s="17"/>
    </row>
    <row r="2189" spans="1:17">
      <c r="A2189" s="556" t="s">
        <v>3618</v>
      </c>
      <c r="B2189" s="557"/>
      <c r="C2189" s="558" t="s">
        <v>2142</v>
      </c>
      <c r="D2189" s="556" t="s">
        <v>4324</v>
      </c>
      <c r="E2189" s="17" t="s">
        <v>5635</v>
      </c>
      <c r="F2189" s="17">
        <v>18</v>
      </c>
      <c r="G2189" s="17">
        <v>3</v>
      </c>
      <c r="H2189" s="17" t="s">
        <v>3396</v>
      </c>
      <c r="I2189" s="17"/>
      <c r="J2189" s="17"/>
      <c r="K2189" s="17"/>
      <c r="L2189" s="17"/>
      <c r="M2189" s="17"/>
      <c r="N2189" s="17"/>
      <c r="O2189" s="17"/>
      <c r="P2189" s="17"/>
      <c r="Q2189" s="17"/>
    </row>
    <row r="2190" spans="1:17">
      <c r="A2190" s="556" t="s">
        <v>3618</v>
      </c>
      <c r="B2190" s="557"/>
      <c r="C2190" s="558" t="s">
        <v>5636</v>
      </c>
      <c r="D2190" s="556" t="s">
        <v>1693</v>
      </c>
      <c r="E2190" s="17" t="s">
        <v>5637</v>
      </c>
      <c r="F2190" s="17">
        <v>19</v>
      </c>
      <c r="G2190" s="17">
        <v>1</v>
      </c>
      <c r="H2190" s="17" t="s">
        <v>3398</v>
      </c>
      <c r="I2190" s="17">
        <v>0</v>
      </c>
      <c r="J2190" s="17"/>
      <c r="K2190" s="17"/>
      <c r="L2190" s="17"/>
      <c r="M2190" s="17"/>
      <c r="N2190" s="17"/>
      <c r="O2190" s="17"/>
      <c r="P2190" s="17"/>
      <c r="Q2190" s="17"/>
    </row>
    <row r="2191" spans="1:17">
      <c r="A2191" s="556" t="s">
        <v>3618</v>
      </c>
      <c r="B2191" s="557"/>
      <c r="C2191" s="558" t="s">
        <v>5636</v>
      </c>
      <c r="D2191" s="556" t="s">
        <v>1694</v>
      </c>
      <c r="E2191" s="17" t="s">
        <v>5638</v>
      </c>
      <c r="F2191" s="17">
        <v>19</v>
      </c>
      <c r="G2191" s="17">
        <v>2</v>
      </c>
      <c r="H2191" s="17" t="s">
        <v>3399</v>
      </c>
      <c r="I2191" s="17">
        <v>0</v>
      </c>
      <c r="J2191" s="17"/>
      <c r="K2191" s="17"/>
      <c r="L2191" s="17"/>
      <c r="M2191" s="17"/>
      <c r="N2191" s="17"/>
      <c r="O2191" s="17"/>
      <c r="P2191" s="17"/>
      <c r="Q2191" s="17"/>
    </row>
    <row r="2192" spans="1:17">
      <c r="A2192" s="556" t="s">
        <v>3618</v>
      </c>
      <c r="B2192" s="557"/>
      <c r="C2192" s="558" t="s">
        <v>5636</v>
      </c>
      <c r="D2192" s="556" t="s">
        <v>4324</v>
      </c>
      <c r="E2192" s="17" t="s">
        <v>5639</v>
      </c>
      <c r="F2192" s="17">
        <v>19</v>
      </c>
      <c r="G2192" s="17">
        <v>3</v>
      </c>
      <c r="H2192" s="17" t="s">
        <v>3400</v>
      </c>
      <c r="I2192" s="17"/>
      <c r="J2192" s="17"/>
      <c r="K2192" s="17"/>
      <c r="L2192" s="17"/>
      <c r="M2192" s="17"/>
      <c r="N2192" s="17"/>
      <c r="O2192" s="17"/>
      <c r="P2192" s="17"/>
      <c r="Q2192" s="17"/>
    </row>
    <row r="2193" spans="1:17">
      <c r="A2193" s="556" t="s">
        <v>3618</v>
      </c>
      <c r="B2193" s="557"/>
      <c r="C2193" s="558" t="s">
        <v>2144</v>
      </c>
      <c r="D2193" s="556" t="s">
        <v>1693</v>
      </c>
      <c r="E2193" s="17" t="s">
        <v>5640</v>
      </c>
      <c r="F2193" s="84">
        <f>ROW('NOTE 21'!F29)-ROW('NOTE 21'!F9)+1</f>
        <v>21</v>
      </c>
      <c r="G2193" s="17">
        <v>1</v>
      </c>
      <c r="H2193" s="17" t="s">
        <v>3406</v>
      </c>
      <c r="I2193" s="17">
        <v>0</v>
      </c>
      <c r="J2193" s="17"/>
      <c r="K2193" s="17"/>
      <c r="L2193" s="17"/>
      <c r="M2193" s="17"/>
      <c r="N2193" s="17"/>
      <c r="O2193" s="17"/>
      <c r="P2193" s="17"/>
      <c r="Q2193" s="17"/>
    </row>
    <row r="2194" spans="1:17">
      <c r="A2194" s="556" t="s">
        <v>3618</v>
      </c>
      <c r="B2194" s="557"/>
      <c r="C2194" s="558" t="s">
        <v>2144</v>
      </c>
      <c r="D2194" s="556" t="s">
        <v>1694</v>
      </c>
      <c r="E2194" s="17" t="s">
        <v>5641</v>
      </c>
      <c r="F2194" s="84">
        <f>ROW('NOTE 21'!F29)-ROW('NOTE 21'!F9)+1</f>
        <v>21</v>
      </c>
      <c r="G2194" s="17">
        <v>2</v>
      </c>
      <c r="H2194" s="17" t="s">
        <v>3407</v>
      </c>
      <c r="I2194" s="17">
        <v>0</v>
      </c>
      <c r="J2194" s="17"/>
      <c r="K2194" s="17"/>
      <c r="L2194" s="17"/>
      <c r="M2194" s="17"/>
      <c r="N2194" s="17"/>
      <c r="O2194" s="17"/>
      <c r="P2194" s="17"/>
      <c r="Q2194" s="17"/>
    </row>
    <row r="2195" spans="1:17">
      <c r="A2195" s="556" t="s">
        <v>3618</v>
      </c>
      <c r="B2195" s="557"/>
      <c r="C2195" s="558" t="s">
        <v>2144</v>
      </c>
      <c r="D2195" s="556" t="s">
        <v>4324</v>
      </c>
      <c r="E2195" s="17" t="s">
        <v>5642</v>
      </c>
      <c r="F2195" s="84">
        <f>ROW('NOTE 21'!F29)-ROW('NOTE 21'!F9)+1</f>
        <v>21</v>
      </c>
      <c r="G2195" s="17">
        <v>3</v>
      </c>
      <c r="H2195" s="17" t="s">
        <v>3408</v>
      </c>
      <c r="I2195" s="17"/>
      <c r="J2195" s="17"/>
      <c r="K2195" s="17"/>
      <c r="L2195" s="17"/>
      <c r="M2195" s="17"/>
      <c r="N2195" s="17"/>
      <c r="O2195" s="17"/>
      <c r="P2195" s="17"/>
      <c r="Q2195" s="17"/>
    </row>
    <row r="2196" spans="1:17">
      <c r="A2196" s="556" t="s">
        <v>3618</v>
      </c>
      <c r="B2196" s="557"/>
      <c r="C2196" s="558" t="s">
        <v>1285</v>
      </c>
      <c r="D2196" s="556" t="s">
        <v>1693</v>
      </c>
      <c r="E2196" s="17" t="s">
        <v>5643</v>
      </c>
      <c r="F2196" s="84">
        <f>ROW('NOTE 21'!F30)-ROW('NOTE 21'!F9)+1</f>
        <v>22</v>
      </c>
      <c r="G2196" s="17">
        <v>1</v>
      </c>
      <c r="H2196" s="17" t="s">
        <v>3410</v>
      </c>
      <c r="I2196" s="17"/>
      <c r="J2196" s="17"/>
      <c r="K2196" s="17"/>
      <c r="L2196" s="17"/>
      <c r="M2196" s="17"/>
      <c r="N2196" s="17"/>
      <c r="O2196" s="17"/>
      <c r="P2196" s="17"/>
      <c r="Q2196" s="17"/>
    </row>
    <row r="2197" spans="1:17">
      <c r="A2197" s="556" t="s">
        <v>3618</v>
      </c>
      <c r="B2197" s="557"/>
      <c r="C2197" s="558" t="s">
        <v>1285</v>
      </c>
      <c r="D2197" s="556" t="s">
        <v>1694</v>
      </c>
      <c r="E2197" s="17" t="s">
        <v>5644</v>
      </c>
      <c r="F2197" s="84">
        <f>ROW('NOTE 21'!F30)-ROW('NOTE 21'!F9)+1</f>
        <v>22</v>
      </c>
      <c r="G2197" s="17">
        <v>2</v>
      </c>
      <c r="H2197" s="17" t="s">
        <v>3411</v>
      </c>
      <c r="I2197" s="17"/>
      <c r="J2197" s="17"/>
      <c r="K2197" s="17"/>
      <c r="L2197" s="17"/>
      <c r="M2197" s="17"/>
      <c r="N2197" s="17"/>
      <c r="O2197" s="17"/>
      <c r="P2197" s="17"/>
      <c r="Q2197" s="17"/>
    </row>
    <row r="2198" spans="1:17">
      <c r="A2198" s="556" t="s">
        <v>3618</v>
      </c>
      <c r="B2198" s="557"/>
      <c r="C2198" s="558" t="s">
        <v>1285</v>
      </c>
      <c r="D2198" s="556" t="s">
        <v>4324</v>
      </c>
      <c r="E2198" s="17" t="s">
        <v>5645</v>
      </c>
      <c r="F2198" s="84">
        <f>ROW('NOTE 21'!F30)-ROW('NOTE 21'!F9)+1</f>
        <v>22</v>
      </c>
      <c r="G2198" s="17">
        <v>3</v>
      </c>
      <c r="H2198" s="17" t="s">
        <v>3412</v>
      </c>
      <c r="I2198" s="17"/>
      <c r="J2198" s="17"/>
      <c r="K2198" s="17"/>
      <c r="L2198" s="17"/>
      <c r="M2198" s="17"/>
      <c r="N2198" s="17"/>
      <c r="O2198" s="17"/>
      <c r="P2198" s="17"/>
      <c r="Q2198" s="17"/>
    </row>
    <row r="2199" spans="1:17">
      <c r="A2199" s="556" t="s">
        <v>3618</v>
      </c>
      <c r="B2199" s="557"/>
      <c r="C2199" s="558" t="s">
        <v>2145</v>
      </c>
      <c r="D2199" s="556" t="s">
        <v>1693</v>
      </c>
      <c r="E2199" s="17" t="s">
        <v>5646</v>
      </c>
      <c r="F2199" s="84">
        <f>ROW('NOTE 21'!F31)-ROW('NOTE 21'!F9)+1</f>
        <v>23</v>
      </c>
      <c r="G2199" s="17">
        <v>1</v>
      </c>
      <c r="H2199" s="17" t="s">
        <v>3414</v>
      </c>
      <c r="I2199" s="17"/>
      <c r="J2199" s="17"/>
      <c r="K2199" s="17"/>
      <c r="L2199" s="17"/>
      <c r="M2199" s="17"/>
      <c r="N2199" s="17"/>
      <c r="O2199" s="17"/>
      <c r="P2199" s="17"/>
      <c r="Q2199" s="17"/>
    </row>
    <row r="2200" spans="1:17">
      <c r="A2200" s="556" t="s">
        <v>3618</v>
      </c>
      <c r="B2200" s="557"/>
      <c r="C2200" s="558" t="s">
        <v>2145</v>
      </c>
      <c r="D2200" s="556" t="s">
        <v>1694</v>
      </c>
      <c r="E2200" s="17" t="s">
        <v>5647</v>
      </c>
      <c r="F2200" s="84">
        <f>ROW('NOTE 21'!F31)-ROW('NOTE 21'!F9)+1</f>
        <v>23</v>
      </c>
      <c r="G2200" s="17">
        <v>2</v>
      </c>
      <c r="H2200" s="17" t="s">
        <v>3415</v>
      </c>
      <c r="I2200" s="17"/>
      <c r="J2200" s="17"/>
      <c r="K2200" s="17"/>
      <c r="L2200" s="17"/>
      <c r="M2200" s="17"/>
      <c r="N2200" s="17"/>
      <c r="O2200" s="17"/>
      <c r="P2200" s="17"/>
      <c r="Q2200" s="17"/>
    </row>
    <row r="2201" spans="1:17">
      <c r="A2201" s="556" t="s">
        <v>3618</v>
      </c>
      <c r="B2201" s="557"/>
      <c r="C2201" s="558" t="s">
        <v>2145</v>
      </c>
      <c r="D2201" s="556" t="s">
        <v>4324</v>
      </c>
      <c r="E2201" s="17" t="s">
        <v>5648</v>
      </c>
      <c r="F2201" s="84">
        <f>ROW('NOTE 21'!F31)-ROW('NOTE 21'!F9)+1</f>
        <v>23</v>
      </c>
      <c r="G2201" s="17">
        <v>3</v>
      </c>
      <c r="H2201" s="17" t="s">
        <v>3416</v>
      </c>
      <c r="I2201" s="17"/>
      <c r="J2201" s="17"/>
      <c r="K2201" s="17"/>
      <c r="L2201" s="17"/>
      <c r="M2201" s="17"/>
      <c r="N2201" s="17"/>
      <c r="O2201" s="17"/>
      <c r="P2201" s="17"/>
      <c r="Q2201" s="17"/>
    </row>
    <row r="2202" spans="1:17">
      <c r="A2202" s="556" t="s">
        <v>3618</v>
      </c>
      <c r="B2202" s="557"/>
      <c r="C2202" s="558" t="s">
        <v>2146</v>
      </c>
      <c r="D2202" s="556" t="s">
        <v>1693</v>
      </c>
      <c r="E2202" s="17" t="s">
        <v>5649</v>
      </c>
      <c r="F2202" s="84">
        <f>ROW('NOTE 21'!F32)-ROW('NOTE 21'!F9)+1</f>
        <v>24</v>
      </c>
      <c r="G2202" s="17">
        <v>1</v>
      </c>
      <c r="H2202" s="17" t="s">
        <v>3418</v>
      </c>
      <c r="I2202" s="17"/>
      <c r="J2202" s="17"/>
      <c r="K2202" s="17"/>
      <c r="L2202" s="17"/>
      <c r="M2202" s="17"/>
      <c r="N2202" s="17"/>
      <c r="O2202" s="17"/>
      <c r="P2202" s="17"/>
      <c r="Q2202" s="17"/>
    </row>
    <row r="2203" spans="1:17">
      <c r="A2203" s="556" t="s">
        <v>3618</v>
      </c>
      <c r="B2203" s="557"/>
      <c r="C2203" s="558" t="s">
        <v>2146</v>
      </c>
      <c r="D2203" s="556" t="s">
        <v>1694</v>
      </c>
      <c r="E2203" s="17" t="s">
        <v>5650</v>
      </c>
      <c r="F2203" s="84">
        <f>ROW('NOTE 21'!F32)-ROW('NOTE 21'!F9)+1</f>
        <v>24</v>
      </c>
      <c r="G2203" s="17">
        <v>2</v>
      </c>
      <c r="H2203" s="17" t="s">
        <v>3419</v>
      </c>
      <c r="I2203" s="17"/>
      <c r="J2203" s="17"/>
      <c r="K2203" s="17"/>
      <c r="L2203" s="17"/>
      <c r="M2203" s="17"/>
      <c r="N2203" s="17"/>
      <c r="O2203" s="17"/>
      <c r="P2203" s="17"/>
      <c r="Q2203" s="17"/>
    </row>
    <row r="2204" spans="1:17">
      <c r="A2204" s="556" t="s">
        <v>3618</v>
      </c>
      <c r="B2204" s="557"/>
      <c r="C2204" s="558" t="s">
        <v>2146</v>
      </c>
      <c r="D2204" s="556" t="s">
        <v>4324</v>
      </c>
      <c r="E2204" s="17" t="s">
        <v>5651</v>
      </c>
      <c r="F2204" s="84">
        <f>ROW('NOTE 21'!F32)-ROW('NOTE 21'!F9)+1</f>
        <v>24</v>
      </c>
      <c r="G2204" s="17">
        <v>3</v>
      </c>
      <c r="H2204" s="17" t="s">
        <v>3420</v>
      </c>
      <c r="I2204" s="17"/>
      <c r="J2204" s="17"/>
      <c r="K2204" s="17"/>
      <c r="L2204" s="17"/>
      <c r="M2204" s="17"/>
      <c r="N2204" s="17"/>
      <c r="O2204" s="17"/>
      <c r="P2204" s="17"/>
      <c r="Q2204" s="17"/>
    </row>
    <row r="2205" spans="1:17">
      <c r="A2205" s="556" t="s">
        <v>3618</v>
      </c>
      <c r="B2205" s="557"/>
      <c r="C2205" s="558" t="s">
        <v>2147</v>
      </c>
      <c r="D2205" s="556" t="s">
        <v>1693</v>
      </c>
      <c r="E2205" s="17" t="s">
        <v>5652</v>
      </c>
      <c r="F2205" s="84">
        <f>ROW('NOTE 21'!F33)-ROW('NOTE 21'!F9)+1</f>
        <v>25</v>
      </c>
      <c r="G2205" s="17">
        <v>1</v>
      </c>
      <c r="H2205" s="17" t="s">
        <v>3422</v>
      </c>
      <c r="I2205" s="17">
        <v>0</v>
      </c>
      <c r="J2205" s="17"/>
      <c r="K2205" s="17"/>
      <c r="L2205" s="17"/>
      <c r="M2205" s="17"/>
      <c r="N2205" s="17"/>
      <c r="O2205" s="17"/>
      <c r="P2205" s="17"/>
      <c r="Q2205" s="17"/>
    </row>
    <row r="2206" spans="1:17">
      <c r="A2206" s="556" t="s">
        <v>3618</v>
      </c>
      <c r="B2206" s="557"/>
      <c r="C2206" s="558" t="s">
        <v>2147</v>
      </c>
      <c r="D2206" s="556" t="s">
        <v>1694</v>
      </c>
      <c r="E2206" s="17" t="s">
        <v>5653</v>
      </c>
      <c r="F2206" s="84">
        <f>ROW('NOTE 21'!F33)-ROW('NOTE 21'!F9)+1</f>
        <v>25</v>
      </c>
      <c r="G2206" s="17">
        <v>2</v>
      </c>
      <c r="H2206" s="17" t="s">
        <v>3423</v>
      </c>
      <c r="I2206" s="17">
        <v>0</v>
      </c>
      <c r="J2206" s="17"/>
      <c r="K2206" s="17"/>
      <c r="L2206" s="17"/>
      <c r="M2206" s="17"/>
      <c r="N2206" s="17"/>
      <c r="O2206" s="17"/>
      <c r="P2206" s="17"/>
      <c r="Q2206" s="17"/>
    </row>
    <row r="2207" spans="1:17">
      <c r="A2207" s="556" t="s">
        <v>3618</v>
      </c>
      <c r="B2207" s="557"/>
      <c r="C2207" s="558" t="s">
        <v>2147</v>
      </c>
      <c r="D2207" s="556" t="s">
        <v>4324</v>
      </c>
      <c r="E2207" s="17" t="s">
        <v>5654</v>
      </c>
      <c r="F2207" s="84">
        <f>ROW('NOTE 21'!F33)-ROW('NOTE 21'!F9)+1</f>
        <v>25</v>
      </c>
      <c r="G2207" s="17">
        <v>3</v>
      </c>
      <c r="H2207" s="17" t="s">
        <v>3424</v>
      </c>
      <c r="I2207" s="17"/>
      <c r="J2207" s="17"/>
      <c r="K2207" s="17"/>
      <c r="L2207" s="17"/>
      <c r="M2207" s="17"/>
      <c r="N2207" s="17"/>
      <c r="O2207" s="17"/>
      <c r="P2207" s="17"/>
      <c r="Q2207" s="17"/>
    </row>
    <row r="2208" spans="1:17">
      <c r="A2208" s="556" t="s">
        <v>3618</v>
      </c>
      <c r="B2208" s="557"/>
      <c r="C2208" s="558" t="s">
        <v>1578</v>
      </c>
      <c r="D2208" s="556" t="s">
        <v>1693</v>
      </c>
      <c r="E2208" s="17" t="s">
        <v>5655</v>
      </c>
      <c r="F2208" s="84">
        <f>ROW('NOTE 21'!F34)-ROW('NOTE 21'!F9)+1</f>
        <v>26</v>
      </c>
      <c r="G2208" s="17">
        <v>1</v>
      </c>
      <c r="H2208" s="17" t="s">
        <v>3426</v>
      </c>
      <c r="I2208" s="17">
        <v>0</v>
      </c>
      <c r="J2208" s="17"/>
      <c r="K2208" s="17"/>
      <c r="L2208" s="17"/>
      <c r="M2208" s="17"/>
      <c r="N2208" s="17"/>
      <c r="O2208" s="17"/>
      <c r="P2208" s="17"/>
      <c r="Q2208" s="17"/>
    </row>
    <row r="2209" spans="1:17">
      <c r="A2209" s="556" t="s">
        <v>3618</v>
      </c>
      <c r="B2209" s="557"/>
      <c r="C2209" s="558" t="s">
        <v>1578</v>
      </c>
      <c r="D2209" s="556" t="s">
        <v>1694</v>
      </c>
      <c r="E2209" s="17" t="s">
        <v>5656</v>
      </c>
      <c r="F2209" s="84">
        <f>ROW('NOTE 21'!F34)-ROW('NOTE 21'!F9)+1</f>
        <v>26</v>
      </c>
      <c r="G2209" s="17">
        <v>2</v>
      </c>
      <c r="H2209" s="17" t="s">
        <v>3427</v>
      </c>
      <c r="I2209" s="17">
        <v>0</v>
      </c>
      <c r="J2209" s="17"/>
      <c r="K2209" s="17"/>
      <c r="L2209" s="17"/>
      <c r="M2209" s="17"/>
      <c r="N2209" s="17"/>
      <c r="O2209" s="17"/>
      <c r="P2209" s="17"/>
      <c r="Q2209" s="17"/>
    </row>
    <row r="2210" spans="1:17">
      <c r="A2210" s="556" t="s">
        <v>3618</v>
      </c>
      <c r="B2210" s="557"/>
      <c r="C2210" s="558" t="s">
        <v>1578</v>
      </c>
      <c r="D2210" s="556" t="s">
        <v>4324</v>
      </c>
      <c r="E2210" s="17" t="s">
        <v>5657</v>
      </c>
      <c r="F2210" s="84">
        <f>ROW('NOTE 21'!F34)-ROW('NOTE 21'!F9)+1</f>
        <v>26</v>
      </c>
      <c r="G2210" s="17">
        <v>3</v>
      </c>
      <c r="H2210" s="17" t="s">
        <v>3428</v>
      </c>
      <c r="I2210" s="17"/>
      <c r="J2210" s="17"/>
      <c r="K2210" s="17"/>
      <c r="L2210" s="17"/>
      <c r="M2210" s="17"/>
      <c r="N2210" s="17"/>
      <c r="O2210" s="17"/>
      <c r="P2210" s="17"/>
      <c r="Q2210" s="17"/>
    </row>
    <row r="2211" spans="1:17">
      <c r="A2211" s="556" t="s">
        <v>3622</v>
      </c>
      <c r="B2211" s="557"/>
      <c r="C2211" s="558" t="s">
        <v>2159</v>
      </c>
      <c r="D2211" s="556" t="s">
        <v>1693</v>
      </c>
      <c r="E2211" s="17" t="s">
        <v>5658</v>
      </c>
      <c r="F2211" s="17">
        <v>1</v>
      </c>
      <c r="G2211" s="17">
        <v>1</v>
      </c>
      <c r="H2211" s="17" t="s">
        <v>3692</v>
      </c>
      <c r="I2211" s="17"/>
      <c r="J2211" s="17"/>
      <c r="K2211" s="17"/>
      <c r="L2211" s="17"/>
      <c r="M2211" s="17"/>
      <c r="N2211" s="17"/>
      <c r="O2211" s="17"/>
      <c r="P2211" s="17"/>
      <c r="Q2211" s="17"/>
    </row>
    <row r="2212" spans="1:17">
      <c r="A2212" s="556" t="s">
        <v>3622</v>
      </c>
      <c r="B2212" s="557"/>
      <c r="C2212" s="558" t="s">
        <v>2159</v>
      </c>
      <c r="D2212" s="556" t="s">
        <v>1694</v>
      </c>
      <c r="E2212" s="17" t="s">
        <v>5659</v>
      </c>
      <c r="F2212" s="17">
        <v>1</v>
      </c>
      <c r="G2212" s="17">
        <v>2</v>
      </c>
      <c r="H2212" s="17" t="s">
        <v>3701</v>
      </c>
      <c r="I2212" s="17"/>
      <c r="J2212" s="17"/>
      <c r="K2212" s="17"/>
      <c r="L2212" s="17"/>
      <c r="M2212" s="17"/>
      <c r="N2212" s="17"/>
      <c r="O2212" s="17"/>
      <c r="P2212" s="17"/>
      <c r="Q2212" s="17"/>
    </row>
    <row r="2213" spans="1:17">
      <c r="A2213" s="556" t="s">
        <v>3622</v>
      </c>
      <c r="B2213" s="557"/>
      <c r="C2213" s="558" t="s">
        <v>2159</v>
      </c>
      <c r="D2213" s="556" t="s">
        <v>4324</v>
      </c>
      <c r="E2213" s="17" t="s">
        <v>5660</v>
      </c>
      <c r="F2213" s="17">
        <v>1</v>
      </c>
      <c r="G2213" s="17">
        <v>3</v>
      </c>
      <c r="H2213" s="17" t="s">
        <v>3714</v>
      </c>
      <c r="I2213" s="17"/>
      <c r="J2213" s="17"/>
      <c r="K2213" s="17"/>
      <c r="L2213" s="17"/>
      <c r="M2213" s="17"/>
      <c r="N2213" s="17"/>
      <c r="O2213" s="17"/>
      <c r="P2213" s="17"/>
      <c r="Q2213" s="17"/>
    </row>
    <row r="2214" spans="1:17">
      <c r="A2214" s="556" t="s">
        <v>3622</v>
      </c>
      <c r="B2214" s="557"/>
      <c r="C2214" s="558" t="s">
        <v>2160</v>
      </c>
      <c r="D2214" s="556" t="s">
        <v>1693</v>
      </c>
      <c r="E2214" s="17" t="s">
        <v>5661</v>
      </c>
      <c r="F2214" s="17">
        <v>2</v>
      </c>
      <c r="G2214" s="17">
        <v>1</v>
      </c>
      <c r="H2214" s="17" t="s">
        <v>3518</v>
      </c>
      <c r="I2214" s="17"/>
      <c r="J2214" s="17"/>
      <c r="K2214" s="17"/>
      <c r="L2214" s="17"/>
      <c r="M2214" s="17"/>
      <c r="N2214" s="17"/>
      <c r="O2214" s="17"/>
      <c r="P2214" s="17"/>
      <c r="Q2214" s="17"/>
    </row>
    <row r="2215" spans="1:17">
      <c r="A2215" s="556" t="s">
        <v>3622</v>
      </c>
      <c r="B2215" s="557"/>
      <c r="C2215" s="558" t="s">
        <v>2160</v>
      </c>
      <c r="D2215" s="556" t="s">
        <v>1694</v>
      </c>
      <c r="E2215" s="17" t="s">
        <v>5662</v>
      </c>
      <c r="F2215" s="17">
        <v>2</v>
      </c>
      <c r="G2215" s="17">
        <v>2</v>
      </c>
      <c r="H2215" s="17" t="s">
        <v>3519</v>
      </c>
      <c r="I2215" s="17"/>
      <c r="J2215" s="17"/>
      <c r="K2215" s="17"/>
      <c r="L2215" s="17"/>
      <c r="M2215" s="17"/>
      <c r="N2215" s="17"/>
      <c r="O2215" s="17"/>
      <c r="P2215" s="17"/>
      <c r="Q2215" s="17"/>
    </row>
    <row r="2216" spans="1:17">
      <c r="A2216" s="556" t="s">
        <v>3622</v>
      </c>
      <c r="B2216" s="557"/>
      <c r="C2216" s="558" t="s">
        <v>2160</v>
      </c>
      <c r="D2216" s="556" t="s">
        <v>4324</v>
      </c>
      <c r="E2216" s="17" t="s">
        <v>5663</v>
      </c>
      <c r="F2216" s="17">
        <v>2</v>
      </c>
      <c r="G2216" s="17">
        <v>3</v>
      </c>
      <c r="H2216" s="17" t="s">
        <v>3520</v>
      </c>
      <c r="I2216" s="17"/>
      <c r="J2216" s="17"/>
      <c r="K2216" s="17"/>
      <c r="L2216" s="17"/>
      <c r="M2216" s="17"/>
      <c r="N2216" s="17"/>
      <c r="O2216" s="17"/>
      <c r="P2216" s="17"/>
      <c r="Q2216" s="17"/>
    </row>
    <row r="2217" spans="1:17">
      <c r="A2217" s="556" t="s">
        <v>3622</v>
      </c>
      <c r="B2217" s="557"/>
      <c r="C2217" s="558" t="s">
        <v>2161</v>
      </c>
      <c r="D2217" s="556" t="s">
        <v>1693</v>
      </c>
      <c r="E2217" s="17" t="s">
        <v>5664</v>
      </c>
      <c r="F2217" s="17">
        <v>3</v>
      </c>
      <c r="G2217" s="17">
        <v>1</v>
      </c>
      <c r="H2217" s="17" t="s">
        <v>2990</v>
      </c>
      <c r="I2217" s="17"/>
      <c r="J2217" s="17"/>
      <c r="K2217" s="17"/>
      <c r="L2217" s="17"/>
      <c r="M2217" s="17"/>
      <c r="N2217" s="17"/>
      <c r="O2217" s="17"/>
      <c r="P2217" s="17"/>
      <c r="Q2217" s="17"/>
    </row>
    <row r="2218" spans="1:17">
      <c r="A2218" s="556" t="s">
        <v>3622</v>
      </c>
      <c r="B2218" s="557"/>
      <c r="C2218" s="558" t="s">
        <v>2161</v>
      </c>
      <c r="D2218" s="556" t="s">
        <v>1694</v>
      </c>
      <c r="E2218" s="17" t="s">
        <v>5665</v>
      </c>
      <c r="F2218" s="17">
        <v>3</v>
      </c>
      <c r="G2218" s="17">
        <v>2</v>
      </c>
      <c r="H2218" s="17" t="s">
        <v>3338</v>
      </c>
      <c r="I2218" s="17"/>
      <c r="J2218" s="17"/>
      <c r="K2218" s="17"/>
      <c r="L2218" s="17"/>
      <c r="M2218" s="17"/>
      <c r="N2218" s="17"/>
      <c r="O2218" s="17"/>
      <c r="P2218" s="17"/>
      <c r="Q2218" s="17"/>
    </row>
    <row r="2219" spans="1:17">
      <c r="A2219" s="556" t="s">
        <v>3622</v>
      </c>
      <c r="B2219" s="557"/>
      <c r="C2219" s="558" t="s">
        <v>2161</v>
      </c>
      <c r="D2219" s="556" t="s">
        <v>4324</v>
      </c>
      <c r="E2219" s="17" t="s">
        <v>5666</v>
      </c>
      <c r="F2219" s="17">
        <v>3</v>
      </c>
      <c r="G2219" s="17">
        <v>3</v>
      </c>
      <c r="H2219" s="17" t="s">
        <v>2991</v>
      </c>
      <c r="I2219" s="17"/>
      <c r="J2219" s="17"/>
      <c r="K2219" s="17"/>
      <c r="L2219" s="17"/>
      <c r="M2219" s="17"/>
      <c r="N2219" s="17"/>
      <c r="O2219" s="17"/>
      <c r="P2219" s="17"/>
      <c r="Q2219" s="17"/>
    </row>
    <row r="2220" spans="1:17">
      <c r="A2220" s="556" t="s">
        <v>3622</v>
      </c>
      <c r="B2220" s="557"/>
      <c r="C2220" s="558" t="s">
        <v>2162</v>
      </c>
      <c r="D2220" s="556" t="s">
        <v>1693</v>
      </c>
      <c r="E2220" s="17" t="s">
        <v>5667</v>
      </c>
      <c r="F2220" s="17">
        <v>4</v>
      </c>
      <c r="G2220" s="17">
        <v>1</v>
      </c>
      <c r="H2220" s="17" t="s">
        <v>3339</v>
      </c>
      <c r="I2220" s="17"/>
      <c r="J2220" s="17"/>
      <c r="K2220" s="17"/>
      <c r="L2220" s="17"/>
      <c r="M2220" s="17"/>
      <c r="N2220" s="17"/>
      <c r="O2220" s="17"/>
      <c r="P2220" s="17"/>
      <c r="Q2220" s="17"/>
    </row>
    <row r="2221" spans="1:17">
      <c r="A2221" s="556" t="s">
        <v>3622</v>
      </c>
      <c r="B2221" s="557"/>
      <c r="C2221" s="558" t="s">
        <v>2162</v>
      </c>
      <c r="D2221" s="556" t="s">
        <v>1694</v>
      </c>
      <c r="E2221" s="17" t="s">
        <v>5668</v>
      </c>
      <c r="F2221" s="17">
        <v>4</v>
      </c>
      <c r="G2221" s="17">
        <v>2</v>
      </c>
      <c r="H2221" s="17" t="s">
        <v>3340</v>
      </c>
      <c r="I2221" s="17"/>
      <c r="J2221" s="17"/>
      <c r="K2221" s="17"/>
      <c r="L2221" s="17"/>
      <c r="M2221" s="17"/>
      <c r="N2221" s="17"/>
      <c r="O2221" s="17"/>
      <c r="P2221" s="17"/>
      <c r="Q2221" s="17"/>
    </row>
    <row r="2222" spans="1:17">
      <c r="A2222" s="556" t="s">
        <v>3622</v>
      </c>
      <c r="B2222" s="557"/>
      <c r="C2222" s="558" t="s">
        <v>2162</v>
      </c>
      <c r="D2222" s="556" t="s">
        <v>4324</v>
      </c>
      <c r="E2222" s="17" t="s">
        <v>5669</v>
      </c>
      <c r="F2222" s="17">
        <v>4</v>
      </c>
      <c r="G2222" s="17">
        <v>3</v>
      </c>
      <c r="H2222" s="17" t="s">
        <v>3341</v>
      </c>
      <c r="I2222" s="17"/>
      <c r="J2222" s="17"/>
      <c r="K2222" s="17"/>
      <c r="L2222" s="17"/>
      <c r="M2222" s="17"/>
      <c r="N2222" s="17"/>
      <c r="O2222" s="17"/>
      <c r="P2222" s="17"/>
      <c r="Q2222" s="17"/>
    </row>
    <row r="2223" spans="1:17">
      <c r="A2223" s="556" t="s">
        <v>3622</v>
      </c>
      <c r="B2223" s="557"/>
      <c r="C2223" s="558" t="s">
        <v>2163</v>
      </c>
      <c r="D2223" s="556" t="s">
        <v>1693</v>
      </c>
      <c r="E2223" s="17" t="s">
        <v>5670</v>
      </c>
      <c r="F2223" s="17">
        <v>5</v>
      </c>
      <c r="G2223" s="17">
        <v>1</v>
      </c>
      <c r="H2223" s="17" t="s">
        <v>3343</v>
      </c>
      <c r="I2223" s="17">
        <v>0</v>
      </c>
      <c r="J2223" s="17"/>
      <c r="K2223" s="17"/>
      <c r="L2223" s="17"/>
      <c r="M2223" s="17"/>
      <c r="N2223" s="17"/>
      <c r="O2223" s="17"/>
      <c r="P2223" s="17"/>
      <c r="Q2223" s="17"/>
    </row>
    <row r="2224" spans="1:17">
      <c r="A2224" s="556" t="s">
        <v>3622</v>
      </c>
      <c r="B2224" s="557"/>
      <c r="C2224" s="558" t="s">
        <v>2163</v>
      </c>
      <c r="D2224" s="556" t="s">
        <v>1694</v>
      </c>
      <c r="E2224" s="17" t="s">
        <v>5671</v>
      </c>
      <c r="F2224" s="17">
        <v>5</v>
      </c>
      <c r="G2224" s="17">
        <v>2</v>
      </c>
      <c r="H2224" s="17" t="s">
        <v>3344</v>
      </c>
      <c r="I2224" s="17">
        <v>0</v>
      </c>
      <c r="J2224" s="17"/>
      <c r="K2224" s="17"/>
      <c r="L2224" s="17"/>
      <c r="M2224" s="17"/>
      <c r="N2224" s="17"/>
      <c r="O2224" s="17"/>
      <c r="P2224" s="17"/>
      <c r="Q2224" s="17"/>
    </row>
    <row r="2225" spans="1:17">
      <c r="A2225" s="556" t="s">
        <v>3622</v>
      </c>
      <c r="B2225" s="557"/>
      <c r="C2225" s="558" t="s">
        <v>2163</v>
      </c>
      <c r="D2225" s="556" t="s">
        <v>4324</v>
      </c>
      <c r="E2225" s="17" t="s">
        <v>5672</v>
      </c>
      <c r="F2225" s="17">
        <v>5</v>
      </c>
      <c r="G2225" s="17">
        <v>3</v>
      </c>
      <c r="H2225" s="17" t="s">
        <v>3345</v>
      </c>
      <c r="I2225" s="17"/>
      <c r="J2225" s="17"/>
      <c r="K2225" s="17"/>
      <c r="L2225" s="17"/>
      <c r="M2225" s="17"/>
      <c r="N2225" s="17"/>
      <c r="O2225" s="17"/>
      <c r="P2225" s="17"/>
      <c r="Q2225" s="17"/>
    </row>
    <row r="2226" spans="1:17">
      <c r="A2226" s="556" t="s">
        <v>3622</v>
      </c>
      <c r="B2226" s="557"/>
      <c r="C2226" s="558" t="s">
        <v>2164</v>
      </c>
      <c r="D2226" s="556" t="s">
        <v>1693</v>
      </c>
      <c r="E2226" s="17" t="s">
        <v>5673</v>
      </c>
      <c r="F2226" s="17">
        <v>6</v>
      </c>
      <c r="G2226" s="17">
        <v>1</v>
      </c>
      <c r="H2226" s="17" t="s">
        <v>3347</v>
      </c>
      <c r="I2226" s="17"/>
      <c r="J2226" s="17"/>
      <c r="K2226" s="17"/>
      <c r="L2226" s="17"/>
      <c r="M2226" s="17"/>
      <c r="N2226" s="17"/>
      <c r="O2226" s="17"/>
      <c r="P2226" s="17"/>
      <c r="Q2226" s="17"/>
    </row>
    <row r="2227" spans="1:17">
      <c r="A2227" s="556" t="s">
        <v>3622</v>
      </c>
      <c r="B2227" s="557"/>
      <c r="C2227" s="558" t="s">
        <v>2164</v>
      </c>
      <c r="D2227" s="556" t="s">
        <v>1694</v>
      </c>
      <c r="E2227" s="17" t="s">
        <v>5674</v>
      </c>
      <c r="F2227" s="17">
        <v>6</v>
      </c>
      <c r="G2227" s="17">
        <v>2</v>
      </c>
      <c r="H2227" s="17" t="s">
        <v>3348</v>
      </c>
      <c r="I2227" s="17"/>
      <c r="J2227" s="17"/>
      <c r="K2227" s="17"/>
      <c r="L2227" s="17"/>
      <c r="M2227" s="17"/>
      <c r="N2227" s="17"/>
      <c r="O2227" s="17"/>
      <c r="P2227" s="17"/>
      <c r="Q2227" s="17"/>
    </row>
    <row r="2228" spans="1:17">
      <c r="A2228" s="556" t="s">
        <v>3622</v>
      </c>
      <c r="B2228" s="557"/>
      <c r="C2228" s="558" t="s">
        <v>2164</v>
      </c>
      <c r="D2228" s="556" t="s">
        <v>4324</v>
      </c>
      <c r="E2228" s="17" t="s">
        <v>5675</v>
      </c>
      <c r="F2228" s="17">
        <v>6</v>
      </c>
      <c r="G2228" s="17">
        <v>3</v>
      </c>
      <c r="H2228" s="17" t="s">
        <v>3349</v>
      </c>
      <c r="I2228" s="17"/>
      <c r="J2228" s="17"/>
      <c r="K2228" s="17"/>
      <c r="L2228" s="17"/>
      <c r="M2228" s="17"/>
      <c r="N2228" s="17"/>
      <c r="O2228" s="17"/>
      <c r="P2228" s="17"/>
      <c r="Q2228" s="17"/>
    </row>
    <row r="2229" spans="1:17">
      <c r="A2229" s="556" t="s">
        <v>3622</v>
      </c>
      <c r="B2229" s="557"/>
      <c r="C2229" s="558" t="s">
        <v>2165</v>
      </c>
      <c r="D2229" s="556" t="s">
        <v>1693</v>
      </c>
      <c r="E2229" s="17" t="s">
        <v>5676</v>
      </c>
      <c r="F2229" s="17">
        <v>7</v>
      </c>
      <c r="G2229" s="17">
        <v>1</v>
      </c>
      <c r="H2229" s="17" t="s">
        <v>3351</v>
      </c>
      <c r="I2229" s="17"/>
      <c r="J2229" s="17"/>
      <c r="K2229" s="17"/>
      <c r="L2229" s="17"/>
      <c r="M2229" s="17"/>
      <c r="N2229" s="17"/>
      <c r="O2229" s="17"/>
      <c r="P2229" s="17"/>
      <c r="Q2229" s="17"/>
    </row>
    <row r="2230" spans="1:17">
      <c r="A2230" s="556" t="s">
        <v>3622</v>
      </c>
      <c r="B2230" s="557"/>
      <c r="C2230" s="558" t="s">
        <v>2165</v>
      </c>
      <c r="D2230" s="556" t="s">
        <v>1694</v>
      </c>
      <c r="E2230" s="17" t="s">
        <v>5677</v>
      </c>
      <c r="F2230" s="17">
        <v>7</v>
      </c>
      <c r="G2230" s="17">
        <v>2</v>
      </c>
      <c r="H2230" s="17" t="s">
        <v>3352</v>
      </c>
      <c r="I2230" s="17"/>
      <c r="J2230" s="17"/>
      <c r="K2230" s="17"/>
      <c r="L2230" s="17"/>
      <c r="M2230" s="17"/>
      <c r="N2230" s="17"/>
      <c r="O2230" s="17"/>
      <c r="P2230" s="17"/>
      <c r="Q2230" s="17"/>
    </row>
    <row r="2231" spans="1:17">
      <c r="A2231" s="556" t="s">
        <v>3622</v>
      </c>
      <c r="B2231" s="557"/>
      <c r="C2231" s="558" t="s">
        <v>2165</v>
      </c>
      <c r="D2231" s="556" t="s">
        <v>4324</v>
      </c>
      <c r="E2231" s="17" t="s">
        <v>5678</v>
      </c>
      <c r="F2231" s="17">
        <v>7</v>
      </c>
      <c r="G2231" s="17">
        <v>3</v>
      </c>
      <c r="H2231" s="17" t="s">
        <v>3353</v>
      </c>
      <c r="I2231" s="17"/>
      <c r="J2231" s="17"/>
      <c r="K2231" s="17"/>
      <c r="L2231" s="17"/>
      <c r="M2231" s="17"/>
      <c r="N2231" s="17"/>
      <c r="O2231" s="17"/>
      <c r="P2231" s="17"/>
      <c r="Q2231" s="17"/>
    </row>
    <row r="2232" spans="1:17">
      <c r="A2232" s="556" t="s">
        <v>3622</v>
      </c>
      <c r="B2232" s="557"/>
      <c r="C2232" s="558" t="s">
        <v>2166</v>
      </c>
      <c r="D2232" s="556" t="s">
        <v>1693</v>
      </c>
      <c r="E2232" s="17" t="s">
        <v>5679</v>
      </c>
      <c r="F2232" s="17">
        <v>8</v>
      </c>
      <c r="G2232" s="17">
        <v>1</v>
      </c>
      <c r="H2232" s="17" t="s">
        <v>3355</v>
      </c>
      <c r="I2232" s="17"/>
      <c r="J2232" s="17"/>
      <c r="K2232" s="17"/>
      <c r="L2232" s="17"/>
      <c r="M2232" s="17"/>
      <c r="N2232" s="17"/>
      <c r="O2232" s="17"/>
      <c r="P2232" s="17"/>
      <c r="Q2232" s="17"/>
    </row>
    <row r="2233" spans="1:17">
      <c r="A2233" s="556" t="s">
        <v>3622</v>
      </c>
      <c r="B2233" s="557"/>
      <c r="C2233" s="558" t="s">
        <v>2166</v>
      </c>
      <c r="D2233" s="556" t="s">
        <v>1694</v>
      </c>
      <c r="E2233" s="17" t="s">
        <v>5680</v>
      </c>
      <c r="F2233" s="17">
        <v>8</v>
      </c>
      <c r="G2233" s="17">
        <v>2</v>
      </c>
      <c r="H2233" s="17" t="s">
        <v>3356</v>
      </c>
      <c r="I2233" s="17"/>
      <c r="J2233" s="17"/>
      <c r="K2233" s="17"/>
      <c r="L2233" s="17"/>
      <c r="M2233" s="17"/>
      <c r="N2233" s="17"/>
      <c r="O2233" s="17"/>
      <c r="P2233" s="17"/>
      <c r="Q2233" s="17"/>
    </row>
    <row r="2234" spans="1:17">
      <c r="A2234" s="556" t="s">
        <v>3622</v>
      </c>
      <c r="B2234" s="557"/>
      <c r="C2234" s="558" t="s">
        <v>2166</v>
      </c>
      <c r="D2234" s="556" t="s">
        <v>4324</v>
      </c>
      <c r="E2234" s="17" t="s">
        <v>5681</v>
      </c>
      <c r="F2234" s="17">
        <v>8</v>
      </c>
      <c r="G2234" s="17">
        <v>3</v>
      </c>
      <c r="H2234" s="17" t="s">
        <v>3357</v>
      </c>
      <c r="I2234" s="17"/>
      <c r="J2234" s="17"/>
      <c r="K2234" s="17"/>
      <c r="L2234" s="17"/>
      <c r="M2234" s="17"/>
      <c r="N2234" s="17"/>
      <c r="O2234" s="17"/>
      <c r="P2234" s="17"/>
      <c r="Q2234" s="17"/>
    </row>
    <row r="2235" spans="1:17">
      <c r="A2235" s="556" t="s">
        <v>3622</v>
      </c>
      <c r="B2235" s="557"/>
      <c r="C2235" s="558" t="s">
        <v>2167</v>
      </c>
      <c r="D2235" s="556" t="s">
        <v>1693</v>
      </c>
      <c r="E2235" s="17" t="s">
        <v>5682</v>
      </c>
      <c r="F2235" s="17">
        <v>9</v>
      </c>
      <c r="G2235" s="17">
        <v>1</v>
      </c>
      <c r="H2235" s="17" t="s">
        <v>3359</v>
      </c>
      <c r="I2235" s="17"/>
      <c r="J2235" s="17"/>
      <c r="K2235" s="17"/>
      <c r="L2235" s="17"/>
      <c r="M2235" s="17"/>
      <c r="N2235" s="17"/>
      <c r="O2235" s="17"/>
      <c r="P2235" s="17"/>
      <c r="Q2235" s="17"/>
    </row>
    <row r="2236" spans="1:17">
      <c r="A2236" s="556" t="s">
        <v>3622</v>
      </c>
      <c r="B2236" s="557"/>
      <c r="C2236" s="558" t="s">
        <v>2167</v>
      </c>
      <c r="D2236" s="556" t="s">
        <v>1694</v>
      </c>
      <c r="E2236" s="17" t="s">
        <v>5683</v>
      </c>
      <c r="F2236" s="17">
        <v>9</v>
      </c>
      <c r="G2236" s="17">
        <v>2</v>
      </c>
      <c r="H2236" s="17" t="s">
        <v>3360</v>
      </c>
      <c r="I2236" s="17"/>
      <c r="J2236" s="17"/>
      <c r="K2236" s="17"/>
      <c r="L2236" s="17"/>
      <c r="M2236" s="17"/>
      <c r="N2236" s="17"/>
      <c r="O2236" s="17"/>
      <c r="P2236" s="17"/>
      <c r="Q2236" s="17"/>
    </row>
    <row r="2237" spans="1:17">
      <c r="A2237" s="556" t="s">
        <v>3622</v>
      </c>
      <c r="B2237" s="557"/>
      <c r="C2237" s="558" t="s">
        <v>2167</v>
      </c>
      <c r="D2237" s="556" t="s">
        <v>4324</v>
      </c>
      <c r="E2237" s="17" t="s">
        <v>5684</v>
      </c>
      <c r="F2237" s="17">
        <v>9</v>
      </c>
      <c r="G2237" s="17">
        <v>3</v>
      </c>
      <c r="H2237" s="17" t="s">
        <v>3327</v>
      </c>
      <c r="I2237" s="17"/>
      <c r="J2237" s="17"/>
      <c r="K2237" s="17"/>
      <c r="L2237" s="17"/>
      <c r="M2237" s="17"/>
      <c r="N2237" s="17"/>
      <c r="O2237" s="17"/>
      <c r="P2237" s="17"/>
      <c r="Q2237" s="17"/>
    </row>
    <row r="2238" spans="1:17">
      <c r="A2238" s="556" t="s">
        <v>3622</v>
      </c>
      <c r="B2238" s="557"/>
      <c r="C2238" s="558" t="s">
        <v>2168</v>
      </c>
      <c r="D2238" s="556" t="s">
        <v>1693</v>
      </c>
      <c r="E2238" s="17" t="s">
        <v>5685</v>
      </c>
      <c r="F2238" s="17">
        <v>10</v>
      </c>
      <c r="G2238" s="17">
        <v>1</v>
      </c>
      <c r="H2238" s="17" t="s">
        <v>3362</v>
      </c>
      <c r="I2238" s="17">
        <v>0</v>
      </c>
      <c r="J2238" s="17"/>
      <c r="K2238" s="17"/>
      <c r="L2238" s="17"/>
      <c r="M2238" s="17"/>
      <c r="N2238" s="17"/>
      <c r="O2238" s="17"/>
      <c r="P2238" s="17"/>
      <c r="Q2238" s="17"/>
    </row>
    <row r="2239" spans="1:17">
      <c r="A2239" s="556" t="s">
        <v>3622</v>
      </c>
      <c r="B2239" s="557"/>
      <c r="C2239" s="558" t="s">
        <v>2168</v>
      </c>
      <c r="D2239" s="556" t="s">
        <v>1694</v>
      </c>
      <c r="E2239" s="17" t="s">
        <v>5686</v>
      </c>
      <c r="F2239" s="17">
        <v>10</v>
      </c>
      <c r="G2239" s="17">
        <v>2</v>
      </c>
      <c r="H2239" s="17" t="s">
        <v>3363</v>
      </c>
      <c r="I2239" s="17">
        <v>0</v>
      </c>
      <c r="J2239" s="17"/>
      <c r="K2239" s="17"/>
      <c r="L2239" s="17"/>
      <c r="M2239" s="17"/>
      <c r="N2239" s="17"/>
      <c r="O2239" s="17"/>
      <c r="P2239" s="17"/>
      <c r="Q2239" s="17"/>
    </row>
    <row r="2240" spans="1:17">
      <c r="A2240" s="556" t="s">
        <v>3622</v>
      </c>
      <c r="B2240" s="557"/>
      <c r="C2240" s="558" t="s">
        <v>2168</v>
      </c>
      <c r="D2240" s="556" t="s">
        <v>4324</v>
      </c>
      <c r="E2240" s="17" t="s">
        <v>5687</v>
      </c>
      <c r="F2240" s="17">
        <v>10</v>
      </c>
      <c r="G2240" s="17">
        <v>3</v>
      </c>
      <c r="H2240" s="17" t="s">
        <v>3364</v>
      </c>
      <c r="I2240" s="17"/>
      <c r="J2240" s="17"/>
      <c r="K2240" s="17"/>
      <c r="L2240" s="17"/>
      <c r="M2240" s="17"/>
      <c r="N2240" s="17"/>
      <c r="O2240" s="17"/>
      <c r="P2240" s="17"/>
      <c r="Q2240" s="17"/>
    </row>
    <row r="2241" spans="1:17">
      <c r="A2241" s="556" t="s">
        <v>3622</v>
      </c>
      <c r="B2241" s="557"/>
      <c r="C2241" s="558" t="s">
        <v>2169</v>
      </c>
      <c r="D2241" s="556" t="s">
        <v>1693</v>
      </c>
      <c r="E2241" s="17" t="s">
        <v>5688</v>
      </c>
      <c r="F2241" s="17">
        <v>11</v>
      </c>
      <c r="G2241" s="17">
        <v>1</v>
      </c>
      <c r="H2241" s="17" t="s">
        <v>3366</v>
      </c>
      <c r="I2241" s="17"/>
      <c r="J2241" s="17"/>
      <c r="K2241" s="17"/>
      <c r="L2241" s="17"/>
      <c r="M2241" s="17"/>
      <c r="N2241" s="17"/>
      <c r="O2241" s="17"/>
      <c r="P2241" s="17"/>
      <c r="Q2241" s="17"/>
    </row>
    <row r="2242" spans="1:17">
      <c r="A2242" s="556" t="s">
        <v>3622</v>
      </c>
      <c r="B2242" s="557"/>
      <c r="C2242" s="558" t="s">
        <v>2169</v>
      </c>
      <c r="D2242" s="556" t="s">
        <v>1694</v>
      </c>
      <c r="E2242" s="17" t="s">
        <v>5689</v>
      </c>
      <c r="F2242" s="17">
        <v>11</v>
      </c>
      <c r="G2242" s="17">
        <v>2</v>
      </c>
      <c r="H2242" s="17" t="s">
        <v>3367</v>
      </c>
      <c r="I2242" s="17"/>
      <c r="J2242" s="17"/>
      <c r="K2242" s="17"/>
      <c r="L2242" s="17"/>
      <c r="M2242" s="17"/>
      <c r="N2242" s="17"/>
      <c r="O2242" s="17"/>
      <c r="P2242" s="17"/>
      <c r="Q2242" s="17"/>
    </row>
    <row r="2243" spans="1:17">
      <c r="A2243" s="556" t="s">
        <v>3622</v>
      </c>
      <c r="B2243" s="557"/>
      <c r="C2243" s="558" t="s">
        <v>2169</v>
      </c>
      <c r="D2243" s="556" t="s">
        <v>4324</v>
      </c>
      <c r="E2243" s="17" t="s">
        <v>5690</v>
      </c>
      <c r="F2243" s="17">
        <v>11</v>
      </c>
      <c r="G2243" s="17">
        <v>3</v>
      </c>
      <c r="H2243" s="17" t="s">
        <v>3368</v>
      </c>
      <c r="I2243" s="17"/>
      <c r="J2243" s="17"/>
      <c r="K2243" s="17"/>
      <c r="L2243" s="17"/>
      <c r="M2243" s="17"/>
      <c r="N2243" s="17"/>
      <c r="O2243" s="17"/>
      <c r="P2243" s="17"/>
      <c r="Q2243" s="17"/>
    </row>
    <row r="2244" spans="1:17">
      <c r="A2244" s="556" t="s">
        <v>3622</v>
      </c>
      <c r="B2244" s="557"/>
      <c r="C2244" s="558" t="s">
        <v>2170</v>
      </c>
      <c r="D2244" s="556" t="s">
        <v>1693</v>
      </c>
      <c r="E2244" s="17" t="s">
        <v>5691</v>
      </c>
      <c r="F2244" s="17">
        <v>12</v>
      </c>
      <c r="G2244" s="17">
        <v>1</v>
      </c>
      <c r="H2244" s="17" t="s">
        <v>3370</v>
      </c>
      <c r="I2244" s="17"/>
      <c r="J2244" s="17"/>
      <c r="K2244" s="17"/>
      <c r="L2244" s="17"/>
      <c r="M2244" s="17"/>
      <c r="N2244" s="17"/>
      <c r="O2244" s="17"/>
      <c r="P2244" s="17"/>
      <c r="Q2244" s="17"/>
    </row>
    <row r="2245" spans="1:17">
      <c r="A2245" s="556" t="s">
        <v>3622</v>
      </c>
      <c r="B2245" s="557"/>
      <c r="C2245" s="558" t="s">
        <v>2170</v>
      </c>
      <c r="D2245" s="556" t="s">
        <v>1694</v>
      </c>
      <c r="E2245" s="17" t="s">
        <v>5692</v>
      </c>
      <c r="F2245" s="17">
        <v>12</v>
      </c>
      <c r="G2245" s="17">
        <v>2</v>
      </c>
      <c r="H2245" s="17" t="s">
        <v>3371</v>
      </c>
      <c r="I2245" s="17"/>
      <c r="J2245" s="17"/>
      <c r="K2245" s="17"/>
      <c r="L2245" s="17"/>
      <c r="M2245" s="17"/>
      <c r="N2245" s="17"/>
      <c r="O2245" s="17"/>
      <c r="P2245" s="17"/>
      <c r="Q2245" s="17"/>
    </row>
    <row r="2246" spans="1:17">
      <c r="A2246" s="556" t="s">
        <v>3622</v>
      </c>
      <c r="B2246" s="557"/>
      <c r="C2246" s="558" t="s">
        <v>2170</v>
      </c>
      <c r="D2246" s="556" t="s">
        <v>4324</v>
      </c>
      <c r="E2246" s="17" t="s">
        <v>5693</v>
      </c>
      <c r="F2246" s="17">
        <v>12</v>
      </c>
      <c r="G2246" s="17">
        <v>3</v>
      </c>
      <c r="H2246" s="17" t="s">
        <v>3372</v>
      </c>
      <c r="I2246" s="17"/>
      <c r="J2246" s="17"/>
      <c r="K2246" s="17"/>
      <c r="L2246" s="17"/>
      <c r="M2246" s="17"/>
      <c r="N2246" s="17"/>
      <c r="O2246" s="17"/>
      <c r="P2246" s="17"/>
      <c r="Q2246" s="17"/>
    </row>
    <row r="2247" spans="1:17">
      <c r="A2247" s="556" t="s">
        <v>3622</v>
      </c>
      <c r="B2247" s="557"/>
      <c r="C2247" s="558" t="s">
        <v>2171</v>
      </c>
      <c r="D2247" s="556" t="s">
        <v>1693</v>
      </c>
      <c r="E2247" s="17" t="s">
        <v>5694</v>
      </c>
      <c r="F2247" s="17">
        <v>13</v>
      </c>
      <c r="G2247" s="17">
        <v>1</v>
      </c>
      <c r="H2247" s="17" t="s">
        <v>3374</v>
      </c>
      <c r="I2247" s="17"/>
      <c r="J2247" s="17"/>
      <c r="K2247" s="17"/>
      <c r="L2247" s="17"/>
      <c r="M2247" s="17"/>
      <c r="N2247" s="17"/>
      <c r="O2247" s="17"/>
      <c r="P2247" s="17"/>
      <c r="Q2247" s="17"/>
    </row>
    <row r="2248" spans="1:17">
      <c r="A2248" s="556" t="s">
        <v>3622</v>
      </c>
      <c r="B2248" s="557"/>
      <c r="C2248" s="558" t="s">
        <v>2171</v>
      </c>
      <c r="D2248" s="556" t="s">
        <v>1694</v>
      </c>
      <c r="E2248" s="17" t="s">
        <v>5695</v>
      </c>
      <c r="F2248" s="17">
        <v>13</v>
      </c>
      <c r="G2248" s="17">
        <v>2</v>
      </c>
      <c r="H2248" s="17" t="s">
        <v>3375</v>
      </c>
      <c r="I2248" s="17"/>
      <c r="J2248" s="17"/>
      <c r="K2248" s="17"/>
      <c r="L2248" s="17"/>
      <c r="M2248" s="17"/>
      <c r="N2248" s="17"/>
      <c r="O2248" s="17"/>
      <c r="P2248" s="17"/>
      <c r="Q2248" s="17"/>
    </row>
    <row r="2249" spans="1:17">
      <c r="A2249" s="556" t="s">
        <v>3622</v>
      </c>
      <c r="B2249" s="557"/>
      <c r="C2249" s="558" t="s">
        <v>2171</v>
      </c>
      <c r="D2249" s="556" t="s">
        <v>4324</v>
      </c>
      <c r="E2249" s="17" t="s">
        <v>5696</v>
      </c>
      <c r="F2249" s="17">
        <v>13</v>
      </c>
      <c r="G2249" s="17">
        <v>3</v>
      </c>
      <c r="H2249" s="17" t="s">
        <v>3376</v>
      </c>
      <c r="I2249" s="17"/>
      <c r="J2249" s="17"/>
      <c r="K2249" s="17"/>
      <c r="L2249" s="17"/>
      <c r="M2249" s="17"/>
      <c r="N2249" s="17"/>
      <c r="O2249" s="17"/>
      <c r="P2249" s="17"/>
      <c r="Q2249" s="17"/>
    </row>
    <row r="2250" spans="1:17">
      <c r="A2250" s="556" t="s">
        <v>3622</v>
      </c>
      <c r="B2250" s="557"/>
      <c r="C2250" s="558" t="s">
        <v>2172</v>
      </c>
      <c r="D2250" s="556" t="s">
        <v>1693</v>
      </c>
      <c r="E2250" s="17" t="s">
        <v>5697</v>
      </c>
      <c r="F2250" s="17">
        <v>14</v>
      </c>
      <c r="G2250" s="17">
        <v>1</v>
      </c>
      <c r="H2250" s="17" t="s">
        <v>3378</v>
      </c>
      <c r="I2250" s="17"/>
      <c r="J2250" s="17"/>
      <c r="K2250" s="17"/>
      <c r="L2250" s="17"/>
      <c r="M2250" s="17"/>
      <c r="N2250" s="17"/>
      <c r="O2250" s="17"/>
      <c r="P2250" s="17"/>
      <c r="Q2250" s="17"/>
    </row>
    <row r="2251" spans="1:17">
      <c r="A2251" s="556" t="s">
        <v>3622</v>
      </c>
      <c r="B2251" s="557"/>
      <c r="C2251" s="558" t="s">
        <v>2172</v>
      </c>
      <c r="D2251" s="556" t="s">
        <v>1694</v>
      </c>
      <c r="E2251" s="17" t="s">
        <v>5698</v>
      </c>
      <c r="F2251" s="17">
        <v>14</v>
      </c>
      <c r="G2251" s="17">
        <v>2</v>
      </c>
      <c r="H2251" s="17" t="s">
        <v>3379</v>
      </c>
      <c r="I2251" s="17"/>
      <c r="J2251" s="17"/>
      <c r="K2251" s="17"/>
      <c r="L2251" s="17"/>
      <c r="M2251" s="17"/>
      <c r="N2251" s="17"/>
      <c r="O2251" s="17"/>
      <c r="P2251" s="17"/>
      <c r="Q2251" s="17"/>
    </row>
    <row r="2252" spans="1:17">
      <c r="A2252" s="556" t="s">
        <v>3622</v>
      </c>
      <c r="B2252" s="557"/>
      <c r="C2252" s="558" t="s">
        <v>2172</v>
      </c>
      <c r="D2252" s="556" t="s">
        <v>4324</v>
      </c>
      <c r="E2252" s="17" t="s">
        <v>5699</v>
      </c>
      <c r="F2252" s="17">
        <v>14</v>
      </c>
      <c r="G2252" s="17">
        <v>3</v>
      </c>
      <c r="H2252" s="17" t="s">
        <v>3380</v>
      </c>
      <c r="I2252" s="17"/>
      <c r="J2252" s="17"/>
      <c r="K2252" s="17"/>
      <c r="L2252" s="17"/>
      <c r="M2252" s="17"/>
      <c r="N2252" s="17"/>
      <c r="O2252" s="17"/>
      <c r="P2252" s="17"/>
      <c r="Q2252" s="17"/>
    </row>
    <row r="2253" spans="1:17">
      <c r="A2253" s="556" t="s">
        <v>3622</v>
      </c>
      <c r="B2253" s="557"/>
      <c r="C2253" s="558" t="s">
        <v>2173</v>
      </c>
      <c r="D2253" s="556" t="s">
        <v>1693</v>
      </c>
      <c r="E2253" s="17" t="s">
        <v>5700</v>
      </c>
      <c r="F2253" s="17">
        <v>15</v>
      </c>
      <c r="G2253" s="17">
        <v>1</v>
      </c>
      <c r="H2253" s="17" t="s">
        <v>3382</v>
      </c>
      <c r="I2253" s="17"/>
      <c r="J2253" s="17"/>
      <c r="K2253" s="17"/>
      <c r="L2253" s="17"/>
      <c r="M2253" s="17"/>
      <c r="N2253" s="17"/>
      <c r="O2253" s="17"/>
      <c r="P2253" s="17"/>
      <c r="Q2253" s="17"/>
    </row>
    <row r="2254" spans="1:17">
      <c r="A2254" s="556" t="s">
        <v>3622</v>
      </c>
      <c r="B2254" s="557"/>
      <c r="C2254" s="558" t="s">
        <v>2173</v>
      </c>
      <c r="D2254" s="556" t="s">
        <v>1694</v>
      </c>
      <c r="E2254" s="17" t="s">
        <v>5701</v>
      </c>
      <c r="F2254" s="17">
        <v>15</v>
      </c>
      <c r="G2254" s="17">
        <v>2</v>
      </c>
      <c r="H2254" s="17" t="s">
        <v>3383</v>
      </c>
      <c r="I2254" s="17"/>
      <c r="J2254" s="17"/>
      <c r="K2254" s="17"/>
      <c r="L2254" s="17"/>
      <c r="M2254" s="17"/>
      <c r="N2254" s="17"/>
      <c r="O2254" s="17"/>
      <c r="P2254" s="17"/>
      <c r="Q2254" s="17"/>
    </row>
    <row r="2255" spans="1:17">
      <c r="A2255" s="556" t="s">
        <v>3622</v>
      </c>
      <c r="B2255" s="557"/>
      <c r="C2255" s="558" t="s">
        <v>2173</v>
      </c>
      <c r="D2255" s="556" t="s">
        <v>4324</v>
      </c>
      <c r="E2255" s="17" t="s">
        <v>5702</v>
      </c>
      <c r="F2255" s="17">
        <v>15</v>
      </c>
      <c r="G2255" s="17">
        <v>3</v>
      </c>
      <c r="H2255" s="17" t="s">
        <v>3384</v>
      </c>
      <c r="I2255" s="17"/>
      <c r="J2255" s="17"/>
      <c r="K2255" s="17"/>
      <c r="L2255" s="17"/>
      <c r="M2255" s="17"/>
      <c r="N2255" s="17"/>
      <c r="O2255" s="17"/>
      <c r="P2255" s="17"/>
      <c r="Q2255" s="17"/>
    </row>
    <row r="2256" spans="1:17">
      <c r="A2256" s="556" t="s">
        <v>3622</v>
      </c>
      <c r="B2256" s="557"/>
      <c r="C2256" s="558" t="s">
        <v>2174</v>
      </c>
      <c r="D2256" s="556" t="s">
        <v>1693</v>
      </c>
      <c r="E2256" s="17" t="s">
        <v>5703</v>
      </c>
      <c r="F2256" s="17">
        <v>16</v>
      </c>
      <c r="G2256" s="17">
        <v>1</v>
      </c>
      <c r="H2256" s="17" t="s">
        <v>3386</v>
      </c>
      <c r="I2256" s="17"/>
      <c r="J2256" s="17"/>
      <c r="K2256" s="17"/>
      <c r="L2256" s="17"/>
      <c r="M2256" s="17"/>
      <c r="N2256" s="17"/>
      <c r="O2256" s="17"/>
      <c r="P2256" s="17"/>
      <c r="Q2256" s="17"/>
    </row>
    <row r="2257" spans="1:17">
      <c r="A2257" s="556" t="s">
        <v>3622</v>
      </c>
      <c r="B2257" s="557"/>
      <c r="C2257" s="558" t="s">
        <v>2174</v>
      </c>
      <c r="D2257" s="556" t="s">
        <v>1694</v>
      </c>
      <c r="E2257" s="17" t="s">
        <v>5704</v>
      </c>
      <c r="F2257" s="17">
        <v>16</v>
      </c>
      <c r="G2257" s="17">
        <v>2</v>
      </c>
      <c r="H2257" s="17" t="s">
        <v>3387</v>
      </c>
      <c r="I2257" s="17"/>
      <c r="J2257" s="17"/>
      <c r="K2257" s="17"/>
      <c r="L2257" s="17"/>
      <c r="M2257" s="17"/>
      <c r="N2257" s="17"/>
      <c r="O2257" s="17"/>
      <c r="P2257" s="17"/>
      <c r="Q2257" s="17"/>
    </row>
    <row r="2258" spans="1:17">
      <c r="A2258" s="556" t="s">
        <v>3622</v>
      </c>
      <c r="B2258" s="557"/>
      <c r="C2258" s="558" t="s">
        <v>2174</v>
      </c>
      <c r="D2258" s="556" t="s">
        <v>4324</v>
      </c>
      <c r="E2258" s="17" t="s">
        <v>5705</v>
      </c>
      <c r="F2258" s="17">
        <v>16</v>
      </c>
      <c r="G2258" s="17">
        <v>3</v>
      </c>
      <c r="H2258" s="17" t="s">
        <v>3388</v>
      </c>
      <c r="I2258" s="17"/>
      <c r="J2258" s="17"/>
      <c r="K2258" s="17"/>
      <c r="L2258" s="17"/>
      <c r="M2258" s="17"/>
      <c r="N2258" s="17"/>
      <c r="O2258" s="17"/>
      <c r="P2258" s="17"/>
      <c r="Q2258" s="17"/>
    </row>
    <row r="2259" spans="1:17">
      <c r="A2259" s="556" t="s">
        <v>3622</v>
      </c>
      <c r="B2259" s="557"/>
      <c r="C2259" s="558" t="s">
        <v>2175</v>
      </c>
      <c r="D2259" s="556" t="s">
        <v>1693</v>
      </c>
      <c r="E2259" s="17" t="s">
        <v>5706</v>
      </c>
      <c r="F2259" s="17">
        <v>17</v>
      </c>
      <c r="G2259" s="17">
        <v>1</v>
      </c>
      <c r="H2259" s="17" t="s">
        <v>3390</v>
      </c>
      <c r="I2259" s="17"/>
      <c r="J2259" s="17"/>
      <c r="K2259" s="17"/>
      <c r="L2259" s="17"/>
      <c r="M2259" s="17"/>
      <c r="N2259" s="17"/>
      <c r="O2259" s="17"/>
      <c r="P2259" s="17"/>
      <c r="Q2259" s="17"/>
    </row>
    <row r="2260" spans="1:17">
      <c r="A2260" s="556" t="s">
        <v>3622</v>
      </c>
      <c r="B2260" s="557"/>
      <c r="C2260" s="558" t="s">
        <v>2175</v>
      </c>
      <c r="D2260" s="556" t="s">
        <v>1694</v>
      </c>
      <c r="E2260" s="17" t="s">
        <v>5707</v>
      </c>
      <c r="F2260" s="17">
        <v>17</v>
      </c>
      <c r="G2260" s="17">
        <v>2</v>
      </c>
      <c r="H2260" s="17" t="s">
        <v>3391</v>
      </c>
      <c r="I2260" s="17"/>
      <c r="J2260" s="17"/>
      <c r="K2260" s="17"/>
      <c r="L2260" s="17"/>
      <c r="M2260" s="17"/>
      <c r="N2260" s="17"/>
      <c r="O2260" s="17"/>
      <c r="P2260" s="17"/>
      <c r="Q2260" s="17"/>
    </row>
    <row r="2261" spans="1:17">
      <c r="A2261" s="556" t="s">
        <v>3622</v>
      </c>
      <c r="B2261" s="557"/>
      <c r="C2261" s="558" t="s">
        <v>2175</v>
      </c>
      <c r="D2261" s="556" t="s">
        <v>4324</v>
      </c>
      <c r="E2261" s="17" t="s">
        <v>5708</v>
      </c>
      <c r="F2261" s="17">
        <v>17</v>
      </c>
      <c r="G2261" s="17">
        <v>3</v>
      </c>
      <c r="H2261" s="17" t="s">
        <v>3392</v>
      </c>
      <c r="I2261" s="17"/>
      <c r="J2261" s="17"/>
      <c r="K2261" s="17"/>
      <c r="L2261" s="17"/>
      <c r="M2261" s="17"/>
      <c r="N2261" s="17"/>
      <c r="O2261" s="17"/>
      <c r="P2261" s="17"/>
      <c r="Q2261" s="17"/>
    </row>
    <row r="2262" spans="1:17">
      <c r="A2262" s="556" t="s">
        <v>3622</v>
      </c>
      <c r="B2262" s="557"/>
      <c r="C2262" s="558" t="s">
        <v>2176</v>
      </c>
      <c r="D2262" s="556" t="s">
        <v>1693</v>
      </c>
      <c r="E2262" s="17" t="s">
        <v>5709</v>
      </c>
      <c r="F2262" s="17">
        <v>18</v>
      </c>
      <c r="G2262" s="17">
        <v>1</v>
      </c>
      <c r="H2262" s="17" t="s">
        <v>3394</v>
      </c>
      <c r="I2262" s="17"/>
      <c r="J2262" s="17"/>
      <c r="K2262" s="17"/>
      <c r="L2262" s="17"/>
      <c r="M2262" s="17"/>
      <c r="N2262" s="17"/>
      <c r="O2262" s="17"/>
      <c r="P2262" s="17"/>
      <c r="Q2262" s="17"/>
    </row>
    <row r="2263" spans="1:17">
      <c r="A2263" s="556" t="s">
        <v>3622</v>
      </c>
      <c r="B2263" s="557"/>
      <c r="C2263" s="558" t="s">
        <v>2176</v>
      </c>
      <c r="D2263" s="556" t="s">
        <v>1694</v>
      </c>
      <c r="E2263" s="17" t="s">
        <v>5710</v>
      </c>
      <c r="F2263" s="17">
        <v>18</v>
      </c>
      <c r="G2263" s="17">
        <v>2</v>
      </c>
      <c r="H2263" s="17" t="s">
        <v>3395</v>
      </c>
      <c r="I2263" s="17"/>
      <c r="J2263" s="17"/>
      <c r="K2263" s="17"/>
      <c r="L2263" s="17"/>
      <c r="M2263" s="17"/>
      <c r="N2263" s="17"/>
      <c r="O2263" s="17"/>
      <c r="P2263" s="17"/>
      <c r="Q2263" s="17"/>
    </row>
    <row r="2264" spans="1:17">
      <c r="A2264" s="556" t="s">
        <v>3622</v>
      </c>
      <c r="B2264" s="557"/>
      <c r="C2264" s="558" t="s">
        <v>2176</v>
      </c>
      <c r="D2264" s="556" t="s">
        <v>4324</v>
      </c>
      <c r="E2264" s="17" t="s">
        <v>5711</v>
      </c>
      <c r="F2264" s="17">
        <v>18</v>
      </c>
      <c r="G2264" s="17">
        <v>3</v>
      </c>
      <c r="H2264" s="17" t="s">
        <v>3396</v>
      </c>
      <c r="I2264" s="17"/>
      <c r="J2264" s="17"/>
      <c r="K2264" s="17"/>
      <c r="L2264" s="17"/>
      <c r="M2264" s="17"/>
      <c r="N2264" s="17"/>
      <c r="O2264" s="17"/>
      <c r="P2264" s="17"/>
      <c r="Q2264" s="17"/>
    </row>
    <row r="2265" spans="1:17">
      <c r="A2265" s="556" t="s">
        <v>3622</v>
      </c>
      <c r="B2265" s="557"/>
      <c r="C2265" s="558" t="s">
        <v>2177</v>
      </c>
      <c r="D2265" s="556" t="s">
        <v>1693</v>
      </c>
      <c r="E2265" s="17" t="s">
        <v>5712</v>
      </c>
      <c r="F2265" s="17">
        <v>19</v>
      </c>
      <c r="G2265" s="17">
        <v>1</v>
      </c>
      <c r="H2265" s="17" t="s">
        <v>3398</v>
      </c>
      <c r="I2265" s="17"/>
      <c r="J2265" s="17"/>
      <c r="K2265" s="17"/>
      <c r="L2265" s="17"/>
      <c r="M2265" s="17"/>
      <c r="N2265" s="17"/>
      <c r="O2265" s="17"/>
      <c r="P2265" s="17"/>
      <c r="Q2265" s="17"/>
    </row>
    <row r="2266" spans="1:17">
      <c r="A2266" s="556" t="s">
        <v>3622</v>
      </c>
      <c r="B2266" s="557"/>
      <c r="C2266" s="558" t="s">
        <v>2177</v>
      </c>
      <c r="D2266" s="556" t="s">
        <v>1694</v>
      </c>
      <c r="E2266" s="17" t="s">
        <v>5713</v>
      </c>
      <c r="F2266" s="17">
        <v>19</v>
      </c>
      <c r="G2266" s="17">
        <v>2</v>
      </c>
      <c r="H2266" s="17" t="s">
        <v>3399</v>
      </c>
      <c r="I2266" s="17"/>
      <c r="J2266" s="17"/>
      <c r="K2266" s="17"/>
      <c r="L2266" s="17"/>
      <c r="M2266" s="17"/>
      <c r="N2266" s="17"/>
      <c r="O2266" s="17"/>
      <c r="P2266" s="17"/>
      <c r="Q2266" s="17"/>
    </row>
    <row r="2267" spans="1:17">
      <c r="A2267" s="556" t="s">
        <v>3622</v>
      </c>
      <c r="B2267" s="557"/>
      <c r="C2267" s="558" t="s">
        <v>2177</v>
      </c>
      <c r="D2267" s="556" t="s">
        <v>4324</v>
      </c>
      <c r="E2267" s="17" t="s">
        <v>5714</v>
      </c>
      <c r="F2267" s="17">
        <v>19</v>
      </c>
      <c r="G2267" s="17">
        <v>3</v>
      </c>
      <c r="H2267" s="17" t="s">
        <v>3400</v>
      </c>
      <c r="I2267" s="17"/>
      <c r="J2267" s="17"/>
      <c r="K2267" s="17"/>
      <c r="L2267" s="17"/>
      <c r="M2267" s="17"/>
      <c r="N2267" s="17"/>
      <c r="O2267" s="17"/>
      <c r="P2267" s="17"/>
      <c r="Q2267" s="17"/>
    </row>
    <row r="2268" spans="1:17">
      <c r="A2268" s="556" t="s">
        <v>3622</v>
      </c>
      <c r="B2268" s="557"/>
      <c r="C2268" s="558" t="s">
        <v>2178</v>
      </c>
      <c r="D2268" s="556" t="s">
        <v>1693</v>
      </c>
      <c r="E2268" s="17" t="s">
        <v>5715</v>
      </c>
      <c r="F2268" s="17">
        <v>20</v>
      </c>
      <c r="G2268" s="17">
        <v>1</v>
      </c>
      <c r="H2268" s="17" t="s">
        <v>3402</v>
      </c>
      <c r="I2268" s="17"/>
      <c r="J2268" s="17"/>
      <c r="K2268" s="17"/>
      <c r="L2268" s="17"/>
      <c r="M2268" s="17"/>
      <c r="N2268" s="17"/>
      <c r="O2268" s="17"/>
      <c r="P2268" s="17"/>
      <c r="Q2268" s="17"/>
    </row>
    <row r="2269" spans="1:17">
      <c r="A2269" s="556" t="s">
        <v>3622</v>
      </c>
      <c r="B2269" s="557"/>
      <c r="C2269" s="558" t="s">
        <v>2178</v>
      </c>
      <c r="D2269" s="556" t="s">
        <v>1694</v>
      </c>
      <c r="E2269" s="17" t="s">
        <v>5716</v>
      </c>
      <c r="F2269" s="17">
        <v>20</v>
      </c>
      <c r="G2269" s="17">
        <v>2</v>
      </c>
      <c r="H2269" s="17" t="s">
        <v>3403</v>
      </c>
      <c r="I2269" s="17"/>
      <c r="J2269" s="17"/>
      <c r="K2269" s="17"/>
      <c r="L2269" s="17"/>
      <c r="M2269" s="17"/>
      <c r="N2269" s="17"/>
      <c r="O2269" s="17"/>
      <c r="P2269" s="17"/>
      <c r="Q2269" s="17"/>
    </row>
    <row r="2270" spans="1:17">
      <c r="A2270" s="556" t="s">
        <v>3622</v>
      </c>
      <c r="B2270" s="557"/>
      <c r="C2270" s="558" t="s">
        <v>2178</v>
      </c>
      <c r="D2270" s="556" t="s">
        <v>4324</v>
      </c>
      <c r="E2270" s="17" t="s">
        <v>5717</v>
      </c>
      <c r="F2270" s="17">
        <v>20</v>
      </c>
      <c r="G2270" s="17">
        <v>3</v>
      </c>
      <c r="H2270" s="17" t="s">
        <v>3404</v>
      </c>
      <c r="I2270" s="17"/>
      <c r="J2270" s="17"/>
      <c r="K2270" s="17"/>
      <c r="L2270" s="17"/>
      <c r="M2270" s="17"/>
      <c r="N2270" s="17"/>
      <c r="O2270" s="17"/>
      <c r="P2270" s="17"/>
      <c r="Q2270" s="17"/>
    </row>
    <row r="2271" spans="1:17">
      <c r="A2271" s="556" t="s">
        <v>3622</v>
      </c>
      <c r="B2271" s="557"/>
      <c r="C2271" s="558" t="s">
        <v>5718</v>
      </c>
      <c r="D2271" s="556" t="s">
        <v>1693</v>
      </c>
      <c r="E2271" s="17" t="s">
        <v>5719</v>
      </c>
      <c r="F2271" s="17">
        <v>21</v>
      </c>
      <c r="G2271" s="17">
        <v>1</v>
      </c>
      <c r="H2271" s="17" t="s">
        <v>3406</v>
      </c>
      <c r="I2271" s="17"/>
      <c r="J2271" s="17"/>
      <c r="K2271" s="17"/>
      <c r="L2271" s="17"/>
      <c r="M2271" s="17"/>
      <c r="N2271" s="17"/>
      <c r="O2271" s="17"/>
      <c r="P2271" s="17"/>
      <c r="Q2271" s="17"/>
    </row>
    <row r="2272" spans="1:17">
      <c r="A2272" s="556" t="s">
        <v>3622</v>
      </c>
      <c r="B2272" s="557"/>
      <c r="C2272" s="558" t="s">
        <v>5718</v>
      </c>
      <c r="D2272" s="556" t="s">
        <v>1694</v>
      </c>
      <c r="E2272" s="17" t="s">
        <v>5720</v>
      </c>
      <c r="F2272" s="17">
        <v>21</v>
      </c>
      <c r="G2272" s="17">
        <v>2</v>
      </c>
      <c r="H2272" s="17" t="s">
        <v>3407</v>
      </c>
      <c r="I2272" s="17"/>
      <c r="J2272" s="17"/>
      <c r="K2272" s="17"/>
      <c r="L2272" s="17"/>
      <c r="M2272" s="17"/>
      <c r="N2272" s="17"/>
      <c r="O2272" s="17"/>
      <c r="P2272" s="17"/>
      <c r="Q2272" s="17"/>
    </row>
    <row r="2273" spans="1:17">
      <c r="A2273" s="556" t="s">
        <v>3622</v>
      </c>
      <c r="B2273" s="557"/>
      <c r="C2273" s="558" t="s">
        <v>5718</v>
      </c>
      <c r="D2273" s="556" t="s">
        <v>4324</v>
      </c>
      <c r="E2273" s="17" t="s">
        <v>5721</v>
      </c>
      <c r="F2273" s="17">
        <v>21</v>
      </c>
      <c r="G2273" s="17">
        <v>3</v>
      </c>
      <c r="H2273" s="17" t="s">
        <v>3408</v>
      </c>
      <c r="I2273" s="17"/>
      <c r="J2273" s="17"/>
      <c r="K2273" s="17"/>
      <c r="L2273" s="17"/>
      <c r="M2273" s="17"/>
      <c r="N2273" s="17"/>
      <c r="O2273" s="17"/>
      <c r="P2273" s="17"/>
      <c r="Q2273" s="17"/>
    </row>
    <row r="2274" spans="1:17">
      <c r="A2274" s="556" t="s">
        <v>3622</v>
      </c>
      <c r="B2274" s="557"/>
      <c r="C2274" s="558" t="s">
        <v>2180</v>
      </c>
      <c r="D2274" s="556" t="s">
        <v>1693</v>
      </c>
      <c r="E2274" s="17" t="s">
        <v>5722</v>
      </c>
      <c r="F2274" s="17">
        <v>22</v>
      </c>
      <c r="G2274" s="17">
        <v>1</v>
      </c>
      <c r="H2274" s="17" t="s">
        <v>3410</v>
      </c>
      <c r="I2274" s="17"/>
      <c r="J2274" s="17"/>
      <c r="K2274" s="17"/>
      <c r="L2274" s="17"/>
      <c r="M2274" s="17"/>
      <c r="N2274" s="17"/>
      <c r="O2274" s="17"/>
      <c r="P2274" s="17"/>
      <c r="Q2274" s="17"/>
    </row>
    <row r="2275" spans="1:17">
      <c r="A2275" s="556" t="s">
        <v>3622</v>
      </c>
      <c r="B2275" s="557"/>
      <c r="C2275" s="558" t="s">
        <v>2180</v>
      </c>
      <c r="D2275" s="556" t="s">
        <v>1694</v>
      </c>
      <c r="E2275" s="17" t="s">
        <v>5723</v>
      </c>
      <c r="F2275" s="17">
        <v>22</v>
      </c>
      <c r="G2275" s="17">
        <v>2</v>
      </c>
      <c r="H2275" s="17" t="s">
        <v>3411</v>
      </c>
      <c r="I2275" s="17"/>
      <c r="J2275" s="17"/>
      <c r="K2275" s="17"/>
      <c r="L2275" s="17"/>
      <c r="M2275" s="17"/>
      <c r="N2275" s="17"/>
      <c r="O2275" s="17"/>
      <c r="P2275" s="17"/>
      <c r="Q2275" s="17"/>
    </row>
    <row r="2276" spans="1:17">
      <c r="A2276" s="556" t="s">
        <v>3622</v>
      </c>
      <c r="B2276" s="557"/>
      <c r="C2276" s="558" t="s">
        <v>2180</v>
      </c>
      <c r="D2276" s="556" t="s">
        <v>4324</v>
      </c>
      <c r="E2276" s="17" t="s">
        <v>5724</v>
      </c>
      <c r="F2276" s="17">
        <v>22</v>
      </c>
      <c r="G2276" s="17">
        <v>3</v>
      </c>
      <c r="H2276" s="17" t="s">
        <v>3412</v>
      </c>
      <c r="I2276" s="17"/>
      <c r="J2276" s="17"/>
      <c r="K2276" s="17"/>
      <c r="L2276" s="17"/>
      <c r="M2276" s="17"/>
      <c r="N2276" s="17"/>
      <c r="O2276" s="17"/>
      <c r="P2276" s="17"/>
      <c r="Q2276" s="17"/>
    </row>
    <row r="2277" spans="1:17">
      <c r="A2277" s="556" t="s">
        <v>3622</v>
      </c>
      <c r="B2277" s="557"/>
      <c r="C2277" s="558" t="s">
        <v>2181</v>
      </c>
      <c r="D2277" s="556" t="s">
        <v>1693</v>
      </c>
      <c r="E2277" s="17" t="s">
        <v>5725</v>
      </c>
      <c r="F2277" s="17">
        <v>23</v>
      </c>
      <c r="G2277" s="17">
        <v>1</v>
      </c>
      <c r="H2277" s="17" t="s">
        <v>3414</v>
      </c>
      <c r="I2277" s="17"/>
      <c r="J2277" s="17"/>
      <c r="K2277" s="17"/>
      <c r="L2277" s="17"/>
      <c r="M2277" s="17"/>
      <c r="N2277" s="17"/>
      <c r="O2277" s="17"/>
      <c r="P2277" s="17"/>
      <c r="Q2277" s="17"/>
    </row>
    <row r="2278" spans="1:17">
      <c r="A2278" s="556" t="s">
        <v>3622</v>
      </c>
      <c r="B2278" s="557"/>
      <c r="C2278" s="558" t="s">
        <v>2181</v>
      </c>
      <c r="D2278" s="556" t="s">
        <v>1694</v>
      </c>
      <c r="E2278" s="17" t="s">
        <v>5726</v>
      </c>
      <c r="F2278" s="17">
        <v>23</v>
      </c>
      <c r="G2278" s="17">
        <v>2</v>
      </c>
      <c r="H2278" s="17" t="s">
        <v>3415</v>
      </c>
      <c r="I2278" s="17"/>
      <c r="J2278" s="17"/>
      <c r="K2278" s="17"/>
      <c r="L2278" s="17"/>
      <c r="M2278" s="17"/>
      <c r="N2278" s="17"/>
      <c r="O2278" s="17"/>
      <c r="P2278" s="17"/>
      <c r="Q2278" s="17"/>
    </row>
    <row r="2279" spans="1:17">
      <c r="A2279" s="556" t="s">
        <v>3622</v>
      </c>
      <c r="B2279" s="557"/>
      <c r="C2279" s="558" t="s">
        <v>2181</v>
      </c>
      <c r="D2279" s="556" t="s">
        <v>4324</v>
      </c>
      <c r="E2279" s="17" t="s">
        <v>5727</v>
      </c>
      <c r="F2279" s="17">
        <v>23</v>
      </c>
      <c r="G2279" s="17">
        <v>3</v>
      </c>
      <c r="H2279" s="17" t="s">
        <v>3416</v>
      </c>
      <c r="I2279" s="17"/>
      <c r="J2279" s="17"/>
      <c r="K2279" s="17"/>
      <c r="L2279" s="17"/>
      <c r="M2279" s="17"/>
      <c r="N2279" s="17"/>
      <c r="O2279" s="17"/>
      <c r="P2279" s="17"/>
      <c r="Q2279" s="17"/>
    </row>
    <row r="2280" spans="1:17">
      <c r="A2280" s="556" t="s">
        <v>3622</v>
      </c>
      <c r="B2280" s="557"/>
      <c r="C2280" s="558" t="s">
        <v>2182</v>
      </c>
      <c r="D2280" s="556" t="s">
        <v>1693</v>
      </c>
      <c r="E2280" s="17" t="s">
        <v>5728</v>
      </c>
      <c r="F2280" s="17">
        <v>24</v>
      </c>
      <c r="G2280" s="17">
        <v>1</v>
      </c>
      <c r="H2280" s="17" t="s">
        <v>3418</v>
      </c>
      <c r="I2280" s="17"/>
      <c r="J2280" s="17"/>
      <c r="K2280" s="17"/>
      <c r="L2280" s="17"/>
      <c r="M2280" s="17"/>
      <c r="N2280" s="17"/>
      <c r="O2280" s="17"/>
      <c r="P2280" s="17"/>
      <c r="Q2280" s="17"/>
    </row>
    <row r="2281" spans="1:17">
      <c r="A2281" s="556" t="s">
        <v>3622</v>
      </c>
      <c r="B2281" s="557"/>
      <c r="C2281" s="558" t="s">
        <v>2182</v>
      </c>
      <c r="D2281" s="556" t="s">
        <v>1694</v>
      </c>
      <c r="E2281" s="17" t="s">
        <v>5729</v>
      </c>
      <c r="F2281" s="17">
        <v>24</v>
      </c>
      <c r="G2281" s="17">
        <v>2</v>
      </c>
      <c r="H2281" s="17" t="s">
        <v>3419</v>
      </c>
      <c r="I2281" s="17"/>
      <c r="J2281" s="17"/>
      <c r="K2281" s="17"/>
      <c r="L2281" s="17"/>
      <c r="M2281" s="17"/>
      <c r="N2281" s="17"/>
      <c r="O2281" s="17"/>
      <c r="P2281" s="17"/>
      <c r="Q2281" s="17"/>
    </row>
    <row r="2282" spans="1:17">
      <c r="A2282" s="556" t="s">
        <v>3622</v>
      </c>
      <c r="B2282" s="557"/>
      <c r="C2282" s="558" t="s">
        <v>2182</v>
      </c>
      <c r="D2282" s="556" t="s">
        <v>4324</v>
      </c>
      <c r="E2282" s="17" t="s">
        <v>5730</v>
      </c>
      <c r="F2282" s="17">
        <v>24</v>
      </c>
      <c r="G2282" s="17">
        <v>3</v>
      </c>
      <c r="H2282" s="17" t="s">
        <v>3420</v>
      </c>
      <c r="I2282" s="17"/>
      <c r="J2282" s="17"/>
      <c r="K2282" s="17"/>
      <c r="L2282" s="17"/>
      <c r="M2282" s="17"/>
      <c r="N2282" s="17"/>
      <c r="O2282" s="17"/>
      <c r="P2282" s="17"/>
      <c r="Q2282" s="17"/>
    </row>
    <row r="2283" spans="1:17">
      <c r="A2283" s="556" t="s">
        <v>3622</v>
      </c>
      <c r="B2283" s="557"/>
      <c r="C2283" s="558" t="s">
        <v>2183</v>
      </c>
      <c r="D2283" s="556" t="s">
        <v>1693</v>
      </c>
      <c r="E2283" s="17" t="s">
        <v>5731</v>
      </c>
      <c r="F2283" s="17">
        <v>25</v>
      </c>
      <c r="G2283" s="17">
        <v>1</v>
      </c>
      <c r="H2283" s="17" t="s">
        <v>3422</v>
      </c>
      <c r="I2283" s="17">
        <v>0</v>
      </c>
      <c r="J2283" s="17"/>
      <c r="K2283" s="17"/>
      <c r="L2283" s="17"/>
      <c r="M2283" s="17"/>
      <c r="N2283" s="17"/>
      <c r="O2283" s="17"/>
      <c r="P2283" s="17"/>
      <c r="Q2283" s="17"/>
    </row>
    <row r="2284" spans="1:17">
      <c r="A2284" s="556" t="s">
        <v>3622</v>
      </c>
      <c r="B2284" s="557"/>
      <c r="C2284" s="558" t="s">
        <v>2183</v>
      </c>
      <c r="D2284" s="556" t="s">
        <v>1694</v>
      </c>
      <c r="E2284" s="17" t="s">
        <v>5732</v>
      </c>
      <c r="F2284" s="17">
        <v>25</v>
      </c>
      <c r="G2284" s="17">
        <v>2</v>
      </c>
      <c r="H2284" s="17" t="s">
        <v>3423</v>
      </c>
      <c r="I2284" s="17">
        <v>0</v>
      </c>
      <c r="J2284" s="17"/>
      <c r="K2284" s="17"/>
      <c r="L2284" s="17"/>
      <c r="M2284" s="17"/>
      <c r="N2284" s="17"/>
      <c r="O2284" s="17"/>
      <c r="P2284" s="17"/>
      <c r="Q2284" s="17"/>
    </row>
    <row r="2285" spans="1:17">
      <c r="A2285" s="556" t="s">
        <v>3622</v>
      </c>
      <c r="B2285" s="557"/>
      <c r="C2285" s="558" t="s">
        <v>2183</v>
      </c>
      <c r="D2285" s="556" t="s">
        <v>4324</v>
      </c>
      <c r="E2285" s="17" t="s">
        <v>5733</v>
      </c>
      <c r="F2285" s="17">
        <v>25</v>
      </c>
      <c r="G2285" s="17">
        <v>3</v>
      </c>
      <c r="H2285" s="17" t="s">
        <v>3424</v>
      </c>
      <c r="I2285" s="17"/>
      <c r="J2285" s="17"/>
      <c r="K2285" s="17"/>
      <c r="L2285" s="17"/>
      <c r="M2285" s="17"/>
      <c r="N2285" s="17"/>
      <c r="O2285" s="17"/>
      <c r="P2285" s="17"/>
      <c r="Q2285" s="17"/>
    </row>
    <row r="2286" spans="1:17">
      <c r="A2286" s="556" t="s">
        <v>3624</v>
      </c>
      <c r="B2286" s="557"/>
      <c r="C2286" s="558" t="s">
        <v>2187</v>
      </c>
      <c r="D2286" s="556" t="s">
        <v>1693</v>
      </c>
      <c r="E2286" s="17" t="s">
        <v>5734</v>
      </c>
      <c r="F2286" s="17">
        <v>1</v>
      </c>
      <c r="G2286" s="17">
        <v>1</v>
      </c>
      <c r="H2286" s="17" t="s">
        <v>3692</v>
      </c>
      <c r="I2286" s="17"/>
      <c r="J2286" s="17"/>
      <c r="K2286" s="17"/>
      <c r="L2286" s="17"/>
      <c r="M2286" s="17"/>
      <c r="N2286" s="17"/>
      <c r="O2286" s="17"/>
      <c r="P2286" s="17"/>
      <c r="Q2286" s="17"/>
    </row>
    <row r="2287" spans="1:17">
      <c r="A2287" s="556" t="s">
        <v>3624</v>
      </c>
      <c r="B2287" s="557"/>
      <c r="C2287" s="558" t="s">
        <v>2187</v>
      </c>
      <c r="D2287" s="556" t="s">
        <v>1694</v>
      </c>
      <c r="E2287" s="17" t="s">
        <v>5735</v>
      </c>
      <c r="F2287" s="17">
        <v>1</v>
      </c>
      <c r="G2287" s="17">
        <v>2</v>
      </c>
      <c r="H2287" s="17" t="s">
        <v>3701</v>
      </c>
      <c r="I2287" s="17"/>
      <c r="J2287" s="17"/>
      <c r="K2287" s="17"/>
      <c r="L2287" s="17"/>
      <c r="M2287" s="17"/>
      <c r="N2287" s="17"/>
      <c r="O2287" s="17"/>
      <c r="P2287" s="17"/>
      <c r="Q2287" s="17"/>
    </row>
    <row r="2288" spans="1:17">
      <c r="A2288" s="556" t="s">
        <v>3624</v>
      </c>
      <c r="B2288" s="557"/>
      <c r="C2288" s="558" t="s">
        <v>2187</v>
      </c>
      <c r="D2288" s="556" t="s">
        <v>4324</v>
      </c>
      <c r="E2288" s="17" t="s">
        <v>5736</v>
      </c>
      <c r="F2288" s="17">
        <v>1</v>
      </c>
      <c r="G2288" s="17">
        <v>3</v>
      </c>
      <c r="H2288" s="17" t="s">
        <v>3714</v>
      </c>
      <c r="I2288" s="17"/>
      <c r="J2288" s="17"/>
      <c r="K2288" s="17"/>
      <c r="L2288" s="17"/>
      <c r="M2288" s="17"/>
      <c r="N2288" s="17"/>
      <c r="O2288" s="17"/>
      <c r="P2288" s="17"/>
      <c r="Q2288" s="17"/>
    </row>
    <row r="2289" spans="1:17">
      <c r="A2289" s="556" t="s">
        <v>3624</v>
      </c>
      <c r="B2289" s="557"/>
      <c r="C2289" s="558" t="s">
        <v>2188</v>
      </c>
      <c r="D2289" s="556" t="s">
        <v>1693</v>
      </c>
      <c r="E2289" s="17" t="s">
        <v>5737</v>
      </c>
      <c r="F2289" s="17">
        <v>2</v>
      </c>
      <c r="G2289" s="17">
        <v>1</v>
      </c>
      <c r="H2289" s="17" t="s">
        <v>3518</v>
      </c>
      <c r="I2289" s="17"/>
      <c r="J2289" s="17"/>
      <c r="K2289" s="17"/>
      <c r="L2289" s="17"/>
      <c r="M2289" s="17"/>
      <c r="N2289" s="17"/>
      <c r="O2289" s="17"/>
      <c r="P2289" s="17"/>
      <c r="Q2289" s="17"/>
    </row>
    <row r="2290" spans="1:17">
      <c r="A2290" s="556" t="s">
        <v>3624</v>
      </c>
      <c r="B2290" s="557"/>
      <c r="C2290" s="558" t="s">
        <v>2188</v>
      </c>
      <c r="D2290" s="556" t="s">
        <v>1694</v>
      </c>
      <c r="E2290" s="17" t="s">
        <v>5738</v>
      </c>
      <c r="F2290" s="17">
        <v>2</v>
      </c>
      <c r="G2290" s="17">
        <v>2</v>
      </c>
      <c r="H2290" s="17" t="s">
        <v>3519</v>
      </c>
      <c r="I2290" s="17"/>
      <c r="J2290" s="17"/>
      <c r="K2290" s="17"/>
      <c r="L2290" s="17"/>
      <c r="M2290" s="17"/>
      <c r="N2290" s="17"/>
      <c r="O2290" s="17"/>
      <c r="P2290" s="17"/>
      <c r="Q2290" s="17"/>
    </row>
    <row r="2291" spans="1:17">
      <c r="A2291" s="556" t="s">
        <v>3624</v>
      </c>
      <c r="B2291" s="557"/>
      <c r="C2291" s="558" t="s">
        <v>2188</v>
      </c>
      <c r="D2291" s="556" t="s">
        <v>4324</v>
      </c>
      <c r="E2291" s="17" t="s">
        <v>5739</v>
      </c>
      <c r="F2291" s="17">
        <v>2</v>
      </c>
      <c r="G2291" s="17">
        <v>3</v>
      </c>
      <c r="H2291" s="17" t="s">
        <v>3520</v>
      </c>
      <c r="I2291" s="17"/>
      <c r="J2291" s="17"/>
      <c r="K2291" s="17"/>
      <c r="L2291" s="17"/>
      <c r="M2291" s="17"/>
      <c r="N2291" s="17"/>
      <c r="O2291" s="17"/>
      <c r="P2291" s="17"/>
      <c r="Q2291" s="17"/>
    </row>
    <row r="2292" spans="1:17">
      <c r="A2292" s="556" t="s">
        <v>3624</v>
      </c>
      <c r="B2292" s="557"/>
      <c r="C2292" s="558" t="s">
        <v>2189</v>
      </c>
      <c r="D2292" s="556" t="s">
        <v>1693</v>
      </c>
      <c r="E2292" s="17" t="s">
        <v>5740</v>
      </c>
      <c r="F2292" s="17">
        <v>3</v>
      </c>
      <c r="G2292" s="17">
        <v>1</v>
      </c>
      <c r="H2292" s="17" t="s">
        <v>2990</v>
      </c>
      <c r="I2292" s="17"/>
      <c r="J2292" s="17"/>
      <c r="K2292" s="17"/>
      <c r="L2292" s="17"/>
      <c r="M2292" s="17"/>
      <c r="N2292" s="17"/>
      <c r="O2292" s="17"/>
      <c r="P2292" s="17"/>
      <c r="Q2292" s="17"/>
    </row>
    <row r="2293" spans="1:17">
      <c r="A2293" s="556" t="s">
        <v>3624</v>
      </c>
      <c r="B2293" s="557"/>
      <c r="C2293" s="558" t="s">
        <v>2189</v>
      </c>
      <c r="D2293" s="556" t="s">
        <v>1694</v>
      </c>
      <c r="E2293" s="17" t="s">
        <v>5741</v>
      </c>
      <c r="F2293" s="17">
        <v>3</v>
      </c>
      <c r="G2293" s="17">
        <v>2</v>
      </c>
      <c r="H2293" s="17" t="s">
        <v>3338</v>
      </c>
      <c r="I2293" s="17"/>
      <c r="J2293" s="17"/>
      <c r="K2293" s="17"/>
      <c r="L2293" s="17"/>
      <c r="M2293" s="17"/>
      <c r="N2293" s="17"/>
      <c r="O2293" s="17"/>
      <c r="P2293" s="17"/>
      <c r="Q2293" s="17"/>
    </row>
    <row r="2294" spans="1:17">
      <c r="A2294" s="556" t="s">
        <v>3624</v>
      </c>
      <c r="B2294" s="557"/>
      <c r="C2294" s="558" t="s">
        <v>2189</v>
      </c>
      <c r="D2294" s="556" t="s">
        <v>4324</v>
      </c>
      <c r="E2294" s="17" t="s">
        <v>5742</v>
      </c>
      <c r="F2294" s="17">
        <v>3</v>
      </c>
      <c r="G2294" s="17">
        <v>3</v>
      </c>
      <c r="H2294" s="17" t="s">
        <v>2991</v>
      </c>
      <c r="I2294" s="17"/>
      <c r="J2294" s="17"/>
      <c r="K2294" s="17"/>
      <c r="L2294" s="17"/>
      <c r="M2294" s="17"/>
      <c r="N2294" s="17"/>
      <c r="O2294" s="17"/>
      <c r="P2294" s="17"/>
      <c r="Q2294" s="17"/>
    </row>
    <row r="2295" spans="1:17">
      <c r="A2295" s="556" t="s">
        <v>3624</v>
      </c>
      <c r="B2295" s="557"/>
      <c r="C2295" s="558" t="s">
        <v>2190</v>
      </c>
      <c r="D2295" s="556" t="s">
        <v>1693</v>
      </c>
      <c r="E2295" s="17" t="s">
        <v>5743</v>
      </c>
      <c r="F2295" s="17">
        <v>4</v>
      </c>
      <c r="G2295" s="17">
        <v>1</v>
      </c>
      <c r="H2295" s="17" t="s">
        <v>3339</v>
      </c>
      <c r="I2295" s="17"/>
      <c r="J2295" s="17"/>
      <c r="K2295" s="17"/>
      <c r="L2295" s="17"/>
      <c r="M2295" s="17"/>
      <c r="N2295" s="17"/>
      <c r="O2295" s="17"/>
      <c r="P2295" s="17"/>
      <c r="Q2295" s="17"/>
    </row>
    <row r="2296" spans="1:17">
      <c r="A2296" s="556" t="s">
        <v>3624</v>
      </c>
      <c r="B2296" s="557"/>
      <c r="C2296" s="558" t="s">
        <v>2190</v>
      </c>
      <c r="D2296" s="556" t="s">
        <v>1694</v>
      </c>
      <c r="E2296" s="17" t="s">
        <v>5744</v>
      </c>
      <c r="F2296" s="17">
        <v>4</v>
      </c>
      <c r="G2296" s="17">
        <v>2</v>
      </c>
      <c r="H2296" s="17" t="s">
        <v>3340</v>
      </c>
      <c r="I2296" s="17"/>
      <c r="J2296" s="17"/>
      <c r="K2296" s="17"/>
      <c r="L2296" s="17"/>
      <c r="M2296" s="17"/>
      <c r="N2296" s="17"/>
      <c r="O2296" s="17"/>
      <c r="P2296" s="17"/>
      <c r="Q2296" s="17"/>
    </row>
    <row r="2297" spans="1:17">
      <c r="A2297" s="556" t="s">
        <v>3624</v>
      </c>
      <c r="B2297" s="557"/>
      <c r="C2297" s="558" t="s">
        <v>2190</v>
      </c>
      <c r="D2297" s="556" t="s">
        <v>4324</v>
      </c>
      <c r="E2297" s="17" t="s">
        <v>5745</v>
      </c>
      <c r="F2297" s="17">
        <v>4</v>
      </c>
      <c r="G2297" s="17">
        <v>3</v>
      </c>
      <c r="H2297" s="17" t="s">
        <v>3341</v>
      </c>
      <c r="I2297" s="17"/>
      <c r="J2297" s="17"/>
      <c r="K2297" s="17"/>
      <c r="L2297" s="17"/>
      <c r="M2297" s="17"/>
      <c r="N2297" s="17"/>
      <c r="O2297" s="17"/>
      <c r="P2297" s="17"/>
      <c r="Q2297" s="17"/>
    </row>
    <row r="2298" spans="1:17">
      <c r="A2298" s="556" t="s">
        <v>3624</v>
      </c>
      <c r="B2298" s="557"/>
      <c r="C2298" s="558" t="s">
        <v>2191</v>
      </c>
      <c r="D2298" s="556" t="s">
        <v>1693</v>
      </c>
      <c r="E2298" s="17" t="s">
        <v>5746</v>
      </c>
      <c r="F2298" s="17">
        <v>5</v>
      </c>
      <c r="G2298" s="17">
        <v>1</v>
      </c>
      <c r="H2298" s="17" t="s">
        <v>3343</v>
      </c>
      <c r="I2298" s="17"/>
      <c r="J2298" s="17"/>
      <c r="K2298" s="17"/>
      <c r="L2298" s="17"/>
      <c r="M2298" s="17"/>
      <c r="N2298" s="17"/>
      <c r="O2298" s="17"/>
      <c r="P2298" s="17"/>
      <c r="Q2298" s="17"/>
    </row>
    <row r="2299" spans="1:17">
      <c r="A2299" s="556" t="s">
        <v>3624</v>
      </c>
      <c r="B2299" s="557"/>
      <c r="C2299" s="558" t="s">
        <v>2191</v>
      </c>
      <c r="D2299" s="556" t="s">
        <v>1694</v>
      </c>
      <c r="E2299" s="17" t="s">
        <v>5747</v>
      </c>
      <c r="F2299" s="17">
        <v>5</v>
      </c>
      <c r="G2299" s="17">
        <v>2</v>
      </c>
      <c r="H2299" s="17" t="s">
        <v>3344</v>
      </c>
      <c r="I2299" s="17"/>
      <c r="J2299" s="17"/>
      <c r="K2299" s="17"/>
      <c r="L2299" s="17"/>
      <c r="M2299" s="17"/>
      <c r="N2299" s="17"/>
      <c r="O2299" s="17"/>
      <c r="P2299" s="17"/>
      <c r="Q2299" s="17"/>
    </row>
    <row r="2300" spans="1:17">
      <c r="A2300" s="556" t="s">
        <v>3624</v>
      </c>
      <c r="B2300" s="557"/>
      <c r="C2300" s="558" t="s">
        <v>2191</v>
      </c>
      <c r="D2300" s="556" t="s">
        <v>4324</v>
      </c>
      <c r="E2300" s="17" t="s">
        <v>5748</v>
      </c>
      <c r="F2300" s="17">
        <v>5</v>
      </c>
      <c r="G2300" s="17">
        <v>3</v>
      </c>
      <c r="H2300" s="17" t="s">
        <v>3345</v>
      </c>
      <c r="I2300" s="17"/>
      <c r="J2300" s="17"/>
      <c r="K2300" s="17"/>
      <c r="L2300" s="17"/>
      <c r="M2300" s="17"/>
      <c r="N2300" s="17"/>
      <c r="O2300" s="17"/>
      <c r="P2300" s="17"/>
      <c r="Q2300" s="17"/>
    </row>
    <row r="2301" spans="1:17">
      <c r="A2301" s="556" t="s">
        <v>3624</v>
      </c>
      <c r="B2301" s="557"/>
      <c r="C2301" s="558" t="s">
        <v>2192</v>
      </c>
      <c r="D2301" s="556" t="s">
        <v>1693</v>
      </c>
      <c r="E2301" s="17" t="s">
        <v>5749</v>
      </c>
      <c r="F2301" s="17">
        <v>6</v>
      </c>
      <c r="G2301" s="17">
        <v>1</v>
      </c>
      <c r="H2301" s="17" t="s">
        <v>3347</v>
      </c>
      <c r="I2301" s="17"/>
      <c r="J2301" s="17"/>
      <c r="K2301" s="17"/>
      <c r="L2301" s="17"/>
      <c r="M2301" s="17"/>
      <c r="N2301" s="17"/>
      <c r="O2301" s="17"/>
      <c r="P2301" s="17"/>
      <c r="Q2301" s="17"/>
    </row>
    <row r="2302" spans="1:17">
      <c r="A2302" s="556" t="s">
        <v>3624</v>
      </c>
      <c r="B2302" s="557"/>
      <c r="C2302" s="558" t="s">
        <v>2192</v>
      </c>
      <c r="D2302" s="556" t="s">
        <v>1694</v>
      </c>
      <c r="E2302" s="17" t="s">
        <v>5750</v>
      </c>
      <c r="F2302" s="17">
        <v>6</v>
      </c>
      <c r="G2302" s="17">
        <v>2</v>
      </c>
      <c r="H2302" s="17" t="s">
        <v>3348</v>
      </c>
      <c r="I2302" s="17"/>
      <c r="J2302" s="17"/>
      <c r="K2302" s="17"/>
      <c r="L2302" s="17"/>
      <c r="M2302" s="17"/>
      <c r="N2302" s="17"/>
      <c r="O2302" s="17"/>
      <c r="P2302" s="17"/>
      <c r="Q2302" s="17"/>
    </row>
    <row r="2303" spans="1:17">
      <c r="A2303" s="556" t="s">
        <v>3624</v>
      </c>
      <c r="B2303" s="557"/>
      <c r="C2303" s="558" t="s">
        <v>2192</v>
      </c>
      <c r="D2303" s="556" t="s">
        <v>4324</v>
      </c>
      <c r="E2303" s="17" t="s">
        <v>5751</v>
      </c>
      <c r="F2303" s="17">
        <v>6</v>
      </c>
      <c r="G2303" s="17">
        <v>3</v>
      </c>
      <c r="H2303" s="17" t="s">
        <v>3349</v>
      </c>
      <c r="I2303" s="17"/>
      <c r="J2303" s="17"/>
      <c r="K2303" s="17"/>
      <c r="L2303" s="17"/>
      <c r="M2303" s="17"/>
      <c r="N2303" s="17"/>
      <c r="O2303" s="17"/>
      <c r="P2303" s="17"/>
      <c r="Q2303" s="17"/>
    </row>
    <row r="2304" spans="1:17">
      <c r="A2304" s="556" t="s">
        <v>3624</v>
      </c>
      <c r="B2304" s="557"/>
      <c r="C2304" s="558" t="s">
        <v>2193</v>
      </c>
      <c r="D2304" s="556" t="s">
        <v>1693</v>
      </c>
      <c r="E2304" s="17" t="s">
        <v>5752</v>
      </c>
      <c r="F2304" s="17">
        <v>7</v>
      </c>
      <c r="G2304" s="17">
        <v>1</v>
      </c>
      <c r="H2304" s="17" t="s">
        <v>3351</v>
      </c>
      <c r="I2304" s="17"/>
      <c r="J2304" s="17"/>
      <c r="K2304" s="17"/>
      <c r="L2304" s="17"/>
      <c r="M2304" s="17"/>
      <c r="N2304" s="17"/>
      <c r="O2304" s="17"/>
      <c r="P2304" s="17"/>
      <c r="Q2304" s="17"/>
    </row>
    <row r="2305" spans="1:17">
      <c r="A2305" s="556" t="s">
        <v>3624</v>
      </c>
      <c r="B2305" s="557"/>
      <c r="C2305" s="558" t="s">
        <v>2193</v>
      </c>
      <c r="D2305" s="556" t="s">
        <v>1694</v>
      </c>
      <c r="E2305" s="17" t="s">
        <v>5753</v>
      </c>
      <c r="F2305" s="17">
        <v>7</v>
      </c>
      <c r="G2305" s="17">
        <v>2</v>
      </c>
      <c r="H2305" s="17" t="s">
        <v>3352</v>
      </c>
      <c r="I2305" s="17"/>
      <c r="J2305" s="17"/>
      <c r="K2305" s="17"/>
      <c r="L2305" s="17"/>
      <c r="M2305" s="17"/>
      <c r="N2305" s="17"/>
      <c r="O2305" s="17"/>
      <c r="P2305" s="17"/>
      <c r="Q2305" s="17"/>
    </row>
    <row r="2306" spans="1:17">
      <c r="A2306" s="556" t="s">
        <v>3624</v>
      </c>
      <c r="B2306" s="557"/>
      <c r="C2306" s="558" t="s">
        <v>2193</v>
      </c>
      <c r="D2306" s="556" t="s">
        <v>4324</v>
      </c>
      <c r="E2306" s="17" t="s">
        <v>5754</v>
      </c>
      <c r="F2306" s="17">
        <v>7</v>
      </c>
      <c r="G2306" s="17">
        <v>3</v>
      </c>
      <c r="H2306" s="17" t="s">
        <v>3353</v>
      </c>
      <c r="I2306" s="17"/>
      <c r="J2306" s="17"/>
      <c r="K2306" s="17"/>
      <c r="L2306" s="17"/>
      <c r="M2306" s="17"/>
      <c r="N2306" s="17"/>
      <c r="O2306" s="17"/>
      <c r="P2306" s="17"/>
      <c r="Q2306" s="17"/>
    </row>
    <row r="2307" spans="1:17">
      <c r="A2307" s="556" t="s">
        <v>3624</v>
      </c>
      <c r="B2307" s="557"/>
      <c r="C2307" s="558" t="s">
        <v>1578</v>
      </c>
      <c r="D2307" s="556" t="s">
        <v>1693</v>
      </c>
      <c r="E2307" s="17" t="s">
        <v>5755</v>
      </c>
      <c r="F2307" s="17">
        <v>8</v>
      </c>
      <c r="G2307" s="17">
        <v>1</v>
      </c>
      <c r="H2307" s="17" t="s">
        <v>3355</v>
      </c>
      <c r="I2307" s="17">
        <v>0</v>
      </c>
      <c r="J2307" s="17"/>
      <c r="K2307" s="17"/>
      <c r="L2307" s="17"/>
      <c r="M2307" s="17"/>
      <c r="N2307" s="17"/>
      <c r="O2307" s="17"/>
      <c r="P2307" s="17"/>
      <c r="Q2307" s="17"/>
    </row>
    <row r="2308" spans="1:17">
      <c r="A2308" s="556" t="s">
        <v>3624</v>
      </c>
      <c r="B2308" s="557"/>
      <c r="C2308" s="558" t="s">
        <v>1578</v>
      </c>
      <c r="D2308" s="556" t="s">
        <v>1694</v>
      </c>
      <c r="E2308" s="17" t="s">
        <v>5756</v>
      </c>
      <c r="F2308" s="17">
        <v>8</v>
      </c>
      <c r="G2308" s="17">
        <v>2</v>
      </c>
      <c r="H2308" s="17" t="s">
        <v>3356</v>
      </c>
      <c r="I2308" s="17">
        <v>0</v>
      </c>
      <c r="J2308" s="17"/>
      <c r="K2308" s="17"/>
      <c r="L2308" s="17"/>
      <c r="M2308" s="17"/>
      <c r="N2308" s="17"/>
      <c r="O2308" s="17"/>
      <c r="P2308" s="17"/>
      <c r="Q2308" s="17"/>
    </row>
    <row r="2309" spans="1:17">
      <c r="A2309" s="556" t="s">
        <v>3624</v>
      </c>
      <c r="B2309" s="557"/>
      <c r="C2309" s="558" t="s">
        <v>1578</v>
      </c>
      <c r="D2309" s="556" t="s">
        <v>4324</v>
      </c>
      <c r="E2309" s="17" t="s">
        <v>5757</v>
      </c>
      <c r="F2309" s="17">
        <v>8</v>
      </c>
      <c r="G2309" s="17">
        <v>3</v>
      </c>
      <c r="H2309" s="17" t="s">
        <v>3357</v>
      </c>
      <c r="I2309" s="17"/>
      <c r="J2309" s="17"/>
      <c r="K2309" s="17"/>
      <c r="L2309" s="17"/>
      <c r="M2309" s="17"/>
      <c r="N2309" s="17"/>
      <c r="O2309" s="17"/>
      <c r="P2309" s="17"/>
      <c r="Q2309" s="17"/>
    </row>
    <row r="2310" spans="1:17">
      <c r="A2310" s="556" t="s">
        <v>3625</v>
      </c>
      <c r="B2310" s="557"/>
      <c r="C2310" s="558" t="s">
        <v>2196</v>
      </c>
      <c r="D2310" s="556" t="s">
        <v>1693</v>
      </c>
      <c r="E2310" s="17" t="s">
        <v>5758</v>
      </c>
      <c r="F2310" s="17">
        <v>1</v>
      </c>
      <c r="G2310" s="17">
        <v>1</v>
      </c>
      <c r="H2310" s="17" t="s">
        <v>3692</v>
      </c>
      <c r="I2310" s="17"/>
      <c r="J2310" s="17"/>
      <c r="K2310" s="17"/>
      <c r="L2310" s="17"/>
      <c r="M2310" s="17"/>
      <c r="N2310" s="17"/>
      <c r="O2310" s="17"/>
      <c r="P2310" s="17"/>
      <c r="Q2310" s="17"/>
    </row>
    <row r="2311" spans="1:17">
      <c r="A2311" s="556" t="s">
        <v>3625</v>
      </c>
      <c r="B2311" s="557"/>
      <c r="C2311" s="558" t="s">
        <v>2196</v>
      </c>
      <c r="D2311" s="556" t="s">
        <v>1694</v>
      </c>
      <c r="E2311" s="17" t="s">
        <v>5759</v>
      </c>
      <c r="F2311" s="17">
        <v>1</v>
      </c>
      <c r="G2311" s="17">
        <v>2</v>
      </c>
      <c r="H2311" s="17" t="s">
        <v>3701</v>
      </c>
      <c r="I2311" s="17"/>
      <c r="J2311" s="17"/>
      <c r="K2311" s="17"/>
      <c r="L2311" s="17"/>
      <c r="M2311" s="17"/>
      <c r="N2311" s="17"/>
      <c r="O2311" s="17"/>
      <c r="P2311" s="17"/>
      <c r="Q2311" s="17"/>
    </row>
    <row r="2312" spans="1:17">
      <c r="A2312" s="556" t="s">
        <v>3625</v>
      </c>
      <c r="B2312" s="557"/>
      <c r="C2312" s="558" t="s">
        <v>2196</v>
      </c>
      <c r="D2312" s="556" t="s">
        <v>4324</v>
      </c>
      <c r="E2312" s="17" t="s">
        <v>5760</v>
      </c>
      <c r="F2312" s="17">
        <v>1</v>
      </c>
      <c r="G2312" s="17">
        <v>3</v>
      </c>
      <c r="H2312" s="17" t="s">
        <v>3714</v>
      </c>
      <c r="I2312" s="17"/>
      <c r="J2312" s="17"/>
      <c r="K2312" s="17"/>
      <c r="L2312" s="17"/>
      <c r="M2312" s="17"/>
      <c r="N2312" s="17"/>
      <c r="O2312" s="17"/>
      <c r="P2312" s="17"/>
      <c r="Q2312" s="17"/>
    </row>
    <row r="2313" spans="1:17">
      <c r="A2313" s="556" t="s">
        <v>3625</v>
      </c>
      <c r="B2313" s="557"/>
      <c r="C2313" s="558" t="s">
        <v>2197</v>
      </c>
      <c r="D2313" s="556" t="s">
        <v>1693</v>
      </c>
      <c r="E2313" s="17" t="s">
        <v>5761</v>
      </c>
      <c r="F2313" s="17">
        <v>2</v>
      </c>
      <c r="G2313" s="17">
        <v>1</v>
      </c>
      <c r="H2313" s="17" t="s">
        <v>3518</v>
      </c>
      <c r="I2313" s="17"/>
      <c r="J2313" s="17"/>
      <c r="K2313" s="17"/>
      <c r="L2313" s="17"/>
      <c r="M2313" s="17"/>
      <c r="N2313" s="17"/>
      <c r="O2313" s="17"/>
      <c r="P2313" s="17"/>
      <c r="Q2313" s="17"/>
    </row>
    <row r="2314" spans="1:17">
      <c r="A2314" s="556" t="s">
        <v>3625</v>
      </c>
      <c r="B2314" s="557"/>
      <c r="C2314" s="558" t="s">
        <v>2197</v>
      </c>
      <c r="D2314" s="556" t="s">
        <v>1694</v>
      </c>
      <c r="E2314" s="17" t="s">
        <v>5762</v>
      </c>
      <c r="F2314" s="17">
        <v>2</v>
      </c>
      <c r="G2314" s="17">
        <v>2</v>
      </c>
      <c r="H2314" s="17" t="s">
        <v>3519</v>
      </c>
      <c r="I2314" s="17"/>
      <c r="J2314" s="17"/>
      <c r="K2314" s="17"/>
      <c r="L2314" s="17"/>
      <c r="M2314" s="17"/>
      <c r="N2314" s="17"/>
      <c r="O2314" s="17"/>
      <c r="P2314" s="17"/>
      <c r="Q2314" s="17"/>
    </row>
    <row r="2315" spans="1:17">
      <c r="A2315" s="556" t="s">
        <v>3625</v>
      </c>
      <c r="B2315" s="557"/>
      <c r="C2315" s="558" t="s">
        <v>2197</v>
      </c>
      <c r="D2315" s="556" t="s">
        <v>4324</v>
      </c>
      <c r="E2315" s="17" t="s">
        <v>5763</v>
      </c>
      <c r="F2315" s="17">
        <v>2</v>
      </c>
      <c r="G2315" s="17">
        <v>3</v>
      </c>
      <c r="H2315" s="17" t="s">
        <v>3520</v>
      </c>
      <c r="I2315" s="17"/>
      <c r="J2315" s="17"/>
      <c r="K2315" s="17"/>
      <c r="L2315" s="17"/>
      <c r="M2315" s="17"/>
      <c r="N2315" s="17"/>
      <c r="O2315" s="17"/>
      <c r="P2315" s="17"/>
      <c r="Q2315" s="17"/>
    </row>
    <row r="2316" spans="1:17">
      <c r="A2316" s="556" t="s">
        <v>3625</v>
      </c>
      <c r="B2316" s="557"/>
      <c r="C2316" s="558" t="s">
        <v>2198</v>
      </c>
      <c r="D2316" s="556" t="s">
        <v>1693</v>
      </c>
      <c r="E2316" s="17" t="s">
        <v>5764</v>
      </c>
      <c r="F2316" s="17">
        <v>3</v>
      </c>
      <c r="G2316" s="17">
        <v>1</v>
      </c>
      <c r="H2316" s="17" t="s">
        <v>2990</v>
      </c>
      <c r="I2316" s="17"/>
      <c r="J2316" s="17"/>
      <c r="K2316" s="17"/>
      <c r="L2316" s="17"/>
      <c r="M2316" s="17"/>
      <c r="N2316" s="17"/>
      <c r="O2316" s="17"/>
      <c r="P2316" s="17"/>
      <c r="Q2316" s="17"/>
    </row>
    <row r="2317" spans="1:17">
      <c r="A2317" s="556" t="s">
        <v>3625</v>
      </c>
      <c r="B2317" s="557"/>
      <c r="C2317" s="558" t="s">
        <v>2198</v>
      </c>
      <c r="D2317" s="556" t="s">
        <v>1694</v>
      </c>
      <c r="E2317" s="17" t="s">
        <v>5765</v>
      </c>
      <c r="F2317" s="17">
        <v>3</v>
      </c>
      <c r="G2317" s="17">
        <v>2</v>
      </c>
      <c r="H2317" s="17" t="s">
        <v>3338</v>
      </c>
      <c r="I2317" s="17"/>
      <c r="J2317" s="17"/>
      <c r="K2317" s="17"/>
      <c r="L2317" s="17"/>
      <c r="M2317" s="17"/>
      <c r="N2317" s="17"/>
      <c r="O2317" s="17"/>
      <c r="P2317" s="17"/>
      <c r="Q2317" s="17"/>
    </row>
    <row r="2318" spans="1:17">
      <c r="A2318" s="556" t="s">
        <v>3625</v>
      </c>
      <c r="B2318" s="557"/>
      <c r="C2318" s="558" t="s">
        <v>2198</v>
      </c>
      <c r="D2318" s="556" t="s">
        <v>4324</v>
      </c>
      <c r="E2318" s="17" t="s">
        <v>5766</v>
      </c>
      <c r="F2318" s="17">
        <v>3</v>
      </c>
      <c r="G2318" s="17">
        <v>3</v>
      </c>
      <c r="H2318" s="17" t="s">
        <v>2991</v>
      </c>
      <c r="I2318" s="17"/>
      <c r="J2318" s="17"/>
      <c r="K2318" s="17"/>
      <c r="L2318" s="17"/>
      <c r="M2318" s="17"/>
      <c r="N2318" s="17"/>
      <c r="O2318" s="17"/>
      <c r="P2318" s="17"/>
      <c r="Q2318" s="17"/>
    </row>
    <row r="2319" spans="1:17">
      <c r="A2319" s="556" t="s">
        <v>3625</v>
      </c>
      <c r="B2319" s="557"/>
      <c r="C2319" s="558" t="s">
        <v>2199</v>
      </c>
      <c r="D2319" s="556" t="s">
        <v>1693</v>
      </c>
      <c r="E2319" s="17" t="s">
        <v>5767</v>
      </c>
      <c r="F2319" s="17">
        <v>4</v>
      </c>
      <c r="G2319" s="17">
        <v>1</v>
      </c>
      <c r="H2319" s="17" t="s">
        <v>3339</v>
      </c>
      <c r="I2319" s="17"/>
      <c r="J2319" s="17"/>
      <c r="K2319" s="17"/>
      <c r="L2319" s="17"/>
      <c r="M2319" s="17"/>
      <c r="N2319" s="17"/>
      <c r="O2319" s="17"/>
      <c r="P2319" s="17"/>
      <c r="Q2319" s="17"/>
    </row>
    <row r="2320" spans="1:17">
      <c r="A2320" s="556" t="s">
        <v>3625</v>
      </c>
      <c r="B2320" s="557"/>
      <c r="C2320" s="558" t="s">
        <v>2199</v>
      </c>
      <c r="D2320" s="556" t="s">
        <v>1694</v>
      </c>
      <c r="E2320" s="17" t="s">
        <v>5768</v>
      </c>
      <c r="F2320" s="17">
        <v>4</v>
      </c>
      <c r="G2320" s="17">
        <v>2</v>
      </c>
      <c r="H2320" s="17" t="s">
        <v>3340</v>
      </c>
      <c r="I2320" s="17"/>
      <c r="J2320" s="17"/>
      <c r="K2320" s="17"/>
      <c r="L2320" s="17"/>
      <c r="M2320" s="17"/>
      <c r="N2320" s="17"/>
      <c r="O2320" s="17"/>
      <c r="P2320" s="17"/>
      <c r="Q2320" s="17"/>
    </row>
    <row r="2321" spans="1:17">
      <c r="A2321" s="556" t="s">
        <v>3625</v>
      </c>
      <c r="B2321" s="557"/>
      <c r="C2321" s="558" t="s">
        <v>2199</v>
      </c>
      <c r="D2321" s="556" t="s">
        <v>4324</v>
      </c>
      <c r="E2321" s="17" t="s">
        <v>5769</v>
      </c>
      <c r="F2321" s="17">
        <v>4</v>
      </c>
      <c r="G2321" s="17">
        <v>3</v>
      </c>
      <c r="H2321" s="17" t="s">
        <v>3341</v>
      </c>
      <c r="I2321" s="17"/>
      <c r="J2321" s="17"/>
      <c r="K2321" s="17"/>
      <c r="L2321" s="17"/>
      <c r="M2321" s="17"/>
      <c r="N2321" s="17"/>
      <c r="O2321" s="17"/>
      <c r="P2321" s="17"/>
      <c r="Q2321" s="17"/>
    </row>
    <row r="2322" spans="1:17">
      <c r="A2322" s="556" t="s">
        <v>3625</v>
      </c>
      <c r="B2322" s="557"/>
      <c r="C2322" s="558" t="s">
        <v>2200</v>
      </c>
      <c r="D2322" s="556" t="s">
        <v>1693</v>
      </c>
      <c r="E2322" s="17" t="s">
        <v>5770</v>
      </c>
      <c r="F2322" s="17">
        <v>5</v>
      </c>
      <c r="G2322" s="17">
        <v>1</v>
      </c>
      <c r="H2322" s="17" t="s">
        <v>3343</v>
      </c>
      <c r="I2322" s="17"/>
      <c r="J2322" s="17"/>
      <c r="K2322" s="17"/>
      <c r="L2322" s="17"/>
      <c r="M2322" s="17"/>
      <c r="N2322" s="17"/>
      <c r="O2322" s="17"/>
      <c r="P2322" s="17"/>
      <c r="Q2322" s="17"/>
    </row>
    <row r="2323" spans="1:17">
      <c r="A2323" s="556" t="s">
        <v>3625</v>
      </c>
      <c r="B2323" s="557"/>
      <c r="C2323" s="558" t="s">
        <v>2200</v>
      </c>
      <c r="D2323" s="556" t="s">
        <v>1694</v>
      </c>
      <c r="E2323" s="17" t="s">
        <v>5771</v>
      </c>
      <c r="F2323" s="17">
        <v>5</v>
      </c>
      <c r="G2323" s="17">
        <v>2</v>
      </c>
      <c r="H2323" s="17" t="s">
        <v>3344</v>
      </c>
      <c r="I2323" s="17"/>
      <c r="J2323" s="17"/>
      <c r="K2323" s="17"/>
      <c r="L2323" s="17"/>
      <c r="M2323" s="17"/>
      <c r="N2323" s="17"/>
      <c r="O2323" s="17"/>
      <c r="P2323" s="17"/>
      <c r="Q2323" s="17"/>
    </row>
    <row r="2324" spans="1:17">
      <c r="A2324" s="556" t="s">
        <v>3625</v>
      </c>
      <c r="B2324" s="557"/>
      <c r="C2324" s="558" t="s">
        <v>2200</v>
      </c>
      <c r="D2324" s="556" t="s">
        <v>4324</v>
      </c>
      <c r="E2324" s="17" t="s">
        <v>5772</v>
      </c>
      <c r="F2324" s="17">
        <v>5</v>
      </c>
      <c r="G2324" s="17">
        <v>3</v>
      </c>
      <c r="H2324" s="17" t="s">
        <v>3345</v>
      </c>
      <c r="I2324" s="17"/>
      <c r="J2324" s="17"/>
      <c r="K2324" s="17"/>
      <c r="L2324" s="17"/>
      <c r="M2324" s="17"/>
      <c r="N2324" s="17"/>
      <c r="O2324" s="17"/>
      <c r="P2324" s="17"/>
      <c r="Q2324" s="17"/>
    </row>
    <row r="2325" spans="1:17">
      <c r="A2325" s="556" t="s">
        <v>3625</v>
      </c>
      <c r="B2325" s="557"/>
      <c r="C2325" s="558" t="s">
        <v>2201</v>
      </c>
      <c r="D2325" s="556" t="s">
        <v>1693</v>
      </c>
      <c r="E2325" s="17" t="s">
        <v>5773</v>
      </c>
      <c r="F2325" s="17">
        <v>6</v>
      </c>
      <c r="G2325" s="17">
        <v>1</v>
      </c>
      <c r="H2325" s="17" t="s">
        <v>3347</v>
      </c>
      <c r="I2325" s="17"/>
      <c r="J2325" s="17"/>
      <c r="K2325" s="17"/>
      <c r="L2325" s="17"/>
      <c r="M2325" s="17"/>
      <c r="N2325" s="17"/>
      <c r="O2325" s="17"/>
      <c r="P2325" s="17"/>
      <c r="Q2325" s="17"/>
    </row>
    <row r="2326" spans="1:17">
      <c r="A2326" s="556" t="s">
        <v>3625</v>
      </c>
      <c r="B2326" s="557"/>
      <c r="C2326" s="558" t="s">
        <v>2201</v>
      </c>
      <c r="D2326" s="556" t="s">
        <v>1694</v>
      </c>
      <c r="E2326" s="17" t="s">
        <v>5774</v>
      </c>
      <c r="F2326" s="17">
        <v>6</v>
      </c>
      <c r="G2326" s="17">
        <v>2</v>
      </c>
      <c r="H2326" s="17" t="s">
        <v>3348</v>
      </c>
      <c r="I2326" s="17"/>
      <c r="J2326" s="17"/>
      <c r="K2326" s="17"/>
      <c r="L2326" s="17"/>
      <c r="M2326" s="17"/>
      <c r="N2326" s="17"/>
      <c r="O2326" s="17"/>
      <c r="P2326" s="17"/>
      <c r="Q2326" s="17"/>
    </row>
    <row r="2327" spans="1:17">
      <c r="A2327" s="556" t="s">
        <v>3625</v>
      </c>
      <c r="B2327" s="557"/>
      <c r="C2327" s="558" t="s">
        <v>2201</v>
      </c>
      <c r="D2327" s="556" t="s">
        <v>4324</v>
      </c>
      <c r="E2327" s="17" t="s">
        <v>5775</v>
      </c>
      <c r="F2327" s="17">
        <v>6</v>
      </c>
      <c r="G2327" s="17">
        <v>3</v>
      </c>
      <c r="H2327" s="17" t="s">
        <v>3349</v>
      </c>
      <c r="I2327" s="17"/>
      <c r="J2327" s="17"/>
      <c r="K2327" s="17"/>
      <c r="L2327" s="17"/>
      <c r="M2327" s="17"/>
      <c r="N2327" s="17"/>
      <c r="O2327" s="17"/>
      <c r="P2327" s="17"/>
      <c r="Q2327" s="17"/>
    </row>
    <row r="2328" spans="1:17">
      <c r="A2328" s="556" t="s">
        <v>3625</v>
      </c>
      <c r="B2328" s="557"/>
      <c r="C2328" s="558" t="s">
        <v>2202</v>
      </c>
      <c r="D2328" s="556" t="s">
        <v>1693</v>
      </c>
      <c r="E2328" s="17" t="s">
        <v>5776</v>
      </c>
      <c r="F2328" s="17">
        <v>7</v>
      </c>
      <c r="G2328" s="17">
        <v>1</v>
      </c>
      <c r="H2328" s="17" t="s">
        <v>3351</v>
      </c>
      <c r="I2328" s="17"/>
      <c r="J2328" s="17"/>
      <c r="K2328" s="17"/>
      <c r="L2328" s="17"/>
      <c r="M2328" s="17"/>
      <c r="N2328" s="17"/>
      <c r="O2328" s="17"/>
      <c r="P2328" s="17"/>
      <c r="Q2328" s="17"/>
    </row>
    <row r="2329" spans="1:17">
      <c r="A2329" s="556" t="s">
        <v>3625</v>
      </c>
      <c r="B2329" s="557"/>
      <c r="C2329" s="558" t="s">
        <v>2202</v>
      </c>
      <c r="D2329" s="556" t="s">
        <v>1694</v>
      </c>
      <c r="E2329" s="17" t="s">
        <v>5777</v>
      </c>
      <c r="F2329" s="17">
        <v>7</v>
      </c>
      <c r="G2329" s="17">
        <v>2</v>
      </c>
      <c r="H2329" s="17" t="s">
        <v>3352</v>
      </c>
      <c r="I2329" s="17"/>
      <c r="J2329" s="17"/>
      <c r="K2329" s="17"/>
      <c r="L2329" s="17"/>
      <c r="M2329" s="17"/>
      <c r="N2329" s="17"/>
      <c r="O2329" s="17"/>
      <c r="P2329" s="17"/>
      <c r="Q2329" s="17"/>
    </row>
    <row r="2330" spans="1:17">
      <c r="A2330" s="556" t="s">
        <v>3625</v>
      </c>
      <c r="B2330" s="557"/>
      <c r="C2330" s="558" t="s">
        <v>2202</v>
      </c>
      <c r="D2330" s="556" t="s">
        <v>4324</v>
      </c>
      <c r="E2330" s="17" t="s">
        <v>5778</v>
      </c>
      <c r="F2330" s="17">
        <v>7</v>
      </c>
      <c r="G2330" s="17">
        <v>3</v>
      </c>
      <c r="H2330" s="17" t="s">
        <v>3353</v>
      </c>
      <c r="I2330" s="17"/>
      <c r="J2330" s="17"/>
      <c r="K2330" s="17"/>
      <c r="L2330" s="17"/>
      <c r="M2330" s="17"/>
      <c r="N2330" s="17"/>
      <c r="O2330" s="17"/>
      <c r="P2330" s="17"/>
      <c r="Q2330" s="17"/>
    </row>
    <row r="2331" spans="1:17">
      <c r="A2331" s="556" t="s">
        <v>3625</v>
      </c>
      <c r="B2331" s="557"/>
      <c r="C2331" s="558" t="s">
        <v>2203</v>
      </c>
      <c r="D2331" s="556" t="s">
        <v>1693</v>
      </c>
      <c r="E2331" s="17" t="s">
        <v>5779</v>
      </c>
      <c r="F2331" s="17">
        <v>8</v>
      </c>
      <c r="G2331" s="17">
        <v>1</v>
      </c>
      <c r="H2331" s="17" t="s">
        <v>3355</v>
      </c>
      <c r="I2331" s="17"/>
      <c r="J2331" s="17"/>
      <c r="K2331" s="17"/>
      <c r="L2331" s="17"/>
      <c r="M2331" s="17"/>
      <c r="N2331" s="17"/>
      <c r="O2331" s="17"/>
      <c r="P2331" s="17"/>
      <c r="Q2331" s="17"/>
    </row>
    <row r="2332" spans="1:17">
      <c r="A2332" s="556" t="s">
        <v>3625</v>
      </c>
      <c r="B2332" s="557"/>
      <c r="C2332" s="558" t="s">
        <v>2203</v>
      </c>
      <c r="D2332" s="556" t="s">
        <v>1694</v>
      </c>
      <c r="E2332" s="17" t="s">
        <v>5780</v>
      </c>
      <c r="F2332" s="17">
        <v>8</v>
      </c>
      <c r="G2332" s="17">
        <v>2</v>
      </c>
      <c r="H2332" s="17" t="s">
        <v>3356</v>
      </c>
      <c r="I2332" s="17"/>
      <c r="J2332" s="17"/>
      <c r="K2332" s="17"/>
      <c r="L2332" s="17"/>
      <c r="M2332" s="17"/>
      <c r="N2332" s="17"/>
      <c r="O2332" s="17"/>
      <c r="P2332" s="17"/>
      <c r="Q2332" s="17"/>
    </row>
    <row r="2333" spans="1:17">
      <c r="A2333" s="556" t="s">
        <v>3625</v>
      </c>
      <c r="B2333" s="557"/>
      <c r="C2333" s="558" t="s">
        <v>2203</v>
      </c>
      <c r="D2333" s="556" t="s">
        <v>4324</v>
      </c>
      <c r="E2333" s="17" t="s">
        <v>5781</v>
      </c>
      <c r="F2333" s="17">
        <v>8</v>
      </c>
      <c r="G2333" s="17">
        <v>3</v>
      </c>
      <c r="H2333" s="17" t="s">
        <v>3357</v>
      </c>
      <c r="I2333" s="17"/>
      <c r="J2333" s="17"/>
      <c r="K2333" s="17"/>
      <c r="L2333" s="17"/>
      <c r="M2333" s="17"/>
      <c r="N2333" s="17"/>
      <c r="O2333" s="17"/>
      <c r="P2333" s="17"/>
      <c r="Q2333" s="17"/>
    </row>
    <row r="2334" spans="1:17">
      <c r="A2334" s="556" t="s">
        <v>3625</v>
      </c>
      <c r="B2334" s="557"/>
      <c r="C2334" s="558" t="s">
        <v>2204</v>
      </c>
      <c r="D2334" s="556" t="s">
        <v>1693</v>
      </c>
      <c r="E2334" s="17" t="s">
        <v>5782</v>
      </c>
      <c r="F2334" s="17">
        <v>9</v>
      </c>
      <c r="G2334" s="17">
        <v>1</v>
      </c>
      <c r="H2334" s="17" t="s">
        <v>3359</v>
      </c>
      <c r="I2334" s="17"/>
      <c r="J2334" s="17"/>
      <c r="K2334" s="17"/>
      <c r="L2334" s="17"/>
      <c r="M2334" s="17"/>
      <c r="N2334" s="17"/>
      <c r="O2334" s="17"/>
      <c r="P2334" s="17"/>
      <c r="Q2334" s="17"/>
    </row>
    <row r="2335" spans="1:17">
      <c r="A2335" s="556" t="s">
        <v>3625</v>
      </c>
      <c r="B2335" s="557"/>
      <c r="C2335" s="558" t="s">
        <v>2204</v>
      </c>
      <c r="D2335" s="556" t="s">
        <v>1694</v>
      </c>
      <c r="E2335" s="17" t="s">
        <v>5783</v>
      </c>
      <c r="F2335" s="17">
        <v>9</v>
      </c>
      <c r="G2335" s="17">
        <v>2</v>
      </c>
      <c r="H2335" s="17" t="s">
        <v>3360</v>
      </c>
      <c r="I2335" s="17"/>
      <c r="J2335" s="17"/>
      <c r="K2335" s="17"/>
      <c r="L2335" s="17"/>
      <c r="M2335" s="17"/>
      <c r="N2335" s="17"/>
      <c r="O2335" s="17"/>
      <c r="P2335" s="17"/>
      <c r="Q2335" s="17"/>
    </row>
    <row r="2336" spans="1:17">
      <c r="A2336" s="556" t="s">
        <v>3625</v>
      </c>
      <c r="B2336" s="557"/>
      <c r="C2336" s="558" t="s">
        <v>2204</v>
      </c>
      <c r="D2336" s="556" t="s">
        <v>4324</v>
      </c>
      <c r="E2336" s="17" t="s">
        <v>5784</v>
      </c>
      <c r="F2336" s="17">
        <v>9</v>
      </c>
      <c r="G2336" s="17">
        <v>3</v>
      </c>
      <c r="H2336" s="17" t="s">
        <v>3327</v>
      </c>
      <c r="I2336" s="17"/>
      <c r="J2336" s="17"/>
      <c r="K2336" s="17"/>
      <c r="L2336" s="17"/>
      <c r="M2336" s="17"/>
      <c r="N2336" s="17"/>
      <c r="O2336" s="17"/>
      <c r="P2336" s="17"/>
      <c r="Q2336" s="17"/>
    </row>
    <row r="2337" spans="1:17">
      <c r="A2337" s="556" t="s">
        <v>3625</v>
      </c>
      <c r="B2337" s="557"/>
      <c r="C2337" s="558" t="s">
        <v>2205</v>
      </c>
      <c r="D2337" s="556" t="s">
        <v>1693</v>
      </c>
      <c r="E2337" s="17" t="s">
        <v>5785</v>
      </c>
      <c r="F2337" s="17">
        <v>10</v>
      </c>
      <c r="G2337" s="17">
        <v>1</v>
      </c>
      <c r="H2337" s="17" t="s">
        <v>3362</v>
      </c>
      <c r="I2337" s="17"/>
      <c r="J2337" s="17"/>
      <c r="K2337" s="17"/>
      <c r="L2337" s="17"/>
      <c r="M2337" s="17"/>
      <c r="N2337" s="17"/>
      <c r="O2337" s="17"/>
      <c r="P2337" s="17"/>
      <c r="Q2337" s="17"/>
    </row>
    <row r="2338" spans="1:17">
      <c r="A2338" s="556" t="s">
        <v>3625</v>
      </c>
      <c r="B2338" s="557"/>
      <c r="C2338" s="558" t="s">
        <v>2205</v>
      </c>
      <c r="D2338" s="556" t="s">
        <v>1694</v>
      </c>
      <c r="E2338" s="17" t="s">
        <v>5786</v>
      </c>
      <c r="F2338" s="17">
        <v>10</v>
      </c>
      <c r="G2338" s="17">
        <v>2</v>
      </c>
      <c r="H2338" s="17" t="s">
        <v>3363</v>
      </c>
      <c r="I2338" s="17"/>
      <c r="J2338" s="17"/>
      <c r="K2338" s="17"/>
      <c r="L2338" s="17"/>
      <c r="M2338" s="17"/>
      <c r="N2338" s="17"/>
      <c r="O2338" s="17"/>
      <c r="P2338" s="17"/>
      <c r="Q2338" s="17"/>
    </row>
    <row r="2339" spans="1:17">
      <c r="A2339" s="556" t="s">
        <v>3625</v>
      </c>
      <c r="B2339" s="557"/>
      <c r="C2339" s="558" t="s">
        <v>2205</v>
      </c>
      <c r="D2339" s="556" t="s">
        <v>4324</v>
      </c>
      <c r="E2339" s="17" t="s">
        <v>5787</v>
      </c>
      <c r="F2339" s="17">
        <v>10</v>
      </c>
      <c r="G2339" s="17">
        <v>3</v>
      </c>
      <c r="H2339" s="17" t="s">
        <v>3364</v>
      </c>
      <c r="I2339" s="17"/>
      <c r="J2339" s="17"/>
      <c r="K2339" s="17"/>
      <c r="L2339" s="17"/>
      <c r="M2339" s="17"/>
      <c r="N2339" s="17"/>
      <c r="O2339" s="17"/>
      <c r="P2339" s="17"/>
      <c r="Q2339" s="17"/>
    </row>
    <row r="2340" spans="1:17">
      <c r="A2340" s="556" t="s">
        <v>3625</v>
      </c>
      <c r="B2340" s="557"/>
      <c r="C2340" s="558" t="s">
        <v>2206</v>
      </c>
      <c r="D2340" s="556" t="s">
        <v>1693</v>
      </c>
      <c r="E2340" s="17" t="s">
        <v>5788</v>
      </c>
      <c r="F2340" s="17">
        <v>11</v>
      </c>
      <c r="G2340" s="17">
        <v>1</v>
      </c>
      <c r="H2340" s="17" t="s">
        <v>3366</v>
      </c>
      <c r="I2340" s="17"/>
      <c r="J2340" s="17"/>
      <c r="K2340" s="17"/>
      <c r="L2340" s="17"/>
      <c r="M2340" s="17"/>
      <c r="N2340" s="17"/>
      <c r="O2340" s="17"/>
      <c r="P2340" s="17"/>
      <c r="Q2340" s="17"/>
    </row>
    <row r="2341" spans="1:17">
      <c r="A2341" s="556" t="s">
        <v>3625</v>
      </c>
      <c r="B2341" s="557"/>
      <c r="C2341" s="558" t="s">
        <v>2206</v>
      </c>
      <c r="D2341" s="556" t="s">
        <v>1694</v>
      </c>
      <c r="E2341" s="17" t="s">
        <v>5789</v>
      </c>
      <c r="F2341" s="17">
        <v>11</v>
      </c>
      <c r="G2341" s="17">
        <v>2</v>
      </c>
      <c r="H2341" s="17" t="s">
        <v>3367</v>
      </c>
      <c r="I2341" s="17"/>
      <c r="J2341" s="17"/>
      <c r="K2341" s="17"/>
      <c r="L2341" s="17"/>
      <c r="M2341" s="17"/>
      <c r="N2341" s="17"/>
      <c r="O2341" s="17"/>
      <c r="P2341" s="17"/>
      <c r="Q2341" s="17"/>
    </row>
    <row r="2342" spans="1:17">
      <c r="A2342" s="556" t="s">
        <v>3625</v>
      </c>
      <c r="B2342" s="557"/>
      <c r="C2342" s="558" t="s">
        <v>2206</v>
      </c>
      <c r="D2342" s="556" t="s">
        <v>4324</v>
      </c>
      <c r="E2342" s="17" t="s">
        <v>5790</v>
      </c>
      <c r="F2342" s="17">
        <v>11</v>
      </c>
      <c r="G2342" s="17">
        <v>3</v>
      </c>
      <c r="H2342" s="17" t="s">
        <v>3368</v>
      </c>
      <c r="I2342" s="17"/>
      <c r="J2342" s="17"/>
      <c r="K2342" s="17"/>
      <c r="L2342" s="17"/>
      <c r="M2342" s="17"/>
      <c r="N2342" s="17"/>
      <c r="O2342" s="17"/>
      <c r="P2342" s="17"/>
      <c r="Q2342" s="17"/>
    </row>
    <row r="2343" spans="1:17">
      <c r="A2343" s="556" t="s">
        <v>3625</v>
      </c>
      <c r="B2343" s="557"/>
      <c r="C2343" s="558" t="s">
        <v>5791</v>
      </c>
      <c r="D2343" s="556" t="s">
        <v>1693</v>
      </c>
      <c r="E2343" s="17" t="s">
        <v>5792</v>
      </c>
      <c r="F2343" s="17">
        <v>12</v>
      </c>
      <c r="G2343" s="17">
        <v>1</v>
      </c>
      <c r="H2343" s="17" t="s">
        <v>3370</v>
      </c>
      <c r="I2343" s="17"/>
      <c r="J2343" s="17"/>
      <c r="K2343" s="17"/>
      <c r="L2343" s="17"/>
      <c r="M2343" s="17"/>
      <c r="N2343" s="17"/>
      <c r="O2343" s="17"/>
      <c r="P2343" s="17"/>
      <c r="Q2343" s="17"/>
    </row>
    <row r="2344" spans="1:17">
      <c r="A2344" s="556" t="s">
        <v>3625</v>
      </c>
      <c r="B2344" s="557"/>
      <c r="C2344" s="558" t="s">
        <v>5791</v>
      </c>
      <c r="D2344" s="556" t="s">
        <v>1694</v>
      </c>
      <c r="E2344" s="17" t="s">
        <v>5793</v>
      </c>
      <c r="F2344" s="17">
        <v>12</v>
      </c>
      <c r="G2344" s="17">
        <v>2</v>
      </c>
      <c r="H2344" s="17" t="s">
        <v>3371</v>
      </c>
      <c r="I2344" s="17"/>
      <c r="J2344" s="17"/>
      <c r="K2344" s="17"/>
      <c r="L2344" s="17"/>
      <c r="M2344" s="17"/>
      <c r="N2344" s="17"/>
      <c r="O2344" s="17"/>
      <c r="P2344" s="17"/>
      <c r="Q2344" s="17"/>
    </row>
    <row r="2345" spans="1:17">
      <c r="A2345" s="556" t="s">
        <v>3625</v>
      </c>
      <c r="B2345" s="557"/>
      <c r="C2345" s="558" t="s">
        <v>5791</v>
      </c>
      <c r="D2345" s="556" t="s">
        <v>4324</v>
      </c>
      <c r="E2345" s="17" t="s">
        <v>5794</v>
      </c>
      <c r="F2345" s="17">
        <v>12</v>
      </c>
      <c r="G2345" s="17">
        <v>3</v>
      </c>
      <c r="H2345" s="17" t="s">
        <v>3372</v>
      </c>
      <c r="I2345" s="17"/>
      <c r="J2345" s="17"/>
      <c r="K2345" s="17"/>
      <c r="L2345" s="17"/>
      <c r="M2345" s="17"/>
      <c r="N2345" s="17"/>
      <c r="O2345" s="17"/>
      <c r="P2345" s="17"/>
      <c r="Q2345" s="17"/>
    </row>
    <row r="2346" spans="1:17">
      <c r="A2346" s="556" t="s">
        <v>3625</v>
      </c>
      <c r="B2346" s="557"/>
      <c r="C2346" s="558" t="s">
        <v>2208</v>
      </c>
      <c r="D2346" s="556" t="s">
        <v>1693</v>
      </c>
      <c r="E2346" s="17" t="s">
        <v>5795</v>
      </c>
      <c r="F2346" s="17">
        <v>13</v>
      </c>
      <c r="G2346" s="17">
        <v>1</v>
      </c>
      <c r="H2346" s="17" t="s">
        <v>3374</v>
      </c>
      <c r="I2346" s="17"/>
      <c r="J2346" s="17"/>
      <c r="K2346" s="17"/>
      <c r="L2346" s="17"/>
      <c r="M2346" s="17"/>
      <c r="N2346" s="17"/>
      <c r="O2346" s="17"/>
      <c r="P2346" s="17"/>
      <c r="Q2346" s="17"/>
    </row>
    <row r="2347" spans="1:17">
      <c r="A2347" s="556" t="s">
        <v>3625</v>
      </c>
      <c r="B2347" s="557"/>
      <c r="C2347" s="558" t="s">
        <v>2208</v>
      </c>
      <c r="D2347" s="556" t="s">
        <v>1694</v>
      </c>
      <c r="E2347" s="17" t="s">
        <v>5796</v>
      </c>
      <c r="F2347" s="17">
        <v>13</v>
      </c>
      <c r="G2347" s="17">
        <v>2</v>
      </c>
      <c r="H2347" s="17" t="s">
        <v>3375</v>
      </c>
      <c r="I2347" s="17"/>
      <c r="J2347" s="17"/>
      <c r="K2347" s="17"/>
      <c r="L2347" s="17"/>
      <c r="M2347" s="17"/>
      <c r="N2347" s="17"/>
      <c r="O2347" s="17"/>
      <c r="P2347" s="17"/>
      <c r="Q2347" s="17"/>
    </row>
    <row r="2348" spans="1:17">
      <c r="A2348" s="556" t="s">
        <v>3625</v>
      </c>
      <c r="B2348" s="557"/>
      <c r="C2348" s="558" t="s">
        <v>2208</v>
      </c>
      <c r="D2348" s="556" t="s">
        <v>4324</v>
      </c>
      <c r="E2348" s="17" t="s">
        <v>5797</v>
      </c>
      <c r="F2348" s="17">
        <v>13</v>
      </c>
      <c r="G2348" s="17">
        <v>3</v>
      </c>
      <c r="H2348" s="17" t="s">
        <v>3376</v>
      </c>
      <c r="I2348" s="17"/>
      <c r="J2348" s="17"/>
      <c r="K2348" s="17"/>
      <c r="L2348" s="17"/>
      <c r="M2348" s="17"/>
      <c r="N2348" s="17"/>
      <c r="O2348" s="17"/>
      <c r="P2348" s="17"/>
      <c r="Q2348" s="17"/>
    </row>
    <row r="2349" spans="1:17">
      <c r="A2349" s="556" t="s">
        <v>3625</v>
      </c>
      <c r="B2349" s="557"/>
      <c r="C2349" s="558" t="s">
        <v>2209</v>
      </c>
      <c r="D2349" s="556" t="s">
        <v>1693</v>
      </c>
      <c r="E2349" s="17" t="s">
        <v>5798</v>
      </c>
      <c r="F2349" s="17">
        <v>14</v>
      </c>
      <c r="G2349" s="17">
        <v>1</v>
      </c>
      <c r="H2349" s="17" t="s">
        <v>3378</v>
      </c>
      <c r="I2349" s="17"/>
      <c r="J2349" s="17"/>
      <c r="K2349" s="17"/>
      <c r="L2349" s="17"/>
      <c r="M2349" s="17"/>
      <c r="N2349" s="17"/>
      <c r="O2349" s="17"/>
      <c r="P2349" s="17"/>
      <c r="Q2349" s="17"/>
    </row>
    <row r="2350" spans="1:17">
      <c r="A2350" s="556" t="s">
        <v>3625</v>
      </c>
      <c r="B2350" s="557"/>
      <c r="C2350" s="558" t="s">
        <v>2209</v>
      </c>
      <c r="D2350" s="556" t="s">
        <v>1694</v>
      </c>
      <c r="E2350" s="17" t="s">
        <v>5799</v>
      </c>
      <c r="F2350" s="17">
        <v>14</v>
      </c>
      <c r="G2350" s="17">
        <v>2</v>
      </c>
      <c r="H2350" s="17" t="s">
        <v>3379</v>
      </c>
      <c r="I2350" s="17"/>
      <c r="J2350" s="17"/>
      <c r="K2350" s="17"/>
      <c r="L2350" s="17"/>
      <c r="M2350" s="17"/>
      <c r="N2350" s="17"/>
      <c r="O2350" s="17"/>
      <c r="P2350" s="17"/>
      <c r="Q2350" s="17"/>
    </row>
    <row r="2351" spans="1:17">
      <c r="A2351" s="556" t="s">
        <v>3625</v>
      </c>
      <c r="B2351" s="557"/>
      <c r="C2351" s="558" t="s">
        <v>2209</v>
      </c>
      <c r="D2351" s="556" t="s">
        <v>4324</v>
      </c>
      <c r="E2351" s="17" t="s">
        <v>5800</v>
      </c>
      <c r="F2351" s="17">
        <v>14</v>
      </c>
      <c r="G2351" s="17">
        <v>3</v>
      </c>
      <c r="H2351" s="17" t="s">
        <v>3380</v>
      </c>
      <c r="I2351" s="17"/>
      <c r="J2351" s="17"/>
      <c r="K2351" s="17"/>
      <c r="L2351" s="17"/>
      <c r="M2351" s="17"/>
      <c r="N2351" s="17"/>
      <c r="O2351" s="17"/>
      <c r="P2351" s="17"/>
      <c r="Q2351" s="17"/>
    </row>
    <row r="2352" spans="1:17">
      <c r="A2352" s="556" t="s">
        <v>3625</v>
      </c>
      <c r="B2352" s="557"/>
      <c r="C2352" s="558" t="s">
        <v>2210</v>
      </c>
      <c r="D2352" s="556" t="s">
        <v>1693</v>
      </c>
      <c r="E2352" s="17" t="s">
        <v>5801</v>
      </c>
      <c r="F2352" s="17">
        <v>15</v>
      </c>
      <c r="G2352" s="17">
        <v>1</v>
      </c>
      <c r="H2352" s="17" t="s">
        <v>3382</v>
      </c>
      <c r="I2352" s="17"/>
      <c r="J2352" s="17"/>
      <c r="K2352" s="17"/>
      <c r="L2352" s="17"/>
      <c r="M2352" s="17"/>
      <c r="N2352" s="17"/>
      <c r="O2352" s="17"/>
      <c r="P2352" s="17"/>
      <c r="Q2352" s="17"/>
    </row>
    <row r="2353" spans="1:17">
      <c r="A2353" s="556" t="s">
        <v>3625</v>
      </c>
      <c r="B2353" s="557"/>
      <c r="C2353" s="558" t="s">
        <v>2210</v>
      </c>
      <c r="D2353" s="556" t="s">
        <v>1694</v>
      </c>
      <c r="E2353" s="17" t="s">
        <v>5802</v>
      </c>
      <c r="F2353" s="17">
        <v>15</v>
      </c>
      <c r="G2353" s="17">
        <v>2</v>
      </c>
      <c r="H2353" s="17" t="s">
        <v>3383</v>
      </c>
      <c r="I2353" s="17"/>
      <c r="J2353" s="17"/>
      <c r="K2353" s="17"/>
      <c r="L2353" s="17"/>
      <c r="M2353" s="17"/>
      <c r="N2353" s="17"/>
      <c r="O2353" s="17"/>
      <c r="P2353" s="17"/>
      <c r="Q2353" s="17"/>
    </row>
    <row r="2354" spans="1:17">
      <c r="A2354" s="556" t="s">
        <v>3625</v>
      </c>
      <c r="B2354" s="557"/>
      <c r="C2354" s="558" t="s">
        <v>2210</v>
      </c>
      <c r="D2354" s="556" t="s">
        <v>4324</v>
      </c>
      <c r="E2354" s="17" t="s">
        <v>5803</v>
      </c>
      <c r="F2354" s="17">
        <v>15</v>
      </c>
      <c r="G2354" s="17">
        <v>3</v>
      </c>
      <c r="H2354" s="17" t="s">
        <v>3384</v>
      </c>
      <c r="I2354" s="17"/>
      <c r="J2354" s="17"/>
      <c r="K2354" s="17"/>
      <c r="L2354" s="17"/>
      <c r="M2354" s="17"/>
      <c r="N2354" s="17"/>
      <c r="O2354" s="17"/>
      <c r="P2354" s="17"/>
      <c r="Q2354" s="17"/>
    </row>
    <row r="2355" spans="1:17">
      <c r="A2355" s="556" t="s">
        <v>3625</v>
      </c>
      <c r="B2355" s="557"/>
      <c r="C2355" s="558" t="s">
        <v>1578</v>
      </c>
      <c r="D2355" s="556" t="s">
        <v>1693</v>
      </c>
      <c r="E2355" s="17" t="s">
        <v>5804</v>
      </c>
      <c r="F2355" s="17">
        <v>16</v>
      </c>
      <c r="G2355" s="17">
        <v>1</v>
      </c>
      <c r="H2355" s="17" t="s">
        <v>3386</v>
      </c>
      <c r="I2355" s="17">
        <v>0</v>
      </c>
      <c r="J2355" s="17"/>
      <c r="K2355" s="17"/>
      <c r="L2355" s="17"/>
      <c r="M2355" s="17"/>
      <c r="N2355" s="17"/>
      <c r="O2355" s="17"/>
      <c r="P2355" s="17"/>
      <c r="Q2355" s="17"/>
    </row>
    <row r="2356" spans="1:17">
      <c r="A2356" s="556" t="s">
        <v>3625</v>
      </c>
      <c r="B2356" s="557"/>
      <c r="C2356" s="558" t="s">
        <v>1578</v>
      </c>
      <c r="D2356" s="556" t="s">
        <v>1694</v>
      </c>
      <c r="E2356" s="17" t="s">
        <v>5805</v>
      </c>
      <c r="F2356" s="17">
        <v>16</v>
      </c>
      <c r="G2356" s="17">
        <v>2</v>
      </c>
      <c r="H2356" s="17" t="s">
        <v>3387</v>
      </c>
      <c r="I2356" s="17">
        <v>0</v>
      </c>
      <c r="J2356" s="17"/>
      <c r="K2356" s="17"/>
      <c r="L2356" s="17"/>
      <c r="M2356" s="17"/>
      <c r="N2356" s="17"/>
      <c r="O2356" s="17"/>
      <c r="P2356" s="17"/>
      <c r="Q2356" s="17"/>
    </row>
    <row r="2357" spans="1:17">
      <c r="A2357" s="556" t="s">
        <v>3625</v>
      </c>
      <c r="B2357" s="557"/>
      <c r="C2357" s="558" t="s">
        <v>1578</v>
      </c>
      <c r="D2357" s="556" t="s">
        <v>4324</v>
      </c>
      <c r="E2357" s="17" t="s">
        <v>5806</v>
      </c>
      <c r="F2357" s="17">
        <v>16</v>
      </c>
      <c r="G2357" s="17">
        <v>3</v>
      </c>
      <c r="H2357" s="17" t="s">
        <v>3388</v>
      </c>
      <c r="I2357" s="17"/>
      <c r="J2357" s="17"/>
      <c r="K2357" s="17"/>
      <c r="L2357" s="17"/>
      <c r="M2357" s="17"/>
      <c r="N2357" s="17"/>
      <c r="O2357" s="17"/>
      <c r="P2357" s="17"/>
      <c r="Q2357" s="17"/>
    </row>
    <row r="2358" spans="1:17">
      <c r="A2358" s="556" t="s">
        <v>3626</v>
      </c>
      <c r="B2358" s="557"/>
      <c r="C2358" s="558" t="s">
        <v>2213</v>
      </c>
      <c r="D2358" s="556" t="s">
        <v>1693</v>
      </c>
      <c r="E2358" s="17" t="s">
        <v>5807</v>
      </c>
      <c r="F2358" s="17">
        <v>1</v>
      </c>
      <c r="G2358" s="17">
        <v>1</v>
      </c>
      <c r="H2358" s="17" t="s">
        <v>3692</v>
      </c>
      <c r="I2358" s="17"/>
      <c r="J2358" s="17"/>
      <c r="K2358" s="17"/>
      <c r="L2358" s="17"/>
      <c r="M2358" s="17"/>
      <c r="N2358" s="17"/>
      <c r="O2358" s="17"/>
      <c r="P2358" s="17"/>
      <c r="Q2358" s="17"/>
    </row>
    <row r="2359" spans="1:17">
      <c r="A2359" s="556" t="s">
        <v>3626</v>
      </c>
      <c r="B2359" s="557"/>
      <c r="C2359" s="558" t="s">
        <v>2213</v>
      </c>
      <c r="D2359" s="556" t="s">
        <v>1694</v>
      </c>
      <c r="E2359" s="17" t="s">
        <v>5808</v>
      </c>
      <c r="F2359" s="17">
        <v>1</v>
      </c>
      <c r="G2359" s="17">
        <v>2</v>
      </c>
      <c r="H2359" s="17" t="s">
        <v>3701</v>
      </c>
      <c r="I2359" s="17"/>
      <c r="J2359" s="17"/>
      <c r="K2359" s="17"/>
      <c r="L2359" s="17"/>
      <c r="M2359" s="17"/>
      <c r="N2359" s="17"/>
      <c r="O2359" s="17"/>
      <c r="P2359" s="17"/>
      <c r="Q2359" s="17"/>
    </row>
    <row r="2360" spans="1:17">
      <c r="A2360" s="556" t="s">
        <v>3626</v>
      </c>
      <c r="B2360" s="557"/>
      <c r="C2360" s="558" t="s">
        <v>2213</v>
      </c>
      <c r="D2360" s="556" t="s">
        <v>4324</v>
      </c>
      <c r="E2360" s="17" t="s">
        <v>5809</v>
      </c>
      <c r="F2360" s="17">
        <v>1</v>
      </c>
      <c r="G2360" s="17">
        <v>3</v>
      </c>
      <c r="H2360" s="17" t="s">
        <v>3714</v>
      </c>
      <c r="I2360" s="17"/>
      <c r="J2360" s="17"/>
      <c r="K2360" s="17"/>
      <c r="L2360" s="17"/>
      <c r="M2360" s="17"/>
      <c r="N2360" s="17"/>
      <c r="O2360" s="17"/>
      <c r="P2360" s="17"/>
      <c r="Q2360" s="17"/>
    </row>
    <row r="2361" spans="1:17">
      <c r="A2361" s="556" t="s">
        <v>3626</v>
      </c>
      <c r="B2361" s="557"/>
      <c r="C2361" s="558" t="s">
        <v>2214</v>
      </c>
      <c r="D2361" s="556" t="s">
        <v>1693</v>
      </c>
      <c r="E2361" s="17" t="s">
        <v>5810</v>
      </c>
      <c r="F2361" s="17">
        <v>2</v>
      </c>
      <c r="G2361" s="17">
        <v>1</v>
      </c>
      <c r="H2361" s="17" t="s">
        <v>3518</v>
      </c>
      <c r="I2361" s="17"/>
      <c r="J2361" s="17"/>
      <c r="K2361" s="17"/>
      <c r="L2361" s="17"/>
      <c r="M2361" s="17"/>
      <c r="N2361" s="17"/>
      <c r="O2361" s="17"/>
      <c r="P2361" s="17"/>
      <c r="Q2361" s="17"/>
    </row>
    <row r="2362" spans="1:17">
      <c r="A2362" s="556" t="s">
        <v>3626</v>
      </c>
      <c r="B2362" s="557"/>
      <c r="C2362" s="558" t="s">
        <v>2214</v>
      </c>
      <c r="D2362" s="556" t="s">
        <v>1694</v>
      </c>
      <c r="E2362" s="17" t="s">
        <v>5811</v>
      </c>
      <c r="F2362" s="17">
        <v>2</v>
      </c>
      <c r="G2362" s="17">
        <v>2</v>
      </c>
      <c r="H2362" s="17" t="s">
        <v>3519</v>
      </c>
      <c r="I2362" s="17"/>
      <c r="J2362" s="17"/>
      <c r="K2362" s="17"/>
      <c r="L2362" s="17"/>
      <c r="M2362" s="17"/>
      <c r="N2362" s="17"/>
      <c r="O2362" s="17"/>
      <c r="P2362" s="17"/>
      <c r="Q2362" s="17"/>
    </row>
    <row r="2363" spans="1:17">
      <c r="A2363" s="556" t="s">
        <v>3626</v>
      </c>
      <c r="B2363" s="557"/>
      <c r="C2363" s="558" t="s">
        <v>2214</v>
      </c>
      <c r="D2363" s="556" t="s">
        <v>4324</v>
      </c>
      <c r="E2363" s="17" t="s">
        <v>5812</v>
      </c>
      <c r="F2363" s="17">
        <v>2</v>
      </c>
      <c r="G2363" s="17">
        <v>3</v>
      </c>
      <c r="H2363" s="17" t="s">
        <v>3520</v>
      </c>
      <c r="I2363" s="17"/>
      <c r="J2363" s="17"/>
      <c r="K2363" s="17"/>
      <c r="L2363" s="17"/>
      <c r="M2363" s="17"/>
      <c r="N2363" s="17"/>
      <c r="O2363" s="17"/>
      <c r="P2363" s="17"/>
      <c r="Q2363" s="17"/>
    </row>
    <row r="2364" spans="1:17">
      <c r="A2364" s="556" t="s">
        <v>3626</v>
      </c>
      <c r="B2364" s="557"/>
      <c r="C2364" s="558" t="s">
        <v>2215</v>
      </c>
      <c r="D2364" s="556" t="s">
        <v>1693</v>
      </c>
      <c r="E2364" s="17" t="s">
        <v>5813</v>
      </c>
      <c r="F2364" s="17">
        <v>3</v>
      </c>
      <c r="G2364" s="17">
        <v>1</v>
      </c>
      <c r="H2364" s="17" t="s">
        <v>2990</v>
      </c>
      <c r="I2364" s="17"/>
      <c r="J2364" s="17"/>
      <c r="K2364" s="17"/>
      <c r="L2364" s="17"/>
      <c r="M2364" s="17"/>
      <c r="N2364" s="17"/>
      <c r="O2364" s="17"/>
      <c r="P2364" s="17"/>
      <c r="Q2364" s="17"/>
    </row>
    <row r="2365" spans="1:17">
      <c r="A2365" s="556" t="s">
        <v>3626</v>
      </c>
      <c r="B2365" s="557"/>
      <c r="C2365" s="558" t="s">
        <v>2215</v>
      </c>
      <c r="D2365" s="556" t="s">
        <v>1694</v>
      </c>
      <c r="E2365" s="17" t="s">
        <v>5814</v>
      </c>
      <c r="F2365" s="17">
        <v>3</v>
      </c>
      <c r="G2365" s="17">
        <v>2</v>
      </c>
      <c r="H2365" s="17" t="s">
        <v>3338</v>
      </c>
      <c r="I2365" s="17"/>
      <c r="J2365" s="17"/>
      <c r="K2365" s="17"/>
      <c r="L2365" s="17"/>
      <c r="M2365" s="17"/>
      <c r="N2365" s="17"/>
      <c r="O2365" s="17"/>
      <c r="P2365" s="17"/>
      <c r="Q2365" s="17"/>
    </row>
    <row r="2366" spans="1:17">
      <c r="A2366" s="556" t="s">
        <v>3626</v>
      </c>
      <c r="B2366" s="557"/>
      <c r="C2366" s="558" t="s">
        <v>2215</v>
      </c>
      <c r="D2366" s="556" t="s">
        <v>4324</v>
      </c>
      <c r="E2366" s="17" t="s">
        <v>5815</v>
      </c>
      <c r="F2366" s="17">
        <v>3</v>
      </c>
      <c r="G2366" s="17">
        <v>3</v>
      </c>
      <c r="H2366" s="17" t="s">
        <v>2991</v>
      </c>
      <c r="I2366" s="17"/>
      <c r="J2366" s="17"/>
      <c r="K2366" s="17"/>
      <c r="L2366" s="17"/>
      <c r="M2366" s="17"/>
      <c r="N2366" s="17"/>
      <c r="O2366" s="17"/>
      <c r="P2366" s="17"/>
      <c r="Q2366" s="17"/>
    </row>
    <row r="2367" spans="1:17">
      <c r="A2367" s="556" t="s">
        <v>3626</v>
      </c>
      <c r="B2367" s="557"/>
      <c r="C2367" s="558" t="s">
        <v>2216</v>
      </c>
      <c r="D2367" s="556" t="s">
        <v>1693</v>
      </c>
      <c r="E2367" s="17" t="s">
        <v>5816</v>
      </c>
      <c r="F2367" s="17">
        <v>4</v>
      </c>
      <c r="G2367" s="17">
        <v>1</v>
      </c>
      <c r="H2367" s="17" t="s">
        <v>3339</v>
      </c>
      <c r="I2367" s="17"/>
      <c r="J2367" s="17"/>
      <c r="K2367" s="17"/>
      <c r="L2367" s="17"/>
      <c r="M2367" s="17"/>
      <c r="N2367" s="17"/>
      <c r="O2367" s="17"/>
      <c r="P2367" s="17"/>
      <c r="Q2367" s="17"/>
    </row>
    <row r="2368" spans="1:17">
      <c r="A2368" s="556" t="s">
        <v>3626</v>
      </c>
      <c r="B2368" s="557"/>
      <c r="C2368" s="558" t="s">
        <v>2216</v>
      </c>
      <c r="D2368" s="556" t="s">
        <v>1694</v>
      </c>
      <c r="E2368" s="17" t="s">
        <v>5817</v>
      </c>
      <c r="F2368" s="17">
        <v>4</v>
      </c>
      <c r="G2368" s="17">
        <v>2</v>
      </c>
      <c r="H2368" s="17" t="s">
        <v>3340</v>
      </c>
      <c r="I2368" s="17"/>
      <c r="J2368" s="17"/>
      <c r="K2368" s="17"/>
      <c r="L2368" s="17"/>
      <c r="M2368" s="17"/>
      <c r="N2368" s="17"/>
      <c r="O2368" s="17"/>
      <c r="P2368" s="17"/>
      <c r="Q2368" s="17"/>
    </row>
    <row r="2369" spans="1:17">
      <c r="A2369" s="556" t="s">
        <v>3626</v>
      </c>
      <c r="B2369" s="557"/>
      <c r="C2369" s="558" t="s">
        <v>2216</v>
      </c>
      <c r="D2369" s="556" t="s">
        <v>4324</v>
      </c>
      <c r="E2369" s="17" t="s">
        <v>5818</v>
      </c>
      <c r="F2369" s="17">
        <v>4</v>
      </c>
      <c r="G2369" s="17">
        <v>3</v>
      </c>
      <c r="H2369" s="17" t="s">
        <v>3341</v>
      </c>
      <c r="I2369" s="17"/>
      <c r="J2369" s="17"/>
      <c r="K2369" s="17"/>
      <c r="L2369" s="17"/>
      <c r="M2369" s="17"/>
      <c r="N2369" s="17"/>
      <c r="O2369" s="17"/>
      <c r="P2369" s="17"/>
      <c r="Q2369" s="17"/>
    </row>
    <row r="2370" spans="1:17">
      <c r="A2370" s="556" t="s">
        <v>3626</v>
      </c>
      <c r="B2370" s="557"/>
      <c r="C2370" s="558" t="s">
        <v>2217</v>
      </c>
      <c r="D2370" s="556" t="s">
        <v>1693</v>
      </c>
      <c r="E2370" s="17" t="s">
        <v>5819</v>
      </c>
      <c r="F2370" s="17">
        <v>5</v>
      </c>
      <c r="G2370" s="17">
        <v>1</v>
      </c>
      <c r="H2370" s="17" t="s">
        <v>3343</v>
      </c>
      <c r="I2370" s="17"/>
      <c r="J2370" s="17"/>
      <c r="K2370" s="17"/>
      <c r="L2370" s="17"/>
      <c r="M2370" s="17"/>
      <c r="N2370" s="17"/>
      <c r="O2370" s="17"/>
      <c r="P2370" s="17"/>
      <c r="Q2370" s="17"/>
    </row>
    <row r="2371" spans="1:17">
      <c r="A2371" s="556" t="s">
        <v>3626</v>
      </c>
      <c r="B2371" s="557"/>
      <c r="C2371" s="558" t="s">
        <v>2217</v>
      </c>
      <c r="D2371" s="556" t="s">
        <v>1694</v>
      </c>
      <c r="E2371" s="17" t="s">
        <v>5820</v>
      </c>
      <c r="F2371" s="17">
        <v>5</v>
      </c>
      <c r="G2371" s="17">
        <v>2</v>
      </c>
      <c r="H2371" s="17" t="s">
        <v>3344</v>
      </c>
      <c r="I2371" s="17"/>
      <c r="J2371" s="17"/>
      <c r="K2371" s="17"/>
      <c r="L2371" s="17"/>
      <c r="M2371" s="17"/>
      <c r="N2371" s="17"/>
      <c r="O2371" s="17"/>
      <c r="P2371" s="17"/>
      <c r="Q2371" s="17"/>
    </row>
    <row r="2372" spans="1:17">
      <c r="A2372" s="556" t="s">
        <v>3626</v>
      </c>
      <c r="B2372" s="557"/>
      <c r="C2372" s="558" t="s">
        <v>2217</v>
      </c>
      <c r="D2372" s="556" t="s">
        <v>4324</v>
      </c>
      <c r="E2372" s="17" t="s">
        <v>5821</v>
      </c>
      <c r="F2372" s="17">
        <v>5</v>
      </c>
      <c r="G2372" s="17">
        <v>3</v>
      </c>
      <c r="H2372" s="17" t="s">
        <v>3345</v>
      </c>
      <c r="I2372" s="17"/>
      <c r="J2372" s="17"/>
      <c r="K2372" s="17"/>
      <c r="L2372" s="17"/>
      <c r="M2372" s="17"/>
      <c r="N2372" s="17"/>
      <c r="O2372" s="17"/>
      <c r="P2372" s="17"/>
      <c r="Q2372" s="17"/>
    </row>
    <row r="2373" spans="1:17">
      <c r="A2373" s="556" t="s">
        <v>3626</v>
      </c>
      <c r="B2373" s="557"/>
      <c r="C2373" s="558" t="s">
        <v>1578</v>
      </c>
      <c r="D2373" s="556" t="s">
        <v>1693</v>
      </c>
      <c r="E2373" s="17" t="s">
        <v>5822</v>
      </c>
      <c r="F2373" s="17">
        <v>6</v>
      </c>
      <c r="G2373" s="17">
        <v>1</v>
      </c>
      <c r="H2373" s="17" t="s">
        <v>3347</v>
      </c>
      <c r="I2373" s="17">
        <v>0</v>
      </c>
      <c r="J2373" s="17"/>
      <c r="K2373" s="17"/>
      <c r="L2373" s="17"/>
      <c r="M2373" s="17"/>
      <c r="N2373" s="17"/>
      <c r="O2373" s="17"/>
      <c r="P2373" s="17"/>
      <c r="Q2373" s="17"/>
    </row>
    <row r="2374" spans="1:17">
      <c r="A2374" s="556" t="s">
        <v>3626</v>
      </c>
      <c r="B2374" s="557"/>
      <c r="C2374" s="558" t="s">
        <v>1578</v>
      </c>
      <c r="D2374" s="556" t="s">
        <v>1694</v>
      </c>
      <c r="E2374" s="17" t="s">
        <v>5823</v>
      </c>
      <c r="F2374" s="17">
        <v>6</v>
      </c>
      <c r="G2374" s="17">
        <v>2</v>
      </c>
      <c r="H2374" s="17" t="s">
        <v>3348</v>
      </c>
      <c r="I2374" s="17">
        <v>0</v>
      </c>
      <c r="J2374" s="17"/>
      <c r="K2374" s="17"/>
      <c r="L2374" s="17"/>
      <c r="M2374" s="17"/>
      <c r="N2374" s="17"/>
      <c r="O2374" s="17"/>
      <c r="P2374" s="17"/>
      <c r="Q2374" s="17"/>
    </row>
    <row r="2375" spans="1:17">
      <c r="A2375" s="556" t="s">
        <v>3626</v>
      </c>
      <c r="B2375" s="557"/>
      <c r="C2375" s="558" t="s">
        <v>1578</v>
      </c>
      <c r="D2375" s="556" t="s">
        <v>4324</v>
      </c>
      <c r="E2375" s="17" t="s">
        <v>5824</v>
      </c>
      <c r="F2375" s="17">
        <v>6</v>
      </c>
      <c r="G2375" s="17">
        <v>3</v>
      </c>
      <c r="H2375" s="17" t="s">
        <v>3349</v>
      </c>
      <c r="I2375" s="17"/>
      <c r="J2375" s="17"/>
      <c r="K2375" s="17"/>
      <c r="L2375" s="17"/>
      <c r="M2375" s="17"/>
      <c r="N2375" s="17"/>
      <c r="O2375" s="17"/>
      <c r="P2375" s="17"/>
      <c r="Q2375" s="17"/>
    </row>
    <row r="2376" spans="1:17">
      <c r="A2376" s="556" t="s">
        <v>3627</v>
      </c>
      <c r="B2376" s="557"/>
      <c r="C2376" s="558" t="s">
        <v>2221</v>
      </c>
      <c r="D2376" s="556" t="s">
        <v>1693</v>
      </c>
      <c r="E2376" s="17" t="s">
        <v>5825</v>
      </c>
      <c r="F2376" s="17">
        <v>1</v>
      </c>
      <c r="G2376" s="17">
        <v>1</v>
      </c>
      <c r="H2376" s="17" t="s">
        <v>3692</v>
      </c>
      <c r="I2376" s="17"/>
      <c r="J2376" s="17"/>
      <c r="K2376" s="17"/>
      <c r="L2376" s="17"/>
      <c r="M2376" s="17"/>
      <c r="N2376" s="17"/>
      <c r="O2376" s="17"/>
      <c r="P2376" s="17"/>
      <c r="Q2376" s="17"/>
    </row>
    <row r="2377" spans="1:17">
      <c r="A2377" s="556" t="s">
        <v>3627</v>
      </c>
      <c r="B2377" s="557"/>
      <c r="C2377" s="558" t="s">
        <v>2221</v>
      </c>
      <c r="D2377" s="556" t="s">
        <v>1694</v>
      </c>
      <c r="E2377" s="17" t="s">
        <v>5826</v>
      </c>
      <c r="F2377" s="17">
        <v>1</v>
      </c>
      <c r="G2377" s="17">
        <v>2</v>
      </c>
      <c r="H2377" s="17" t="s">
        <v>3701</v>
      </c>
      <c r="I2377" s="17"/>
      <c r="J2377" s="17"/>
      <c r="K2377" s="17"/>
      <c r="L2377" s="17"/>
      <c r="M2377" s="17"/>
      <c r="N2377" s="17"/>
      <c r="O2377" s="17"/>
      <c r="P2377" s="17"/>
      <c r="Q2377" s="17"/>
    </row>
    <row r="2378" spans="1:17">
      <c r="A2378" s="556" t="s">
        <v>3627</v>
      </c>
      <c r="B2378" s="557"/>
      <c r="C2378" s="558" t="s">
        <v>2221</v>
      </c>
      <c r="D2378" s="556" t="s">
        <v>4324</v>
      </c>
      <c r="E2378" s="17" t="s">
        <v>5827</v>
      </c>
      <c r="F2378" s="17">
        <v>1</v>
      </c>
      <c r="G2378" s="17">
        <v>3</v>
      </c>
      <c r="H2378" s="17" t="s">
        <v>3714</v>
      </c>
      <c r="I2378" s="17"/>
      <c r="J2378" s="17"/>
      <c r="K2378" s="17"/>
      <c r="L2378" s="17"/>
      <c r="M2378" s="17"/>
      <c r="N2378" s="17"/>
      <c r="O2378" s="17"/>
      <c r="P2378" s="17"/>
      <c r="Q2378" s="17"/>
    </row>
    <row r="2379" spans="1:17">
      <c r="A2379" s="556" t="s">
        <v>3627</v>
      </c>
      <c r="B2379" s="557"/>
      <c r="C2379" s="558" t="s">
        <v>2222</v>
      </c>
      <c r="D2379" s="556" t="s">
        <v>1693</v>
      </c>
      <c r="E2379" s="17" t="s">
        <v>5828</v>
      </c>
      <c r="F2379" s="17">
        <v>2</v>
      </c>
      <c r="G2379" s="17">
        <v>1</v>
      </c>
      <c r="H2379" s="17" t="s">
        <v>3518</v>
      </c>
      <c r="I2379" s="17"/>
      <c r="J2379" s="17"/>
      <c r="K2379" s="17"/>
      <c r="L2379" s="17"/>
      <c r="M2379" s="17"/>
      <c r="N2379" s="17"/>
      <c r="O2379" s="17"/>
      <c r="P2379" s="17"/>
      <c r="Q2379" s="17"/>
    </row>
    <row r="2380" spans="1:17">
      <c r="A2380" s="556" t="s">
        <v>3627</v>
      </c>
      <c r="B2380" s="557"/>
      <c r="C2380" s="558" t="s">
        <v>2222</v>
      </c>
      <c r="D2380" s="556" t="s">
        <v>1694</v>
      </c>
      <c r="E2380" s="17" t="s">
        <v>5829</v>
      </c>
      <c r="F2380" s="17">
        <v>2</v>
      </c>
      <c r="G2380" s="17">
        <v>2</v>
      </c>
      <c r="H2380" s="17" t="s">
        <v>3519</v>
      </c>
      <c r="I2380" s="17"/>
      <c r="J2380" s="17"/>
      <c r="K2380" s="17"/>
      <c r="L2380" s="17"/>
      <c r="M2380" s="17"/>
      <c r="N2380" s="17"/>
      <c r="O2380" s="17"/>
      <c r="P2380" s="17"/>
      <c r="Q2380" s="17"/>
    </row>
    <row r="2381" spans="1:17">
      <c r="A2381" s="556" t="s">
        <v>3627</v>
      </c>
      <c r="B2381" s="557"/>
      <c r="C2381" s="558" t="s">
        <v>2222</v>
      </c>
      <c r="D2381" s="556" t="s">
        <v>4324</v>
      </c>
      <c r="E2381" s="17" t="s">
        <v>5830</v>
      </c>
      <c r="F2381" s="17">
        <v>2</v>
      </c>
      <c r="G2381" s="17">
        <v>3</v>
      </c>
      <c r="H2381" s="17" t="s">
        <v>3520</v>
      </c>
      <c r="I2381" s="17"/>
      <c r="J2381" s="17"/>
      <c r="K2381" s="17"/>
      <c r="L2381" s="17"/>
      <c r="M2381" s="17"/>
      <c r="N2381" s="17"/>
      <c r="O2381" s="17"/>
      <c r="P2381" s="17"/>
      <c r="Q2381" s="17"/>
    </row>
    <row r="2382" spans="1:17">
      <c r="A2382" s="556" t="s">
        <v>3627</v>
      </c>
      <c r="B2382" s="557"/>
      <c r="C2382" s="558" t="s">
        <v>2223</v>
      </c>
      <c r="D2382" s="556" t="s">
        <v>1693</v>
      </c>
      <c r="E2382" s="17" t="s">
        <v>5831</v>
      </c>
      <c r="F2382" s="17">
        <v>3</v>
      </c>
      <c r="G2382" s="17">
        <v>1</v>
      </c>
      <c r="H2382" s="17" t="s">
        <v>2990</v>
      </c>
      <c r="I2382" s="17"/>
      <c r="J2382" s="17"/>
      <c r="K2382" s="17"/>
      <c r="L2382" s="17"/>
      <c r="M2382" s="17"/>
      <c r="N2382" s="17"/>
      <c r="O2382" s="17"/>
      <c r="P2382" s="17"/>
      <c r="Q2382" s="17"/>
    </row>
    <row r="2383" spans="1:17">
      <c r="A2383" s="556" t="s">
        <v>3627</v>
      </c>
      <c r="B2383" s="557"/>
      <c r="C2383" s="558" t="s">
        <v>2223</v>
      </c>
      <c r="D2383" s="556" t="s">
        <v>1694</v>
      </c>
      <c r="E2383" s="17" t="s">
        <v>5832</v>
      </c>
      <c r="F2383" s="17">
        <v>3</v>
      </c>
      <c r="G2383" s="17">
        <v>2</v>
      </c>
      <c r="H2383" s="17" t="s">
        <v>3338</v>
      </c>
      <c r="I2383" s="17"/>
      <c r="J2383" s="17"/>
      <c r="K2383" s="17"/>
      <c r="L2383" s="17"/>
      <c r="M2383" s="17"/>
      <c r="N2383" s="17"/>
      <c r="O2383" s="17"/>
      <c r="P2383" s="17"/>
      <c r="Q2383" s="17"/>
    </row>
    <row r="2384" spans="1:17">
      <c r="A2384" s="556" t="s">
        <v>3627</v>
      </c>
      <c r="B2384" s="557"/>
      <c r="C2384" s="558" t="s">
        <v>2223</v>
      </c>
      <c r="D2384" s="556" t="s">
        <v>4324</v>
      </c>
      <c r="E2384" s="17" t="s">
        <v>5833</v>
      </c>
      <c r="F2384" s="17">
        <v>3</v>
      </c>
      <c r="G2384" s="17">
        <v>3</v>
      </c>
      <c r="H2384" s="17" t="s">
        <v>2991</v>
      </c>
      <c r="I2384" s="17"/>
      <c r="J2384" s="17"/>
      <c r="K2384" s="17"/>
      <c r="L2384" s="17"/>
      <c r="M2384" s="17"/>
      <c r="N2384" s="17"/>
      <c r="O2384" s="17"/>
      <c r="P2384" s="17"/>
      <c r="Q2384" s="17"/>
    </row>
    <row r="2385" spans="1:17">
      <c r="A2385" s="556" t="s">
        <v>3627</v>
      </c>
      <c r="B2385" s="557"/>
      <c r="C2385" s="558" t="s">
        <v>2224</v>
      </c>
      <c r="D2385" s="556" t="s">
        <v>1693</v>
      </c>
      <c r="E2385" s="17" t="s">
        <v>5834</v>
      </c>
      <c r="F2385" s="17">
        <v>4</v>
      </c>
      <c r="G2385" s="17">
        <v>1</v>
      </c>
      <c r="H2385" s="17" t="s">
        <v>3339</v>
      </c>
      <c r="I2385" s="17"/>
      <c r="J2385" s="17"/>
      <c r="K2385" s="17"/>
      <c r="L2385" s="17"/>
      <c r="M2385" s="17"/>
      <c r="N2385" s="17"/>
      <c r="O2385" s="17"/>
      <c r="P2385" s="17"/>
      <c r="Q2385" s="17"/>
    </row>
    <row r="2386" spans="1:17">
      <c r="A2386" s="556" t="s">
        <v>3627</v>
      </c>
      <c r="B2386" s="557"/>
      <c r="C2386" s="558" t="s">
        <v>2224</v>
      </c>
      <c r="D2386" s="556" t="s">
        <v>1694</v>
      </c>
      <c r="E2386" s="17" t="s">
        <v>5835</v>
      </c>
      <c r="F2386" s="17">
        <v>4</v>
      </c>
      <c r="G2386" s="17">
        <v>2</v>
      </c>
      <c r="H2386" s="17" t="s">
        <v>3340</v>
      </c>
      <c r="I2386" s="17"/>
      <c r="J2386" s="17"/>
      <c r="K2386" s="17"/>
      <c r="L2386" s="17"/>
      <c r="M2386" s="17"/>
      <c r="N2386" s="17"/>
      <c r="O2386" s="17"/>
      <c r="P2386" s="17"/>
      <c r="Q2386" s="17"/>
    </row>
    <row r="2387" spans="1:17">
      <c r="A2387" s="556" t="s">
        <v>3627</v>
      </c>
      <c r="B2387" s="557"/>
      <c r="C2387" s="558" t="s">
        <v>2224</v>
      </c>
      <c r="D2387" s="556" t="s">
        <v>4324</v>
      </c>
      <c r="E2387" s="17" t="s">
        <v>5836</v>
      </c>
      <c r="F2387" s="17">
        <v>4</v>
      </c>
      <c r="G2387" s="17">
        <v>3</v>
      </c>
      <c r="H2387" s="17" t="s">
        <v>3341</v>
      </c>
      <c r="I2387" s="17"/>
      <c r="J2387" s="17"/>
      <c r="K2387" s="17"/>
      <c r="L2387" s="17"/>
      <c r="M2387" s="17"/>
      <c r="N2387" s="17"/>
      <c r="O2387" s="17"/>
      <c r="P2387" s="17"/>
      <c r="Q2387" s="17"/>
    </row>
    <row r="2388" spans="1:17">
      <c r="A2388" s="556" t="s">
        <v>3627</v>
      </c>
      <c r="B2388" s="557"/>
      <c r="C2388" s="558" t="s">
        <v>2225</v>
      </c>
      <c r="D2388" s="556" t="s">
        <v>1693</v>
      </c>
      <c r="E2388" s="17" t="s">
        <v>5837</v>
      </c>
      <c r="F2388" s="17">
        <v>5</v>
      </c>
      <c r="G2388" s="17">
        <v>1</v>
      </c>
      <c r="H2388" s="17" t="s">
        <v>3343</v>
      </c>
      <c r="I2388" s="17"/>
      <c r="J2388" s="17"/>
      <c r="K2388" s="17"/>
      <c r="L2388" s="17"/>
      <c r="M2388" s="17"/>
      <c r="N2388" s="17"/>
      <c r="O2388" s="17"/>
      <c r="P2388" s="17"/>
      <c r="Q2388" s="17"/>
    </row>
    <row r="2389" spans="1:17">
      <c r="A2389" s="556" t="s">
        <v>3627</v>
      </c>
      <c r="B2389" s="557"/>
      <c r="C2389" s="558" t="s">
        <v>2225</v>
      </c>
      <c r="D2389" s="556" t="s">
        <v>1694</v>
      </c>
      <c r="E2389" s="17" t="s">
        <v>5838</v>
      </c>
      <c r="F2389" s="17">
        <v>5</v>
      </c>
      <c r="G2389" s="17">
        <v>2</v>
      </c>
      <c r="H2389" s="17" t="s">
        <v>3344</v>
      </c>
      <c r="I2389" s="17"/>
      <c r="J2389" s="17"/>
      <c r="K2389" s="17"/>
      <c r="L2389" s="17"/>
      <c r="M2389" s="17"/>
      <c r="N2389" s="17"/>
      <c r="O2389" s="17"/>
      <c r="P2389" s="17"/>
      <c r="Q2389" s="17"/>
    </row>
    <row r="2390" spans="1:17">
      <c r="A2390" s="556" t="s">
        <v>3627</v>
      </c>
      <c r="B2390" s="557"/>
      <c r="C2390" s="558" t="s">
        <v>2225</v>
      </c>
      <c r="D2390" s="556" t="s">
        <v>4324</v>
      </c>
      <c r="E2390" s="17" t="s">
        <v>5839</v>
      </c>
      <c r="F2390" s="17">
        <v>5</v>
      </c>
      <c r="G2390" s="17">
        <v>3</v>
      </c>
      <c r="H2390" s="17" t="s">
        <v>3345</v>
      </c>
      <c r="I2390" s="17"/>
      <c r="J2390" s="17"/>
      <c r="K2390" s="17"/>
      <c r="L2390" s="17"/>
      <c r="M2390" s="17"/>
      <c r="N2390" s="17"/>
      <c r="O2390" s="17"/>
      <c r="P2390" s="17"/>
      <c r="Q2390" s="17"/>
    </row>
    <row r="2391" spans="1:17">
      <c r="A2391" s="556" t="s">
        <v>3627</v>
      </c>
      <c r="B2391" s="557"/>
      <c r="C2391" s="558" t="s">
        <v>2226</v>
      </c>
      <c r="D2391" s="556" t="s">
        <v>1693</v>
      </c>
      <c r="E2391" s="17" t="s">
        <v>5840</v>
      </c>
      <c r="F2391" s="17">
        <v>6</v>
      </c>
      <c r="G2391" s="17">
        <v>1</v>
      </c>
      <c r="H2391" s="17" t="s">
        <v>3347</v>
      </c>
      <c r="I2391" s="17"/>
      <c r="J2391" s="17"/>
      <c r="K2391" s="17"/>
      <c r="L2391" s="17"/>
      <c r="M2391" s="17"/>
      <c r="N2391" s="17"/>
      <c r="O2391" s="17"/>
      <c r="P2391" s="17"/>
      <c r="Q2391" s="17"/>
    </row>
    <row r="2392" spans="1:17">
      <c r="A2392" s="556" t="s">
        <v>3627</v>
      </c>
      <c r="B2392" s="557"/>
      <c r="C2392" s="558" t="s">
        <v>2226</v>
      </c>
      <c r="D2392" s="556" t="s">
        <v>1694</v>
      </c>
      <c r="E2392" s="17" t="s">
        <v>5841</v>
      </c>
      <c r="F2392" s="17">
        <v>6</v>
      </c>
      <c r="G2392" s="17">
        <v>2</v>
      </c>
      <c r="H2392" s="17" t="s">
        <v>3348</v>
      </c>
      <c r="I2392" s="17"/>
      <c r="J2392" s="17"/>
      <c r="K2392" s="17"/>
      <c r="L2392" s="17"/>
      <c r="M2392" s="17"/>
      <c r="N2392" s="17"/>
      <c r="O2392" s="17"/>
      <c r="P2392" s="17"/>
      <c r="Q2392" s="17"/>
    </row>
    <row r="2393" spans="1:17">
      <c r="A2393" s="556" t="s">
        <v>3627</v>
      </c>
      <c r="B2393" s="557"/>
      <c r="C2393" s="558" t="s">
        <v>2226</v>
      </c>
      <c r="D2393" s="556" t="s">
        <v>4324</v>
      </c>
      <c r="E2393" s="17" t="s">
        <v>5842</v>
      </c>
      <c r="F2393" s="17">
        <v>6</v>
      </c>
      <c r="G2393" s="17">
        <v>3</v>
      </c>
      <c r="H2393" s="17" t="s">
        <v>3349</v>
      </c>
      <c r="I2393" s="17"/>
      <c r="J2393" s="17"/>
      <c r="K2393" s="17"/>
      <c r="L2393" s="17"/>
      <c r="M2393" s="17"/>
      <c r="N2393" s="17"/>
      <c r="O2393" s="17"/>
      <c r="P2393" s="17"/>
      <c r="Q2393" s="17"/>
    </row>
    <row r="2394" spans="1:17">
      <c r="A2394" s="556" t="s">
        <v>3627</v>
      </c>
      <c r="B2394" s="557"/>
      <c r="C2394" s="558" t="s">
        <v>2227</v>
      </c>
      <c r="D2394" s="556" t="s">
        <v>1693</v>
      </c>
      <c r="E2394" s="17" t="s">
        <v>5843</v>
      </c>
      <c r="F2394" s="17">
        <v>7</v>
      </c>
      <c r="G2394" s="17">
        <v>1</v>
      </c>
      <c r="H2394" s="17" t="s">
        <v>3351</v>
      </c>
      <c r="I2394" s="17"/>
      <c r="J2394" s="17"/>
      <c r="K2394" s="17"/>
      <c r="L2394" s="17"/>
      <c r="M2394" s="17"/>
      <c r="N2394" s="17"/>
      <c r="O2394" s="17"/>
      <c r="P2394" s="17"/>
      <c r="Q2394" s="17"/>
    </row>
    <row r="2395" spans="1:17">
      <c r="A2395" s="556" t="s">
        <v>3627</v>
      </c>
      <c r="B2395" s="557"/>
      <c r="C2395" s="558" t="s">
        <v>2227</v>
      </c>
      <c r="D2395" s="556" t="s">
        <v>1694</v>
      </c>
      <c r="E2395" s="17" t="s">
        <v>5844</v>
      </c>
      <c r="F2395" s="17">
        <v>7</v>
      </c>
      <c r="G2395" s="17">
        <v>2</v>
      </c>
      <c r="H2395" s="17" t="s">
        <v>3352</v>
      </c>
      <c r="I2395" s="17"/>
      <c r="J2395" s="17"/>
      <c r="K2395" s="17"/>
      <c r="L2395" s="17"/>
      <c r="M2395" s="17"/>
      <c r="N2395" s="17"/>
      <c r="O2395" s="17"/>
      <c r="P2395" s="17"/>
      <c r="Q2395" s="17"/>
    </row>
    <row r="2396" spans="1:17">
      <c r="A2396" s="556" t="s">
        <v>3627</v>
      </c>
      <c r="B2396" s="557"/>
      <c r="C2396" s="558" t="s">
        <v>2227</v>
      </c>
      <c r="D2396" s="556" t="s">
        <v>4324</v>
      </c>
      <c r="E2396" s="17" t="s">
        <v>5845</v>
      </c>
      <c r="F2396" s="17">
        <v>7</v>
      </c>
      <c r="G2396" s="17">
        <v>3</v>
      </c>
      <c r="H2396" s="17" t="s">
        <v>3353</v>
      </c>
      <c r="I2396" s="17"/>
      <c r="J2396" s="17"/>
      <c r="K2396" s="17"/>
      <c r="L2396" s="17"/>
      <c r="M2396" s="17"/>
      <c r="N2396" s="17"/>
      <c r="O2396" s="17"/>
      <c r="P2396" s="17"/>
      <c r="Q2396" s="17"/>
    </row>
    <row r="2397" spans="1:17">
      <c r="A2397" s="556" t="s">
        <v>3627</v>
      </c>
      <c r="B2397" s="557"/>
      <c r="C2397" s="558" t="s">
        <v>2228</v>
      </c>
      <c r="D2397" s="556" t="s">
        <v>1693</v>
      </c>
      <c r="E2397" s="17" t="s">
        <v>5846</v>
      </c>
      <c r="F2397" s="17">
        <v>8</v>
      </c>
      <c r="G2397" s="17">
        <v>1</v>
      </c>
      <c r="H2397" s="17" t="s">
        <v>3355</v>
      </c>
      <c r="I2397" s="17"/>
      <c r="J2397" s="17"/>
      <c r="K2397" s="17"/>
      <c r="L2397" s="17"/>
      <c r="M2397" s="17"/>
      <c r="N2397" s="17"/>
      <c r="O2397" s="17"/>
      <c r="P2397" s="17"/>
      <c r="Q2397" s="17"/>
    </row>
    <row r="2398" spans="1:17">
      <c r="A2398" s="556" t="s">
        <v>3627</v>
      </c>
      <c r="B2398" s="557"/>
      <c r="C2398" s="558" t="s">
        <v>2228</v>
      </c>
      <c r="D2398" s="556" t="s">
        <v>1694</v>
      </c>
      <c r="E2398" s="17" t="s">
        <v>5847</v>
      </c>
      <c r="F2398" s="17">
        <v>8</v>
      </c>
      <c r="G2398" s="17">
        <v>2</v>
      </c>
      <c r="H2398" s="17" t="s">
        <v>3356</v>
      </c>
      <c r="I2398" s="17"/>
      <c r="J2398" s="17"/>
      <c r="K2398" s="17"/>
      <c r="L2398" s="17"/>
      <c r="M2398" s="17"/>
      <c r="N2398" s="17"/>
      <c r="O2398" s="17"/>
      <c r="P2398" s="17"/>
      <c r="Q2398" s="17"/>
    </row>
    <row r="2399" spans="1:17">
      <c r="A2399" s="556" t="s">
        <v>3627</v>
      </c>
      <c r="B2399" s="557"/>
      <c r="C2399" s="558" t="s">
        <v>2228</v>
      </c>
      <c r="D2399" s="556" t="s">
        <v>4324</v>
      </c>
      <c r="E2399" s="17" t="s">
        <v>5848</v>
      </c>
      <c r="F2399" s="17">
        <v>8</v>
      </c>
      <c r="G2399" s="17">
        <v>3</v>
      </c>
      <c r="H2399" s="17" t="s">
        <v>3357</v>
      </c>
      <c r="I2399" s="17"/>
      <c r="J2399" s="17"/>
      <c r="K2399" s="17"/>
      <c r="L2399" s="17"/>
      <c r="M2399" s="17"/>
      <c r="N2399" s="17"/>
      <c r="O2399" s="17"/>
      <c r="P2399" s="17"/>
      <c r="Q2399" s="17"/>
    </row>
    <row r="2400" spans="1:17">
      <c r="A2400" s="556" t="s">
        <v>3627</v>
      </c>
      <c r="B2400" s="557"/>
      <c r="C2400" s="558" t="s">
        <v>2229</v>
      </c>
      <c r="D2400" s="556" t="s">
        <v>1693</v>
      </c>
      <c r="E2400" s="17" t="s">
        <v>5849</v>
      </c>
      <c r="F2400" s="17">
        <v>9</v>
      </c>
      <c r="G2400" s="17">
        <v>1</v>
      </c>
      <c r="H2400" s="17" t="s">
        <v>3359</v>
      </c>
      <c r="I2400" s="17"/>
      <c r="J2400" s="17"/>
      <c r="K2400" s="17"/>
      <c r="L2400" s="17"/>
      <c r="M2400" s="17"/>
      <c r="N2400" s="17"/>
      <c r="O2400" s="17"/>
      <c r="P2400" s="17"/>
      <c r="Q2400" s="17"/>
    </row>
    <row r="2401" spans="1:17">
      <c r="A2401" s="556" t="s">
        <v>3627</v>
      </c>
      <c r="B2401" s="557"/>
      <c r="C2401" s="558" t="s">
        <v>2229</v>
      </c>
      <c r="D2401" s="556" t="s">
        <v>1694</v>
      </c>
      <c r="E2401" s="17" t="s">
        <v>5850</v>
      </c>
      <c r="F2401" s="17">
        <v>9</v>
      </c>
      <c r="G2401" s="17">
        <v>2</v>
      </c>
      <c r="H2401" s="17" t="s">
        <v>3360</v>
      </c>
      <c r="I2401" s="17"/>
      <c r="J2401" s="17"/>
      <c r="K2401" s="17"/>
      <c r="L2401" s="17"/>
      <c r="M2401" s="17"/>
      <c r="N2401" s="17"/>
      <c r="O2401" s="17"/>
      <c r="P2401" s="17"/>
      <c r="Q2401" s="17"/>
    </row>
    <row r="2402" spans="1:17">
      <c r="A2402" s="556" t="s">
        <v>3627</v>
      </c>
      <c r="B2402" s="557"/>
      <c r="C2402" s="558" t="s">
        <v>2229</v>
      </c>
      <c r="D2402" s="556" t="s">
        <v>4324</v>
      </c>
      <c r="E2402" s="17" t="s">
        <v>5851</v>
      </c>
      <c r="F2402" s="17">
        <v>9</v>
      </c>
      <c r="G2402" s="17">
        <v>3</v>
      </c>
      <c r="H2402" s="17" t="s">
        <v>3327</v>
      </c>
      <c r="I2402" s="17"/>
      <c r="J2402" s="17"/>
      <c r="K2402" s="17"/>
      <c r="L2402" s="17"/>
      <c r="M2402" s="17"/>
      <c r="N2402" s="17"/>
      <c r="O2402" s="17"/>
      <c r="P2402" s="17"/>
      <c r="Q2402" s="17"/>
    </row>
    <row r="2403" spans="1:17">
      <c r="A2403" s="556" t="s">
        <v>3627</v>
      </c>
      <c r="B2403" s="557"/>
      <c r="C2403" s="558" t="s">
        <v>2230</v>
      </c>
      <c r="D2403" s="556" t="s">
        <v>1693</v>
      </c>
      <c r="E2403" s="17" t="s">
        <v>5852</v>
      </c>
      <c r="F2403" s="17">
        <v>10</v>
      </c>
      <c r="G2403" s="17">
        <v>1</v>
      </c>
      <c r="H2403" s="17" t="s">
        <v>3362</v>
      </c>
      <c r="I2403" s="17"/>
      <c r="J2403" s="17"/>
      <c r="K2403" s="17"/>
      <c r="L2403" s="17"/>
      <c r="M2403" s="17"/>
      <c r="N2403" s="17"/>
      <c r="O2403" s="17"/>
      <c r="P2403" s="17"/>
      <c r="Q2403" s="17"/>
    </row>
    <row r="2404" spans="1:17">
      <c r="A2404" s="556" t="s">
        <v>3627</v>
      </c>
      <c r="B2404" s="557"/>
      <c r="C2404" s="558" t="s">
        <v>2230</v>
      </c>
      <c r="D2404" s="556" t="s">
        <v>1694</v>
      </c>
      <c r="E2404" s="17" t="s">
        <v>5853</v>
      </c>
      <c r="F2404" s="17">
        <v>10</v>
      </c>
      <c r="G2404" s="17">
        <v>2</v>
      </c>
      <c r="H2404" s="17" t="s">
        <v>3363</v>
      </c>
      <c r="I2404" s="17"/>
      <c r="J2404" s="17"/>
      <c r="K2404" s="17"/>
      <c r="L2404" s="17"/>
      <c r="M2404" s="17"/>
      <c r="N2404" s="17"/>
      <c r="O2404" s="17"/>
      <c r="P2404" s="17"/>
      <c r="Q2404" s="17"/>
    </row>
    <row r="2405" spans="1:17">
      <c r="A2405" s="556" t="s">
        <v>3627</v>
      </c>
      <c r="B2405" s="557"/>
      <c r="C2405" s="558" t="s">
        <v>2230</v>
      </c>
      <c r="D2405" s="556" t="s">
        <v>4324</v>
      </c>
      <c r="E2405" s="17" t="s">
        <v>5854</v>
      </c>
      <c r="F2405" s="17">
        <v>10</v>
      </c>
      <c r="G2405" s="17">
        <v>3</v>
      </c>
      <c r="H2405" s="17" t="s">
        <v>3364</v>
      </c>
      <c r="I2405" s="17"/>
      <c r="J2405" s="17"/>
      <c r="K2405" s="17"/>
      <c r="L2405" s="17"/>
      <c r="M2405" s="17"/>
      <c r="N2405" s="17"/>
      <c r="O2405" s="17"/>
      <c r="P2405" s="17"/>
      <c r="Q2405" s="17"/>
    </row>
    <row r="2406" spans="1:17">
      <c r="A2406" s="556" t="s">
        <v>3627</v>
      </c>
      <c r="B2406" s="557"/>
      <c r="C2406" s="558" t="s">
        <v>1578</v>
      </c>
      <c r="D2406" s="556" t="s">
        <v>1693</v>
      </c>
      <c r="E2406" s="17" t="s">
        <v>5855</v>
      </c>
      <c r="F2406" s="17">
        <v>11</v>
      </c>
      <c r="G2406" s="17">
        <v>1</v>
      </c>
      <c r="H2406" s="17" t="s">
        <v>3366</v>
      </c>
      <c r="I2406" s="17">
        <v>0</v>
      </c>
      <c r="J2406" s="17"/>
      <c r="K2406" s="17"/>
      <c r="L2406" s="17"/>
      <c r="M2406" s="17"/>
      <c r="N2406" s="17"/>
      <c r="O2406" s="17"/>
      <c r="P2406" s="17"/>
      <c r="Q2406" s="17"/>
    </row>
    <row r="2407" spans="1:17">
      <c r="A2407" s="556" t="s">
        <v>3627</v>
      </c>
      <c r="B2407" s="557"/>
      <c r="C2407" s="558" t="s">
        <v>1578</v>
      </c>
      <c r="D2407" s="556" t="s">
        <v>1694</v>
      </c>
      <c r="E2407" s="17" t="s">
        <v>5856</v>
      </c>
      <c r="F2407" s="17">
        <v>11</v>
      </c>
      <c r="G2407" s="17">
        <v>2</v>
      </c>
      <c r="H2407" s="17" t="s">
        <v>3367</v>
      </c>
      <c r="I2407" s="17">
        <v>0</v>
      </c>
      <c r="J2407" s="17"/>
      <c r="K2407" s="17"/>
      <c r="L2407" s="17"/>
      <c r="M2407" s="17"/>
      <c r="N2407" s="17"/>
      <c r="O2407" s="17"/>
      <c r="P2407" s="17"/>
      <c r="Q2407" s="17"/>
    </row>
    <row r="2408" spans="1:17">
      <c r="A2408" s="556" t="s">
        <v>3627</v>
      </c>
      <c r="B2408" s="557"/>
      <c r="C2408" s="558" t="s">
        <v>1578</v>
      </c>
      <c r="D2408" s="556" t="s">
        <v>4324</v>
      </c>
      <c r="E2408" s="17" t="s">
        <v>5857</v>
      </c>
      <c r="F2408" s="17">
        <v>11</v>
      </c>
      <c r="G2408" s="17">
        <v>3</v>
      </c>
      <c r="H2408" s="17" t="s">
        <v>3368</v>
      </c>
      <c r="I2408" s="17"/>
      <c r="J2408" s="17"/>
      <c r="K2408" s="17"/>
      <c r="L2408" s="17"/>
      <c r="M2408" s="17"/>
      <c r="N2408" s="17"/>
      <c r="O2408" s="17"/>
      <c r="P2408" s="17"/>
      <c r="Q2408" s="17"/>
    </row>
    <row r="2409" spans="1:17">
      <c r="A2409" s="556" t="s">
        <v>3628</v>
      </c>
      <c r="B2409" s="557"/>
      <c r="C2409" s="558" t="s">
        <v>2235</v>
      </c>
      <c r="D2409" s="556" t="s">
        <v>1693</v>
      </c>
      <c r="E2409" s="17" t="s">
        <v>5858</v>
      </c>
      <c r="F2409" s="17">
        <v>1</v>
      </c>
      <c r="G2409" s="17">
        <v>1</v>
      </c>
      <c r="H2409" s="17" t="s">
        <v>3692</v>
      </c>
      <c r="I2409" s="17"/>
      <c r="J2409" s="17"/>
      <c r="K2409" s="17"/>
      <c r="L2409" s="17"/>
      <c r="M2409" s="17"/>
      <c r="N2409" s="17"/>
      <c r="O2409" s="17"/>
      <c r="P2409" s="17"/>
      <c r="Q2409" s="17"/>
    </row>
    <row r="2410" spans="1:17">
      <c r="A2410" s="556" t="s">
        <v>3628</v>
      </c>
      <c r="B2410" s="557"/>
      <c r="C2410" s="558" t="s">
        <v>2235</v>
      </c>
      <c r="D2410" s="556" t="s">
        <v>1694</v>
      </c>
      <c r="E2410" s="17" t="s">
        <v>5859</v>
      </c>
      <c r="F2410" s="17">
        <v>1</v>
      </c>
      <c r="G2410" s="17">
        <v>2</v>
      </c>
      <c r="H2410" s="17" t="s">
        <v>3701</v>
      </c>
      <c r="I2410" s="17"/>
      <c r="J2410" s="17"/>
      <c r="K2410" s="17"/>
      <c r="L2410" s="17"/>
      <c r="M2410" s="17"/>
      <c r="N2410" s="17"/>
      <c r="O2410" s="17"/>
      <c r="P2410" s="17"/>
      <c r="Q2410" s="17"/>
    </row>
    <row r="2411" spans="1:17">
      <c r="A2411" s="556" t="s">
        <v>3628</v>
      </c>
      <c r="B2411" s="557"/>
      <c r="C2411" s="558" t="s">
        <v>2235</v>
      </c>
      <c r="D2411" s="556" t="s">
        <v>4324</v>
      </c>
      <c r="E2411" s="17" t="s">
        <v>5860</v>
      </c>
      <c r="F2411" s="17">
        <v>1</v>
      </c>
      <c r="G2411" s="17">
        <v>3</v>
      </c>
      <c r="H2411" s="17" t="s">
        <v>3714</v>
      </c>
      <c r="I2411" s="17"/>
      <c r="J2411" s="17"/>
      <c r="K2411" s="17"/>
      <c r="L2411" s="17"/>
      <c r="M2411" s="17"/>
      <c r="N2411" s="17"/>
      <c r="O2411" s="17"/>
      <c r="P2411" s="17"/>
      <c r="Q2411" s="17"/>
    </row>
    <row r="2412" spans="1:17">
      <c r="A2412" s="556" t="s">
        <v>3628</v>
      </c>
      <c r="B2412" s="557"/>
      <c r="C2412" s="558" t="s">
        <v>2236</v>
      </c>
      <c r="D2412" s="556" t="s">
        <v>1693</v>
      </c>
      <c r="E2412" s="17" t="s">
        <v>5861</v>
      </c>
      <c r="F2412" s="17">
        <v>2</v>
      </c>
      <c r="G2412" s="17">
        <v>1</v>
      </c>
      <c r="H2412" s="17" t="s">
        <v>3518</v>
      </c>
      <c r="I2412" s="17"/>
      <c r="J2412" s="17"/>
      <c r="K2412" s="17"/>
      <c r="L2412" s="17"/>
      <c r="M2412" s="17"/>
      <c r="N2412" s="17"/>
      <c r="O2412" s="17"/>
      <c r="P2412" s="17"/>
      <c r="Q2412" s="17"/>
    </row>
    <row r="2413" spans="1:17">
      <c r="A2413" s="556" t="s">
        <v>3628</v>
      </c>
      <c r="B2413" s="557"/>
      <c r="C2413" s="558" t="s">
        <v>2236</v>
      </c>
      <c r="D2413" s="556" t="s">
        <v>1694</v>
      </c>
      <c r="E2413" s="17" t="s">
        <v>5862</v>
      </c>
      <c r="F2413" s="17">
        <v>2</v>
      </c>
      <c r="G2413" s="17">
        <v>2</v>
      </c>
      <c r="H2413" s="17" t="s">
        <v>3519</v>
      </c>
      <c r="I2413" s="17"/>
      <c r="J2413" s="17"/>
      <c r="K2413" s="17"/>
      <c r="L2413" s="17"/>
      <c r="M2413" s="17"/>
      <c r="N2413" s="17"/>
      <c r="O2413" s="17"/>
      <c r="P2413" s="17"/>
      <c r="Q2413" s="17"/>
    </row>
    <row r="2414" spans="1:17">
      <c r="A2414" s="556" t="s">
        <v>3628</v>
      </c>
      <c r="B2414" s="557"/>
      <c r="C2414" s="558" t="s">
        <v>2236</v>
      </c>
      <c r="D2414" s="556" t="s">
        <v>4324</v>
      </c>
      <c r="E2414" s="17" t="s">
        <v>5863</v>
      </c>
      <c r="F2414" s="17">
        <v>2</v>
      </c>
      <c r="G2414" s="17">
        <v>3</v>
      </c>
      <c r="H2414" s="17" t="s">
        <v>3520</v>
      </c>
      <c r="I2414" s="17"/>
      <c r="J2414" s="17"/>
      <c r="K2414" s="17"/>
      <c r="L2414" s="17"/>
      <c r="M2414" s="17"/>
      <c r="N2414" s="17"/>
      <c r="O2414" s="17"/>
      <c r="P2414" s="17"/>
      <c r="Q2414" s="17"/>
    </row>
    <row r="2415" spans="1:17">
      <c r="A2415" s="556" t="s">
        <v>3628</v>
      </c>
      <c r="B2415" s="557"/>
      <c r="C2415" s="558" t="s">
        <v>2237</v>
      </c>
      <c r="D2415" s="556" t="s">
        <v>1693</v>
      </c>
      <c r="E2415" s="17" t="s">
        <v>5864</v>
      </c>
      <c r="F2415" s="17">
        <v>3</v>
      </c>
      <c r="G2415" s="17">
        <v>1</v>
      </c>
      <c r="H2415" s="17" t="s">
        <v>2990</v>
      </c>
      <c r="I2415" s="17"/>
      <c r="J2415" s="17"/>
      <c r="K2415" s="17"/>
      <c r="L2415" s="17"/>
      <c r="M2415" s="17"/>
      <c r="N2415" s="17"/>
      <c r="O2415" s="17"/>
      <c r="P2415" s="17"/>
      <c r="Q2415" s="17"/>
    </row>
    <row r="2416" spans="1:17">
      <c r="A2416" s="556" t="s">
        <v>3628</v>
      </c>
      <c r="B2416" s="557"/>
      <c r="C2416" s="558" t="s">
        <v>2237</v>
      </c>
      <c r="D2416" s="556" t="s">
        <v>1694</v>
      </c>
      <c r="E2416" s="17" t="s">
        <v>5865</v>
      </c>
      <c r="F2416" s="17">
        <v>3</v>
      </c>
      <c r="G2416" s="17">
        <v>2</v>
      </c>
      <c r="H2416" s="17" t="s">
        <v>3338</v>
      </c>
      <c r="I2416" s="17"/>
      <c r="J2416" s="17"/>
      <c r="K2416" s="17"/>
      <c r="L2416" s="17"/>
      <c r="M2416" s="17"/>
      <c r="N2416" s="17"/>
      <c r="O2416" s="17"/>
      <c r="P2416" s="17"/>
      <c r="Q2416" s="17"/>
    </row>
    <row r="2417" spans="1:17">
      <c r="A2417" s="556" t="s">
        <v>3628</v>
      </c>
      <c r="B2417" s="557"/>
      <c r="C2417" s="558" t="s">
        <v>2237</v>
      </c>
      <c r="D2417" s="556" t="s">
        <v>4324</v>
      </c>
      <c r="E2417" s="17" t="s">
        <v>5866</v>
      </c>
      <c r="F2417" s="17">
        <v>3</v>
      </c>
      <c r="G2417" s="17">
        <v>3</v>
      </c>
      <c r="H2417" s="17" t="s">
        <v>2991</v>
      </c>
      <c r="I2417" s="17"/>
      <c r="J2417" s="17"/>
      <c r="K2417" s="17"/>
      <c r="L2417" s="17"/>
      <c r="M2417" s="17"/>
      <c r="N2417" s="17"/>
      <c r="O2417" s="17"/>
      <c r="P2417" s="17"/>
      <c r="Q2417" s="17"/>
    </row>
    <row r="2418" spans="1:17">
      <c r="A2418" s="556" t="s">
        <v>3628</v>
      </c>
      <c r="B2418" s="557"/>
      <c r="C2418" s="558" t="s">
        <v>2238</v>
      </c>
      <c r="D2418" s="556" t="s">
        <v>1693</v>
      </c>
      <c r="E2418" s="17" t="s">
        <v>5867</v>
      </c>
      <c r="F2418" s="17">
        <v>4</v>
      </c>
      <c r="G2418" s="17">
        <v>1</v>
      </c>
      <c r="H2418" s="17" t="s">
        <v>3339</v>
      </c>
      <c r="I2418" s="17"/>
      <c r="J2418" s="17"/>
      <c r="K2418" s="17"/>
      <c r="L2418" s="17"/>
      <c r="M2418" s="17"/>
      <c r="N2418" s="17"/>
      <c r="O2418" s="17"/>
      <c r="P2418" s="17"/>
      <c r="Q2418" s="17"/>
    </row>
    <row r="2419" spans="1:17">
      <c r="A2419" s="556" t="s">
        <v>3628</v>
      </c>
      <c r="B2419" s="557"/>
      <c r="C2419" s="558" t="s">
        <v>2238</v>
      </c>
      <c r="D2419" s="556" t="s">
        <v>1694</v>
      </c>
      <c r="E2419" s="17" t="s">
        <v>5868</v>
      </c>
      <c r="F2419" s="17">
        <v>4</v>
      </c>
      <c r="G2419" s="17">
        <v>2</v>
      </c>
      <c r="H2419" s="17" t="s">
        <v>3340</v>
      </c>
      <c r="I2419" s="17"/>
      <c r="J2419" s="17"/>
      <c r="K2419" s="17"/>
      <c r="L2419" s="17"/>
      <c r="M2419" s="17"/>
      <c r="N2419" s="17"/>
      <c r="O2419" s="17"/>
      <c r="P2419" s="17"/>
      <c r="Q2419" s="17"/>
    </row>
    <row r="2420" spans="1:17">
      <c r="A2420" s="556" t="s">
        <v>3628</v>
      </c>
      <c r="B2420" s="557"/>
      <c r="C2420" s="558" t="s">
        <v>2238</v>
      </c>
      <c r="D2420" s="556" t="s">
        <v>4324</v>
      </c>
      <c r="E2420" s="17" t="s">
        <v>5869</v>
      </c>
      <c r="F2420" s="17">
        <v>4</v>
      </c>
      <c r="G2420" s="17">
        <v>3</v>
      </c>
      <c r="H2420" s="17" t="s">
        <v>3341</v>
      </c>
      <c r="I2420" s="17"/>
      <c r="J2420" s="17"/>
      <c r="K2420" s="17"/>
      <c r="L2420" s="17"/>
      <c r="M2420" s="17"/>
      <c r="N2420" s="17"/>
      <c r="O2420" s="17"/>
      <c r="P2420" s="17"/>
      <c r="Q2420" s="17"/>
    </row>
    <row r="2421" spans="1:17">
      <c r="A2421" s="556" t="s">
        <v>3628</v>
      </c>
      <c r="B2421" s="557"/>
      <c r="C2421" s="558" t="s">
        <v>2239</v>
      </c>
      <c r="D2421" s="556" t="s">
        <v>1693</v>
      </c>
      <c r="E2421" s="17" t="s">
        <v>5870</v>
      </c>
      <c r="F2421" s="17">
        <v>5</v>
      </c>
      <c r="G2421" s="17">
        <v>1</v>
      </c>
      <c r="H2421" s="17" t="s">
        <v>3343</v>
      </c>
      <c r="I2421" s="17"/>
      <c r="J2421" s="17"/>
      <c r="K2421" s="17"/>
      <c r="L2421" s="17"/>
      <c r="M2421" s="17"/>
      <c r="N2421" s="17"/>
      <c r="O2421" s="17"/>
      <c r="P2421" s="17"/>
      <c r="Q2421" s="17"/>
    </row>
    <row r="2422" spans="1:17">
      <c r="A2422" s="556" t="s">
        <v>3628</v>
      </c>
      <c r="B2422" s="557"/>
      <c r="C2422" s="558" t="s">
        <v>2239</v>
      </c>
      <c r="D2422" s="556" t="s">
        <v>1694</v>
      </c>
      <c r="E2422" s="17" t="s">
        <v>5871</v>
      </c>
      <c r="F2422" s="17">
        <v>5</v>
      </c>
      <c r="G2422" s="17">
        <v>2</v>
      </c>
      <c r="H2422" s="17" t="s">
        <v>3344</v>
      </c>
      <c r="I2422" s="17"/>
      <c r="J2422" s="17"/>
      <c r="K2422" s="17"/>
      <c r="L2422" s="17"/>
      <c r="M2422" s="17"/>
      <c r="N2422" s="17"/>
      <c r="O2422" s="17"/>
      <c r="P2422" s="17"/>
      <c r="Q2422" s="17"/>
    </row>
    <row r="2423" spans="1:17">
      <c r="A2423" s="556" t="s">
        <v>3628</v>
      </c>
      <c r="B2423" s="557"/>
      <c r="C2423" s="558" t="s">
        <v>2239</v>
      </c>
      <c r="D2423" s="556" t="s">
        <v>4324</v>
      </c>
      <c r="E2423" s="17" t="s">
        <v>5872</v>
      </c>
      <c r="F2423" s="17">
        <v>5</v>
      </c>
      <c r="G2423" s="17">
        <v>3</v>
      </c>
      <c r="H2423" s="17" t="s">
        <v>3345</v>
      </c>
      <c r="I2423" s="17"/>
      <c r="J2423" s="17"/>
      <c r="K2423" s="17"/>
      <c r="L2423" s="17"/>
      <c r="M2423" s="17"/>
      <c r="N2423" s="17"/>
      <c r="O2423" s="17"/>
      <c r="P2423" s="17"/>
      <c r="Q2423" s="17"/>
    </row>
    <row r="2424" spans="1:17">
      <c r="A2424" s="556" t="s">
        <v>3628</v>
      </c>
      <c r="B2424" s="557"/>
      <c r="C2424" s="558" t="s">
        <v>2240</v>
      </c>
      <c r="D2424" s="556" t="s">
        <v>1693</v>
      </c>
      <c r="E2424" s="17" t="s">
        <v>5873</v>
      </c>
      <c r="F2424" s="17">
        <v>6</v>
      </c>
      <c r="G2424" s="17">
        <v>1</v>
      </c>
      <c r="H2424" s="17" t="s">
        <v>3347</v>
      </c>
      <c r="I2424" s="17"/>
      <c r="J2424" s="17"/>
      <c r="K2424" s="17"/>
      <c r="L2424" s="17"/>
      <c r="M2424" s="17"/>
      <c r="N2424" s="17"/>
      <c r="O2424" s="17"/>
      <c r="P2424" s="17"/>
      <c r="Q2424" s="17"/>
    </row>
    <row r="2425" spans="1:17">
      <c r="A2425" s="556" t="s">
        <v>3628</v>
      </c>
      <c r="B2425" s="557"/>
      <c r="C2425" s="558" t="s">
        <v>2240</v>
      </c>
      <c r="D2425" s="556" t="s">
        <v>1694</v>
      </c>
      <c r="E2425" s="17" t="s">
        <v>5874</v>
      </c>
      <c r="F2425" s="17">
        <v>6</v>
      </c>
      <c r="G2425" s="17">
        <v>2</v>
      </c>
      <c r="H2425" s="17" t="s">
        <v>3348</v>
      </c>
      <c r="I2425" s="17"/>
      <c r="J2425" s="17"/>
      <c r="K2425" s="17"/>
      <c r="L2425" s="17"/>
      <c r="M2425" s="17"/>
      <c r="N2425" s="17"/>
      <c r="O2425" s="17"/>
      <c r="P2425" s="17"/>
      <c r="Q2425" s="17"/>
    </row>
    <row r="2426" spans="1:17">
      <c r="A2426" s="556" t="s">
        <v>3628</v>
      </c>
      <c r="B2426" s="557"/>
      <c r="C2426" s="558" t="s">
        <v>2240</v>
      </c>
      <c r="D2426" s="556" t="s">
        <v>4324</v>
      </c>
      <c r="E2426" s="17" t="s">
        <v>5875</v>
      </c>
      <c r="F2426" s="17">
        <v>6</v>
      </c>
      <c r="G2426" s="17">
        <v>3</v>
      </c>
      <c r="H2426" s="17" t="s">
        <v>3349</v>
      </c>
      <c r="I2426" s="17"/>
      <c r="J2426" s="17"/>
      <c r="K2426" s="17"/>
      <c r="L2426" s="17"/>
      <c r="M2426" s="17"/>
      <c r="N2426" s="17"/>
      <c r="O2426" s="17"/>
      <c r="P2426" s="17"/>
      <c r="Q2426" s="17"/>
    </row>
    <row r="2427" spans="1:17">
      <c r="A2427" s="556" t="s">
        <v>3628</v>
      </c>
      <c r="B2427" s="557"/>
      <c r="C2427" s="558" t="s">
        <v>2241</v>
      </c>
      <c r="D2427" s="556" t="s">
        <v>1693</v>
      </c>
      <c r="E2427" s="17" t="s">
        <v>5876</v>
      </c>
      <c r="F2427" s="17">
        <v>7</v>
      </c>
      <c r="G2427" s="17">
        <v>1</v>
      </c>
      <c r="H2427" s="17" t="s">
        <v>3351</v>
      </c>
      <c r="I2427" s="17"/>
      <c r="J2427" s="17"/>
      <c r="K2427" s="17"/>
      <c r="L2427" s="17"/>
      <c r="M2427" s="17"/>
      <c r="N2427" s="17"/>
      <c r="O2427" s="17"/>
      <c r="P2427" s="17"/>
      <c r="Q2427" s="17"/>
    </row>
    <row r="2428" spans="1:17">
      <c r="A2428" s="556" t="s">
        <v>3628</v>
      </c>
      <c r="B2428" s="557"/>
      <c r="C2428" s="558" t="s">
        <v>2241</v>
      </c>
      <c r="D2428" s="556" t="s">
        <v>1694</v>
      </c>
      <c r="E2428" s="17" t="s">
        <v>5877</v>
      </c>
      <c r="F2428" s="17">
        <v>7</v>
      </c>
      <c r="G2428" s="17">
        <v>2</v>
      </c>
      <c r="H2428" s="17" t="s">
        <v>3352</v>
      </c>
      <c r="I2428" s="17"/>
      <c r="J2428" s="17"/>
      <c r="K2428" s="17"/>
      <c r="L2428" s="17"/>
      <c r="M2428" s="17"/>
      <c r="N2428" s="17"/>
      <c r="O2428" s="17"/>
      <c r="P2428" s="17"/>
      <c r="Q2428" s="17"/>
    </row>
    <row r="2429" spans="1:17">
      <c r="A2429" s="556" t="s">
        <v>3628</v>
      </c>
      <c r="B2429" s="557"/>
      <c r="C2429" s="558" t="s">
        <v>2241</v>
      </c>
      <c r="D2429" s="556" t="s">
        <v>4324</v>
      </c>
      <c r="E2429" s="17" t="s">
        <v>5878</v>
      </c>
      <c r="F2429" s="17">
        <v>7</v>
      </c>
      <c r="G2429" s="17">
        <v>3</v>
      </c>
      <c r="H2429" s="17" t="s">
        <v>3353</v>
      </c>
      <c r="I2429" s="17"/>
      <c r="J2429" s="17"/>
      <c r="K2429" s="17"/>
      <c r="L2429" s="17"/>
      <c r="M2429" s="17"/>
      <c r="N2429" s="17"/>
      <c r="O2429" s="17"/>
      <c r="P2429" s="17"/>
      <c r="Q2429" s="17"/>
    </row>
    <row r="2430" spans="1:17">
      <c r="A2430" s="556" t="s">
        <v>3628</v>
      </c>
      <c r="B2430" s="557"/>
      <c r="C2430" s="558" t="s">
        <v>2242</v>
      </c>
      <c r="D2430" s="556" t="s">
        <v>1693</v>
      </c>
      <c r="E2430" s="17" t="s">
        <v>5879</v>
      </c>
      <c r="F2430" s="17">
        <v>8</v>
      </c>
      <c r="G2430" s="17">
        <v>1</v>
      </c>
      <c r="H2430" s="17" t="s">
        <v>3355</v>
      </c>
      <c r="I2430" s="17"/>
      <c r="J2430" s="17"/>
      <c r="K2430" s="17"/>
      <c r="L2430" s="17"/>
      <c r="M2430" s="17"/>
      <c r="N2430" s="17"/>
      <c r="O2430" s="17"/>
      <c r="P2430" s="17"/>
      <c r="Q2430" s="17"/>
    </row>
    <row r="2431" spans="1:17">
      <c r="A2431" s="556" t="s">
        <v>3628</v>
      </c>
      <c r="B2431" s="557"/>
      <c r="C2431" s="558" t="s">
        <v>2242</v>
      </c>
      <c r="D2431" s="556" t="s">
        <v>1694</v>
      </c>
      <c r="E2431" s="17" t="s">
        <v>5880</v>
      </c>
      <c r="F2431" s="17">
        <v>8</v>
      </c>
      <c r="G2431" s="17">
        <v>2</v>
      </c>
      <c r="H2431" s="17" t="s">
        <v>3356</v>
      </c>
      <c r="I2431" s="17"/>
      <c r="J2431" s="17"/>
      <c r="K2431" s="17"/>
      <c r="L2431" s="17"/>
      <c r="M2431" s="17"/>
      <c r="N2431" s="17"/>
      <c r="O2431" s="17"/>
      <c r="P2431" s="17"/>
      <c r="Q2431" s="17"/>
    </row>
    <row r="2432" spans="1:17">
      <c r="A2432" s="556" t="s">
        <v>3628</v>
      </c>
      <c r="B2432" s="557"/>
      <c r="C2432" s="558" t="s">
        <v>2242</v>
      </c>
      <c r="D2432" s="556" t="s">
        <v>4324</v>
      </c>
      <c r="E2432" s="17" t="s">
        <v>5881</v>
      </c>
      <c r="F2432" s="17">
        <v>8</v>
      </c>
      <c r="G2432" s="17">
        <v>3</v>
      </c>
      <c r="H2432" s="17" t="s">
        <v>3357</v>
      </c>
      <c r="I2432" s="17"/>
      <c r="J2432" s="17"/>
      <c r="K2432" s="17"/>
      <c r="L2432" s="17"/>
      <c r="M2432" s="17"/>
      <c r="N2432" s="17"/>
      <c r="O2432" s="17"/>
      <c r="P2432" s="17"/>
      <c r="Q2432" s="17"/>
    </row>
    <row r="2433" spans="1:17">
      <c r="A2433" s="556" t="s">
        <v>3628</v>
      </c>
      <c r="B2433" s="557"/>
      <c r="C2433" s="558" t="s">
        <v>1578</v>
      </c>
      <c r="D2433" s="556" t="s">
        <v>1693</v>
      </c>
      <c r="E2433" s="17" t="s">
        <v>5882</v>
      </c>
      <c r="F2433" s="17">
        <v>9</v>
      </c>
      <c r="G2433" s="17">
        <v>1</v>
      </c>
      <c r="H2433" s="17" t="s">
        <v>3359</v>
      </c>
      <c r="I2433" s="17">
        <v>0</v>
      </c>
      <c r="J2433" s="17"/>
      <c r="K2433" s="17"/>
      <c r="L2433" s="17"/>
      <c r="M2433" s="17"/>
      <c r="N2433" s="17"/>
      <c r="O2433" s="17"/>
      <c r="P2433" s="17"/>
      <c r="Q2433" s="17"/>
    </row>
    <row r="2434" spans="1:17">
      <c r="A2434" s="556" t="s">
        <v>3628</v>
      </c>
      <c r="B2434" s="557"/>
      <c r="C2434" s="558" t="s">
        <v>1578</v>
      </c>
      <c r="D2434" s="556" t="s">
        <v>1694</v>
      </c>
      <c r="E2434" s="17" t="s">
        <v>5883</v>
      </c>
      <c r="F2434" s="17">
        <v>9</v>
      </c>
      <c r="G2434" s="17">
        <v>2</v>
      </c>
      <c r="H2434" s="17" t="s">
        <v>3360</v>
      </c>
      <c r="I2434" s="17">
        <v>0</v>
      </c>
      <c r="J2434" s="17"/>
      <c r="K2434" s="17"/>
      <c r="L2434" s="17"/>
      <c r="M2434" s="17"/>
      <c r="N2434" s="17"/>
      <c r="O2434" s="17"/>
      <c r="P2434" s="17"/>
      <c r="Q2434" s="17"/>
    </row>
    <row r="2435" spans="1:17">
      <c r="A2435" s="556" t="s">
        <v>3628</v>
      </c>
      <c r="B2435" s="557"/>
      <c r="C2435" s="558" t="s">
        <v>1578</v>
      </c>
      <c r="D2435" s="556" t="s">
        <v>4324</v>
      </c>
      <c r="E2435" s="17" t="s">
        <v>5884</v>
      </c>
      <c r="F2435" s="17">
        <v>9</v>
      </c>
      <c r="G2435" s="17">
        <v>3</v>
      </c>
      <c r="H2435" s="17" t="s">
        <v>3327</v>
      </c>
      <c r="I2435" s="17"/>
      <c r="J2435" s="17"/>
      <c r="K2435" s="17"/>
      <c r="L2435" s="17"/>
      <c r="M2435" s="17"/>
      <c r="N2435" s="17"/>
      <c r="O2435" s="17"/>
      <c r="P2435" s="17"/>
      <c r="Q2435" s="17"/>
    </row>
    <row r="2436" spans="1:17">
      <c r="A2436" s="556" t="s">
        <v>3629</v>
      </c>
      <c r="B2436" s="557" t="s">
        <v>2256</v>
      </c>
      <c r="C2436" s="558" t="s">
        <v>5885</v>
      </c>
      <c r="D2436" s="556" t="s">
        <v>5886</v>
      </c>
      <c r="E2436" s="17" t="s">
        <v>5887</v>
      </c>
      <c r="F2436" s="17">
        <v>1</v>
      </c>
      <c r="G2436" s="17">
        <v>1</v>
      </c>
      <c r="H2436" s="17" t="s">
        <v>3525</v>
      </c>
      <c r="I2436" s="17"/>
      <c r="J2436" s="17"/>
      <c r="K2436" s="17"/>
      <c r="L2436" s="17"/>
      <c r="M2436" s="17"/>
      <c r="N2436" s="17"/>
      <c r="O2436" s="17"/>
      <c r="P2436" s="17"/>
      <c r="Q2436" s="17"/>
    </row>
    <row r="2437" spans="1:17">
      <c r="A2437" s="556" t="s">
        <v>3629</v>
      </c>
      <c r="B2437" s="557" t="s">
        <v>2256</v>
      </c>
      <c r="C2437" s="558" t="s">
        <v>5885</v>
      </c>
      <c r="D2437" s="556" t="s">
        <v>5888</v>
      </c>
      <c r="E2437" s="17" t="s">
        <v>5889</v>
      </c>
      <c r="F2437" s="17">
        <v>1</v>
      </c>
      <c r="G2437" s="17">
        <v>2</v>
      </c>
      <c r="H2437" s="17" t="s">
        <v>3339</v>
      </c>
      <c r="I2437" s="17"/>
      <c r="J2437" s="17"/>
      <c r="K2437" s="17"/>
      <c r="L2437" s="17"/>
      <c r="M2437" s="17"/>
      <c r="N2437" s="17"/>
      <c r="O2437" s="17"/>
      <c r="P2437" s="17"/>
      <c r="Q2437" s="17"/>
    </row>
    <row r="2438" spans="1:17">
      <c r="A2438" s="556" t="s">
        <v>3629</v>
      </c>
      <c r="B2438" s="557" t="s">
        <v>2256</v>
      </c>
      <c r="C2438" s="558" t="s">
        <v>5885</v>
      </c>
      <c r="D2438" s="556" t="s">
        <v>5890</v>
      </c>
      <c r="E2438" s="17" t="s">
        <v>5891</v>
      </c>
      <c r="F2438" s="17">
        <v>1</v>
      </c>
      <c r="G2438" s="17">
        <v>3</v>
      </c>
      <c r="H2438" s="17" t="s">
        <v>3340</v>
      </c>
      <c r="I2438" s="17"/>
      <c r="J2438" s="17"/>
      <c r="K2438" s="17"/>
      <c r="L2438" s="17"/>
      <c r="M2438" s="17"/>
      <c r="N2438" s="17"/>
      <c r="O2438" s="17"/>
      <c r="P2438" s="17"/>
      <c r="Q2438" s="17"/>
    </row>
    <row r="2439" spans="1:17">
      <c r="A2439" s="556" t="s">
        <v>3629</v>
      </c>
      <c r="B2439" s="557" t="s">
        <v>2256</v>
      </c>
      <c r="C2439" s="558" t="s">
        <v>5885</v>
      </c>
      <c r="D2439" s="556" t="s">
        <v>5892</v>
      </c>
      <c r="E2439" s="17" t="s">
        <v>5893</v>
      </c>
      <c r="F2439" s="17">
        <v>1</v>
      </c>
      <c r="G2439" s="17">
        <v>4</v>
      </c>
      <c r="H2439" s="17" t="s">
        <v>3341</v>
      </c>
      <c r="I2439" s="17"/>
      <c r="J2439" s="17"/>
      <c r="K2439" s="17"/>
      <c r="L2439" s="17"/>
      <c r="M2439" s="17"/>
      <c r="N2439" s="17"/>
      <c r="O2439" s="17"/>
      <c r="P2439" s="17"/>
      <c r="Q2439" s="17"/>
    </row>
    <row r="2440" spans="1:17">
      <c r="A2440" s="556" t="s">
        <v>3629</v>
      </c>
      <c r="B2440" s="557" t="s">
        <v>2256</v>
      </c>
      <c r="C2440" s="558" t="s">
        <v>5885</v>
      </c>
      <c r="D2440" s="556" t="s">
        <v>5894</v>
      </c>
      <c r="E2440" s="17" t="s">
        <v>5895</v>
      </c>
      <c r="F2440" s="17">
        <v>1</v>
      </c>
      <c r="G2440" s="17">
        <v>5</v>
      </c>
      <c r="H2440" s="17" t="s">
        <v>3342</v>
      </c>
      <c r="I2440" s="17"/>
      <c r="J2440" s="17"/>
      <c r="K2440" s="17"/>
      <c r="L2440" s="17"/>
      <c r="M2440" s="17"/>
      <c r="N2440" s="17"/>
      <c r="O2440" s="17"/>
      <c r="P2440" s="17"/>
      <c r="Q2440" s="17"/>
    </row>
    <row r="2441" spans="1:17">
      <c r="A2441" s="556" t="s">
        <v>3629</v>
      </c>
      <c r="B2441" s="557" t="s">
        <v>2256</v>
      </c>
      <c r="C2441" s="558" t="s">
        <v>5885</v>
      </c>
      <c r="D2441" s="556" t="s">
        <v>5896</v>
      </c>
      <c r="E2441" s="17" t="s">
        <v>5897</v>
      </c>
      <c r="F2441" s="17">
        <v>1</v>
      </c>
      <c r="G2441" s="17">
        <v>6</v>
      </c>
      <c r="H2441" s="17" t="s">
        <v>3451</v>
      </c>
      <c r="I2441" s="17"/>
      <c r="J2441" s="17"/>
      <c r="K2441" s="17"/>
      <c r="L2441" s="17"/>
      <c r="M2441" s="17"/>
      <c r="N2441" s="17"/>
      <c r="O2441" s="17"/>
      <c r="P2441" s="17"/>
      <c r="Q2441" s="17"/>
    </row>
    <row r="2442" spans="1:17">
      <c r="A2442" s="556" t="s">
        <v>3629</v>
      </c>
      <c r="B2442" s="557" t="s">
        <v>2256</v>
      </c>
      <c r="C2442" s="558" t="s">
        <v>5885</v>
      </c>
      <c r="D2442" s="556" t="s">
        <v>1578</v>
      </c>
      <c r="E2442" s="17" t="s">
        <v>5898</v>
      </c>
      <c r="F2442" s="17">
        <v>1</v>
      </c>
      <c r="G2442" s="17">
        <v>7</v>
      </c>
      <c r="H2442" s="17" t="s">
        <v>7804</v>
      </c>
      <c r="I2442" s="17">
        <v>0</v>
      </c>
      <c r="J2442" s="17"/>
      <c r="K2442" s="17"/>
      <c r="L2442" s="17"/>
      <c r="M2442" s="17"/>
      <c r="N2442" s="17"/>
      <c r="O2442" s="17"/>
      <c r="P2442" s="17"/>
      <c r="Q2442" s="17"/>
    </row>
    <row r="2443" spans="1:17">
      <c r="A2443" s="556" t="s">
        <v>3629</v>
      </c>
      <c r="B2443" s="557" t="s">
        <v>2258</v>
      </c>
      <c r="C2443" s="558" t="s">
        <v>5899</v>
      </c>
      <c r="D2443" s="556" t="s">
        <v>5886</v>
      </c>
      <c r="E2443" s="17" t="s">
        <v>5900</v>
      </c>
      <c r="F2443" s="17">
        <v>2</v>
      </c>
      <c r="G2443" s="17">
        <v>1</v>
      </c>
      <c r="H2443" s="17" t="s">
        <v>3697</v>
      </c>
      <c r="I2443" s="17"/>
      <c r="J2443" s="17"/>
      <c r="K2443" s="17"/>
      <c r="L2443" s="17"/>
      <c r="M2443" s="17"/>
      <c r="N2443" s="17"/>
      <c r="O2443" s="17"/>
      <c r="P2443" s="17"/>
      <c r="Q2443" s="17"/>
    </row>
    <row r="2444" spans="1:17">
      <c r="A2444" s="556" t="s">
        <v>3629</v>
      </c>
      <c r="B2444" s="557" t="s">
        <v>2258</v>
      </c>
      <c r="C2444" s="558" t="s">
        <v>5899</v>
      </c>
      <c r="D2444" s="556" t="s">
        <v>5888</v>
      </c>
      <c r="E2444" s="17" t="s">
        <v>5901</v>
      </c>
      <c r="F2444" s="17">
        <v>2</v>
      </c>
      <c r="G2444" s="17">
        <v>2</v>
      </c>
      <c r="H2444" s="17" t="s">
        <v>3343</v>
      </c>
      <c r="I2444" s="17"/>
      <c r="J2444" s="17"/>
      <c r="K2444" s="17"/>
      <c r="L2444" s="17"/>
      <c r="M2444" s="17"/>
      <c r="N2444" s="17"/>
      <c r="O2444" s="17"/>
      <c r="P2444" s="17"/>
      <c r="Q2444" s="17"/>
    </row>
    <row r="2445" spans="1:17">
      <c r="A2445" s="556" t="s">
        <v>3629</v>
      </c>
      <c r="B2445" s="557" t="s">
        <v>2258</v>
      </c>
      <c r="C2445" s="558" t="s">
        <v>5899</v>
      </c>
      <c r="D2445" s="556" t="s">
        <v>5890</v>
      </c>
      <c r="E2445" s="17" t="s">
        <v>5902</v>
      </c>
      <c r="F2445" s="17">
        <v>2</v>
      </c>
      <c r="G2445" s="17">
        <v>3</v>
      </c>
      <c r="H2445" s="17" t="s">
        <v>3344</v>
      </c>
      <c r="I2445" s="17"/>
      <c r="J2445" s="17"/>
      <c r="K2445" s="17"/>
      <c r="L2445" s="17"/>
      <c r="M2445" s="17"/>
      <c r="N2445" s="17"/>
      <c r="O2445" s="17"/>
      <c r="P2445" s="17"/>
      <c r="Q2445" s="17"/>
    </row>
    <row r="2446" spans="1:17">
      <c r="A2446" s="556" t="s">
        <v>3629</v>
      </c>
      <c r="B2446" s="557" t="s">
        <v>2258</v>
      </c>
      <c r="C2446" s="558" t="s">
        <v>5899</v>
      </c>
      <c r="D2446" s="556" t="s">
        <v>5892</v>
      </c>
      <c r="E2446" s="17" t="s">
        <v>5903</v>
      </c>
      <c r="F2446" s="17">
        <v>2</v>
      </c>
      <c r="G2446" s="17">
        <v>4</v>
      </c>
      <c r="H2446" s="17" t="s">
        <v>3345</v>
      </c>
      <c r="I2446" s="17"/>
      <c r="J2446" s="17"/>
      <c r="K2446" s="17"/>
      <c r="L2446" s="17"/>
      <c r="M2446" s="17"/>
      <c r="N2446" s="17"/>
      <c r="O2446" s="17"/>
      <c r="P2446" s="17"/>
      <c r="Q2446" s="17"/>
    </row>
    <row r="2447" spans="1:17">
      <c r="A2447" s="556" t="s">
        <v>3629</v>
      </c>
      <c r="B2447" s="557" t="s">
        <v>2258</v>
      </c>
      <c r="C2447" s="558" t="s">
        <v>5899</v>
      </c>
      <c r="D2447" s="556" t="s">
        <v>5894</v>
      </c>
      <c r="E2447" s="17" t="s">
        <v>5904</v>
      </c>
      <c r="F2447" s="17">
        <v>2</v>
      </c>
      <c r="G2447" s="17">
        <v>5</v>
      </c>
      <c r="H2447" s="17" t="s">
        <v>3346</v>
      </c>
      <c r="I2447" s="17"/>
      <c r="J2447" s="17"/>
      <c r="K2447" s="17"/>
      <c r="L2447" s="17"/>
      <c r="M2447" s="17"/>
      <c r="N2447" s="17"/>
      <c r="O2447" s="17"/>
      <c r="P2447" s="17"/>
      <c r="Q2447" s="17"/>
    </row>
    <row r="2448" spans="1:17">
      <c r="A2448" s="556" t="s">
        <v>3629</v>
      </c>
      <c r="B2448" s="557" t="s">
        <v>2258</v>
      </c>
      <c r="C2448" s="558" t="s">
        <v>5899</v>
      </c>
      <c r="D2448" s="556" t="s">
        <v>5896</v>
      </c>
      <c r="E2448" s="17" t="s">
        <v>5905</v>
      </c>
      <c r="F2448" s="17">
        <v>2</v>
      </c>
      <c r="G2448" s="17">
        <v>6</v>
      </c>
      <c r="H2448" s="17" t="s">
        <v>3452</v>
      </c>
      <c r="I2448" s="17"/>
      <c r="J2448" s="17"/>
      <c r="K2448" s="17"/>
      <c r="L2448" s="17"/>
      <c r="M2448" s="17"/>
      <c r="N2448" s="17"/>
      <c r="O2448" s="17"/>
      <c r="P2448" s="17"/>
      <c r="Q2448" s="17"/>
    </row>
    <row r="2449" spans="1:17">
      <c r="A2449" s="556" t="s">
        <v>3629</v>
      </c>
      <c r="B2449" s="557" t="s">
        <v>2258</v>
      </c>
      <c r="C2449" s="558" t="s">
        <v>5899</v>
      </c>
      <c r="D2449" s="556" t="s">
        <v>1578</v>
      </c>
      <c r="E2449" s="17" t="s">
        <v>5906</v>
      </c>
      <c r="F2449" s="17">
        <v>2</v>
      </c>
      <c r="G2449" s="17">
        <v>7</v>
      </c>
      <c r="H2449" s="17" t="s">
        <v>7805</v>
      </c>
      <c r="I2449" s="17">
        <v>0</v>
      </c>
      <c r="J2449" s="17"/>
      <c r="K2449" s="17"/>
      <c r="L2449" s="17"/>
      <c r="M2449" s="17"/>
      <c r="N2449" s="17"/>
      <c r="O2449" s="17"/>
      <c r="P2449" s="17"/>
      <c r="Q2449" s="17"/>
    </row>
    <row r="2450" spans="1:17">
      <c r="A2450" s="556" t="s">
        <v>3629</v>
      </c>
      <c r="B2450" s="557" t="s">
        <v>2260</v>
      </c>
      <c r="C2450" s="558" t="s">
        <v>5907</v>
      </c>
      <c r="D2450" s="556" t="s">
        <v>5886</v>
      </c>
      <c r="E2450" s="17" t="s">
        <v>5908</v>
      </c>
      <c r="F2450" s="17">
        <v>3</v>
      </c>
      <c r="G2450" s="17">
        <v>1</v>
      </c>
      <c r="H2450" s="17" t="s">
        <v>7772</v>
      </c>
      <c r="I2450" s="17"/>
      <c r="J2450" s="17"/>
      <c r="K2450" s="17"/>
      <c r="L2450" s="17"/>
      <c r="M2450" s="17"/>
      <c r="N2450" s="17"/>
      <c r="O2450" s="17"/>
      <c r="P2450" s="17"/>
      <c r="Q2450" s="17"/>
    </row>
    <row r="2451" spans="1:17">
      <c r="A2451" s="556" t="s">
        <v>3629</v>
      </c>
      <c r="B2451" s="557" t="s">
        <v>2260</v>
      </c>
      <c r="C2451" s="558" t="s">
        <v>5907</v>
      </c>
      <c r="D2451" s="556" t="s">
        <v>5888</v>
      </c>
      <c r="E2451" s="17" t="s">
        <v>5909</v>
      </c>
      <c r="F2451" s="17">
        <v>3</v>
      </c>
      <c r="G2451" s="17">
        <v>2</v>
      </c>
      <c r="H2451" s="17" t="s">
        <v>3347</v>
      </c>
      <c r="I2451" s="17"/>
      <c r="J2451" s="17"/>
      <c r="K2451" s="17"/>
      <c r="L2451" s="17"/>
      <c r="M2451" s="17"/>
      <c r="N2451" s="17"/>
      <c r="O2451" s="17"/>
      <c r="P2451" s="17"/>
      <c r="Q2451" s="17"/>
    </row>
    <row r="2452" spans="1:17">
      <c r="A2452" s="556" t="s">
        <v>3629</v>
      </c>
      <c r="B2452" s="557" t="s">
        <v>2260</v>
      </c>
      <c r="C2452" s="558" t="s">
        <v>5907</v>
      </c>
      <c r="D2452" s="556" t="s">
        <v>5890</v>
      </c>
      <c r="E2452" s="17" t="s">
        <v>5910</v>
      </c>
      <c r="F2452" s="17">
        <v>3</v>
      </c>
      <c r="G2452" s="17">
        <v>3</v>
      </c>
      <c r="H2452" s="17" t="s">
        <v>3348</v>
      </c>
      <c r="I2452" s="17"/>
      <c r="J2452" s="17"/>
      <c r="K2452" s="17"/>
      <c r="L2452" s="17"/>
      <c r="M2452" s="17"/>
      <c r="N2452" s="17"/>
      <c r="O2452" s="17"/>
      <c r="P2452" s="17"/>
      <c r="Q2452" s="17"/>
    </row>
    <row r="2453" spans="1:17">
      <c r="A2453" s="556" t="s">
        <v>3629</v>
      </c>
      <c r="B2453" s="557" t="s">
        <v>2260</v>
      </c>
      <c r="C2453" s="558" t="s">
        <v>5907</v>
      </c>
      <c r="D2453" s="556" t="s">
        <v>5892</v>
      </c>
      <c r="E2453" s="17" t="s">
        <v>5911</v>
      </c>
      <c r="F2453" s="17">
        <v>3</v>
      </c>
      <c r="G2453" s="17">
        <v>4</v>
      </c>
      <c r="H2453" s="17" t="s">
        <v>3349</v>
      </c>
      <c r="I2453" s="17"/>
      <c r="J2453" s="17"/>
      <c r="K2453" s="17"/>
      <c r="L2453" s="17"/>
      <c r="M2453" s="17"/>
      <c r="N2453" s="17"/>
      <c r="O2453" s="17"/>
      <c r="P2453" s="17"/>
      <c r="Q2453" s="17"/>
    </row>
    <row r="2454" spans="1:17">
      <c r="A2454" s="556" t="s">
        <v>3629</v>
      </c>
      <c r="B2454" s="557" t="s">
        <v>2260</v>
      </c>
      <c r="C2454" s="558" t="s">
        <v>5907</v>
      </c>
      <c r="D2454" s="556" t="s">
        <v>5894</v>
      </c>
      <c r="E2454" s="17" t="s">
        <v>5912</v>
      </c>
      <c r="F2454" s="17">
        <v>3</v>
      </c>
      <c r="G2454" s="17">
        <v>5</v>
      </c>
      <c r="H2454" s="17" t="s">
        <v>3350</v>
      </c>
      <c r="I2454" s="17"/>
      <c r="J2454" s="17"/>
      <c r="K2454" s="17"/>
      <c r="L2454" s="17"/>
      <c r="M2454" s="17"/>
      <c r="N2454" s="17"/>
      <c r="O2454" s="17"/>
      <c r="P2454" s="17"/>
      <c r="Q2454" s="17"/>
    </row>
    <row r="2455" spans="1:17">
      <c r="A2455" s="556" t="s">
        <v>3629</v>
      </c>
      <c r="B2455" s="557" t="s">
        <v>2260</v>
      </c>
      <c r="C2455" s="558" t="s">
        <v>5907</v>
      </c>
      <c r="D2455" s="556" t="s">
        <v>5896</v>
      </c>
      <c r="E2455" s="17" t="s">
        <v>5913</v>
      </c>
      <c r="F2455" s="17">
        <v>3</v>
      </c>
      <c r="G2455" s="17">
        <v>6</v>
      </c>
      <c r="H2455" s="17" t="s">
        <v>3453</v>
      </c>
      <c r="I2455" s="17"/>
      <c r="J2455" s="17"/>
      <c r="K2455" s="17"/>
      <c r="L2455" s="17"/>
      <c r="M2455" s="17"/>
      <c r="N2455" s="17"/>
      <c r="O2455" s="17"/>
      <c r="P2455" s="17"/>
      <c r="Q2455" s="17"/>
    </row>
    <row r="2456" spans="1:17">
      <c r="A2456" s="556" t="s">
        <v>3629</v>
      </c>
      <c r="B2456" s="557" t="s">
        <v>2260</v>
      </c>
      <c r="C2456" s="558" t="s">
        <v>5907</v>
      </c>
      <c r="D2456" s="556" t="s">
        <v>1578</v>
      </c>
      <c r="E2456" s="17" t="s">
        <v>5914</v>
      </c>
      <c r="F2456" s="17">
        <v>3</v>
      </c>
      <c r="G2456" s="17">
        <v>7</v>
      </c>
      <c r="H2456" s="17" t="s">
        <v>7807</v>
      </c>
      <c r="I2456" s="17">
        <v>0</v>
      </c>
      <c r="J2456" s="17"/>
      <c r="K2456" s="17"/>
      <c r="L2456" s="17"/>
      <c r="M2456" s="17"/>
      <c r="N2456" s="17"/>
      <c r="O2456" s="17"/>
      <c r="P2456" s="17"/>
      <c r="Q2456" s="17"/>
    </row>
    <row r="2457" spans="1:17">
      <c r="A2457" s="556" t="s">
        <v>3629</v>
      </c>
      <c r="B2457" s="557" t="s">
        <v>2262</v>
      </c>
      <c r="C2457" s="558" t="s">
        <v>5915</v>
      </c>
      <c r="D2457" s="556" t="s">
        <v>5886</v>
      </c>
      <c r="E2457" s="17" t="s">
        <v>5916</v>
      </c>
      <c r="F2457" s="17">
        <v>4</v>
      </c>
      <c r="G2457" s="17">
        <v>1</v>
      </c>
      <c r="H2457" s="17" t="s">
        <v>7774</v>
      </c>
      <c r="I2457" s="17"/>
      <c r="J2457" s="17"/>
      <c r="K2457" s="17"/>
      <c r="L2457" s="17"/>
      <c r="M2457" s="17"/>
      <c r="N2457" s="17"/>
      <c r="O2457" s="17"/>
      <c r="P2457" s="17"/>
      <c r="Q2457" s="17"/>
    </row>
    <row r="2458" spans="1:17">
      <c r="A2458" s="556" t="s">
        <v>3629</v>
      </c>
      <c r="B2458" s="557" t="s">
        <v>2262</v>
      </c>
      <c r="C2458" s="558" t="s">
        <v>5915</v>
      </c>
      <c r="D2458" s="556" t="s">
        <v>5888</v>
      </c>
      <c r="E2458" s="17" t="s">
        <v>5917</v>
      </c>
      <c r="F2458" s="17">
        <v>4</v>
      </c>
      <c r="G2458" s="17">
        <v>2</v>
      </c>
      <c r="H2458" s="17" t="s">
        <v>3351</v>
      </c>
      <c r="I2458" s="17"/>
      <c r="J2458" s="17"/>
      <c r="K2458" s="17"/>
      <c r="L2458" s="17"/>
      <c r="M2458" s="17"/>
      <c r="N2458" s="17"/>
      <c r="O2458" s="17"/>
      <c r="P2458" s="17"/>
      <c r="Q2458" s="17"/>
    </row>
    <row r="2459" spans="1:17">
      <c r="A2459" s="556" t="s">
        <v>3629</v>
      </c>
      <c r="B2459" s="557" t="s">
        <v>2262</v>
      </c>
      <c r="C2459" s="558" t="s">
        <v>5915</v>
      </c>
      <c r="D2459" s="556" t="s">
        <v>5890</v>
      </c>
      <c r="E2459" s="17" t="s">
        <v>5918</v>
      </c>
      <c r="F2459" s="17">
        <v>4</v>
      </c>
      <c r="G2459" s="17">
        <v>3</v>
      </c>
      <c r="H2459" s="17" t="s">
        <v>3352</v>
      </c>
      <c r="I2459" s="17"/>
      <c r="J2459" s="17"/>
      <c r="K2459" s="17"/>
      <c r="L2459" s="17"/>
      <c r="M2459" s="17"/>
      <c r="N2459" s="17"/>
      <c r="O2459" s="17"/>
      <c r="P2459" s="17"/>
      <c r="Q2459" s="17"/>
    </row>
    <row r="2460" spans="1:17">
      <c r="A2460" s="556" t="s">
        <v>3629</v>
      </c>
      <c r="B2460" s="557" t="s">
        <v>2262</v>
      </c>
      <c r="C2460" s="558" t="s">
        <v>5915</v>
      </c>
      <c r="D2460" s="556" t="s">
        <v>5892</v>
      </c>
      <c r="E2460" s="17" t="s">
        <v>5919</v>
      </c>
      <c r="F2460" s="17">
        <v>4</v>
      </c>
      <c r="G2460" s="17">
        <v>4</v>
      </c>
      <c r="H2460" s="17" t="s">
        <v>3353</v>
      </c>
      <c r="I2460" s="17"/>
      <c r="J2460" s="17"/>
      <c r="K2460" s="17"/>
      <c r="L2460" s="17"/>
      <c r="M2460" s="17"/>
      <c r="N2460" s="17"/>
      <c r="O2460" s="17"/>
      <c r="P2460" s="17"/>
      <c r="Q2460" s="17"/>
    </row>
    <row r="2461" spans="1:17">
      <c r="A2461" s="556" t="s">
        <v>3629</v>
      </c>
      <c r="B2461" s="557" t="s">
        <v>2262</v>
      </c>
      <c r="C2461" s="558" t="s">
        <v>5915</v>
      </c>
      <c r="D2461" s="556" t="s">
        <v>5894</v>
      </c>
      <c r="E2461" s="17" t="s">
        <v>5920</v>
      </c>
      <c r="F2461" s="17">
        <v>4</v>
      </c>
      <c r="G2461" s="17">
        <v>5</v>
      </c>
      <c r="H2461" s="17" t="s">
        <v>3354</v>
      </c>
      <c r="I2461" s="17"/>
      <c r="J2461" s="17"/>
      <c r="K2461" s="17"/>
      <c r="L2461" s="17"/>
      <c r="M2461" s="17"/>
      <c r="N2461" s="17"/>
      <c r="O2461" s="17"/>
      <c r="P2461" s="17"/>
      <c r="Q2461" s="17"/>
    </row>
    <row r="2462" spans="1:17">
      <c r="A2462" s="556" t="s">
        <v>3629</v>
      </c>
      <c r="B2462" s="557" t="s">
        <v>2262</v>
      </c>
      <c r="C2462" s="558" t="s">
        <v>5915</v>
      </c>
      <c r="D2462" s="556" t="s">
        <v>5896</v>
      </c>
      <c r="E2462" s="17" t="s">
        <v>5921</v>
      </c>
      <c r="F2462" s="17">
        <v>4</v>
      </c>
      <c r="G2462" s="17">
        <v>6</v>
      </c>
      <c r="H2462" s="17" t="s">
        <v>3454</v>
      </c>
      <c r="I2462" s="17"/>
      <c r="J2462" s="17"/>
      <c r="K2462" s="17"/>
      <c r="L2462" s="17"/>
      <c r="M2462" s="17"/>
      <c r="N2462" s="17"/>
      <c r="O2462" s="17"/>
      <c r="P2462" s="17"/>
      <c r="Q2462" s="17"/>
    </row>
    <row r="2463" spans="1:17">
      <c r="A2463" s="556" t="s">
        <v>3629</v>
      </c>
      <c r="B2463" s="557" t="s">
        <v>2262</v>
      </c>
      <c r="C2463" s="558" t="s">
        <v>5915</v>
      </c>
      <c r="D2463" s="556" t="s">
        <v>1578</v>
      </c>
      <c r="E2463" s="17" t="s">
        <v>5922</v>
      </c>
      <c r="F2463" s="17">
        <v>4</v>
      </c>
      <c r="G2463" s="17">
        <v>7</v>
      </c>
      <c r="H2463" s="17" t="s">
        <v>7809</v>
      </c>
      <c r="I2463" s="17">
        <v>0</v>
      </c>
      <c r="J2463" s="17"/>
      <c r="K2463" s="17"/>
      <c r="L2463" s="17"/>
      <c r="M2463" s="17"/>
      <c r="N2463" s="17"/>
      <c r="O2463" s="17"/>
      <c r="P2463" s="17"/>
      <c r="Q2463" s="17"/>
    </row>
    <row r="2464" spans="1:17">
      <c r="A2464" s="556" t="s">
        <v>3629</v>
      </c>
      <c r="B2464" s="557" t="s">
        <v>2264</v>
      </c>
      <c r="C2464" s="558" t="s">
        <v>1578</v>
      </c>
      <c r="D2464" s="556" t="s">
        <v>5886</v>
      </c>
      <c r="E2464" s="17" t="s">
        <v>5923</v>
      </c>
      <c r="F2464" s="17">
        <v>5</v>
      </c>
      <c r="G2464" s="17">
        <v>1</v>
      </c>
      <c r="H2464" s="17" t="s">
        <v>7776</v>
      </c>
      <c r="I2464" s="17">
        <v>0</v>
      </c>
      <c r="J2464" s="17"/>
      <c r="K2464" s="17"/>
      <c r="L2464" s="17"/>
      <c r="M2464" s="17"/>
      <c r="N2464" s="17"/>
      <c r="O2464" s="17"/>
      <c r="P2464" s="17"/>
      <c r="Q2464" s="17"/>
    </row>
    <row r="2465" spans="1:17">
      <c r="A2465" s="556" t="s">
        <v>3629</v>
      </c>
      <c r="B2465" s="557" t="s">
        <v>2264</v>
      </c>
      <c r="C2465" s="558" t="s">
        <v>1578</v>
      </c>
      <c r="D2465" s="556" t="s">
        <v>5888</v>
      </c>
      <c r="E2465" s="17" t="s">
        <v>5924</v>
      </c>
      <c r="F2465" s="17">
        <v>5</v>
      </c>
      <c r="G2465" s="17">
        <v>2</v>
      </c>
      <c r="H2465" s="17" t="s">
        <v>3355</v>
      </c>
      <c r="I2465" s="17">
        <v>0</v>
      </c>
      <c r="J2465" s="17"/>
      <c r="K2465" s="17"/>
      <c r="L2465" s="17"/>
      <c r="M2465" s="17"/>
      <c r="N2465" s="17"/>
      <c r="O2465" s="17"/>
      <c r="P2465" s="17"/>
      <c r="Q2465" s="17"/>
    </row>
    <row r="2466" spans="1:17">
      <c r="A2466" s="556" t="s">
        <v>3629</v>
      </c>
      <c r="B2466" s="557" t="s">
        <v>2264</v>
      </c>
      <c r="C2466" s="558" t="s">
        <v>1578</v>
      </c>
      <c r="D2466" s="556" t="s">
        <v>5890</v>
      </c>
      <c r="E2466" s="17" t="s">
        <v>5925</v>
      </c>
      <c r="F2466" s="17">
        <v>5</v>
      </c>
      <c r="G2466" s="17">
        <v>3</v>
      </c>
      <c r="H2466" s="17" t="s">
        <v>3356</v>
      </c>
      <c r="I2466" s="17">
        <v>0</v>
      </c>
      <c r="J2466" s="17"/>
      <c r="K2466" s="17"/>
      <c r="L2466" s="17"/>
      <c r="M2466" s="17"/>
      <c r="N2466" s="17"/>
      <c r="O2466" s="17"/>
      <c r="P2466" s="17"/>
      <c r="Q2466" s="17"/>
    </row>
    <row r="2467" spans="1:17">
      <c r="A2467" s="556" t="s">
        <v>3629</v>
      </c>
      <c r="B2467" s="557" t="s">
        <v>2264</v>
      </c>
      <c r="C2467" s="558" t="s">
        <v>1578</v>
      </c>
      <c r="D2467" s="556" t="s">
        <v>5892</v>
      </c>
      <c r="E2467" s="17" t="s">
        <v>5926</v>
      </c>
      <c r="F2467" s="17">
        <v>5</v>
      </c>
      <c r="G2467" s="17">
        <v>4</v>
      </c>
      <c r="H2467" s="17" t="s">
        <v>3357</v>
      </c>
      <c r="I2467" s="17">
        <v>0</v>
      </c>
      <c r="J2467" s="17"/>
      <c r="K2467" s="17"/>
      <c r="L2467" s="17"/>
      <c r="M2467" s="17"/>
      <c r="N2467" s="17"/>
      <c r="O2467" s="17"/>
      <c r="P2467" s="17"/>
      <c r="Q2467" s="17"/>
    </row>
    <row r="2468" spans="1:17">
      <c r="A2468" s="556" t="s">
        <v>3629</v>
      </c>
      <c r="B2468" s="557" t="s">
        <v>2264</v>
      </c>
      <c r="C2468" s="558" t="s">
        <v>1578</v>
      </c>
      <c r="D2468" s="556" t="s">
        <v>5894</v>
      </c>
      <c r="E2468" s="17" t="s">
        <v>5927</v>
      </c>
      <c r="F2468" s="17">
        <v>5</v>
      </c>
      <c r="G2468" s="17">
        <v>5</v>
      </c>
      <c r="H2468" s="17" t="s">
        <v>3358</v>
      </c>
      <c r="I2468" s="17">
        <v>0</v>
      </c>
      <c r="J2468" s="17"/>
      <c r="K2468" s="17"/>
      <c r="L2468" s="17"/>
      <c r="M2468" s="17"/>
      <c r="N2468" s="17"/>
      <c r="O2468" s="17"/>
      <c r="P2468" s="17"/>
      <c r="Q2468" s="17"/>
    </row>
    <row r="2469" spans="1:17">
      <c r="A2469" s="556" t="s">
        <v>3629</v>
      </c>
      <c r="B2469" s="557" t="s">
        <v>2264</v>
      </c>
      <c r="C2469" s="558" t="s">
        <v>1578</v>
      </c>
      <c r="D2469" s="556" t="s">
        <v>5896</v>
      </c>
      <c r="E2469" s="17" t="s">
        <v>5928</v>
      </c>
      <c r="F2469" s="17">
        <v>5</v>
      </c>
      <c r="G2469" s="17">
        <v>6</v>
      </c>
      <c r="H2469" s="17" t="s">
        <v>3455</v>
      </c>
      <c r="I2469" s="17">
        <v>0</v>
      </c>
      <c r="J2469" s="17"/>
      <c r="K2469" s="17"/>
      <c r="L2469" s="17"/>
      <c r="M2469" s="17"/>
      <c r="N2469" s="17"/>
      <c r="O2469" s="17"/>
      <c r="P2469" s="17"/>
      <c r="Q2469" s="17"/>
    </row>
    <row r="2470" spans="1:17">
      <c r="A2470" s="556" t="s">
        <v>3629</v>
      </c>
      <c r="B2470" s="557" t="s">
        <v>2264</v>
      </c>
      <c r="C2470" s="558" t="s">
        <v>1578</v>
      </c>
      <c r="D2470" s="556" t="s">
        <v>1578</v>
      </c>
      <c r="E2470" s="17" t="s">
        <v>5929</v>
      </c>
      <c r="F2470" s="17">
        <v>5</v>
      </c>
      <c r="G2470" s="17">
        <v>7</v>
      </c>
      <c r="H2470" s="17" t="s">
        <v>7814</v>
      </c>
      <c r="I2470" s="17">
        <v>0</v>
      </c>
      <c r="J2470" s="17"/>
      <c r="K2470" s="17"/>
      <c r="L2470" s="17"/>
      <c r="M2470" s="17"/>
      <c r="N2470" s="17"/>
      <c r="O2470" s="17"/>
      <c r="P2470" s="17"/>
      <c r="Q2470" s="17"/>
    </row>
    <row r="2471" spans="1:17">
      <c r="A2471" s="556" t="s">
        <v>3629</v>
      </c>
      <c r="B2471" s="557" t="s">
        <v>2266</v>
      </c>
      <c r="C2471" s="558" t="s">
        <v>2267</v>
      </c>
      <c r="D2471" s="556" t="s">
        <v>5886</v>
      </c>
      <c r="E2471" s="17" t="s">
        <v>5930</v>
      </c>
      <c r="F2471" s="17">
        <v>6</v>
      </c>
      <c r="G2471" s="17">
        <v>1</v>
      </c>
      <c r="H2471" s="17" t="s">
        <v>7778</v>
      </c>
      <c r="I2471" s="17"/>
      <c r="J2471" s="17"/>
      <c r="K2471" s="17"/>
      <c r="L2471" s="17"/>
      <c r="M2471" s="17"/>
      <c r="N2471" s="17"/>
      <c r="O2471" s="17"/>
      <c r="P2471" s="17"/>
      <c r="Q2471" s="17"/>
    </row>
    <row r="2472" spans="1:17">
      <c r="A2472" s="556" t="s">
        <v>3629</v>
      </c>
      <c r="B2472" s="557" t="s">
        <v>2266</v>
      </c>
      <c r="C2472" s="558" t="s">
        <v>2267</v>
      </c>
      <c r="D2472" s="556" t="s">
        <v>5888</v>
      </c>
      <c r="E2472" s="17" t="s">
        <v>5931</v>
      </c>
      <c r="F2472" s="17">
        <v>6</v>
      </c>
      <c r="G2472" s="17">
        <v>2</v>
      </c>
      <c r="H2472" s="17" t="s">
        <v>3359</v>
      </c>
      <c r="I2472" s="17"/>
      <c r="J2472" s="17"/>
      <c r="K2472" s="17"/>
      <c r="L2472" s="17"/>
      <c r="M2472" s="17"/>
      <c r="N2472" s="17"/>
      <c r="O2472" s="17"/>
      <c r="P2472" s="17"/>
      <c r="Q2472" s="17"/>
    </row>
    <row r="2473" spans="1:17">
      <c r="A2473" s="556" t="s">
        <v>3629</v>
      </c>
      <c r="B2473" s="557" t="s">
        <v>2266</v>
      </c>
      <c r="C2473" s="558" t="s">
        <v>2267</v>
      </c>
      <c r="D2473" s="556" t="s">
        <v>5890</v>
      </c>
      <c r="E2473" s="17" t="s">
        <v>5932</v>
      </c>
      <c r="F2473" s="17">
        <v>6</v>
      </c>
      <c r="G2473" s="17">
        <v>3</v>
      </c>
      <c r="H2473" s="17" t="s">
        <v>3360</v>
      </c>
      <c r="I2473" s="17"/>
      <c r="J2473" s="17"/>
      <c r="K2473" s="17"/>
      <c r="L2473" s="17"/>
      <c r="M2473" s="17"/>
      <c r="N2473" s="17"/>
      <c r="O2473" s="17"/>
      <c r="P2473" s="17"/>
      <c r="Q2473" s="17"/>
    </row>
    <row r="2474" spans="1:17">
      <c r="A2474" s="556" t="s">
        <v>3629</v>
      </c>
      <c r="B2474" s="557" t="s">
        <v>2266</v>
      </c>
      <c r="C2474" s="558" t="s">
        <v>2267</v>
      </c>
      <c r="D2474" s="556" t="s">
        <v>5892</v>
      </c>
      <c r="E2474" s="17" t="s">
        <v>5933</v>
      </c>
      <c r="F2474" s="17">
        <v>6</v>
      </c>
      <c r="G2474" s="17">
        <v>4</v>
      </c>
      <c r="H2474" s="17" t="s">
        <v>3327</v>
      </c>
      <c r="I2474" s="17"/>
      <c r="J2474" s="17"/>
      <c r="K2474" s="17"/>
      <c r="L2474" s="17"/>
      <c r="M2474" s="17"/>
      <c r="N2474" s="17"/>
      <c r="O2474" s="17"/>
      <c r="P2474" s="17"/>
      <c r="Q2474" s="17"/>
    </row>
    <row r="2475" spans="1:17">
      <c r="A2475" s="556" t="s">
        <v>3629</v>
      </c>
      <c r="B2475" s="557" t="s">
        <v>2266</v>
      </c>
      <c r="C2475" s="558" t="s">
        <v>2267</v>
      </c>
      <c r="D2475" s="556" t="s">
        <v>5894</v>
      </c>
      <c r="E2475" s="17" t="s">
        <v>5934</v>
      </c>
      <c r="F2475" s="17">
        <v>6</v>
      </c>
      <c r="G2475" s="17">
        <v>5</v>
      </c>
      <c r="H2475" s="17" t="s">
        <v>3361</v>
      </c>
      <c r="I2475" s="17"/>
      <c r="J2475" s="17"/>
      <c r="K2475" s="17"/>
      <c r="L2475" s="17"/>
      <c r="M2475" s="17"/>
      <c r="N2475" s="17"/>
      <c r="O2475" s="17"/>
      <c r="P2475" s="17"/>
      <c r="Q2475" s="17"/>
    </row>
    <row r="2476" spans="1:17">
      <c r="A2476" s="556" t="s">
        <v>3629</v>
      </c>
      <c r="B2476" s="557" t="s">
        <v>2266</v>
      </c>
      <c r="C2476" s="558" t="s">
        <v>2267</v>
      </c>
      <c r="D2476" s="556" t="s">
        <v>5896</v>
      </c>
      <c r="E2476" s="17" t="s">
        <v>5935</v>
      </c>
      <c r="F2476" s="17">
        <v>6</v>
      </c>
      <c r="G2476" s="17">
        <v>6</v>
      </c>
      <c r="H2476" s="17" t="s">
        <v>3456</v>
      </c>
      <c r="I2476" s="17"/>
      <c r="J2476" s="17"/>
      <c r="K2476" s="17"/>
      <c r="L2476" s="17"/>
      <c r="M2476" s="17"/>
      <c r="N2476" s="17"/>
      <c r="O2476" s="17"/>
      <c r="P2476" s="17"/>
      <c r="Q2476" s="17"/>
    </row>
    <row r="2477" spans="1:17">
      <c r="A2477" s="556" t="s">
        <v>3629</v>
      </c>
      <c r="B2477" s="557" t="s">
        <v>2266</v>
      </c>
      <c r="C2477" s="558" t="s">
        <v>2267</v>
      </c>
      <c r="D2477" s="556" t="s">
        <v>1578</v>
      </c>
      <c r="E2477" s="17" t="s">
        <v>5936</v>
      </c>
      <c r="F2477" s="17">
        <v>6</v>
      </c>
      <c r="G2477" s="17">
        <v>7</v>
      </c>
      <c r="H2477" s="17" t="s">
        <v>7815</v>
      </c>
      <c r="I2477" s="17">
        <v>0</v>
      </c>
      <c r="J2477" s="17"/>
      <c r="K2477" s="17"/>
      <c r="L2477" s="17"/>
      <c r="M2477" s="17"/>
      <c r="N2477" s="17"/>
      <c r="O2477" s="17"/>
      <c r="P2477" s="17"/>
      <c r="Q2477" s="17"/>
    </row>
    <row r="2478" spans="1:17">
      <c r="A2478" s="556" t="s">
        <v>3629</v>
      </c>
      <c r="B2478" s="557" t="s">
        <v>2268</v>
      </c>
      <c r="C2478" s="558" t="s">
        <v>2269</v>
      </c>
      <c r="D2478" s="556" t="s">
        <v>5886</v>
      </c>
      <c r="E2478" s="17" t="s">
        <v>5937</v>
      </c>
      <c r="F2478" s="17">
        <v>7</v>
      </c>
      <c r="G2478" s="17">
        <v>1</v>
      </c>
      <c r="H2478" s="17" t="s">
        <v>7779</v>
      </c>
      <c r="I2478" s="17">
        <v>0</v>
      </c>
      <c r="J2478" s="17"/>
      <c r="K2478" s="17"/>
      <c r="L2478" s="17"/>
      <c r="M2478" s="17"/>
      <c r="N2478" s="17"/>
      <c r="O2478" s="17"/>
      <c r="P2478" s="17"/>
      <c r="Q2478" s="17"/>
    </row>
    <row r="2479" spans="1:17">
      <c r="A2479" s="556" t="s">
        <v>3629</v>
      </c>
      <c r="B2479" s="557" t="s">
        <v>2268</v>
      </c>
      <c r="C2479" s="558" t="s">
        <v>2269</v>
      </c>
      <c r="D2479" s="556" t="s">
        <v>5888</v>
      </c>
      <c r="E2479" s="17" t="s">
        <v>5938</v>
      </c>
      <c r="F2479" s="17">
        <v>7</v>
      </c>
      <c r="G2479" s="17">
        <v>2</v>
      </c>
      <c r="H2479" s="17" t="s">
        <v>3362</v>
      </c>
      <c r="I2479" s="17">
        <v>0</v>
      </c>
      <c r="J2479" s="17"/>
      <c r="K2479" s="17"/>
      <c r="L2479" s="17"/>
      <c r="M2479" s="17"/>
      <c r="N2479" s="17"/>
      <c r="O2479" s="17"/>
      <c r="P2479" s="17"/>
      <c r="Q2479" s="17"/>
    </row>
    <row r="2480" spans="1:17">
      <c r="A2480" s="556" t="s">
        <v>3629</v>
      </c>
      <c r="B2480" s="557" t="s">
        <v>2268</v>
      </c>
      <c r="C2480" s="558" t="s">
        <v>2269</v>
      </c>
      <c r="D2480" s="556" t="s">
        <v>5890</v>
      </c>
      <c r="E2480" s="17" t="s">
        <v>5939</v>
      </c>
      <c r="F2480" s="17">
        <v>7</v>
      </c>
      <c r="G2480" s="17">
        <v>3</v>
      </c>
      <c r="H2480" s="17" t="s">
        <v>3363</v>
      </c>
      <c r="I2480" s="17">
        <v>0</v>
      </c>
      <c r="J2480" s="17"/>
      <c r="K2480" s="17"/>
      <c r="L2480" s="17"/>
      <c r="M2480" s="17"/>
      <c r="N2480" s="17"/>
      <c r="O2480" s="17"/>
      <c r="P2480" s="17"/>
      <c r="Q2480" s="17"/>
    </row>
    <row r="2481" spans="1:17">
      <c r="A2481" s="556" t="s">
        <v>3629</v>
      </c>
      <c r="B2481" s="557" t="s">
        <v>2268</v>
      </c>
      <c r="C2481" s="558" t="s">
        <v>2269</v>
      </c>
      <c r="D2481" s="556" t="s">
        <v>5892</v>
      </c>
      <c r="E2481" s="17" t="s">
        <v>5940</v>
      </c>
      <c r="F2481" s="17">
        <v>7</v>
      </c>
      <c r="G2481" s="17">
        <v>4</v>
      </c>
      <c r="H2481" s="17" t="s">
        <v>3364</v>
      </c>
      <c r="I2481" s="17">
        <v>0</v>
      </c>
      <c r="J2481" s="17"/>
      <c r="K2481" s="17"/>
      <c r="L2481" s="17"/>
      <c r="M2481" s="17"/>
      <c r="N2481" s="17"/>
      <c r="O2481" s="17"/>
      <c r="P2481" s="17"/>
      <c r="Q2481" s="17"/>
    </row>
    <row r="2482" spans="1:17">
      <c r="A2482" s="556" t="s">
        <v>3629</v>
      </c>
      <c r="B2482" s="557" t="s">
        <v>2268</v>
      </c>
      <c r="C2482" s="558" t="s">
        <v>2269</v>
      </c>
      <c r="D2482" s="556" t="s">
        <v>5894</v>
      </c>
      <c r="E2482" s="17" t="s">
        <v>5941</v>
      </c>
      <c r="F2482" s="17">
        <v>7</v>
      </c>
      <c r="G2482" s="17">
        <v>5</v>
      </c>
      <c r="H2482" s="17" t="s">
        <v>3365</v>
      </c>
      <c r="I2482" s="17">
        <v>0</v>
      </c>
      <c r="J2482" s="17"/>
      <c r="K2482" s="17"/>
      <c r="L2482" s="17"/>
      <c r="M2482" s="17"/>
      <c r="N2482" s="17"/>
      <c r="O2482" s="17"/>
      <c r="P2482" s="17"/>
      <c r="Q2482" s="17"/>
    </row>
    <row r="2483" spans="1:17">
      <c r="A2483" s="556" t="s">
        <v>3629</v>
      </c>
      <c r="B2483" s="557" t="s">
        <v>2268</v>
      </c>
      <c r="C2483" s="558" t="s">
        <v>2269</v>
      </c>
      <c r="D2483" s="556" t="s">
        <v>5896</v>
      </c>
      <c r="E2483" s="17" t="s">
        <v>5942</v>
      </c>
      <c r="F2483" s="17">
        <v>7</v>
      </c>
      <c r="G2483" s="17">
        <v>6</v>
      </c>
      <c r="H2483" s="17" t="s">
        <v>3457</v>
      </c>
      <c r="I2483" s="17">
        <v>0</v>
      </c>
      <c r="J2483" s="17"/>
      <c r="K2483" s="17"/>
      <c r="L2483" s="17"/>
      <c r="M2483" s="17"/>
      <c r="N2483" s="17"/>
      <c r="O2483" s="17"/>
      <c r="P2483" s="17"/>
      <c r="Q2483" s="17"/>
    </row>
    <row r="2484" spans="1:17">
      <c r="A2484" s="556" t="s">
        <v>3629</v>
      </c>
      <c r="B2484" s="557" t="s">
        <v>2268</v>
      </c>
      <c r="C2484" s="558" t="s">
        <v>2269</v>
      </c>
      <c r="D2484" s="556" t="s">
        <v>1578</v>
      </c>
      <c r="E2484" s="17" t="s">
        <v>5943</v>
      </c>
      <c r="F2484" s="17">
        <v>11</v>
      </c>
      <c r="G2484" s="17">
        <v>7</v>
      </c>
      <c r="H2484" s="17" t="s">
        <v>7820</v>
      </c>
      <c r="I2484" s="17">
        <v>0</v>
      </c>
      <c r="J2484" s="17"/>
      <c r="K2484" s="17"/>
      <c r="L2484" s="17"/>
      <c r="M2484" s="17"/>
      <c r="N2484" s="17"/>
      <c r="O2484" s="17"/>
      <c r="P2484" s="17"/>
      <c r="Q2484" s="17"/>
    </row>
    <row r="2485" spans="1:17">
      <c r="A2485" s="556" t="s">
        <v>3629</v>
      </c>
      <c r="B2485" s="557" t="s">
        <v>2272</v>
      </c>
      <c r="C2485" s="558" t="s">
        <v>5885</v>
      </c>
      <c r="D2485" s="556" t="s">
        <v>5886</v>
      </c>
      <c r="E2485" s="17" t="s">
        <v>5944</v>
      </c>
      <c r="F2485" s="17">
        <v>11</v>
      </c>
      <c r="G2485" s="17">
        <v>1</v>
      </c>
      <c r="H2485" s="17" t="s">
        <v>3695</v>
      </c>
      <c r="I2485" s="17"/>
      <c r="J2485" s="17"/>
      <c r="K2485" s="17"/>
      <c r="L2485" s="17"/>
      <c r="M2485" s="17"/>
      <c r="N2485" s="17"/>
      <c r="O2485" s="17"/>
      <c r="P2485" s="17"/>
      <c r="Q2485" s="17"/>
    </row>
    <row r="2486" spans="1:17">
      <c r="A2486" s="556" t="s">
        <v>3629</v>
      </c>
      <c r="B2486" s="557" t="s">
        <v>2272</v>
      </c>
      <c r="C2486" s="558" t="s">
        <v>5885</v>
      </c>
      <c r="D2486" s="556" t="s">
        <v>5888</v>
      </c>
      <c r="E2486" s="17" t="s">
        <v>5945</v>
      </c>
      <c r="F2486" s="17">
        <v>11</v>
      </c>
      <c r="G2486" s="17">
        <v>2</v>
      </c>
      <c r="H2486" s="17" t="s">
        <v>3378</v>
      </c>
      <c r="I2486" s="17"/>
      <c r="J2486" s="17"/>
      <c r="K2486" s="17"/>
      <c r="L2486" s="17"/>
      <c r="M2486" s="17"/>
      <c r="N2486" s="17"/>
      <c r="O2486" s="17"/>
      <c r="P2486" s="17"/>
      <c r="Q2486" s="17"/>
    </row>
    <row r="2487" spans="1:17">
      <c r="A2487" s="556" t="s">
        <v>3629</v>
      </c>
      <c r="B2487" s="557" t="s">
        <v>2272</v>
      </c>
      <c r="C2487" s="558" t="s">
        <v>5885</v>
      </c>
      <c r="D2487" s="556" t="s">
        <v>5890</v>
      </c>
      <c r="E2487" s="17" t="s">
        <v>5946</v>
      </c>
      <c r="F2487" s="17">
        <v>11</v>
      </c>
      <c r="G2487" s="17">
        <v>3</v>
      </c>
      <c r="H2487" s="17" t="s">
        <v>3379</v>
      </c>
      <c r="I2487" s="17"/>
      <c r="J2487" s="17"/>
      <c r="K2487" s="17"/>
      <c r="L2487" s="17"/>
      <c r="M2487" s="17"/>
      <c r="N2487" s="17"/>
      <c r="O2487" s="17"/>
      <c r="P2487" s="17"/>
      <c r="Q2487" s="17"/>
    </row>
    <row r="2488" spans="1:17">
      <c r="A2488" s="556" t="s">
        <v>3629</v>
      </c>
      <c r="B2488" s="557" t="s">
        <v>2272</v>
      </c>
      <c r="C2488" s="558" t="s">
        <v>5885</v>
      </c>
      <c r="D2488" s="556" t="s">
        <v>5892</v>
      </c>
      <c r="E2488" s="17" t="s">
        <v>5947</v>
      </c>
      <c r="F2488" s="17">
        <v>11</v>
      </c>
      <c r="G2488" s="17">
        <v>4</v>
      </c>
      <c r="H2488" s="17" t="s">
        <v>3380</v>
      </c>
      <c r="I2488" s="17"/>
      <c r="J2488" s="17"/>
      <c r="K2488" s="17"/>
      <c r="L2488" s="17"/>
      <c r="M2488" s="17"/>
      <c r="N2488" s="17"/>
      <c r="O2488" s="17"/>
      <c r="P2488" s="17"/>
      <c r="Q2488" s="17"/>
    </row>
    <row r="2489" spans="1:17">
      <c r="A2489" s="556" t="s">
        <v>3629</v>
      </c>
      <c r="B2489" s="557" t="s">
        <v>2272</v>
      </c>
      <c r="C2489" s="558" t="s">
        <v>5885</v>
      </c>
      <c r="D2489" s="556" t="s">
        <v>5894</v>
      </c>
      <c r="E2489" s="17" t="s">
        <v>5948</v>
      </c>
      <c r="F2489" s="17">
        <v>11</v>
      </c>
      <c r="G2489" s="17">
        <v>5</v>
      </c>
      <c r="H2489" s="17" t="s">
        <v>3381</v>
      </c>
      <c r="I2489" s="17"/>
      <c r="J2489" s="17"/>
      <c r="K2489" s="17"/>
      <c r="L2489" s="17"/>
      <c r="M2489" s="17"/>
      <c r="N2489" s="17"/>
      <c r="O2489" s="17"/>
      <c r="P2489" s="17"/>
      <c r="Q2489" s="17"/>
    </row>
    <row r="2490" spans="1:17">
      <c r="A2490" s="556" t="s">
        <v>3629</v>
      </c>
      <c r="B2490" s="557" t="s">
        <v>2272</v>
      </c>
      <c r="C2490" s="558" t="s">
        <v>5885</v>
      </c>
      <c r="D2490" s="556" t="s">
        <v>5896</v>
      </c>
      <c r="E2490" s="17" t="s">
        <v>5949</v>
      </c>
      <c r="F2490" s="17">
        <v>11</v>
      </c>
      <c r="G2490" s="17">
        <v>6</v>
      </c>
      <c r="H2490" s="17" t="s">
        <v>3461</v>
      </c>
      <c r="I2490" s="17"/>
      <c r="J2490" s="17"/>
      <c r="K2490" s="17"/>
      <c r="L2490" s="17"/>
      <c r="M2490" s="17"/>
      <c r="N2490" s="17"/>
      <c r="O2490" s="17"/>
      <c r="P2490" s="17"/>
      <c r="Q2490" s="17"/>
    </row>
    <row r="2491" spans="1:17">
      <c r="A2491" s="556" t="s">
        <v>3629</v>
      </c>
      <c r="B2491" s="557" t="s">
        <v>2272</v>
      </c>
      <c r="C2491" s="558" t="s">
        <v>5885</v>
      </c>
      <c r="D2491" s="556" t="s">
        <v>1578</v>
      </c>
      <c r="E2491" s="17" t="s">
        <v>5950</v>
      </c>
      <c r="F2491" s="17">
        <v>11</v>
      </c>
      <c r="G2491" s="17">
        <v>7</v>
      </c>
      <c r="H2491" s="17" t="s">
        <v>7820</v>
      </c>
      <c r="I2491" s="17">
        <v>0</v>
      </c>
      <c r="J2491" s="17"/>
      <c r="K2491" s="17"/>
      <c r="L2491" s="17"/>
      <c r="M2491" s="17"/>
      <c r="N2491" s="17"/>
      <c r="O2491" s="17"/>
      <c r="P2491" s="17"/>
      <c r="Q2491" s="17"/>
    </row>
    <row r="2492" spans="1:17">
      <c r="A2492" s="556" t="s">
        <v>3629</v>
      </c>
      <c r="B2492" s="557" t="s">
        <v>2274</v>
      </c>
      <c r="C2492" s="558" t="s">
        <v>5899</v>
      </c>
      <c r="D2492" s="556" t="s">
        <v>5886</v>
      </c>
      <c r="E2492" s="17" t="s">
        <v>5951</v>
      </c>
      <c r="F2492" s="17">
        <v>12</v>
      </c>
      <c r="G2492" s="17">
        <v>1</v>
      </c>
      <c r="H2492" s="17" t="s">
        <v>7788</v>
      </c>
      <c r="I2492" s="17"/>
      <c r="J2492" s="17"/>
      <c r="K2492" s="17"/>
      <c r="L2492" s="17"/>
      <c r="M2492" s="17"/>
      <c r="N2492" s="17"/>
      <c r="O2492" s="17"/>
      <c r="P2492" s="17"/>
      <c r="Q2492" s="17"/>
    </row>
    <row r="2493" spans="1:17">
      <c r="A2493" s="556" t="s">
        <v>3629</v>
      </c>
      <c r="B2493" s="557" t="s">
        <v>2274</v>
      </c>
      <c r="C2493" s="558" t="s">
        <v>5899</v>
      </c>
      <c r="D2493" s="556" t="s">
        <v>5888</v>
      </c>
      <c r="E2493" s="17" t="s">
        <v>5952</v>
      </c>
      <c r="F2493" s="17">
        <v>12</v>
      </c>
      <c r="G2493" s="17">
        <v>2</v>
      </c>
      <c r="H2493" s="17" t="s">
        <v>3382</v>
      </c>
      <c r="I2493" s="17"/>
      <c r="J2493" s="17"/>
      <c r="K2493" s="17"/>
      <c r="L2493" s="17"/>
      <c r="M2493" s="17"/>
      <c r="N2493" s="17"/>
      <c r="O2493" s="17"/>
      <c r="P2493" s="17"/>
      <c r="Q2493" s="17"/>
    </row>
    <row r="2494" spans="1:17">
      <c r="A2494" s="556" t="s">
        <v>3629</v>
      </c>
      <c r="B2494" s="557" t="s">
        <v>2274</v>
      </c>
      <c r="C2494" s="558" t="s">
        <v>5899</v>
      </c>
      <c r="D2494" s="556" t="s">
        <v>5890</v>
      </c>
      <c r="E2494" s="17" t="s">
        <v>5953</v>
      </c>
      <c r="F2494" s="17">
        <v>12</v>
      </c>
      <c r="G2494" s="17">
        <v>3</v>
      </c>
      <c r="H2494" s="17" t="s">
        <v>3383</v>
      </c>
      <c r="I2494" s="17"/>
      <c r="J2494" s="17"/>
      <c r="K2494" s="17"/>
      <c r="L2494" s="17"/>
      <c r="M2494" s="17"/>
      <c r="N2494" s="17"/>
      <c r="O2494" s="17"/>
      <c r="P2494" s="17"/>
      <c r="Q2494" s="17"/>
    </row>
    <row r="2495" spans="1:17">
      <c r="A2495" s="556" t="s">
        <v>3629</v>
      </c>
      <c r="B2495" s="557" t="s">
        <v>2274</v>
      </c>
      <c r="C2495" s="558" t="s">
        <v>5899</v>
      </c>
      <c r="D2495" s="556" t="s">
        <v>5892</v>
      </c>
      <c r="E2495" s="17" t="s">
        <v>5954</v>
      </c>
      <c r="F2495" s="17">
        <v>12</v>
      </c>
      <c r="G2495" s="17">
        <v>4</v>
      </c>
      <c r="H2495" s="17" t="s">
        <v>3384</v>
      </c>
      <c r="I2495" s="17"/>
      <c r="J2495" s="17"/>
      <c r="K2495" s="17"/>
      <c r="L2495" s="17"/>
      <c r="M2495" s="17"/>
      <c r="N2495" s="17"/>
      <c r="O2495" s="17"/>
      <c r="P2495" s="17"/>
      <c r="Q2495" s="17"/>
    </row>
    <row r="2496" spans="1:17">
      <c r="A2496" s="556" t="s">
        <v>3629</v>
      </c>
      <c r="B2496" s="557" t="s">
        <v>2274</v>
      </c>
      <c r="C2496" s="558" t="s">
        <v>5899</v>
      </c>
      <c r="D2496" s="556" t="s">
        <v>5894</v>
      </c>
      <c r="E2496" s="17" t="s">
        <v>5955</v>
      </c>
      <c r="F2496" s="17">
        <v>12</v>
      </c>
      <c r="G2496" s="17">
        <v>5</v>
      </c>
      <c r="H2496" s="17" t="s">
        <v>3385</v>
      </c>
      <c r="I2496" s="17"/>
      <c r="J2496" s="17"/>
      <c r="K2496" s="17"/>
      <c r="L2496" s="17"/>
      <c r="M2496" s="17"/>
      <c r="N2496" s="17"/>
      <c r="O2496" s="17"/>
      <c r="P2496" s="17"/>
      <c r="Q2496" s="17"/>
    </row>
    <row r="2497" spans="1:17">
      <c r="A2497" s="556" t="s">
        <v>3629</v>
      </c>
      <c r="B2497" s="557" t="s">
        <v>2274</v>
      </c>
      <c r="C2497" s="558" t="s">
        <v>5899</v>
      </c>
      <c r="D2497" s="556" t="s">
        <v>5896</v>
      </c>
      <c r="E2497" s="17" t="s">
        <v>5956</v>
      </c>
      <c r="F2497" s="17">
        <v>12</v>
      </c>
      <c r="G2497" s="17">
        <v>6</v>
      </c>
      <c r="H2497" s="17" t="s">
        <v>3462</v>
      </c>
      <c r="I2497" s="17"/>
      <c r="J2497" s="17"/>
      <c r="K2497" s="17"/>
      <c r="L2497" s="17"/>
      <c r="M2497" s="17"/>
      <c r="N2497" s="17"/>
      <c r="O2497" s="17"/>
      <c r="P2497" s="17"/>
      <c r="Q2497" s="17"/>
    </row>
    <row r="2498" spans="1:17">
      <c r="A2498" s="556" t="s">
        <v>3629</v>
      </c>
      <c r="B2498" s="557" t="s">
        <v>2274</v>
      </c>
      <c r="C2498" s="558" t="s">
        <v>5899</v>
      </c>
      <c r="D2498" s="556" t="s">
        <v>1578</v>
      </c>
      <c r="E2498" s="17" t="s">
        <v>5957</v>
      </c>
      <c r="F2498" s="17">
        <v>12</v>
      </c>
      <c r="G2498" s="17">
        <v>7</v>
      </c>
      <c r="H2498" s="17" t="s">
        <v>7821</v>
      </c>
      <c r="I2498" s="17">
        <v>0</v>
      </c>
      <c r="J2498" s="17"/>
      <c r="K2498" s="17"/>
      <c r="L2498" s="17"/>
      <c r="M2498" s="17"/>
      <c r="N2498" s="17"/>
      <c r="O2498" s="17"/>
      <c r="P2498" s="17"/>
      <c r="Q2498" s="17"/>
    </row>
    <row r="2499" spans="1:17">
      <c r="A2499" s="556" t="s">
        <v>3629</v>
      </c>
      <c r="B2499" s="557" t="s">
        <v>2275</v>
      </c>
      <c r="C2499" s="558" t="s">
        <v>5907</v>
      </c>
      <c r="D2499" s="556" t="s">
        <v>5886</v>
      </c>
      <c r="E2499" s="17" t="s">
        <v>5958</v>
      </c>
      <c r="F2499" s="17">
        <v>13</v>
      </c>
      <c r="G2499" s="17">
        <v>1</v>
      </c>
      <c r="H2499" s="17" t="s">
        <v>7790</v>
      </c>
      <c r="I2499" s="17"/>
      <c r="J2499" s="17"/>
      <c r="K2499" s="17"/>
      <c r="L2499" s="17"/>
      <c r="M2499" s="17"/>
      <c r="N2499" s="17"/>
      <c r="O2499" s="17"/>
      <c r="P2499" s="17"/>
      <c r="Q2499" s="17"/>
    </row>
    <row r="2500" spans="1:17">
      <c r="A2500" s="556" t="s">
        <v>3629</v>
      </c>
      <c r="B2500" s="557" t="s">
        <v>2275</v>
      </c>
      <c r="C2500" s="558" t="s">
        <v>5907</v>
      </c>
      <c r="D2500" s="556" t="s">
        <v>5888</v>
      </c>
      <c r="E2500" s="17" t="s">
        <v>5959</v>
      </c>
      <c r="F2500" s="17">
        <v>13</v>
      </c>
      <c r="G2500" s="17">
        <v>2</v>
      </c>
      <c r="H2500" s="17" t="s">
        <v>3386</v>
      </c>
      <c r="I2500" s="17"/>
      <c r="J2500" s="17"/>
      <c r="K2500" s="17"/>
      <c r="L2500" s="17"/>
      <c r="M2500" s="17"/>
      <c r="N2500" s="17"/>
      <c r="O2500" s="17"/>
      <c r="P2500" s="17"/>
      <c r="Q2500" s="17"/>
    </row>
    <row r="2501" spans="1:17">
      <c r="A2501" s="556" t="s">
        <v>3629</v>
      </c>
      <c r="B2501" s="557" t="s">
        <v>2275</v>
      </c>
      <c r="C2501" s="558" t="s">
        <v>5907</v>
      </c>
      <c r="D2501" s="556" t="s">
        <v>5890</v>
      </c>
      <c r="E2501" s="17" t="s">
        <v>5960</v>
      </c>
      <c r="F2501" s="17">
        <v>13</v>
      </c>
      <c r="G2501" s="17">
        <v>3</v>
      </c>
      <c r="H2501" s="17" t="s">
        <v>3387</v>
      </c>
      <c r="I2501" s="17"/>
      <c r="J2501" s="17"/>
      <c r="K2501" s="17"/>
      <c r="L2501" s="17"/>
      <c r="M2501" s="17"/>
      <c r="N2501" s="17"/>
      <c r="O2501" s="17"/>
      <c r="P2501" s="17"/>
      <c r="Q2501" s="17"/>
    </row>
    <row r="2502" spans="1:17">
      <c r="A2502" s="556" t="s">
        <v>3629</v>
      </c>
      <c r="B2502" s="557" t="s">
        <v>2275</v>
      </c>
      <c r="C2502" s="558" t="s">
        <v>5907</v>
      </c>
      <c r="D2502" s="556" t="s">
        <v>5892</v>
      </c>
      <c r="E2502" s="17" t="s">
        <v>5961</v>
      </c>
      <c r="F2502" s="17">
        <v>13</v>
      </c>
      <c r="G2502" s="17">
        <v>4</v>
      </c>
      <c r="H2502" s="17" t="s">
        <v>3388</v>
      </c>
      <c r="I2502" s="17"/>
      <c r="J2502" s="17"/>
      <c r="K2502" s="17"/>
      <c r="L2502" s="17"/>
      <c r="M2502" s="17"/>
      <c r="N2502" s="17"/>
      <c r="O2502" s="17"/>
      <c r="P2502" s="17"/>
      <c r="Q2502" s="17"/>
    </row>
    <row r="2503" spans="1:17">
      <c r="A2503" s="556" t="s">
        <v>3629</v>
      </c>
      <c r="B2503" s="557" t="s">
        <v>2275</v>
      </c>
      <c r="C2503" s="558" t="s">
        <v>5907</v>
      </c>
      <c r="D2503" s="556" t="s">
        <v>5894</v>
      </c>
      <c r="E2503" s="17" t="s">
        <v>5962</v>
      </c>
      <c r="F2503" s="17">
        <v>13</v>
      </c>
      <c r="G2503" s="17">
        <v>5</v>
      </c>
      <c r="H2503" s="17" t="s">
        <v>3389</v>
      </c>
      <c r="I2503" s="17"/>
      <c r="J2503" s="17"/>
      <c r="K2503" s="17"/>
      <c r="L2503" s="17"/>
      <c r="M2503" s="17"/>
      <c r="N2503" s="17"/>
      <c r="O2503" s="17"/>
      <c r="P2503" s="17"/>
      <c r="Q2503" s="17"/>
    </row>
    <row r="2504" spans="1:17">
      <c r="A2504" s="556" t="s">
        <v>3629</v>
      </c>
      <c r="B2504" s="557" t="s">
        <v>2275</v>
      </c>
      <c r="C2504" s="558" t="s">
        <v>5907</v>
      </c>
      <c r="D2504" s="556" t="s">
        <v>5896</v>
      </c>
      <c r="E2504" s="17" t="s">
        <v>5963</v>
      </c>
      <c r="F2504" s="17">
        <v>13</v>
      </c>
      <c r="G2504" s="17">
        <v>6</v>
      </c>
      <c r="H2504" s="17" t="s">
        <v>3463</v>
      </c>
      <c r="I2504" s="17"/>
      <c r="J2504" s="17"/>
      <c r="K2504" s="17"/>
      <c r="L2504" s="17"/>
      <c r="M2504" s="17"/>
      <c r="N2504" s="17"/>
      <c r="O2504" s="17"/>
      <c r="P2504" s="17"/>
      <c r="Q2504" s="17"/>
    </row>
    <row r="2505" spans="1:17">
      <c r="A2505" s="556" t="s">
        <v>3629</v>
      </c>
      <c r="B2505" s="557" t="s">
        <v>2275</v>
      </c>
      <c r="C2505" s="558" t="s">
        <v>5907</v>
      </c>
      <c r="D2505" s="556" t="s">
        <v>1578</v>
      </c>
      <c r="E2505" s="17" t="s">
        <v>5964</v>
      </c>
      <c r="F2505" s="17">
        <v>13</v>
      </c>
      <c r="G2505" s="17">
        <v>7</v>
      </c>
      <c r="H2505" s="17" t="s">
        <v>7822</v>
      </c>
      <c r="I2505" s="17">
        <v>0</v>
      </c>
      <c r="J2505" s="17"/>
      <c r="K2505" s="17"/>
      <c r="L2505" s="17"/>
      <c r="M2505" s="17"/>
      <c r="N2505" s="17"/>
      <c r="O2505" s="17"/>
      <c r="P2505" s="17"/>
      <c r="Q2505" s="17"/>
    </row>
    <row r="2506" spans="1:17">
      <c r="A2506" s="556" t="s">
        <v>3629</v>
      </c>
      <c r="B2506" s="557" t="s">
        <v>2276</v>
      </c>
      <c r="C2506" s="558" t="s">
        <v>5915</v>
      </c>
      <c r="D2506" s="556" t="s">
        <v>5886</v>
      </c>
      <c r="E2506" s="17" t="s">
        <v>5965</v>
      </c>
      <c r="F2506" s="17">
        <v>14</v>
      </c>
      <c r="G2506" s="17">
        <v>1</v>
      </c>
      <c r="H2506" s="17" t="s">
        <v>7792</v>
      </c>
      <c r="I2506" s="17"/>
      <c r="J2506" s="17"/>
      <c r="K2506" s="17"/>
      <c r="L2506" s="17"/>
      <c r="M2506" s="17"/>
      <c r="N2506" s="17"/>
      <c r="O2506" s="17"/>
      <c r="P2506" s="17"/>
      <c r="Q2506" s="17"/>
    </row>
    <row r="2507" spans="1:17">
      <c r="A2507" s="556" t="s">
        <v>3629</v>
      </c>
      <c r="B2507" s="557" t="s">
        <v>2276</v>
      </c>
      <c r="C2507" s="558" t="s">
        <v>5915</v>
      </c>
      <c r="D2507" s="556" t="s">
        <v>5888</v>
      </c>
      <c r="E2507" s="17" t="s">
        <v>5966</v>
      </c>
      <c r="F2507" s="17">
        <v>14</v>
      </c>
      <c r="G2507" s="17">
        <v>2</v>
      </c>
      <c r="H2507" s="17" t="s">
        <v>3390</v>
      </c>
      <c r="I2507" s="17"/>
      <c r="J2507" s="17"/>
      <c r="K2507" s="17"/>
      <c r="L2507" s="17"/>
      <c r="M2507" s="17"/>
      <c r="N2507" s="17"/>
      <c r="O2507" s="17"/>
      <c r="P2507" s="17"/>
      <c r="Q2507" s="17"/>
    </row>
    <row r="2508" spans="1:17">
      <c r="A2508" s="556" t="s">
        <v>3629</v>
      </c>
      <c r="B2508" s="557" t="s">
        <v>2276</v>
      </c>
      <c r="C2508" s="558" t="s">
        <v>5915</v>
      </c>
      <c r="D2508" s="556" t="s">
        <v>5890</v>
      </c>
      <c r="E2508" s="17" t="s">
        <v>5967</v>
      </c>
      <c r="F2508" s="17">
        <v>14</v>
      </c>
      <c r="G2508" s="17">
        <v>3</v>
      </c>
      <c r="H2508" s="17" t="s">
        <v>3391</v>
      </c>
      <c r="I2508" s="17"/>
      <c r="J2508" s="17"/>
      <c r="K2508" s="17"/>
      <c r="L2508" s="17"/>
      <c r="M2508" s="17"/>
      <c r="N2508" s="17"/>
      <c r="O2508" s="17"/>
      <c r="P2508" s="17"/>
      <c r="Q2508" s="17"/>
    </row>
    <row r="2509" spans="1:17">
      <c r="A2509" s="556" t="s">
        <v>3629</v>
      </c>
      <c r="B2509" s="557" t="s">
        <v>2276</v>
      </c>
      <c r="C2509" s="558" t="s">
        <v>5915</v>
      </c>
      <c r="D2509" s="556" t="s">
        <v>5892</v>
      </c>
      <c r="E2509" s="17" t="s">
        <v>5968</v>
      </c>
      <c r="F2509" s="17">
        <v>14</v>
      </c>
      <c r="G2509" s="17">
        <v>4</v>
      </c>
      <c r="H2509" s="17" t="s">
        <v>3392</v>
      </c>
      <c r="I2509" s="17"/>
      <c r="J2509" s="17"/>
      <c r="K2509" s="17"/>
      <c r="L2509" s="17"/>
      <c r="M2509" s="17"/>
      <c r="N2509" s="17"/>
      <c r="O2509" s="17"/>
      <c r="P2509" s="17"/>
      <c r="Q2509" s="17"/>
    </row>
    <row r="2510" spans="1:17">
      <c r="A2510" s="556" t="s">
        <v>3629</v>
      </c>
      <c r="B2510" s="557" t="s">
        <v>2276</v>
      </c>
      <c r="C2510" s="558" t="s">
        <v>5915</v>
      </c>
      <c r="D2510" s="556" t="s">
        <v>5894</v>
      </c>
      <c r="E2510" s="17" t="s">
        <v>5969</v>
      </c>
      <c r="F2510" s="17">
        <v>14</v>
      </c>
      <c r="G2510" s="17">
        <v>5</v>
      </c>
      <c r="H2510" s="17" t="s">
        <v>3393</v>
      </c>
      <c r="I2510" s="17"/>
      <c r="J2510" s="17"/>
      <c r="K2510" s="17"/>
      <c r="L2510" s="17"/>
      <c r="M2510" s="17"/>
      <c r="N2510" s="17"/>
      <c r="O2510" s="17"/>
      <c r="P2510" s="17"/>
      <c r="Q2510" s="17"/>
    </row>
    <row r="2511" spans="1:17">
      <c r="A2511" s="556" t="s">
        <v>3629</v>
      </c>
      <c r="B2511" s="557" t="s">
        <v>2276</v>
      </c>
      <c r="C2511" s="558" t="s">
        <v>5915</v>
      </c>
      <c r="D2511" s="556" t="s">
        <v>5896</v>
      </c>
      <c r="E2511" s="17" t="s">
        <v>5970</v>
      </c>
      <c r="F2511" s="17">
        <v>14</v>
      </c>
      <c r="G2511" s="17">
        <v>6</v>
      </c>
      <c r="H2511" s="17" t="s">
        <v>3464</v>
      </c>
      <c r="I2511" s="17"/>
      <c r="J2511" s="17"/>
      <c r="K2511" s="17"/>
      <c r="L2511" s="17"/>
      <c r="M2511" s="17"/>
      <c r="N2511" s="17"/>
      <c r="O2511" s="17"/>
      <c r="P2511" s="17"/>
      <c r="Q2511" s="17"/>
    </row>
    <row r="2512" spans="1:17">
      <c r="A2512" s="556" t="s">
        <v>3629</v>
      </c>
      <c r="B2512" s="557" t="s">
        <v>2276</v>
      </c>
      <c r="C2512" s="558" t="s">
        <v>5915</v>
      </c>
      <c r="D2512" s="556" t="s">
        <v>1578</v>
      </c>
      <c r="E2512" s="17" t="s">
        <v>5971</v>
      </c>
      <c r="F2512" s="17">
        <v>14</v>
      </c>
      <c r="G2512" s="17">
        <v>7</v>
      </c>
      <c r="H2512" s="17" t="s">
        <v>3694</v>
      </c>
      <c r="I2512" s="17">
        <v>0</v>
      </c>
      <c r="J2512" s="17"/>
      <c r="K2512" s="17"/>
      <c r="L2512" s="17"/>
      <c r="M2512" s="17"/>
      <c r="N2512" s="17"/>
      <c r="O2512" s="17"/>
      <c r="P2512" s="17"/>
      <c r="Q2512" s="17"/>
    </row>
    <row r="2513" spans="1:17">
      <c r="A2513" s="556" t="s">
        <v>3629</v>
      </c>
      <c r="B2513" s="557" t="s">
        <v>2278</v>
      </c>
      <c r="C2513" s="558" t="s">
        <v>1578</v>
      </c>
      <c r="D2513" s="556" t="s">
        <v>5886</v>
      </c>
      <c r="E2513" s="17" t="s">
        <v>5972</v>
      </c>
      <c r="F2513" s="17">
        <v>15</v>
      </c>
      <c r="G2513" s="17">
        <v>1</v>
      </c>
      <c r="H2513" s="17" t="s">
        <v>7794</v>
      </c>
      <c r="I2513" s="17">
        <v>0</v>
      </c>
      <c r="J2513" s="17"/>
      <c r="K2513" s="17"/>
      <c r="L2513" s="17"/>
      <c r="M2513" s="17"/>
      <c r="N2513" s="17"/>
      <c r="O2513" s="17"/>
      <c r="P2513" s="17"/>
      <c r="Q2513" s="17"/>
    </row>
    <row r="2514" spans="1:17">
      <c r="A2514" s="556" t="s">
        <v>3629</v>
      </c>
      <c r="B2514" s="557" t="s">
        <v>2278</v>
      </c>
      <c r="C2514" s="558" t="s">
        <v>1578</v>
      </c>
      <c r="D2514" s="556" t="s">
        <v>5888</v>
      </c>
      <c r="E2514" s="17" t="s">
        <v>5973</v>
      </c>
      <c r="F2514" s="17">
        <v>15</v>
      </c>
      <c r="G2514" s="17">
        <v>2</v>
      </c>
      <c r="H2514" s="17" t="s">
        <v>3394</v>
      </c>
      <c r="I2514" s="17">
        <v>0</v>
      </c>
      <c r="J2514" s="17"/>
      <c r="K2514" s="17"/>
      <c r="L2514" s="17"/>
      <c r="M2514" s="17"/>
      <c r="N2514" s="17"/>
      <c r="O2514" s="17"/>
      <c r="P2514" s="17"/>
      <c r="Q2514" s="17"/>
    </row>
    <row r="2515" spans="1:17">
      <c r="A2515" s="556" t="s">
        <v>3629</v>
      </c>
      <c r="B2515" s="557" t="s">
        <v>2278</v>
      </c>
      <c r="C2515" s="558" t="s">
        <v>1578</v>
      </c>
      <c r="D2515" s="556" t="s">
        <v>5890</v>
      </c>
      <c r="E2515" s="17" t="s">
        <v>5974</v>
      </c>
      <c r="F2515" s="17">
        <v>15</v>
      </c>
      <c r="G2515" s="17">
        <v>3</v>
      </c>
      <c r="H2515" s="17" t="s">
        <v>3395</v>
      </c>
      <c r="I2515" s="17">
        <v>0</v>
      </c>
      <c r="J2515" s="17"/>
      <c r="K2515" s="17"/>
      <c r="L2515" s="17"/>
      <c r="M2515" s="17"/>
      <c r="N2515" s="17"/>
      <c r="O2515" s="17"/>
      <c r="P2515" s="17"/>
      <c r="Q2515" s="17"/>
    </row>
    <row r="2516" spans="1:17">
      <c r="A2516" s="556" t="s">
        <v>3629</v>
      </c>
      <c r="B2516" s="557" t="s">
        <v>2278</v>
      </c>
      <c r="C2516" s="558" t="s">
        <v>1578</v>
      </c>
      <c r="D2516" s="556" t="s">
        <v>5892</v>
      </c>
      <c r="E2516" s="17" t="s">
        <v>5975</v>
      </c>
      <c r="F2516" s="17">
        <v>15</v>
      </c>
      <c r="G2516" s="17">
        <v>4</v>
      </c>
      <c r="H2516" s="17" t="s">
        <v>3396</v>
      </c>
      <c r="I2516" s="17">
        <v>0</v>
      </c>
      <c r="J2516" s="17"/>
      <c r="K2516" s="17"/>
      <c r="L2516" s="17"/>
      <c r="M2516" s="17"/>
      <c r="N2516" s="17"/>
      <c r="O2516" s="17"/>
      <c r="P2516" s="17"/>
      <c r="Q2516" s="17"/>
    </row>
    <row r="2517" spans="1:17">
      <c r="A2517" s="556" t="s">
        <v>3629</v>
      </c>
      <c r="B2517" s="557" t="s">
        <v>2278</v>
      </c>
      <c r="C2517" s="558" t="s">
        <v>1578</v>
      </c>
      <c r="D2517" s="556" t="s">
        <v>5894</v>
      </c>
      <c r="E2517" s="17" t="s">
        <v>5976</v>
      </c>
      <c r="F2517" s="17">
        <v>15</v>
      </c>
      <c r="G2517" s="17">
        <v>5</v>
      </c>
      <c r="H2517" s="17" t="s">
        <v>3397</v>
      </c>
      <c r="I2517" s="17">
        <v>0</v>
      </c>
      <c r="J2517" s="17"/>
      <c r="K2517" s="17"/>
      <c r="L2517" s="17"/>
      <c r="M2517" s="17"/>
      <c r="N2517" s="17"/>
      <c r="O2517" s="17"/>
      <c r="P2517" s="17"/>
      <c r="Q2517" s="17"/>
    </row>
    <row r="2518" spans="1:17">
      <c r="A2518" s="556" t="s">
        <v>3629</v>
      </c>
      <c r="B2518" s="557" t="s">
        <v>2278</v>
      </c>
      <c r="C2518" s="558" t="s">
        <v>1578</v>
      </c>
      <c r="D2518" s="556" t="s">
        <v>5896</v>
      </c>
      <c r="E2518" s="17" t="s">
        <v>5977</v>
      </c>
      <c r="F2518" s="17">
        <v>15</v>
      </c>
      <c r="G2518" s="17">
        <v>6</v>
      </c>
      <c r="H2518" s="17" t="s">
        <v>3465</v>
      </c>
      <c r="I2518" s="17">
        <v>0</v>
      </c>
      <c r="J2518" s="17"/>
      <c r="K2518" s="17"/>
      <c r="L2518" s="17"/>
      <c r="M2518" s="17"/>
      <c r="N2518" s="17"/>
      <c r="O2518" s="17"/>
      <c r="P2518" s="17"/>
      <c r="Q2518" s="17"/>
    </row>
    <row r="2519" spans="1:17">
      <c r="A2519" s="556" t="s">
        <v>3629</v>
      </c>
      <c r="B2519" s="557" t="s">
        <v>2278</v>
      </c>
      <c r="C2519" s="558" t="s">
        <v>1578</v>
      </c>
      <c r="D2519" s="556" t="s">
        <v>1578</v>
      </c>
      <c r="E2519" s="17" t="s">
        <v>5978</v>
      </c>
      <c r="F2519" s="17">
        <v>15</v>
      </c>
      <c r="G2519" s="17">
        <v>7</v>
      </c>
      <c r="H2519" s="17" t="s">
        <v>7832</v>
      </c>
      <c r="I2519" s="17">
        <v>0</v>
      </c>
      <c r="J2519" s="17"/>
      <c r="K2519" s="17"/>
      <c r="L2519" s="17"/>
      <c r="M2519" s="17"/>
      <c r="N2519" s="17"/>
      <c r="O2519" s="17"/>
      <c r="P2519" s="17"/>
      <c r="Q2519" s="17"/>
    </row>
    <row r="2520" spans="1:17">
      <c r="A2520" s="556" t="s">
        <v>3629</v>
      </c>
      <c r="B2520" s="557" t="s">
        <v>2281</v>
      </c>
      <c r="C2520" s="558" t="s">
        <v>2267</v>
      </c>
      <c r="D2520" s="556" t="s">
        <v>5886</v>
      </c>
      <c r="E2520" s="17" t="s">
        <v>5979</v>
      </c>
      <c r="F2520" s="17">
        <v>16</v>
      </c>
      <c r="G2520" s="17">
        <v>1</v>
      </c>
      <c r="H2520" s="17" t="s">
        <v>7796</v>
      </c>
      <c r="I2520" s="17"/>
      <c r="J2520" s="17"/>
      <c r="K2520" s="17"/>
      <c r="L2520" s="17"/>
      <c r="M2520" s="17"/>
      <c r="N2520" s="17"/>
      <c r="O2520" s="17"/>
      <c r="P2520" s="17"/>
      <c r="Q2520" s="17"/>
    </row>
    <row r="2521" spans="1:17">
      <c r="A2521" s="556" t="s">
        <v>3629</v>
      </c>
      <c r="B2521" s="557" t="s">
        <v>2281</v>
      </c>
      <c r="C2521" s="558" t="s">
        <v>2267</v>
      </c>
      <c r="D2521" s="556" t="s">
        <v>5888</v>
      </c>
      <c r="E2521" s="17" t="s">
        <v>5980</v>
      </c>
      <c r="F2521" s="17">
        <v>16</v>
      </c>
      <c r="G2521" s="17">
        <v>2</v>
      </c>
      <c r="H2521" s="17" t="s">
        <v>3398</v>
      </c>
      <c r="I2521" s="17"/>
      <c r="J2521" s="17"/>
      <c r="K2521" s="17"/>
      <c r="L2521" s="17"/>
      <c r="M2521" s="17"/>
      <c r="N2521" s="17"/>
      <c r="O2521" s="17"/>
      <c r="P2521" s="17"/>
      <c r="Q2521" s="17"/>
    </row>
    <row r="2522" spans="1:17">
      <c r="A2522" s="556" t="s">
        <v>3629</v>
      </c>
      <c r="B2522" s="557" t="s">
        <v>2281</v>
      </c>
      <c r="C2522" s="558" t="s">
        <v>2267</v>
      </c>
      <c r="D2522" s="556" t="s">
        <v>5890</v>
      </c>
      <c r="E2522" s="17" t="s">
        <v>5981</v>
      </c>
      <c r="F2522" s="17">
        <v>16</v>
      </c>
      <c r="G2522" s="17">
        <v>3</v>
      </c>
      <c r="H2522" s="17" t="s">
        <v>3399</v>
      </c>
      <c r="I2522" s="17"/>
      <c r="J2522" s="17"/>
      <c r="K2522" s="17"/>
      <c r="L2522" s="17"/>
      <c r="M2522" s="17"/>
      <c r="N2522" s="17"/>
      <c r="O2522" s="17"/>
      <c r="P2522" s="17"/>
      <c r="Q2522" s="17"/>
    </row>
    <row r="2523" spans="1:17">
      <c r="A2523" s="556" t="s">
        <v>3629</v>
      </c>
      <c r="B2523" s="557" t="s">
        <v>2281</v>
      </c>
      <c r="C2523" s="558" t="s">
        <v>2267</v>
      </c>
      <c r="D2523" s="556" t="s">
        <v>5892</v>
      </c>
      <c r="E2523" s="17" t="s">
        <v>5982</v>
      </c>
      <c r="F2523" s="17">
        <v>16</v>
      </c>
      <c r="G2523" s="17">
        <v>4</v>
      </c>
      <c r="H2523" s="17" t="s">
        <v>3400</v>
      </c>
      <c r="I2523" s="17"/>
      <c r="J2523" s="17"/>
      <c r="K2523" s="17"/>
      <c r="L2523" s="17"/>
      <c r="M2523" s="17"/>
      <c r="N2523" s="17"/>
      <c r="O2523" s="17"/>
      <c r="P2523" s="17"/>
      <c r="Q2523" s="17"/>
    </row>
    <row r="2524" spans="1:17">
      <c r="A2524" s="556" t="s">
        <v>3629</v>
      </c>
      <c r="B2524" s="557" t="s">
        <v>2281</v>
      </c>
      <c r="C2524" s="558" t="s">
        <v>2267</v>
      </c>
      <c r="D2524" s="556" t="s">
        <v>5894</v>
      </c>
      <c r="E2524" s="17" t="s">
        <v>5983</v>
      </c>
      <c r="F2524" s="17">
        <v>16</v>
      </c>
      <c r="G2524" s="17">
        <v>5</v>
      </c>
      <c r="H2524" s="17" t="s">
        <v>3401</v>
      </c>
      <c r="I2524" s="17"/>
      <c r="J2524" s="17"/>
      <c r="K2524" s="17"/>
      <c r="L2524" s="17"/>
      <c r="M2524" s="17"/>
      <c r="N2524" s="17"/>
      <c r="O2524" s="17"/>
      <c r="P2524" s="17"/>
      <c r="Q2524" s="17"/>
    </row>
    <row r="2525" spans="1:17">
      <c r="A2525" s="556" t="s">
        <v>3629</v>
      </c>
      <c r="B2525" s="557" t="s">
        <v>2281</v>
      </c>
      <c r="C2525" s="558" t="s">
        <v>2267</v>
      </c>
      <c r="D2525" s="556" t="s">
        <v>5896</v>
      </c>
      <c r="E2525" s="17" t="s">
        <v>5984</v>
      </c>
      <c r="F2525" s="17">
        <v>16</v>
      </c>
      <c r="G2525" s="17">
        <v>6</v>
      </c>
      <c r="H2525" s="17" t="s">
        <v>3466</v>
      </c>
      <c r="I2525" s="17"/>
      <c r="J2525" s="17"/>
      <c r="K2525" s="17"/>
      <c r="L2525" s="17"/>
      <c r="M2525" s="17"/>
      <c r="N2525" s="17"/>
      <c r="O2525" s="17"/>
      <c r="P2525" s="17"/>
      <c r="Q2525" s="17"/>
    </row>
    <row r="2526" spans="1:17">
      <c r="A2526" s="556" t="s">
        <v>3629</v>
      </c>
      <c r="B2526" s="557" t="s">
        <v>2281</v>
      </c>
      <c r="C2526" s="558" t="s">
        <v>2267</v>
      </c>
      <c r="D2526" s="556" t="s">
        <v>1578</v>
      </c>
      <c r="E2526" s="17" t="s">
        <v>5985</v>
      </c>
      <c r="F2526" s="17">
        <v>16</v>
      </c>
      <c r="G2526" s="17">
        <v>7</v>
      </c>
      <c r="H2526" s="17" t="s">
        <v>7833</v>
      </c>
      <c r="I2526" s="17">
        <v>0</v>
      </c>
      <c r="J2526" s="17"/>
      <c r="K2526" s="17"/>
      <c r="L2526" s="17"/>
      <c r="M2526" s="17"/>
      <c r="N2526" s="17"/>
      <c r="O2526" s="17"/>
      <c r="P2526" s="17"/>
      <c r="Q2526" s="17"/>
    </row>
    <row r="2527" spans="1:17">
      <c r="A2527" s="556" t="s">
        <v>3629</v>
      </c>
      <c r="B2527" s="557" t="s">
        <v>2283</v>
      </c>
      <c r="C2527" s="558" t="s">
        <v>2269</v>
      </c>
      <c r="D2527" s="556" t="s">
        <v>5886</v>
      </c>
      <c r="E2527" s="17" t="s">
        <v>5986</v>
      </c>
      <c r="F2527" s="17">
        <v>17</v>
      </c>
      <c r="G2527" s="17">
        <v>1</v>
      </c>
      <c r="H2527" s="17" t="s">
        <v>7798</v>
      </c>
      <c r="I2527" s="17">
        <v>0</v>
      </c>
      <c r="J2527" s="17"/>
      <c r="K2527" s="17"/>
      <c r="L2527" s="17"/>
      <c r="M2527" s="17"/>
      <c r="N2527" s="17"/>
      <c r="O2527" s="17"/>
      <c r="P2527" s="17"/>
      <c r="Q2527" s="17"/>
    </row>
    <row r="2528" spans="1:17">
      <c r="A2528" s="556" t="s">
        <v>3629</v>
      </c>
      <c r="B2528" s="557" t="s">
        <v>2283</v>
      </c>
      <c r="C2528" s="558" t="s">
        <v>2269</v>
      </c>
      <c r="D2528" s="556" t="s">
        <v>5888</v>
      </c>
      <c r="E2528" s="17" t="s">
        <v>5987</v>
      </c>
      <c r="F2528" s="17">
        <v>17</v>
      </c>
      <c r="G2528" s="17">
        <v>2</v>
      </c>
      <c r="H2528" s="17" t="s">
        <v>3402</v>
      </c>
      <c r="I2528" s="17">
        <v>0</v>
      </c>
      <c r="J2528" s="17"/>
      <c r="K2528" s="17"/>
      <c r="L2528" s="17"/>
      <c r="M2528" s="17"/>
      <c r="N2528" s="17"/>
      <c r="O2528" s="17"/>
      <c r="P2528" s="17"/>
      <c r="Q2528" s="17"/>
    </row>
    <row r="2529" spans="1:17">
      <c r="A2529" s="556" t="s">
        <v>3629</v>
      </c>
      <c r="B2529" s="557" t="s">
        <v>2283</v>
      </c>
      <c r="C2529" s="558" t="s">
        <v>2269</v>
      </c>
      <c r="D2529" s="556" t="s">
        <v>5890</v>
      </c>
      <c r="E2529" s="17" t="s">
        <v>5988</v>
      </c>
      <c r="F2529" s="17">
        <v>17</v>
      </c>
      <c r="G2529" s="17">
        <v>3</v>
      </c>
      <c r="H2529" s="17" t="s">
        <v>3403</v>
      </c>
      <c r="I2529" s="17">
        <v>0</v>
      </c>
      <c r="J2529" s="17"/>
      <c r="K2529" s="17"/>
      <c r="L2529" s="17"/>
      <c r="M2529" s="17"/>
      <c r="N2529" s="17"/>
      <c r="O2529" s="17"/>
      <c r="P2529" s="17"/>
      <c r="Q2529" s="17"/>
    </row>
    <row r="2530" spans="1:17">
      <c r="A2530" s="556" t="s">
        <v>3629</v>
      </c>
      <c r="B2530" s="557" t="s">
        <v>2283</v>
      </c>
      <c r="C2530" s="558" t="s">
        <v>2269</v>
      </c>
      <c r="D2530" s="556" t="s">
        <v>5892</v>
      </c>
      <c r="E2530" s="17" t="s">
        <v>5989</v>
      </c>
      <c r="F2530" s="17">
        <v>17</v>
      </c>
      <c r="G2530" s="17">
        <v>4</v>
      </c>
      <c r="H2530" s="17" t="s">
        <v>3404</v>
      </c>
      <c r="I2530" s="17">
        <v>0</v>
      </c>
      <c r="J2530" s="17"/>
      <c r="K2530" s="17"/>
      <c r="L2530" s="17"/>
      <c r="M2530" s="17"/>
      <c r="N2530" s="17"/>
      <c r="O2530" s="17"/>
      <c r="P2530" s="17"/>
      <c r="Q2530" s="17"/>
    </row>
    <row r="2531" spans="1:17">
      <c r="A2531" s="556" t="s">
        <v>3629</v>
      </c>
      <c r="B2531" s="557" t="s">
        <v>2283</v>
      </c>
      <c r="C2531" s="558" t="s">
        <v>2269</v>
      </c>
      <c r="D2531" s="556" t="s">
        <v>5894</v>
      </c>
      <c r="E2531" s="17" t="s">
        <v>5990</v>
      </c>
      <c r="F2531" s="17">
        <v>17</v>
      </c>
      <c r="G2531" s="17">
        <v>5</v>
      </c>
      <c r="H2531" s="17" t="s">
        <v>3405</v>
      </c>
      <c r="I2531" s="17">
        <v>0</v>
      </c>
      <c r="J2531" s="17"/>
      <c r="K2531" s="17"/>
      <c r="L2531" s="17"/>
      <c r="M2531" s="17"/>
      <c r="N2531" s="17"/>
      <c r="O2531" s="17"/>
      <c r="P2531" s="17"/>
      <c r="Q2531" s="17"/>
    </row>
    <row r="2532" spans="1:17">
      <c r="A2532" s="556" t="s">
        <v>3629</v>
      </c>
      <c r="B2532" s="557" t="s">
        <v>2283</v>
      </c>
      <c r="C2532" s="558" t="s">
        <v>2269</v>
      </c>
      <c r="D2532" s="556" t="s">
        <v>5896</v>
      </c>
      <c r="E2532" s="17" t="s">
        <v>5991</v>
      </c>
      <c r="F2532" s="17">
        <v>17</v>
      </c>
      <c r="G2532" s="17">
        <v>6</v>
      </c>
      <c r="H2532" s="17" t="s">
        <v>3467</v>
      </c>
      <c r="I2532" s="17">
        <v>0</v>
      </c>
      <c r="J2532" s="17"/>
      <c r="K2532" s="17"/>
      <c r="L2532" s="17"/>
      <c r="M2532" s="17"/>
      <c r="N2532" s="17"/>
      <c r="O2532" s="17"/>
      <c r="P2532" s="17"/>
      <c r="Q2532" s="17"/>
    </row>
    <row r="2533" spans="1:17">
      <c r="A2533" s="556" t="s">
        <v>3629</v>
      </c>
      <c r="B2533" s="557" t="s">
        <v>2283</v>
      </c>
      <c r="C2533" s="558" t="s">
        <v>2269</v>
      </c>
      <c r="D2533" s="556" t="s">
        <v>1578</v>
      </c>
      <c r="E2533" s="17" t="s">
        <v>5992</v>
      </c>
      <c r="F2533" s="17">
        <v>17</v>
      </c>
      <c r="G2533" s="17">
        <v>7</v>
      </c>
      <c r="H2533" s="17" t="s">
        <v>7834</v>
      </c>
      <c r="I2533" s="17">
        <v>0</v>
      </c>
      <c r="J2533" s="17"/>
      <c r="K2533" s="17"/>
      <c r="L2533" s="17"/>
      <c r="M2533" s="17"/>
      <c r="N2533" s="17"/>
      <c r="O2533" s="17"/>
      <c r="P2533" s="17"/>
      <c r="Q2533" s="17"/>
    </row>
    <row r="2534" spans="1:17">
      <c r="A2534" s="556" t="s">
        <v>3629</v>
      </c>
      <c r="B2534" s="557" t="s">
        <v>2285</v>
      </c>
      <c r="C2534" s="558" t="s">
        <v>5993</v>
      </c>
      <c r="D2534" s="556" t="s">
        <v>5886</v>
      </c>
      <c r="E2534" s="17" t="s">
        <v>5994</v>
      </c>
      <c r="F2534" s="17">
        <v>18</v>
      </c>
      <c r="G2534" s="17">
        <v>1</v>
      </c>
      <c r="H2534" s="17" t="s">
        <v>7800</v>
      </c>
      <c r="I2534" s="17">
        <v>0</v>
      </c>
      <c r="J2534" s="17"/>
      <c r="K2534" s="17"/>
      <c r="L2534" s="17"/>
      <c r="M2534" s="17"/>
      <c r="N2534" s="17"/>
      <c r="O2534" s="17"/>
      <c r="P2534" s="17"/>
      <c r="Q2534" s="17"/>
    </row>
    <row r="2535" spans="1:17">
      <c r="A2535" s="556" t="s">
        <v>3629</v>
      </c>
      <c r="B2535" s="557" t="s">
        <v>2285</v>
      </c>
      <c r="C2535" s="558" t="s">
        <v>5993</v>
      </c>
      <c r="D2535" s="556" t="s">
        <v>5888</v>
      </c>
      <c r="E2535" s="17" t="s">
        <v>5995</v>
      </c>
      <c r="F2535" s="17">
        <v>18</v>
      </c>
      <c r="G2535" s="17">
        <v>2</v>
      </c>
      <c r="H2535" s="17" t="s">
        <v>3406</v>
      </c>
      <c r="I2535" s="17">
        <v>0</v>
      </c>
      <c r="J2535" s="17"/>
      <c r="K2535" s="17"/>
      <c r="L2535" s="17"/>
      <c r="M2535" s="17"/>
      <c r="N2535" s="17"/>
      <c r="O2535" s="17"/>
      <c r="P2535" s="17"/>
      <c r="Q2535" s="17"/>
    </row>
    <row r="2536" spans="1:17">
      <c r="A2536" s="556" t="s">
        <v>3629</v>
      </c>
      <c r="B2536" s="557" t="s">
        <v>2285</v>
      </c>
      <c r="C2536" s="558" t="s">
        <v>5993</v>
      </c>
      <c r="D2536" s="556" t="s">
        <v>5890</v>
      </c>
      <c r="E2536" s="17" t="s">
        <v>5996</v>
      </c>
      <c r="F2536" s="17">
        <v>18</v>
      </c>
      <c r="G2536" s="17">
        <v>3</v>
      </c>
      <c r="H2536" s="17" t="s">
        <v>3407</v>
      </c>
      <c r="I2536" s="17">
        <v>0</v>
      </c>
      <c r="J2536" s="17"/>
      <c r="K2536" s="17"/>
      <c r="L2536" s="17"/>
      <c r="M2536" s="17"/>
      <c r="N2536" s="17"/>
      <c r="O2536" s="17"/>
      <c r="P2536" s="17"/>
      <c r="Q2536" s="17"/>
    </row>
    <row r="2537" spans="1:17">
      <c r="A2537" s="556" t="s">
        <v>3629</v>
      </c>
      <c r="B2537" s="557" t="s">
        <v>2285</v>
      </c>
      <c r="C2537" s="558" t="s">
        <v>5993</v>
      </c>
      <c r="D2537" s="556" t="s">
        <v>5892</v>
      </c>
      <c r="E2537" s="17" t="s">
        <v>5997</v>
      </c>
      <c r="F2537" s="17">
        <v>18</v>
      </c>
      <c r="G2537" s="17">
        <v>4</v>
      </c>
      <c r="H2537" s="17" t="s">
        <v>3408</v>
      </c>
      <c r="I2537" s="17">
        <v>0</v>
      </c>
      <c r="J2537" s="17"/>
      <c r="K2537" s="17"/>
      <c r="L2537" s="17"/>
      <c r="M2537" s="17"/>
      <c r="N2537" s="17"/>
      <c r="O2537" s="17"/>
      <c r="P2537" s="17"/>
      <c r="Q2537" s="17"/>
    </row>
    <row r="2538" spans="1:17">
      <c r="A2538" s="556" t="s">
        <v>3629</v>
      </c>
      <c r="B2538" s="557" t="s">
        <v>2285</v>
      </c>
      <c r="C2538" s="558" t="s">
        <v>5993</v>
      </c>
      <c r="D2538" s="556" t="s">
        <v>5894</v>
      </c>
      <c r="E2538" s="17" t="s">
        <v>5998</v>
      </c>
      <c r="F2538" s="17">
        <v>18</v>
      </c>
      <c r="G2538" s="17">
        <v>5</v>
      </c>
      <c r="H2538" s="17" t="s">
        <v>3409</v>
      </c>
      <c r="I2538" s="17">
        <v>0</v>
      </c>
      <c r="J2538" s="17"/>
      <c r="K2538" s="17"/>
      <c r="L2538" s="17"/>
      <c r="M2538" s="17"/>
      <c r="N2538" s="17"/>
      <c r="O2538" s="17"/>
      <c r="P2538" s="17"/>
      <c r="Q2538" s="17"/>
    </row>
    <row r="2539" spans="1:17">
      <c r="A2539" s="556" t="s">
        <v>3629</v>
      </c>
      <c r="B2539" s="557" t="s">
        <v>2285</v>
      </c>
      <c r="C2539" s="558" t="s">
        <v>5993</v>
      </c>
      <c r="D2539" s="556" t="s">
        <v>5896</v>
      </c>
      <c r="E2539" s="17" t="s">
        <v>5999</v>
      </c>
      <c r="F2539" s="17">
        <v>18</v>
      </c>
      <c r="G2539" s="17">
        <v>6</v>
      </c>
      <c r="H2539" s="17" t="s">
        <v>3468</v>
      </c>
      <c r="I2539" s="17">
        <v>0</v>
      </c>
      <c r="J2539" s="17"/>
      <c r="K2539" s="17"/>
      <c r="L2539" s="17"/>
      <c r="M2539" s="17"/>
      <c r="N2539" s="17"/>
      <c r="O2539" s="17"/>
      <c r="P2539" s="17"/>
      <c r="Q2539" s="17"/>
    </row>
    <row r="2540" spans="1:17">
      <c r="A2540" s="556" t="s">
        <v>3629</v>
      </c>
      <c r="B2540" s="557" t="s">
        <v>2285</v>
      </c>
      <c r="C2540" s="558" t="s">
        <v>5993</v>
      </c>
      <c r="D2540" s="556" t="s">
        <v>1578</v>
      </c>
      <c r="E2540" s="17" t="s">
        <v>6000</v>
      </c>
      <c r="F2540" s="17">
        <v>18</v>
      </c>
      <c r="G2540" s="17">
        <v>7</v>
      </c>
      <c r="H2540" s="17" t="s">
        <v>7835</v>
      </c>
      <c r="I2540" s="17">
        <v>0</v>
      </c>
      <c r="J2540" s="17"/>
      <c r="K2540" s="17"/>
      <c r="L2540" s="17"/>
      <c r="M2540" s="17"/>
      <c r="N2540" s="17"/>
      <c r="O2540" s="17"/>
      <c r="P2540" s="17"/>
      <c r="Q2540" s="17"/>
    </row>
    <row r="2541" spans="1:17">
      <c r="A2541" s="556" t="s">
        <v>3631</v>
      </c>
      <c r="B2541" s="557" t="s">
        <v>2256</v>
      </c>
      <c r="C2541" s="558" t="s">
        <v>5885</v>
      </c>
      <c r="D2541" s="556" t="s">
        <v>5886</v>
      </c>
      <c r="E2541" s="17" t="s">
        <v>6001</v>
      </c>
      <c r="F2541" s="17">
        <v>1</v>
      </c>
      <c r="G2541" s="17">
        <v>1</v>
      </c>
      <c r="H2541" s="17" t="s">
        <v>3526</v>
      </c>
      <c r="I2541" s="17"/>
      <c r="J2541" s="17"/>
      <c r="K2541" s="17"/>
      <c r="L2541" s="17"/>
      <c r="M2541" s="17"/>
      <c r="N2541" s="17"/>
      <c r="O2541" s="17"/>
      <c r="P2541" s="17"/>
      <c r="Q2541" s="17"/>
    </row>
    <row r="2542" spans="1:17">
      <c r="A2542" s="556" t="s">
        <v>3631</v>
      </c>
      <c r="B2542" s="557" t="s">
        <v>2256</v>
      </c>
      <c r="C2542" s="558" t="s">
        <v>5885</v>
      </c>
      <c r="D2542" s="556" t="s">
        <v>5888</v>
      </c>
      <c r="E2542" s="17" t="s">
        <v>6002</v>
      </c>
      <c r="F2542" s="17">
        <v>1</v>
      </c>
      <c r="G2542" s="17">
        <v>2</v>
      </c>
      <c r="H2542" s="17" t="s">
        <v>7836</v>
      </c>
      <c r="I2542" s="17"/>
      <c r="J2542" s="17"/>
      <c r="K2542" s="17"/>
      <c r="L2542" s="17"/>
      <c r="M2542" s="17"/>
      <c r="N2542" s="17"/>
      <c r="O2542" s="17"/>
      <c r="P2542" s="17"/>
      <c r="Q2542" s="17"/>
    </row>
    <row r="2543" spans="1:17">
      <c r="A2543" s="556" t="s">
        <v>3631</v>
      </c>
      <c r="B2543" s="557" t="s">
        <v>2256</v>
      </c>
      <c r="C2543" s="558" t="s">
        <v>5885</v>
      </c>
      <c r="D2543" s="556" t="s">
        <v>5890</v>
      </c>
      <c r="E2543" s="17" t="s">
        <v>6003</v>
      </c>
      <c r="F2543" s="17">
        <v>1</v>
      </c>
      <c r="G2543" s="17">
        <v>4</v>
      </c>
      <c r="H2543" s="17" t="s">
        <v>7838</v>
      </c>
      <c r="I2543" s="17"/>
      <c r="J2543" s="17"/>
      <c r="K2543" s="17"/>
      <c r="L2543" s="17"/>
      <c r="M2543" s="17"/>
      <c r="N2543" s="17"/>
      <c r="O2543" s="17"/>
      <c r="P2543" s="17"/>
      <c r="Q2543" s="17"/>
    </row>
    <row r="2544" spans="1:17">
      <c r="A2544" s="556" t="s">
        <v>3631</v>
      </c>
      <c r="B2544" s="557" t="s">
        <v>2256</v>
      </c>
      <c r="C2544" s="558" t="s">
        <v>5885</v>
      </c>
      <c r="D2544" s="556" t="s">
        <v>5892</v>
      </c>
      <c r="E2544" s="17" t="s">
        <v>6004</v>
      </c>
      <c r="F2544" s="17">
        <v>1</v>
      </c>
      <c r="G2544" s="17">
        <v>5</v>
      </c>
      <c r="H2544" s="17" t="s">
        <v>7839</v>
      </c>
      <c r="I2544" s="17"/>
      <c r="J2544" s="17"/>
      <c r="K2544" s="17"/>
      <c r="L2544" s="17"/>
      <c r="M2544" s="17"/>
      <c r="N2544" s="17"/>
      <c r="O2544" s="17"/>
      <c r="P2544" s="17"/>
      <c r="Q2544" s="17"/>
    </row>
    <row r="2545" spans="1:17">
      <c r="A2545" s="556" t="s">
        <v>3631</v>
      </c>
      <c r="B2545" s="557" t="s">
        <v>2256</v>
      </c>
      <c r="C2545" s="558" t="s">
        <v>5885</v>
      </c>
      <c r="D2545" s="556" t="s">
        <v>5894</v>
      </c>
      <c r="E2545" s="17" t="s">
        <v>6005</v>
      </c>
      <c r="F2545" s="17">
        <v>1</v>
      </c>
      <c r="G2545" s="17">
        <v>6</v>
      </c>
      <c r="H2545" s="17" t="s">
        <v>7840</v>
      </c>
      <c r="I2545" s="17"/>
      <c r="J2545" s="17"/>
      <c r="K2545" s="17"/>
      <c r="L2545" s="17"/>
      <c r="M2545" s="17"/>
      <c r="N2545" s="17"/>
      <c r="O2545" s="17"/>
      <c r="P2545" s="17"/>
      <c r="Q2545" s="17"/>
    </row>
    <row r="2546" spans="1:17">
      <c r="A2546" s="556" t="s">
        <v>3631</v>
      </c>
      <c r="B2546" s="557" t="s">
        <v>2256</v>
      </c>
      <c r="C2546" s="558" t="s">
        <v>5885</v>
      </c>
      <c r="D2546" s="556" t="s">
        <v>5896</v>
      </c>
      <c r="E2546" s="17" t="s">
        <v>6006</v>
      </c>
      <c r="F2546" s="17">
        <v>1</v>
      </c>
      <c r="G2546" s="17">
        <v>7</v>
      </c>
      <c r="H2546" s="17" t="s">
        <v>7841</v>
      </c>
      <c r="I2546" s="17"/>
      <c r="J2546" s="17"/>
      <c r="K2546" s="17"/>
      <c r="L2546" s="17"/>
      <c r="M2546" s="17"/>
      <c r="N2546" s="17"/>
      <c r="O2546" s="17"/>
      <c r="P2546" s="17"/>
      <c r="Q2546" s="17"/>
    </row>
    <row r="2547" spans="1:17">
      <c r="A2547" s="556" t="s">
        <v>3631</v>
      </c>
      <c r="B2547" s="557" t="s">
        <v>2256</v>
      </c>
      <c r="C2547" s="558" t="s">
        <v>5885</v>
      </c>
      <c r="D2547" s="556" t="s">
        <v>1578</v>
      </c>
      <c r="E2547" s="17" t="s">
        <v>6007</v>
      </c>
      <c r="F2547" s="17">
        <v>1</v>
      </c>
      <c r="G2547" s="17">
        <v>8</v>
      </c>
      <c r="H2547" s="17" t="s">
        <v>8939</v>
      </c>
      <c r="I2547" s="17">
        <v>0</v>
      </c>
      <c r="J2547" s="17"/>
      <c r="K2547" s="17"/>
      <c r="L2547" s="17"/>
      <c r="M2547" s="17"/>
      <c r="N2547" s="17"/>
      <c r="O2547" s="17"/>
      <c r="P2547" s="17"/>
      <c r="Q2547" s="17"/>
    </row>
    <row r="2548" spans="1:17">
      <c r="A2548" s="556" t="s">
        <v>3631</v>
      </c>
      <c r="B2548" s="557" t="s">
        <v>2258</v>
      </c>
      <c r="C2548" s="558" t="s">
        <v>5899</v>
      </c>
      <c r="D2548" s="556" t="s">
        <v>5886</v>
      </c>
      <c r="E2548" s="17" t="s">
        <v>6008</v>
      </c>
      <c r="F2548" s="17">
        <v>2</v>
      </c>
      <c r="G2548" s="17">
        <v>1</v>
      </c>
      <c r="H2548" s="17" t="s">
        <v>7806</v>
      </c>
      <c r="I2548" s="17"/>
      <c r="J2548" s="17"/>
      <c r="K2548" s="17"/>
      <c r="L2548" s="17"/>
      <c r="M2548" s="17"/>
      <c r="N2548" s="17"/>
      <c r="O2548" s="17"/>
      <c r="P2548" s="17"/>
      <c r="Q2548" s="17"/>
    </row>
    <row r="2549" spans="1:17">
      <c r="A2549" s="556" t="s">
        <v>3631</v>
      </c>
      <c r="B2549" s="557" t="s">
        <v>2258</v>
      </c>
      <c r="C2549" s="558" t="s">
        <v>5899</v>
      </c>
      <c r="D2549" s="556" t="s">
        <v>5888</v>
      </c>
      <c r="E2549" s="17" t="s">
        <v>6009</v>
      </c>
      <c r="F2549" s="17">
        <v>2</v>
      </c>
      <c r="G2549" s="17">
        <v>2</v>
      </c>
      <c r="H2549" s="17" t="s">
        <v>7842</v>
      </c>
      <c r="I2549" s="17"/>
      <c r="J2549" s="17"/>
      <c r="K2549" s="17"/>
      <c r="L2549" s="17"/>
      <c r="M2549" s="17"/>
      <c r="N2549" s="17"/>
      <c r="O2549" s="17"/>
      <c r="P2549" s="17"/>
      <c r="Q2549" s="17"/>
    </row>
    <row r="2550" spans="1:17">
      <c r="A2550" s="556" t="s">
        <v>3631</v>
      </c>
      <c r="B2550" s="557" t="s">
        <v>2258</v>
      </c>
      <c r="C2550" s="558" t="s">
        <v>5899</v>
      </c>
      <c r="D2550" s="556" t="s">
        <v>5890</v>
      </c>
      <c r="E2550" s="17" t="s">
        <v>6010</v>
      </c>
      <c r="F2550" s="17">
        <v>2</v>
      </c>
      <c r="G2550" s="17">
        <v>4</v>
      </c>
      <c r="H2550" s="17" t="s">
        <v>7843</v>
      </c>
      <c r="I2550" s="17"/>
      <c r="J2550" s="17"/>
      <c r="K2550" s="17"/>
      <c r="L2550" s="17"/>
      <c r="M2550" s="17"/>
      <c r="N2550" s="17"/>
      <c r="O2550" s="17"/>
      <c r="P2550" s="17"/>
      <c r="Q2550" s="17"/>
    </row>
    <row r="2551" spans="1:17">
      <c r="A2551" s="556" t="s">
        <v>3631</v>
      </c>
      <c r="B2551" s="557" t="s">
        <v>2258</v>
      </c>
      <c r="C2551" s="558" t="s">
        <v>5899</v>
      </c>
      <c r="D2551" s="556" t="s">
        <v>5892</v>
      </c>
      <c r="E2551" s="17" t="s">
        <v>6011</v>
      </c>
      <c r="F2551" s="17">
        <v>2</v>
      </c>
      <c r="G2551" s="17">
        <v>5</v>
      </c>
      <c r="H2551" s="17" t="s">
        <v>7844</v>
      </c>
      <c r="I2551" s="17"/>
      <c r="J2551" s="17"/>
      <c r="K2551" s="17"/>
      <c r="L2551" s="17"/>
      <c r="M2551" s="17"/>
      <c r="N2551" s="17"/>
      <c r="O2551" s="17"/>
      <c r="P2551" s="17"/>
      <c r="Q2551" s="17"/>
    </row>
    <row r="2552" spans="1:17">
      <c r="A2552" s="556" t="s">
        <v>3631</v>
      </c>
      <c r="B2552" s="557" t="s">
        <v>2258</v>
      </c>
      <c r="C2552" s="558" t="s">
        <v>5899</v>
      </c>
      <c r="D2552" s="556" t="s">
        <v>5894</v>
      </c>
      <c r="E2552" s="17" t="s">
        <v>6012</v>
      </c>
      <c r="F2552" s="17">
        <v>2</v>
      </c>
      <c r="G2552" s="17">
        <v>6</v>
      </c>
      <c r="H2552" s="17" t="s">
        <v>7845</v>
      </c>
      <c r="I2552" s="17"/>
      <c r="J2552" s="17"/>
      <c r="K2552" s="17"/>
      <c r="L2552" s="17"/>
      <c r="M2552" s="17"/>
      <c r="N2552" s="17"/>
      <c r="O2552" s="17"/>
      <c r="P2552" s="17"/>
      <c r="Q2552" s="17"/>
    </row>
    <row r="2553" spans="1:17">
      <c r="A2553" s="556" t="s">
        <v>3631</v>
      </c>
      <c r="B2553" s="557" t="s">
        <v>2258</v>
      </c>
      <c r="C2553" s="558" t="s">
        <v>5899</v>
      </c>
      <c r="D2553" s="556" t="s">
        <v>5896</v>
      </c>
      <c r="E2553" s="17" t="s">
        <v>6013</v>
      </c>
      <c r="F2553" s="17">
        <v>2</v>
      </c>
      <c r="G2553" s="17">
        <v>7</v>
      </c>
      <c r="H2553" s="17" t="s">
        <v>7846</v>
      </c>
      <c r="I2553" s="17"/>
      <c r="J2553" s="17"/>
      <c r="K2553" s="17"/>
      <c r="L2553" s="17"/>
      <c r="M2553" s="17"/>
      <c r="N2553" s="17"/>
      <c r="O2553" s="17"/>
      <c r="P2553" s="17"/>
      <c r="Q2553" s="17"/>
    </row>
    <row r="2554" spans="1:17">
      <c r="A2554" s="556" t="s">
        <v>3631</v>
      </c>
      <c r="B2554" s="557" t="s">
        <v>2258</v>
      </c>
      <c r="C2554" s="558" t="s">
        <v>5899</v>
      </c>
      <c r="D2554" s="556" t="s">
        <v>1578</v>
      </c>
      <c r="E2554" s="17" t="s">
        <v>6014</v>
      </c>
      <c r="F2554" s="17">
        <v>2</v>
      </c>
      <c r="G2554" s="17">
        <v>8</v>
      </c>
      <c r="H2554" s="17" t="s">
        <v>8940</v>
      </c>
      <c r="I2554" s="17">
        <v>0</v>
      </c>
      <c r="J2554" s="17"/>
      <c r="K2554" s="17"/>
      <c r="L2554" s="17"/>
      <c r="M2554" s="17"/>
      <c r="N2554" s="17"/>
      <c r="O2554" s="17"/>
      <c r="P2554" s="17"/>
      <c r="Q2554" s="17"/>
    </row>
    <row r="2555" spans="1:17">
      <c r="A2555" s="556" t="s">
        <v>3631</v>
      </c>
      <c r="B2555" s="557" t="s">
        <v>2260</v>
      </c>
      <c r="C2555" s="558" t="s">
        <v>5907</v>
      </c>
      <c r="D2555" s="556" t="s">
        <v>5886</v>
      </c>
      <c r="E2555" s="17" t="s">
        <v>6015</v>
      </c>
      <c r="F2555" s="17">
        <v>3</v>
      </c>
      <c r="G2555" s="17">
        <v>1</v>
      </c>
      <c r="H2555" s="17" t="s">
        <v>7808</v>
      </c>
      <c r="I2555" s="17"/>
      <c r="J2555" s="17"/>
      <c r="K2555" s="17"/>
      <c r="L2555" s="17"/>
      <c r="M2555" s="17"/>
      <c r="N2555" s="17"/>
      <c r="O2555" s="17"/>
      <c r="P2555" s="17"/>
      <c r="Q2555" s="17"/>
    </row>
    <row r="2556" spans="1:17">
      <c r="A2556" s="556" t="s">
        <v>3631</v>
      </c>
      <c r="B2556" s="557" t="s">
        <v>2260</v>
      </c>
      <c r="C2556" s="558" t="s">
        <v>5907</v>
      </c>
      <c r="D2556" s="556" t="s">
        <v>5888</v>
      </c>
      <c r="E2556" s="17" t="s">
        <v>6016</v>
      </c>
      <c r="F2556" s="17">
        <v>3</v>
      </c>
      <c r="G2556" s="17">
        <v>2</v>
      </c>
      <c r="H2556" s="17" t="s">
        <v>7847</v>
      </c>
      <c r="I2556" s="17"/>
      <c r="J2556" s="17"/>
      <c r="K2556" s="17"/>
      <c r="L2556" s="17"/>
      <c r="M2556" s="17"/>
      <c r="N2556" s="17"/>
      <c r="O2556" s="17"/>
      <c r="P2556" s="17"/>
      <c r="Q2556" s="17"/>
    </row>
    <row r="2557" spans="1:17">
      <c r="A2557" s="556" t="s">
        <v>3631</v>
      </c>
      <c r="B2557" s="557" t="s">
        <v>2260</v>
      </c>
      <c r="C2557" s="558" t="s">
        <v>5907</v>
      </c>
      <c r="D2557" s="556" t="s">
        <v>5890</v>
      </c>
      <c r="E2557" s="17" t="s">
        <v>6017</v>
      </c>
      <c r="F2557" s="17">
        <v>3</v>
      </c>
      <c r="G2557" s="17">
        <v>4</v>
      </c>
      <c r="H2557" s="17" t="s">
        <v>7849</v>
      </c>
      <c r="I2557" s="17"/>
      <c r="J2557" s="17"/>
      <c r="K2557" s="17"/>
      <c r="L2557" s="17"/>
      <c r="M2557" s="17"/>
      <c r="N2557" s="17"/>
      <c r="O2557" s="17"/>
      <c r="P2557" s="17"/>
      <c r="Q2557" s="17"/>
    </row>
    <row r="2558" spans="1:17">
      <c r="A2558" s="556" t="s">
        <v>3631</v>
      </c>
      <c r="B2558" s="557" t="s">
        <v>2260</v>
      </c>
      <c r="C2558" s="558" t="s">
        <v>5907</v>
      </c>
      <c r="D2558" s="556" t="s">
        <v>5892</v>
      </c>
      <c r="E2558" s="17" t="s">
        <v>6018</v>
      </c>
      <c r="F2558" s="17">
        <v>3</v>
      </c>
      <c r="G2558" s="17">
        <v>5</v>
      </c>
      <c r="H2558" s="17" t="s">
        <v>7850</v>
      </c>
      <c r="I2558" s="17"/>
      <c r="J2558" s="17"/>
      <c r="K2558" s="17"/>
      <c r="L2558" s="17"/>
      <c r="M2558" s="17"/>
      <c r="N2558" s="17"/>
      <c r="O2558" s="17"/>
      <c r="P2558" s="17"/>
      <c r="Q2558" s="17"/>
    </row>
    <row r="2559" spans="1:17">
      <c r="A2559" s="556" t="s">
        <v>3631</v>
      </c>
      <c r="B2559" s="557" t="s">
        <v>2260</v>
      </c>
      <c r="C2559" s="558" t="s">
        <v>5907</v>
      </c>
      <c r="D2559" s="556" t="s">
        <v>5894</v>
      </c>
      <c r="E2559" s="17" t="s">
        <v>6019</v>
      </c>
      <c r="F2559" s="17">
        <v>3</v>
      </c>
      <c r="G2559" s="17">
        <v>6</v>
      </c>
      <c r="H2559" s="17" t="s">
        <v>7851</v>
      </c>
      <c r="I2559" s="17"/>
      <c r="J2559" s="17"/>
      <c r="K2559" s="17"/>
      <c r="L2559" s="17"/>
      <c r="M2559" s="17"/>
      <c r="N2559" s="17"/>
      <c r="O2559" s="17"/>
      <c r="P2559" s="17"/>
      <c r="Q2559" s="17"/>
    </row>
    <row r="2560" spans="1:17">
      <c r="A2560" s="556" t="s">
        <v>3631</v>
      </c>
      <c r="B2560" s="557" t="s">
        <v>2260</v>
      </c>
      <c r="C2560" s="558" t="s">
        <v>5907</v>
      </c>
      <c r="D2560" s="556" t="s">
        <v>5896</v>
      </c>
      <c r="E2560" s="17" t="s">
        <v>6020</v>
      </c>
      <c r="F2560" s="17">
        <v>3</v>
      </c>
      <c r="G2560" s="17">
        <v>7</v>
      </c>
      <c r="H2560" s="17" t="s">
        <v>7852</v>
      </c>
      <c r="I2560" s="17"/>
      <c r="J2560" s="17"/>
      <c r="K2560" s="17"/>
      <c r="L2560" s="17"/>
      <c r="M2560" s="17"/>
      <c r="N2560" s="17"/>
      <c r="O2560" s="17"/>
      <c r="P2560" s="17"/>
      <c r="Q2560" s="17"/>
    </row>
    <row r="2561" spans="1:17">
      <c r="A2561" s="556" t="s">
        <v>3631</v>
      </c>
      <c r="B2561" s="557" t="s">
        <v>2260</v>
      </c>
      <c r="C2561" s="558" t="s">
        <v>5907</v>
      </c>
      <c r="D2561" s="556" t="s">
        <v>1578</v>
      </c>
      <c r="E2561" s="17" t="s">
        <v>6021</v>
      </c>
      <c r="F2561" s="17">
        <v>3</v>
      </c>
      <c r="G2561" s="17">
        <v>8</v>
      </c>
      <c r="H2561" s="17" t="s">
        <v>8941</v>
      </c>
      <c r="I2561" s="17">
        <v>0</v>
      </c>
      <c r="J2561" s="17"/>
      <c r="K2561" s="17"/>
      <c r="L2561" s="17"/>
      <c r="M2561" s="17"/>
      <c r="N2561" s="17"/>
      <c r="O2561" s="17"/>
      <c r="P2561" s="17"/>
      <c r="Q2561" s="17"/>
    </row>
    <row r="2562" spans="1:17">
      <c r="A2562" s="556" t="s">
        <v>3631</v>
      </c>
      <c r="B2562" s="557" t="s">
        <v>2262</v>
      </c>
      <c r="C2562" s="558" t="s">
        <v>5915</v>
      </c>
      <c r="D2562" s="556" t="s">
        <v>5886</v>
      </c>
      <c r="E2562" s="17" t="s">
        <v>6022</v>
      </c>
      <c r="F2562" s="17">
        <v>4</v>
      </c>
      <c r="G2562" s="17">
        <v>1</v>
      </c>
      <c r="H2562" s="17" t="s">
        <v>7810</v>
      </c>
      <c r="I2562" s="17"/>
      <c r="J2562" s="17"/>
      <c r="K2562" s="17"/>
      <c r="L2562" s="17"/>
      <c r="M2562" s="17"/>
      <c r="N2562" s="17"/>
      <c r="O2562" s="17"/>
      <c r="P2562" s="17"/>
      <c r="Q2562" s="17"/>
    </row>
    <row r="2563" spans="1:17">
      <c r="A2563" s="556" t="s">
        <v>3631</v>
      </c>
      <c r="B2563" s="557" t="s">
        <v>2262</v>
      </c>
      <c r="C2563" s="558" t="s">
        <v>5915</v>
      </c>
      <c r="D2563" s="556" t="s">
        <v>5888</v>
      </c>
      <c r="E2563" s="17" t="s">
        <v>6023</v>
      </c>
      <c r="F2563" s="17">
        <v>4</v>
      </c>
      <c r="G2563" s="17">
        <v>2</v>
      </c>
      <c r="H2563" s="17" t="s">
        <v>7853</v>
      </c>
      <c r="I2563" s="17"/>
      <c r="J2563" s="17"/>
      <c r="K2563" s="17"/>
      <c r="L2563" s="17"/>
      <c r="M2563" s="17"/>
      <c r="N2563" s="17"/>
      <c r="O2563" s="17"/>
      <c r="P2563" s="17"/>
      <c r="Q2563" s="17"/>
    </row>
    <row r="2564" spans="1:17">
      <c r="A2564" s="556" t="s">
        <v>3631</v>
      </c>
      <c r="B2564" s="557" t="s">
        <v>2262</v>
      </c>
      <c r="C2564" s="558" t="s">
        <v>5915</v>
      </c>
      <c r="D2564" s="556" t="s">
        <v>5890</v>
      </c>
      <c r="E2564" s="17" t="s">
        <v>6024</v>
      </c>
      <c r="F2564" s="17">
        <v>4</v>
      </c>
      <c r="G2564" s="17">
        <v>4</v>
      </c>
      <c r="H2564" s="17" t="s">
        <v>7855</v>
      </c>
      <c r="I2564" s="17"/>
      <c r="J2564" s="17"/>
      <c r="K2564" s="17"/>
      <c r="L2564" s="17"/>
      <c r="M2564" s="17"/>
      <c r="N2564" s="17"/>
      <c r="O2564" s="17"/>
      <c r="P2564" s="17"/>
      <c r="Q2564" s="17"/>
    </row>
    <row r="2565" spans="1:17">
      <c r="A2565" s="556" t="s">
        <v>3631</v>
      </c>
      <c r="B2565" s="557" t="s">
        <v>2262</v>
      </c>
      <c r="C2565" s="558" t="s">
        <v>5915</v>
      </c>
      <c r="D2565" s="556" t="s">
        <v>5892</v>
      </c>
      <c r="E2565" s="17" t="s">
        <v>6025</v>
      </c>
      <c r="F2565" s="17">
        <v>4</v>
      </c>
      <c r="G2565" s="17">
        <v>5</v>
      </c>
      <c r="H2565" s="17" t="s">
        <v>7856</v>
      </c>
      <c r="I2565" s="17"/>
      <c r="J2565" s="17"/>
      <c r="K2565" s="17"/>
      <c r="L2565" s="17"/>
      <c r="M2565" s="17"/>
      <c r="N2565" s="17"/>
      <c r="O2565" s="17"/>
      <c r="P2565" s="17"/>
      <c r="Q2565" s="17"/>
    </row>
    <row r="2566" spans="1:17">
      <c r="A2566" s="556" t="s">
        <v>3631</v>
      </c>
      <c r="B2566" s="557" t="s">
        <v>2262</v>
      </c>
      <c r="C2566" s="558" t="s">
        <v>5915</v>
      </c>
      <c r="D2566" s="556" t="s">
        <v>5894</v>
      </c>
      <c r="E2566" s="17" t="s">
        <v>6026</v>
      </c>
      <c r="F2566" s="17">
        <v>4</v>
      </c>
      <c r="G2566" s="17">
        <v>6</v>
      </c>
      <c r="H2566" s="17" t="s">
        <v>7857</v>
      </c>
      <c r="I2566" s="17"/>
      <c r="J2566" s="17"/>
      <c r="K2566" s="17"/>
      <c r="L2566" s="17"/>
      <c r="M2566" s="17"/>
      <c r="N2566" s="17"/>
      <c r="O2566" s="17"/>
      <c r="P2566" s="17"/>
      <c r="Q2566" s="17"/>
    </row>
    <row r="2567" spans="1:17">
      <c r="A2567" s="556" t="s">
        <v>3631</v>
      </c>
      <c r="B2567" s="557" t="s">
        <v>2262</v>
      </c>
      <c r="C2567" s="558" t="s">
        <v>5915</v>
      </c>
      <c r="D2567" s="556" t="s">
        <v>5896</v>
      </c>
      <c r="E2567" s="17" t="s">
        <v>6027</v>
      </c>
      <c r="F2567" s="17">
        <v>4</v>
      </c>
      <c r="G2567" s="17">
        <v>7</v>
      </c>
      <c r="H2567" s="17" t="s">
        <v>7858</v>
      </c>
      <c r="I2567" s="17"/>
      <c r="J2567" s="17"/>
      <c r="K2567" s="17"/>
      <c r="L2567" s="17"/>
      <c r="M2567" s="17"/>
      <c r="N2567" s="17"/>
      <c r="O2567" s="17"/>
      <c r="P2567" s="17"/>
      <c r="Q2567" s="17"/>
    </row>
    <row r="2568" spans="1:17">
      <c r="A2568" s="556" t="s">
        <v>3631</v>
      </c>
      <c r="B2568" s="557" t="s">
        <v>2262</v>
      </c>
      <c r="C2568" s="558" t="s">
        <v>5915</v>
      </c>
      <c r="D2568" s="556" t="s">
        <v>1578</v>
      </c>
      <c r="E2568" s="17" t="s">
        <v>6028</v>
      </c>
      <c r="F2568" s="17">
        <v>4</v>
      </c>
      <c r="G2568" s="17">
        <v>8</v>
      </c>
      <c r="H2568" s="17" t="s">
        <v>8942</v>
      </c>
      <c r="I2568" s="17">
        <v>0</v>
      </c>
      <c r="J2568" s="17"/>
      <c r="K2568" s="17"/>
      <c r="L2568" s="17"/>
      <c r="M2568" s="17"/>
      <c r="N2568" s="17"/>
      <c r="O2568" s="17"/>
      <c r="P2568" s="17"/>
      <c r="Q2568" s="17"/>
    </row>
    <row r="2569" spans="1:17">
      <c r="A2569" s="556" t="s">
        <v>3631</v>
      </c>
      <c r="B2569" s="557" t="s">
        <v>2264</v>
      </c>
      <c r="C2569" s="558" t="s">
        <v>1578</v>
      </c>
      <c r="D2569" s="556" t="s">
        <v>5886</v>
      </c>
      <c r="E2569" s="17" t="s">
        <v>6029</v>
      </c>
      <c r="F2569" s="17">
        <v>5</v>
      </c>
      <c r="G2569" s="17">
        <v>1</v>
      </c>
      <c r="H2569" s="17" t="s">
        <v>7859</v>
      </c>
      <c r="I2569" s="17">
        <v>0</v>
      </c>
      <c r="J2569" s="17"/>
      <c r="K2569" s="17"/>
      <c r="L2569" s="17"/>
      <c r="M2569" s="17"/>
      <c r="N2569" s="17"/>
      <c r="O2569" s="17"/>
      <c r="P2569" s="17"/>
      <c r="Q2569" s="17"/>
    </row>
    <row r="2570" spans="1:17">
      <c r="A2570" s="556" t="s">
        <v>3631</v>
      </c>
      <c r="B2570" s="557" t="s">
        <v>2264</v>
      </c>
      <c r="C2570" s="558" t="s">
        <v>1578</v>
      </c>
      <c r="D2570" s="556" t="s">
        <v>5888</v>
      </c>
      <c r="E2570" s="17" t="s">
        <v>6030</v>
      </c>
      <c r="F2570" s="17">
        <v>5</v>
      </c>
      <c r="G2570" s="17">
        <v>2</v>
      </c>
      <c r="H2570" s="17" t="s">
        <v>7860</v>
      </c>
      <c r="I2570" s="17">
        <v>0</v>
      </c>
      <c r="J2570" s="17"/>
      <c r="K2570" s="17"/>
      <c r="L2570" s="17"/>
      <c r="M2570" s="17"/>
      <c r="N2570" s="17"/>
      <c r="O2570" s="17"/>
      <c r="P2570" s="17"/>
      <c r="Q2570" s="17"/>
    </row>
    <row r="2571" spans="1:17">
      <c r="A2571" s="556" t="s">
        <v>3631</v>
      </c>
      <c r="B2571" s="557" t="s">
        <v>2264</v>
      </c>
      <c r="C2571" s="558" t="s">
        <v>1578</v>
      </c>
      <c r="D2571" s="556" t="s">
        <v>5890</v>
      </c>
      <c r="E2571" s="17" t="s">
        <v>6031</v>
      </c>
      <c r="F2571" s="17">
        <v>5</v>
      </c>
      <c r="G2571" s="17">
        <v>4</v>
      </c>
      <c r="H2571" s="17" t="s">
        <v>7862</v>
      </c>
      <c r="I2571" s="17">
        <v>0</v>
      </c>
      <c r="J2571" s="17"/>
      <c r="K2571" s="17"/>
      <c r="L2571" s="17"/>
      <c r="M2571" s="17"/>
      <c r="N2571" s="17"/>
      <c r="O2571" s="17"/>
      <c r="P2571" s="17"/>
      <c r="Q2571" s="17"/>
    </row>
    <row r="2572" spans="1:17">
      <c r="A2572" s="556" t="s">
        <v>3631</v>
      </c>
      <c r="B2572" s="557" t="s">
        <v>2264</v>
      </c>
      <c r="C2572" s="558" t="s">
        <v>1578</v>
      </c>
      <c r="D2572" s="556" t="s">
        <v>5892</v>
      </c>
      <c r="E2572" s="17" t="s">
        <v>6032</v>
      </c>
      <c r="F2572" s="17">
        <v>5</v>
      </c>
      <c r="G2572" s="17">
        <v>5</v>
      </c>
      <c r="H2572" s="17" t="s">
        <v>7863</v>
      </c>
      <c r="I2572" s="17">
        <v>0</v>
      </c>
      <c r="J2572" s="17"/>
      <c r="K2572" s="17"/>
      <c r="L2572" s="17"/>
      <c r="M2572" s="17"/>
      <c r="N2572" s="17"/>
      <c r="O2572" s="17"/>
      <c r="P2572" s="17"/>
      <c r="Q2572" s="17"/>
    </row>
    <row r="2573" spans="1:17">
      <c r="A2573" s="556" t="s">
        <v>3631</v>
      </c>
      <c r="B2573" s="557" t="s">
        <v>2264</v>
      </c>
      <c r="C2573" s="558" t="s">
        <v>1578</v>
      </c>
      <c r="D2573" s="556" t="s">
        <v>5894</v>
      </c>
      <c r="E2573" s="17" t="s">
        <v>6033</v>
      </c>
      <c r="F2573" s="17">
        <v>5</v>
      </c>
      <c r="G2573" s="17">
        <v>6</v>
      </c>
      <c r="H2573" s="17" t="s">
        <v>7864</v>
      </c>
      <c r="I2573" s="17">
        <v>0</v>
      </c>
      <c r="J2573" s="17"/>
      <c r="K2573" s="17"/>
      <c r="L2573" s="17"/>
      <c r="M2573" s="17"/>
      <c r="N2573" s="17"/>
      <c r="O2573" s="17"/>
      <c r="P2573" s="17"/>
      <c r="Q2573" s="17"/>
    </row>
    <row r="2574" spans="1:17">
      <c r="A2574" s="556" t="s">
        <v>3631</v>
      </c>
      <c r="B2574" s="557" t="s">
        <v>2264</v>
      </c>
      <c r="C2574" s="558" t="s">
        <v>1578</v>
      </c>
      <c r="D2574" s="556" t="s">
        <v>5896</v>
      </c>
      <c r="E2574" s="17" t="s">
        <v>6034</v>
      </c>
      <c r="F2574" s="17">
        <v>5</v>
      </c>
      <c r="G2574" s="17">
        <v>7</v>
      </c>
      <c r="H2574" s="17" t="s">
        <v>7865</v>
      </c>
      <c r="I2574" s="17">
        <v>0</v>
      </c>
      <c r="J2574" s="17"/>
      <c r="K2574" s="17"/>
      <c r="L2574" s="17"/>
      <c r="M2574" s="17"/>
      <c r="N2574" s="17"/>
      <c r="O2574" s="17"/>
      <c r="P2574" s="17"/>
      <c r="Q2574" s="17"/>
    </row>
    <row r="2575" spans="1:17">
      <c r="A2575" s="556" t="s">
        <v>3631</v>
      </c>
      <c r="B2575" s="557" t="s">
        <v>2264</v>
      </c>
      <c r="C2575" s="558" t="s">
        <v>1578</v>
      </c>
      <c r="D2575" s="556" t="s">
        <v>1578</v>
      </c>
      <c r="E2575" s="17" t="s">
        <v>6035</v>
      </c>
      <c r="F2575" s="17">
        <v>5</v>
      </c>
      <c r="G2575" s="17">
        <v>8</v>
      </c>
      <c r="H2575" s="17" t="s">
        <v>8943</v>
      </c>
      <c r="I2575" s="17">
        <v>0</v>
      </c>
      <c r="J2575" s="17"/>
      <c r="K2575" s="17"/>
      <c r="L2575" s="17"/>
      <c r="M2575" s="17"/>
      <c r="N2575" s="17"/>
      <c r="O2575" s="17"/>
      <c r="P2575" s="17"/>
      <c r="Q2575" s="17"/>
    </row>
    <row r="2576" spans="1:17">
      <c r="A2576" s="556" t="s">
        <v>3631</v>
      </c>
      <c r="B2576" s="557" t="s">
        <v>2266</v>
      </c>
      <c r="C2576" s="558" t="s">
        <v>2267</v>
      </c>
      <c r="D2576" s="556" t="s">
        <v>5886</v>
      </c>
      <c r="E2576" s="17" t="s">
        <v>6036</v>
      </c>
      <c r="F2576" s="17">
        <v>6</v>
      </c>
      <c r="G2576" s="17">
        <v>1</v>
      </c>
      <c r="H2576" s="17" t="s">
        <v>7866</v>
      </c>
      <c r="I2576" s="17"/>
      <c r="J2576" s="17"/>
      <c r="K2576" s="17"/>
      <c r="L2576" s="17"/>
      <c r="M2576" s="17"/>
      <c r="N2576" s="17"/>
      <c r="O2576" s="17"/>
      <c r="P2576" s="17"/>
      <c r="Q2576" s="17"/>
    </row>
    <row r="2577" spans="1:17">
      <c r="A2577" s="556" t="s">
        <v>3631</v>
      </c>
      <c r="B2577" s="557" t="s">
        <v>2266</v>
      </c>
      <c r="C2577" s="558" t="s">
        <v>2267</v>
      </c>
      <c r="D2577" s="556" t="s">
        <v>5888</v>
      </c>
      <c r="E2577" s="17" t="s">
        <v>6037</v>
      </c>
      <c r="F2577" s="17">
        <v>6</v>
      </c>
      <c r="G2577" s="17">
        <v>2</v>
      </c>
      <c r="H2577" s="17" t="s">
        <v>7867</v>
      </c>
      <c r="I2577" s="17"/>
      <c r="J2577" s="17"/>
      <c r="K2577" s="17"/>
      <c r="L2577" s="17"/>
      <c r="M2577" s="17"/>
      <c r="N2577" s="17"/>
      <c r="O2577" s="17"/>
      <c r="P2577" s="17"/>
      <c r="Q2577" s="17"/>
    </row>
    <row r="2578" spans="1:17">
      <c r="A2578" s="556" t="s">
        <v>3631</v>
      </c>
      <c r="B2578" s="557" t="s">
        <v>2266</v>
      </c>
      <c r="C2578" s="558" t="s">
        <v>2267</v>
      </c>
      <c r="D2578" s="556" t="s">
        <v>5890</v>
      </c>
      <c r="E2578" s="17" t="s">
        <v>6038</v>
      </c>
      <c r="F2578" s="17">
        <v>6</v>
      </c>
      <c r="G2578" s="17">
        <v>4</v>
      </c>
      <c r="H2578" s="17" t="s">
        <v>7869</v>
      </c>
      <c r="I2578" s="17"/>
      <c r="J2578" s="17"/>
      <c r="K2578" s="17"/>
      <c r="L2578" s="17"/>
      <c r="M2578" s="17"/>
      <c r="N2578" s="17"/>
      <c r="O2578" s="17"/>
      <c r="P2578" s="17"/>
      <c r="Q2578" s="17"/>
    </row>
    <row r="2579" spans="1:17">
      <c r="A2579" s="556" t="s">
        <v>3631</v>
      </c>
      <c r="B2579" s="557" t="s">
        <v>2266</v>
      </c>
      <c r="C2579" s="558" t="s">
        <v>2267</v>
      </c>
      <c r="D2579" s="556" t="s">
        <v>5892</v>
      </c>
      <c r="E2579" s="17" t="s">
        <v>6039</v>
      </c>
      <c r="F2579" s="17">
        <v>6</v>
      </c>
      <c r="G2579" s="17">
        <v>5</v>
      </c>
      <c r="H2579" s="17" t="s">
        <v>7870</v>
      </c>
      <c r="I2579" s="17"/>
      <c r="J2579" s="17"/>
      <c r="K2579" s="17"/>
      <c r="L2579" s="17"/>
      <c r="M2579" s="17"/>
      <c r="N2579" s="17"/>
      <c r="O2579" s="17"/>
      <c r="P2579" s="17"/>
      <c r="Q2579" s="17"/>
    </row>
    <row r="2580" spans="1:17">
      <c r="A2580" s="556" t="s">
        <v>3631</v>
      </c>
      <c r="B2580" s="557" t="s">
        <v>2266</v>
      </c>
      <c r="C2580" s="558" t="s">
        <v>2267</v>
      </c>
      <c r="D2580" s="556" t="s">
        <v>5894</v>
      </c>
      <c r="E2580" s="17" t="s">
        <v>6040</v>
      </c>
      <c r="F2580" s="17">
        <v>6</v>
      </c>
      <c r="G2580" s="17">
        <v>6</v>
      </c>
      <c r="H2580" s="17" t="s">
        <v>7871</v>
      </c>
      <c r="I2580" s="17"/>
      <c r="J2580" s="17"/>
      <c r="K2580" s="17"/>
      <c r="L2580" s="17"/>
      <c r="M2580" s="17"/>
      <c r="N2580" s="17"/>
      <c r="O2580" s="17"/>
      <c r="P2580" s="17"/>
      <c r="Q2580" s="17"/>
    </row>
    <row r="2581" spans="1:17">
      <c r="A2581" s="556" t="s">
        <v>3631</v>
      </c>
      <c r="B2581" s="557" t="s">
        <v>2266</v>
      </c>
      <c r="C2581" s="558" t="s">
        <v>2267</v>
      </c>
      <c r="D2581" s="556" t="s">
        <v>5896</v>
      </c>
      <c r="E2581" s="17" t="s">
        <v>6041</v>
      </c>
      <c r="F2581" s="17">
        <v>6</v>
      </c>
      <c r="G2581" s="17">
        <v>7</v>
      </c>
      <c r="H2581" s="17" t="s">
        <v>7872</v>
      </c>
      <c r="I2581" s="17"/>
      <c r="J2581" s="17"/>
      <c r="K2581" s="17"/>
      <c r="L2581" s="17"/>
      <c r="M2581" s="17"/>
      <c r="N2581" s="17"/>
      <c r="O2581" s="17"/>
      <c r="P2581" s="17"/>
      <c r="Q2581" s="17"/>
    </row>
    <row r="2582" spans="1:17">
      <c r="A2582" s="556" t="s">
        <v>3631</v>
      </c>
      <c r="B2582" s="557" t="s">
        <v>2266</v>
      </c>
      <c r="C2582" s="558" t="s">
        <v>2267</v>
      </c>
      <c r="D2582" s="556" t="s">
        <v>1578</v>
      </c>
      <c r="E2582" s="17" t="s">
        <v>6042</v>
      </c>
      <c r="F2582" s="17">
        <v>6</v>
      </c>
      <c r="G2582" s="17">
        <v>8</v>
      </c>
      <c r="H2582" s="17" t="s">
        <v>8944</v>
      </c>
      <c r="I2582" s="17">
        <v>0</v>
      </c>
      <c r="J2582" s="17"/>
      <c r="K2582" s="17"/>
      <c r="L2582" s="17"/>
      <c r="M2582" s="17"/>
      <c r="N2582" s="17"/>
      <c r="O2582" s="17"/>
      <c r="P2582" s="17"/>
      <c r="Q2582" s="17"/>
    </row>
    <row r="2583" spans="1:17">
      <c r="A2583" s="556" t="s">
        <v>3631</v>
      </c>
      <c r="B2583" s="557" t="s">
        <v>2268</v>
      </c>
      <c r="C2583" s="558" t="s">
        <v>2269</v>
      </c>
      <c r="D2583" s="556" t="s">
        <v>5886</v>
      </c>
      <c r="E2583" s="17" t="s">
        <v>6043</v>
      </c>
      <c r="F2583" s="17">
        <v>7</v>
      </c>
      <c r="G2583" s="17">
        <v>1</v>
      </c>
      <c r="H2583" s="17" t="s">
        <v>7873</v>
      </c>
      <c r="I2583" s="17">
        <v>0</v>
      </c>
      <c r="J2583" s="17"/>
      <c r="K2583" s="17"/>
      <c r="L2583" s="17"/>
      <c r="M2583" s="17"/>
      <c r="N2583" s="17"/>
      <c r="O2583" s="17"/>
      <c r="P2583" s="17"/>
      <c r="Q2583" s="17"/>
    </row>
    <row r="2584" spans="1:17">
      <c r="A2584" s="556" t="s">
        <v>3631</v>
      </c>
      <c r="B2584" s="557" t="s">
        <v>2268</v>
      </c>
      <c r="C2584" s="558" t="s">
        <v>2269</v>
      </c>
      <c r="D2584" s="556" t="s">
        <v>5888</v>
      </c>
      <c r="E2584" s="17" t="s">
        <v>6044</v>
      </c>
      <c r="F2584" s="17">
        <v>7</v>
      </c>
      <c r="G2584" s="17">
        <v>2</v>
      </c>
      <c r="H2584" s="17" t="s">
        <v>7874</v>
      </c>
      <c r="I2584" s="17">
        <v>0</v>
      </c>
      <c r="J2584" s="17"/>
      <c r="K2584" s="17"/>
      <c r="L2584" s="17"/>
      <c r="M2584" s="17"/>
      <c r="N2584" s="17"/>
      <c r="O2584" s="17"/>
      <c r="P2584" s="17"/>
      <c r="Q2584" s="17"/>
    </row>
    <row r="2585" spans="1:17">
      <c r="A2585" s="556" t="s">
        <v>3631</v>
      </c>
      <c r="B2585" s="557" t="s">
        <v>2268</v>
      </c>
      <c r="C2585" s="558" t="s">
        <v>2269</v>
      </c>
      <c r="D2585" s="556" t="s">
        <v>5890</v>
      </c>
      <c r="E2585" s="17" t="s">
        <v>6045</v>
      </c>
      <c r="F2585" s="17">
        <v>7</v>
      </c>
      <c r="G2585" s="17">
        <v>4</v>
      </c>
      <c r="H2585" s="17" t="s">
        <v>7876</v>
      </c>
      <c r="I2585" s="17">
        <v>0</v>
      </c>
      <c r="J2585" s="17"/>
      <c r="K2585" s="17"/>
      <c r="L2585" s="17"/>
      <c r="M2585" s="17"/>
      <c r="N2585" s="17"/>
      <c r="O2585" s="17"/>
      <c r="P2585" s="17"/>
      <c r="Q2585" s="17"/>
    </row>
    <row r="2586" spans="1:17">
      <c r="A2586" s="556" t="s">
        <v>3631</v>
      </c>
      <c r="B2586" s="557" t="s">
        <v>2268</v>
      </c>
      <c r="C2586" s="558" t="s">
        <v>2269</v>
      </c>
      <c r="D2586" s="556" t="s">
        <v>5892</v>
      </c>
      <c r="E2586" s="17" t="s">
        <v>6046</v>
      </c>
      <c r="F2586" s="17">
        <v>7</v>
      </c>
      <c r="G2586" s="17">
        <v>5</v>
      </c>
      <c r="H2586" s="17" t="s">
        <v>7877</v>
      </c>
      <c r="I2586" s="17">
        <v>0</v>
      </c>
      <c r="J2586" s="17"/>
      <c r="K2586" s="17"/>
      <c r="L2586" s="17"/>
      <c r="M2586" s="17"/>
      <c r="N2586" s="17"/>
      <c r="O2586" s="17"/>
      <c r="P2586" s="17"/>
      <c r="Q2586" s="17"/>
    </row>
    <row r="2587" spans="1:17">
      <c r="A2587" s="556" t="s">
        <v>3631</v>
      </c>
      <c r="B2587" s="557" t="s">
        <v>2268</v>
      </c>
      <c r="C2587" s="558" t="s">
        <v>2269</v>
      </c>
      <c r="D2587" s="556" t="s">
        <v>5894</v>
      </c>
      <c r="E2587" s="17" t="s">
        <v>6047</v>
      </c>
      <c r="F2587" s="17">
        <v>7</v>
      </c>
      <c r="G2587" s="17">
        <v>6</v>
      </c>
      <c r="H2587" s="17" t="s">
        <v>7878</v>
      </c>
      <c r="I2587" s="17">
        <v>0</v>
      </c>
      <c r="J2587" s="17"/>
      <c r="K2587" s="17"/>
      <c r="L2587" s="17"/>
      <c r="M2587" s="17"/>
      <c r="N2587" s="17"/>
      <c r="O2587" s="17"/>
      <c r="P2587" s="17"/>
      <c r="Q2587" s="17"/>
    </row>
    <row r="2588" spans="1:17">
      <c r="A2588" s="556" t="s">
        <v>3631</v>
      </c>
      <c r="B2588" s="557" t="s">
        <v>2268</v>
      </c>
      <c r="C2588" s="558" t="s">
        <v>2269</v>
      </c>
      <c r="D2588" s="556" t="s">
        <v>5896</v>
      </c>
      <c r="E2588" s="17" t="s">
        <v>6048</v>
      </c>
      <c r="F2588" s="17">
        <v>7</v>
      </c>
      <c r="G2588" s="17">
        <v>7</v>
      </c>
      <c r="H2588" s="17" t="s">
        <v>7879</v>
      </c>
      <c r="I2588" s="17">
        <v>0</v>
      </c>
      <c r="J2588" s="17"/>
      <c r="K2588" s="17"/>
      <c r="L2588" s="17"/>
      <c r="M2588" s="17"/>
      <c r="N2588" s="17"/>
      <c r="O2588" s="17"/>
      <c r="P2588" s="17"/>
      <c r="Q2588" s="17"/>
    </row>
    <row r="2589" spans="1:17">
      <c r="A2589" s="556" t="s">
        <v>3631</v>
      </c>
      <c r="B2589" s="557" t="s">
        <v>2268</v>
      </c>
      <c r="C2589" s="558" t="s">
        <v>2269</v>
      </c>
      <c r="D2589" s="556" t="s">
        <v>1578</v>
      </c>
      <c r="E2589" s="17" t="s">
        <v>6049</v>
      </c>
      <c r="F2589" s="17">
        <v>7</v>
      </c>
      <c r="G2589" s="17">
        <v>8</v>
      </c>
      <c r="H2589" s="17" t="s">
        <v>8945</v>
      </c>
      <c r="I2589" s="17">
        <v>0</v>
      </c>
      <c r="J2589" s="17"/>
      <c r="K2589" s="17"/>
      <c r="L2589" s="17"/>
      <c r="M2589" s="17"/>
      <c r="N2589" s="17"/>
      <c r="O2589" s="17"/>
      <c r="P2589" s="17"/>
      <c r="Q2589" s="17"/>
    </row>
    <row r="2590" spans="1:17">
      <c r="A2590" s="556" t="s">
        <v>3633</v>
      </c>
      <c r="B2590" s="557" t="s">
        <v>2272</v>
      </c>
      <c r="C2590" s="558" t="s">
        <v>5885</v>
      </c>
      <c r="D2590" s="556" t="s">
        <v>6050</v>
      </c>
      <c r="E2590" s="17" t="s">
        <v>8954</v>
      </c>
      <c r="F2590" s="17">
        <v>1</v>
      </c>
      <c r="G2590" s="17">
        <v>1</v>
      </c>
      <c r="H2590" s="17" t="s">
        <v>3704</v>
      </c>
      <c r="I2590" s="17"/>
      <c r="J2590" s="17"/>
      <c r="K2590" s="17"/>
      <c r="L2590" s="17"/>
      <c r="M2590" s="17"/>
      <c r="N2590" s="17"/>
      <c r="O2590" s="17"/>
      <c r="P2590" s="17"/>
      <c r="Q2590" s="17"/>
    </row>
    <row r="2591" spans="1:17">
      <c r="A2591" s="556" t="s">
        <v>3633</v>
      </c>
      <c r="B2591" s="557" t="s">
        <v>2272</v>
      </c>
      <c r="C2591" s="558" t="s">
        <v>5885</v>
      </c>
      <c r="D2591" s="556" t="s">
        <v>6051</v>
      </c>
      <c r="E2591" s="17" t="s">
        <v>8955</v>
      </c>
      <c r="F2591" s="17">
        <v>1</v>
      </c>
      <c r="G2591" s="17">
        <v>2</v>
      </c>
      <c r="H2591" s="17" t="s">
        <v>7880</v>
      </c>
      <c r="I2591" s="17"/>
      <c r="J2591" s="17"/>
      <c r="K2591" s="17"/>
      <c r="L2591" s="17"/>
      <c r="M2591" s="17"/>
      <c r="N2591" s="17"/>
      <c r="O2591" s="17"/>
      <c r="P2591" s="17"/>
      <c r="Q2591" s="17"/>
    </row>
    <row r="2592" spans="1:17">
      <c r="A2592" s="556" t="s">
        <v>3633</v>
      </c>
      <c r="B2592" s="557" t="s">
        <v>2274</v>
      </c>
      <c r="C2592" s="558" t="s">
        <v>5899</v>
      </c>
      <c r="D2592" s="556" t="s">
        <v>6050</v>
      </c>
      <c r="E2592" s="17" t="s">
        <v>8956</v>
      </c>
      <c r="F2592" s="17">
        <v>2</v>
      </c>
      <c r="G2592" s="17">
        <v>1</v>
      </c>
      <c r="H2592" s="17" t="s">
        <v>7881</v>
      </c>
      <c r="I2592" s="17"/>
      <c r="J2592" s="17"/>
      <c r="K2592" s="17"/>
      <c r="L2592" s="17"/>
      <c r="M2592" s="17"/>
      <c r="N2592" s="17"/>
      <c r="O2592" s="17"/>
      <c r="P2592" s="17"/>
      <c r="Q2592" s="17"/>
    </row>
    <row r="2593" spans="1:17">
      <c r="A2593" s="556" t="s">
        <v>3633</v>
      </c>
      <c r="B2593" s="557" t="s">
        <v>2274</v>
      </c>
      <c r="C2593" s="558" t="s">
        <v>5899</v>
      </c>
      <c r="D2593" s="556" t="s">
        <v>6051</v>
      </c>
      <c r="E2593" s="17" t="s">
        <v>8957</v>
      </c>
      <c r="F2593" s="17">
        <v>2</v>
      </c>
      <c r="G2593" s="17">
        <v>2</v>
      </c>
      <c r="H2593" s="17" t="s">
        <v>7882</v>
      </c>
      <c r="I2593" s="17"/>
      <c r="J2593" s="17"/>
      <c r="K2593" s="17"/>
      <c r="L2593" s="17"/>
      <c r="M2593" s="17"/>
      <c r="N2593" s="17"/>
      <c r="O2593" s="17"/>
      <c r="P2593" s="17"/>
      <c r="Q2593" s="17"/>
    </row>
    <row r="2594" spans="1:17">
      <c r="A2594" s="556" t="s">
        <v>3633</v>
      </c>
      <c r="B2594" s="557" t="s">
        <v>2275</v>
      </c>
      <c r="C2594" s="558" t="s">
        <v>5907</v>
      </c>
      <c r="D2594" s="556" t="s">
        <v>6050</v>
      </c>
      <c r="E2594" s="17" t="s">
        <v>8958</v>
      </c>
      <c r="F2594" s="17">
        <v>3</v>
      </c>
      <c r="G2594" s="17">
        <v>1</v>
      </c>
      <c r="H2594" s="17" t="s">
        <v>7883</v>
      </c>
      <c r="I2594" s="17"/>
      <c r="J2594" s="17"/>
      <c r="K2594" s="17"/>
      <c r="L2594" s="17"/>
      <c r="M2594" s="17"/>
      <c r="N2594" s="17"/>
      <c r="O2594" s="17"/>
      <c r="P2594" s="17"/>
      <c r="Q2594" s="17"/>
    </row>
    <row r="2595" spans="1:17">
      <c r="A2595" s="556" t="s">
        <v>3633</v>
      </c>
      <c r="B2595" s="557" t="s">
        <v>2275</v>
      </c>
      <c r="C2595" s="558" t="s">
        <v>5907</v>
      </c>
      <c r="D2595" s="556" t="s">
        <v>6051</v>
      </c>
      <c r="E2595" s="17" t="s">
        <v>8959</v>
      </c>
      <c r="F2595" s="17">
        <v>3</v>
      </c>
      <c r="G2595" s="17">
        <v>2</v>
      </c>
      <c r="H2595" s="17" t="s">
        <v>7884</v>
      </c>
      <c r="I2595" s="17"/>
      <c r="J2595" s="17"/>
      <c r="K2595" s="17"/>
      <c r="L2595" s="17"/>
      <c r="M2595" s="17"/>
      <c r="N2595" s="17"/>
      <c r="O2595" s="17"/>
      <c r="P2595" s="17"/>
      <c r="Q2595" s="17"/>
    </row>
    <row r="2596" spans="1:17">
      <c r="A2596" s="556" t="s">
        <v>3633</v>
      </c>
      <c r="B2596" s="557" t="s">
        <v>2276</v>
      </c>
      <c r="C2596" s="558" t="s">
        <v>5915</v>
      </c>
      <c r="D2596" s="556" t="s">
        <v>6050</v>
      </c>
      <c r="E2596" s="17" t="s">
        <v>8960</v>
      </c>
      <c r="F2596" s="17">
        <v>4</v>
      </c>
      <c r="G2596" s="17">
        <v>1</v>
      </c>
      <c r="H2596" s="17" t="s">
        <v>7885</v>
      </c>
      <c r="I2596" s="17"/>
      <c r="J2596" s="17"/>
      <c r="K2596" s="17"/>
      <c r="L2596" s="17"/>
      <c r="M2596" s="17"/>
      <c r="N2596" s="17"/>
      <c r="O2596" s="17"/>
      <c r="P2596" s="17"/>
      <c r="Q2596" s="17"/>
    </row>
    <row r="2597" spans="1:17">
      <c r="A2597" s="556" t="s">
        <v>3633</v>
      </c>
      <c r="B2597" s="557" t="s">
        <v>2276</v>
      </c>
      <c r="C2597" s="558" t="s">
        <v>5915</v>
      </c>
      <c r="D2597" s="556" t="s">
        <v>6051</v>
      </c>
      <c r="E2597" s="17" t="s">
        <v>8961</v>
      </c>
      <c r="F2597" s="17">
        <v>4</v>
      </c>
      <c r="G2597" s="17">
        <v>2</v>
      </c>
      <c r="H2597" s="17" t="s">
        <v>7886</v>
      </c>
      <c r="I2597" s="17"/>
      <c r="J2597" s="17"/>
      <c r="K2597" s="17"/>
      <c r="L2597" s="17"/>
      <c r="M2597" s="17"/>
      <c r="N2597" s="17"/>
      <c r="O2597" s="17"/>
      <c r="P2597" s="17"/>
      <c r="Q2597" s="17"/>
    </row>
    <row r="2598" spans="1:17">
      <c r="A2598" s="556" t="s">
        <v>3633</v>
      </c>
      <c r="B2598" s="557" t="s">
        <v>2278</v>
      </c>
      <c r="C2598" s="558" t="s">
        <v>1578</v>
      </c>
      <c r="D2598" s="556" t="s">
        <v>6050</v>
      </c>
      <c r="E2598" s="17" t="s">
        <v>8962</v>
      </c>
      <c r="F2598" s="17">
        <v>5</v>
      </c>
      <c r="G2598" s="17">
        <v>1</v>
      </c>
      <c r="H2598" s="17" t="s">
        <v>7887</v>
      </c>
      <c r="I2598" s="17">
        <v>0</v>
      </c>
      <c r="J2598" s="17"/>
      <c r="K2598" s="17"/>
      <c r="L2598" s="17"/>
      <c r="M2598" s="17"/>
      <c r="N2598" s="17"/>
      <c r="O2598" s="17"/>
      <c r="P2598" s="17"/>
      <c r="Q2598" s="17"/>
    </row>
    <row r="2599" spans="1:17">
      <c r="A2599" s="556" t="s">
        <v>3633</v>
      </c>
      <c r="B2599" s="557" t="s">
        <v>2278</v>
      </c>
      <c r="C2599" s="558" t="s">
        <v>1578</v>
      </c>
      <c r="D2599" s="556" t="s">
        <v>6051</v>
      </c>
      <c r="E2599" s="17" t="s">
        <v>8963</v>
      </c>
      <c r="F2599" s="17">
        <v>5</v>
      </c>
      <c r="G2599" s="17">
        <v>2</v>
      </c>
      <c r="H2599" s="17" t="s">
        <v>7888</v>
      </c>
      <c r="I2599" s="17">
        <v>0</v>
      </c>
      <c r="J2599" s="17"/>
      <c r="K2599" s="17"/>
      <c r="L2599" s="17"/>
      <c r="M2599" s="17"/>
      <c r="N2599" s="17"/>
      <c r="O2599" s="17"/>
      <c r="P2599" s="17"/>
      <c r="Q2599" s="17"/>
    </row>
    <row r="2600" spans="1:17">
      <c r="A2600" s="556" t="s">
        <v>3633</v>
      </c>
      <c r="B2600" s="557" t="s">
        <v>2281</v>
      </c>
      <c r="C2600" s="558" t="s">
        <v>2267</v>
      </c>
      <c r="D2600" s="556" t="s">
        <v>6050</v>
      </c>
      <c r="E2600" s="17" t="s">
        <v>8964</v>
      </c>
      <c r="F2600" s="17">
        <v>6</v>
      </c>
      <c r="G2600" s="17">
        <v>1</v>
      </c>
      <c r="H2600" s="17" t="s">
        <v>7889</v>
      </c>
      <c r="I2600" s="17"/>
      <c r="J2600" s="17"/>
      <c r="K2600" s="17"/>
      <c r="L2600" s="17"/>
      <c r="M2600" s="17"/>
      <c r="N2600" s="17"/>
      <c r="O2600" s="17"/>
      <c r="P2600" s="17"/>
      <c r="Q2600" s="17"/>
    </row>
    <row r="2601" spans="1:17">
      <c r="A2601" s="556" t="s">
        <v>3633</v>
      </c>
      <c r="B2601" s="557" t="s">
        <v>2281</v>
      </c>
      <c r="C2601" s="558" t="s">
        <v>2267</v>
      </c>
      <c r="D2601" s="556" t="s">
        <v>6051</v>
      </c>
      <c r="E2601" s="17" t="s">
        <v>8965</v>
      </c>
      <c r="F2601" s="17">
        <v>6</v>
      </c>
      <c r="G2601" s="17">
        <v>2</v>
      </c>
      <c r="H2601" s="17" t="s">
        <v>7890</v>
      </c>
      <c r="I2601" s="17"/>
      <c r="J2601" s="17"/>
      <c r="K2601" s="17"/>
      <c r="L2601" s="17"/>
      <c r="M2601" s="17"/>
      <c r="N2601" s="17"/>
      <c r="O2601" s="17"/>
      <c r="P2601" s="17"/>
      <c r="Q2601" s="17"/>
    </row>
    <row r="2602" spans="1:17">
      <c r="A2602" s="556" t="s">
        <v>3633</v>
      </c>
      <c r="B2602" s="557" t="s">
        <v>2283</v>
      </c>
      <c r="C2602" s="558" t="s">
        <v>2269</v>
      </c>
      <c r="D2602" s="556" t="s">
        <v>6050</v>
      </c>
      <c r="E2602" s="17" t="s">
        <v>8966</v>
      </c>
      <c r="F2602" s="17">
        <v>7</v>
      </c>
      <c r="G2602" s="17">
        <v>1</v>
      </c>
      <c r="H2602" s="17" t="s">
        <v>7891</v>
      </c>
      <c r="I2602" s="17">
        <v>0</v>
      </c>
      <c r="J2602" s="17"/>
      <c r="K2602" s="17"/>
      <c r="L2602" s="17"/>
      <c r="M2602" s="17"/>
      <c r="N2602" s="17"/>
      <c r="O2602" s="17"/>
      <c r="P2602" s="17"/>
      <c r="Q2602" s="17"/>
    </row>
    <row r="2603" spans="1:17">
      <c r="A2603" s="556" t="s">
        <v>3633</v>
      </c>
      <c r="B2603" s="557" t="s">
        <v>2283</v>
      </c>
      <c r="C2603" s="558" t="s">
        <v>2269</v>
      </c>
      <c r="D2603" s="556" t="s">
        <v>6051</v>
      </c>
      <c r="E2603" s="559" t="s">
        <v>8967</v>
      </c>
      <c r="F2603" s="17">
        <v>7</v>
      </c>
      <c r="G2603" s="17">
        <v>2</v>
      </c>
      <c r="H2603" s="564" t="s">
        <v>8968</v>
      </c>
      <c r="I2603" s="567">
        <v>0</v>
      </c>
      <c r="J2603" s="17"/>
      <c r="K2603" s="17"/>
      <c r="L2603" s="17"/>
      <c r="M2603" s="17"/>
      <c r="N2603" s="17"/>
      <c r="O2603" s="17"/>
      <c r="P2603" s="17"/>
      <c r="Q2603" s="17"/>
    </row>
    <row r="2604" spans="1:17">
      <c r="A2604" s="556" t="s">
        <v>3635</v>
      </c>
      <c r="B2604" s="557"/>
      <c r="C2604" s="558" t="s">
        <v>6053</v>
      </c>
      <c r="D2604" s="556" t="s">
        <v>2535</v>
      </c>
      <c r="E2604" s="17" t="s">
        <v>6054</v>
      </c>
      <c r="F2604" s="17">
        <v>1</v>
      </c>
      <c r="G2604" s="17">
        <v>1</v>
      </c>
      <c r="H2604" s="17" t="s">
        <v>3705</v>
      </c>
      <c r="I2604" s="17"/>
      <c r="J2604" s="17"/>
      <c r="K2604" s="17"/>
      <c r="L2604" s="17"/>
      <c r="M2604" s="17"/>
      <c r="N2604" s="17"/>
      <c r="O2604" s="17"/>
      <c r="P2604" s="17"/>
      <c r="Q2604" s="17"/>
    </row>
    <row r="2605" spans="1:17">
      <c r="A2605" s="556" t="s">
        <v>3635</v>
      </c>
      <c r="B2605" s="557"/>
      <c r="C2605" s="558" t="s">
        <v>6053</v>
      </c>
      <c r="D2605" s="556" t="s">
        <v>6052</v>
      </c>
      <c r="E2605" s="17" t="s">
        <v>6055</v>
      </c>
      <c r="F2605" s="17">
        <v>1</v>
      </c>
      <c r="G2605" s="17">
        <v>2</v>
      </c>
      <c r="H2605" s="17" t="s">
        <v>7892</v>
      </c>
      <c r="I2605" s="17"/>
      <c r="J2605" s="17"/>
      <c r="K2605" s="17"/>
      <c r="L2605" s="17"/>
      <c r="M2605" s="17"/>
      <c r="N2605" s="17"/>
      <c r="O2605" s="17"/>
      <c r="P2605" s="17"/>
      <c r="Q2605" s="17"/>
    </row>
    <row r="2606" spans="1:17">
      <c r="A2606" s="556" t="s">
        <v>3635</v>
      </c>
      <c r="B2606" s="557"/>
      <c r="C2606" s="558" t="s">
        <v>6056</v>
      </c>
      <c r="D2606" s="556" t="s">
        <v>2535</v>
      </c>
      <c r="E2606" s="17" t="s">
        <v>6057</v>
      </c>
      <c r="F2606" s="17">
        <v>3</v>
      </c>
      <c r="G2606" s="17">
        <v>1</v>
      </c>
      <c r="H2606" s="17" t="s">
        <v>7893</v>
      </c>
      <c r="I2606" s="17"/>
      <c r="J2606" s="17"/>
      <c r="K2606" s="17"/>
      <c r="L2606" s="17"/>
      <c r="M2606" s="17"/>
      <c r="N2606" s="17"/>
      <c r="O2606" s="17"/>
      <c r="P2606" s="17"/>
      <c r="Q2606" s="17"/>
    </row>
    <row r="2607" spans="1:17">
      <c r="A2607" s="556" t="s">
        <v>3635</v>
      </c>
      <c r="B2607" s="557"/>
      <c r="C2607" s="558" t="s">
        <v>6056</v>
      </c>
      <c r="D2607" s="556" t="s">
        <v>6052</v>
      </c>
      <c r="E2607" s="17" t="s">
        <v>6058</v>
      </c>
      <c r="F2607" s="17">
        <v>3</v>
      </c>
      <c r="G2607" s="17">
        <v>2</v>
      </c>
      <c r="H2607" s="17" t="s">
        <v>7894</v>
      </c>
      <c r="I2607" s="17"/>
      <c r="J2607" s="17"/>
      <c r="K2607" s="17"/>
      <c r="L2607" s="17"/>
      <c r="M2607" s="17"/>
      <c r="N2607" s="17"/>
      <c r="O2607" s="17"/>
      <c r="P2607" s="17"/>
      <c r="Q2607" s="17"/>
    </row>
    <row r="2608" spans="1:17">
      <c r="A2608" s="556" t="s">
        <v>3635</v>
      </c>
      <c r="B2608" s="557" t="s">
        <v>1310</v>
      </c>
      <c r="C2608" s="558" t="s">
        <v>6059</v>
      </c>
      <c r="D2608" s="556" t="s">
        <v>2535</v>
      </c>
      <c r="E2608" s="17" t="s">
        <v>6060</v>
      </c>
      <c r="F2608" s="17">
        <v>4</v>
      </c>
      <c r="G2608" s="17">
        <v>1</v>
      </c>
      <c r="H2608" s="17" t="s">
        <v>7895</v>
      </c>
      <c r="I2608" s="17">
        <v>0</v>
      </c>
      <c r="J2608" s="17"/>
      <c r="K2608" s="17"/>
      <c r="L2608" s="17"/>
      <c r="M2608" s="17"/>
      <c r="N2608" s="17"/>
      <c r="O2608" s="17"/>
      <c r="P2608" s="17"/>
      <c r="Q2608" s="17"/>
    </row>
    <row r="2609" spans="1:17">
      <c r="A2609" s="556" t="s">
        <v>3635</v>
      </c>
      <c r="B2609" s="557" t="s">
        <v>1310</v>
      </c>
      <c r="C2609" s="558" t="s">
        <v>6059</v>
      </c>
      <c r="D2609" s="556" t="s">
        <v>6052</v>
      </c>
      <c r="E2609" s="17" t="s">
        <v>6061</v>
      </c>
      <c r="F2609" s="17">
        <v>4</v>
      </c>
      <c r="G2609" s="17">
        <v>2</v>
      </c>
      <c r="H2609" s="17" t="s">
        <v>7896</v>
      </c>
      <c r="I2609" s="17"/>
      <c r="J2609" s="17"/>
      <c r="K2609" s="17"/>
      <c r="L2609" s="17"/>
      <c r="M2609" s="17"/>
      <c r="N2609" s="17"/>
      <c r="O2609" s="17"/>
      <c r="P2609" s="17"/>
      <c r="Q2609" s="17"/>
    </row>
    <row r="2610" spans="1:17">
      <c r="A2610" s="556" t="s">
        <v>2999</v>
      </c>
      <c r="B2610" s="557"/>
      <c r="C2610" s="558" t="s">
        <v>2301</v>
      </c>
      <c r="D2610" s="556" t="s">
        <v>6062</v>
      </c>
      <c r="E2610" s="17" t="s">
        <v>6063</v>
      </c>
      <c r="F2610" s="17">
        <v>1</v>
      </c>
      <c r="G2610" s="17">
        <v>1</v>
      </c>
      <c r="H2610" s="17" t="s">
        <v>3326</v>
      </c>
      <c r="I2610" s="17"/>
      <c r="J2610" s="17"/>
      <c r="K2610" s="17"/>
      <c r="L2610" s="17"/>
      <c r="M2610" s="17"/>
      <c r="N2610" s="17"/>
      <c r="O2610" s="17"/>
      <c r="P2610" s="17"/>
      <c r="Q2610" s="17"/>
    </row>
    <row r="2611" spans="1:17">
      <c r="A2611" s="556" t="s">
        <v>2999</v>
      </c>
      <c r="B2611" s="557"/>
      <c r="C2611" s="558" t="s">
        <v>2301</v>
      </c>
      <c r="D2611" s="556" t="s">
        <v>6064</v>
      </c>
      <c r="E2611" s="17" t="s">
        <v>6065</v>
      </c>
      <c r="F2611" s="17">
        <v>1</v>
      </c>
      <c r="G2611" s="17">
        <v>4</v>
      </c>
      <c r="H2611" s="17" t="s">
        <v>2991</v>
      </c>
      <c r="I2611" s="17"/>
      <c r="J2611" s="17"/>
      <c r="K2611" s="17"/>
      <c r="L2611" s="17"/>
      <c r="M2611" s="17"/>
      <c r="N2611" s="17"/>
      <c r="O2611" s="17"/>
      <c r="P2611" s="17"/>
      <c r="Q2611" s="17"/>
    </row>
    <row r="2612" spans="1:17">
      <c r="A2612" s="556" t="s">
        <v>2999</v>
      </c>
      <c r="B2612" s="557"/>
      <c r="C2612" s="558" t="s">
        <v>2301</v>
      </c>
      <c r="D2612" s="556" t="s">
        <v>6066</v>
      </c>
      <c r="E2612" s="17" t="s">
        <v>6067</v>
      </c>
      <c r="F2612" s="17">
        <v>1</v>
      </c>
      <c r="G2612" s="17">
        <v>7</v>
      </c>
      <c r="H2612" s="17" t="s">
        <v>7803</v>
      </c>
      <c r="I2612" s="17"/>
      <c r="J2612" s="17"/>
      <c r="K2612" s="17"/>
      <c r="L2612" s="17"/>
      <c r="M2612" s="17"/>
      <c r="N2612" s="17"/>
      <c r="O2612" s="17"/>
      <c r="P2612" s="17"/>
      <c r="Q2612" s="17"/>
    </row>
    <row r="2613" spans="1:17">
      <c r="A2613" s="556" t="s">
        <v>2999</v>
      </c>
      <c r="B2613" s="557"/>
      <c r="C2613" s="558" t="s">
        <v>2301</v>
      </c>
      <c r="D2613" s="556" t="s">
        <v>6068</v>
      </c>
      <c r="E2613" s="17" t="s">
        <v>6069</v>
      </c>
      <c r="F2613" s="17">
        <v>1</v>
      </c>
      <c r="G2613" s="17">
        <v>8</v>
      </c>
      <c r="H2613" s="17" t="s">
        <v>3329</v>
      </c>
      <c r="I2613" s="17">
        <v>0</v>
      </c>
      <c r="J2613" s="17"/>
      <c r="K2613" s="17"/>
      <c r="L2613" s="17"/>
      <c r="M2613" s="17"/>
      <c r="N2613" s="17"/>
      <c r="O2613" s="17"/>
      <c r="P2613" s="17"/>
      <c r="Q2613" s="17"/>
    </row>
    <row r="2614" spans="1:17">
      <c r="A2614" s="556" t="s">
        <v>2999</v>
      </c>
      <c r="B2614" s="557"/>
      <c r="C2614" s="558" t="s">
        <v>2302</v>
      </c>
      <c r="D2614" s="556" t="s">
        <v>6062</v>
      </c>
      <c r="E2614" s="17" t="s">
        <v>6070</v>
      </c>
      <c r="F2614" s="17">
        <v>2</v>
      </c>
      <c r="G2614" s="17">
        <v>1</v>
      </c>
      <c r="H2614" s="17" t="s">
        <v>3525</v>
      </c>
      <c r="I2614" s="17"/>
      <c r="J2614" s="17"/>
      <c r="K2614" s="17"/>
      <c r="L2614" s="17"/>
      <c r="M2614" s="17"/>
      <c r="N2614" s="17"/>
      <c r="O2614" s="17"/>
      <c r="P2614" s="17"/>
      <c r="Q2614" s="17"/>
    </row>
    <row r="2615" spans="1:17">
      <c r="A2615" s="556" t="s">
        <v>2999</v>
      </c>
      <c r="B2615" s="557"/>
      <c r="C2615" s="558" t="s">
        <v>2302</v>
      </c>
      <c r="D2615" s="556" t="s">
        <v>6071</v>
      </c>
      <c r="E2615" s="17" t="s">
        <v>6072</v>
      </c>
      <c r="F2615" s="17">
        <v>2</v>
      </c>
      <c r="G2615" s="17">
        <v>2</v>
      </c>
      <c r="H2615" s="17" t="s">
        <v>3339</v>
      </c>
      <c r="I2615" s="17"/>
      <c r="J2615" s="17"/>
      <c r="K2615" s="17"/>
      <c r="L2615" s="17"/>
      <c r="M2615" s="17"/>
      <c r="N2615" s="17"/>
      <c r="O2615" s="17"/>
      <c r="P2615" s="17"/>
      <c r="Q2615" s="17"/>
    </row>
    <row r="2616" spans="1:17">
      <c r="A2616" s="556" t="s">
        <v>2999</v>
      </c>
      <c r="B2616" s="557"/>
      <c r="C2616" s="558" t="s">
        <v>2302</v>
      </c>
      <c r="D2616" s="556" t="s">
        <v>6073</v>
      </c>
      <c r="E2616" s="17" t="s">
        <v>6074</v>
      </c>
      <c r="F2616" s="17">
        <v>2</v>
      </c>
      <c r="G2616" s="17">
        <v>3</v>
      </c>
      <c r="H2616" s="17" t="s">
        <v>3340</v>
      </c>
      <c r="I2616" s="17"/>
      <c r="J2616" s="17"/>
      <c r="K2616" s="17"/>
      <c r="L2616" s="17"/>
      <c r="M2616" s="17"/>
      <c r="N2616" s="17"/>
      <c r="O2616" s="17"/>
      <c r="P2616" s="17"/>
      <c r="Q2616" s="17"/>
    </row>
    <row r="2617" spans="1:17">
      <c r="A2617" s="556" t="s">
        <v>2999</v>
      </c>
      <c r="B2617" s="557"/>
      <c r="C2617" s="558" t="s">
        <v>2302</v>
      </c>
      <c r="D2617" s="556" t="s">
        <v>6064</v>
      </c>
      <c r="E2617" s="17" t="s">
        <v>6075</v>
      </c>
      <c r="F2617" s="17">
        <v>2</v>
      </c>
      <c r="G2617" s="17">
        <v>4</v>
      </c>
      <c r="H2617" s="17" t="s">
        <v>3341</v>
      </c>
      <c r="I2617" s="17"/>
      <c r="J2617" s="17"/>
      <c r="K2617" s="17"/>
      <c r="L2617" s="17"/>
      <c r="M2617" s="17"/>
      <c r="N2617" s="17"/>
      <c r="O2617" s="17"/>
      <c r="P2617" s="17"/>
      <c r="Q2617" s="17"/>
    </row>
    <row r="2618" spans="1:17">
      <c r="A2618" s="556" t="s">
        <v>2999</v>
      </c>
      <c r="B2618" s="557"/>
      <c r="C2618" s="558" t="s">
        <v>2302</v>
      </c>
      <c r="D2618" s="556" t="s">
        <v>6076</v>
      </c>
      <c r="E2618" s="17" t="s">
        <v>6077</v>
      </c>
      <c r="F2618" s="17">
        <v>2</v>
      </c>
      <c r="G2618" s="17">
        <v>5</v>
      </c>
      <c r="H2618" s="17" t="s">
        <v>3342</v>
      </c>
      <c r="I2618" s="17"/>
      <c r="J2618" s="17"/>
      <c r="K2618" s="17"/>
      <c r="L2618" s="17"/>
      <c r="M2618" s="17"/>
      <c r="N2618" s="17"/>
      <c r="O2618" s="17"/>
      <c r="P2618" s="17"/>
      <c r="Q2618" s="17"/>
    </row>
    <row r="2619" spans="1:17">
      <c r="A2619" s="556" t="s">
        <v>2999</v>
      </c>
      <c r="B2619" s="557"/>
      <c r="C2619" s="558" t="s">
        <v>2302</v>
      </c>
      <c r="D2619" s="556" t="s">
        <v>6078</v>
      </c>
      <c r="E2619" s="17" t="s">
        <v>6079</v>
      </c>
      <c r="F2619" s="17">
        <v>2</v>
      </c>
      <c r="G2619" s="17">
        <v>6</v>
      </c>
      <c r="H2619" s="17" t="s">
        <v>3451</v>
      </c>
      <c r="I2619" s="17"/>
      <c r="J2619" s="17"/>
      <c r="K2619" s="17"/>
      <c r="L2619" s="17"/>
      <c r="M2619" s="17"/>
      <c r="N2619" s="17"/>
      <c r="O2619" s="17"/>
      <c r="P2619" s="17"/>
      <c r="Q2619" s="17"/>
    </row>
    <row r="2620" spans="1:17">
      <c r="A2620" s="556" t="s">
        <v>2999</v>
      </c>
      <c r="B2620" s="557"/>
      <c r="C2620" s="558" t="s">
        <v>2302</v>
      </c>
      <c r="D2620" s="556" t="s">
        <v>6066</v>
      </c>
      <c r="E2620" s="17" t="s">
        <v>6080</v>
      </c>
      <c r="F2620" s="17">
        <v>2</v>
      </c>
      <c r="G2620" s="17">
        <v>7</v>
      </c>
      <c r="H2620" s="17" t="s">
        <v>7804</v>
      </c>
      <c r="I2620" s="17"/>
      <c r="J2620" s="17"/>
      <c r="K2620" s="17"/>
      <c r="L2620" s="17"/>
      <c r="M2620" s="17"/>
      <c r="N2620" s="17"/>
      <c r="O2620" s="17"/>
      <c r="P2620" s="17"/>
      <c r="Q2620" s="17"/>
    </row>
    <row r="2621" spans="1:17">
      <c r="A2621" s="556" t="s">
        <v>2999</v>
      </c>
      <c r="B2621" s="557"/>
      <c r="C2621" s="558" t="s">
        <v>2302</v>
      </c>
      <c r="D2621" s="556" t="s">
        <v>6068</v>
      </c>
      <c r="E2621" s="17" t="s">
        <v>6081</v>
      </c>
      <c r="F2621" s="17">
        <v>2</v>
      </c>
      <c r="G2621" s="17">
        <v>8</v>
      </c>
      <c r="H2621" s="17" t="s">
        <v>3526</v>
      </c>
      <c r="I2621" s="17">
        <v>0</v>
      </c>
      <c r="J2621" s="17"/>
      <c r="K2621" s="17"/>
      <c r="L2621" s="17"/>
      <c r="M2621" s="17"/>
      <c r="N2621" s="17"/>
      <c r="O2621" s="17"/>
      <c r="P2621" s="17"/>
      <c r="Q2621" s="17"/>
    </row>
    <row r="2622" spans="1:17">
      <c r="A2622" s="556" t="s">
        <v>2999</v>
      </c>
      <c r="B2622" s="557"/>
      <c r="C2622" s="558" t="s">
        <v>2303</v>
      </c>
      <c r="D2622" s="556" t="s">
        <v>6062</v>
      </c>
      <c r="E2622" s="17" t="s">
        <v>6082</v>
      </c>
      <c r="F2622" s="17">
        <v>3</v>
      </c>
      <c r="G2622" s="17">
        <v>1</v>
      </c>
      <c r="H2622" s="17" t="s">
        <v>3697</v>
      </c>
      <c r="I2622" s="17"/>
      <c r="J2622" s="17"/>
      <c r="K2622" s="17"/>
      <c r="L2622" s="17"/>
      <c r="M2622" s="17"/>
      <c r="N2622" s="17"/>
      <c r="O2622" s="17"/>
      <c r="P2622" s="17"/>
      <c r="Q2622" s="17"/>
    </row>
    <row r="2623" spans="1:17">
      <c r="A2623" s="556" t="s">
        <v>2999</v>
      </c>
      <c r="B2623" s="557"/>
      <c r="C2623" s="558" t="s">
        <v>2303</v>
      </c>
      <c r="D2623" s="556" t="s">
        <v>6071</v>
      </c>
      <c r="E2623" s="17" t="s">
        <v>6083</v>
      </c>
      <c r="F2623" s="17">
        <v>3</v>
      </c>
      <c r="G2623" s="17">
        <v>2</v>
      </c>
      <c r="H2623" s="17" t="s">
        <v>3343</v>
      </c>
      <c r="I2623" s="17"/>
      <c r="J2623" s="17"/>
      <c r="K2623" s="17"/>
      <c r="L2623" s="17"/>
      <c r="M2623" s="17"/>
      <c r="N2623" s="17"/>
      <c r="O2623" s="17"/>
      <c r="P2623" s="17"/>
      <c r="Q2623" s="17"/>
    </row>
    <row r="2624" spans="1:17">
      <c r="A2624" s="556" t="s">
        <v>2999</v>
      </c>
      <c r="B2624" s="557"/>
      <c r="C2624" s="558" t="s">
        <v>2303</v>
      </c>
      <c r="D2624" s="556" t="s">
        <v>6073</v>
      </c>
      <c r="E2624" s="17" t="s">
        <v>6084</v>
      </c>
      <c r="F2624" s="17">
        <v>3</v>
      </c>
      <c r="G2624" s="17">
        <v>3</v>
      </c>
      <c r="H2624" s="17" t="s">
        <v>3344</v>
      </c>
      <c r="I2624" s="17"/>
      <c r="J2624" s="17"/>
      <c r="K2624" s="17"/>
      <c r="L2624" s="17"/>
      <c r="M2624" s="17"/>
      <c r="N2624" s="17"/>
      <c r="O2624" s="17"/>
      <c r="P2624" s="17"/>
      <c r="Q2624" s="17"/>
    </row>
    <row r="2625" spans="1:17">
      <c r="A2625" s="556" t="s">
        <v>2999</v>
      </c>
      <c r="B2625" s="557"/>
      <c r="C2625" s="558" t="s">
        <v>2303</v>
      </c>
      <c r="D2625" s="556" t="s">
        <v>6064</v>
      </c>
      <c r="E2625" s="17" t="s">
        <v>6085</v>
      </c>
      <c r="F2625" s="17">
        <v>3</v>
      </c>
      <c r="G2625" s="17">
        <v>4</v>
      </c>
      <c r="H2625" s="17" t="s">
        <v>3345</v>
      </c>
      <c r="I2625" s="17"/>
      <c r="J2625" s="17"/>
      <c r="K2625" s="17"/>
      <c r="L2625" s="17"/>
      <c r="M2625" s="17"/>
      <c r="N2625" s="17"/>
      <c r="O2625" s="17"/>
      <c r="P2625" s="17"/>
      <c r="Q2625" s="17"/>
    </row>
    <row r="2626" spans="1:17">
      <c r="A2626" s="556" t="s">
        <v>2999</v>
      </c>
      <c r="B2626" s="557"/>
      <c r="C2626" s="558" t="s">
        <v>2303</v>
      </c>
      <c r="D2626" s="556" t="s">
        <v>6076</v>
      </c>
      <c r="E2626" s="17" t="s">
        <v>6086</v>
      </c>
      <c r="F2626" s="17">
        <v>3</v>
      </c>
      <c r="G2626" s="17">
        <v>5</v>
      </c>
      <c r="H2626" s="17" t="s">
        <v>3346</v>
      </c>
      <c r="I2626" s="17"/>
      <c r="J2626" s="17"/>
      <c r="K2626" s="17"/>
      <c r="L2626" s="17"/>
      <c r="M2626" s="17"/>
      <c r="N2626" s="17"/>
      <c r="O2626" s="17"/>
      <c r="P2626" s="17"/>
      <c r="Q2626" s="17"/>
    </row>
    <row r="2627" spans="1:17">
      <c r="A2627" s="556" t="s">
        <v>2999</v>
      </c>
      <c r="B2627" s="557"/>
      <c r="C2627" s="558" t="s">
        <v>2303</v>
      </c>
      <c r="D2627" s="556" t="s">
        <v>6078</v>
      </c>
      <c r="E2627" s="17" t="s">
        <v>6087</v>
      </c>
      <c r="F2627" s="17">
        <v>3</v>
      </c>
      <c r="G2627" s="17">
        <v>6</v>
      </c>
      <c r="H2627" s="17" t="s">
        <v>3452</v>
      </c>
      <c r="I2627" s="17"/>
      <c r="J2627" s="17"/>
      <c r="K2627" s="17"/>
      <c r="L2627" s="17"/>
      <c r="M2627" s="17"/>
      <c r="N2627" s="17"/>
      <c r="O2627" s="17"/>
      <c r="P2627" s="17"/>
      <c r="Q2627" s="17"/>
    </row>
    <row r="2628" spans="1:17">
      <c r="A2628" s="556" t="s">
        <v>2999</v>
      </c>
      <c r="B2628" s="557"/>
      <c r="C2628" s="558" t="s">
        <v>2303</v>
      </c>
      <c r="D2628" s="556" t="s">
        <v>6066</v>
      </c>
      <c r="E2628" s="17" t="s">
        <v>6088</v>
      </c>
      <c r="F2628" s="17">
        <v>3</v>
      </c>
      <c r="G2628" s="17">
        <v>7</v>
      </c>
      <c r="H2628" s="17" t="s">
        <v>7805</v>
      </c>
      <c r="I2628" s="17"/>
      <c r="J2628" s="17"/>
      <c r="K2628" s="17"/>
      <c r="L2628" s="17"/>
      <c r="M2628" s="17"/>
      <c r="N2628" s="17"/>
      <c r="O2628" s="17"/>
      <c r="P2628" s="17"/>
      <c r="Q2628" s="17"/>
    </row>
    <row r="2629" spans="1:17">
      <c r="A2629" s="556" t="s">
        <v>2999</v>
      </c>
      <c r="B2629" s="557"/>
      <c r="C2629" s="558" t="s">
        <v>2303</v>
      </c>
      <c r="D2629" s="556" t="s">
        <v>6068</v>
      </c>
      <c r="E2629" s="17" t="s">
        <v>6089</v>
      </c>
      <c r="F2629" s="17">
        <v>3</v>
      </c>
      <c r="G2629" s="17">
        <v>8</v>
      </c>
      <c r="H2629" s="17" t="s">
        <v>7806</v>
      </c>
      <c r="I2629" s="17">
        <v>0</v>
      </c>
      <c r="J2629" s="17"/>
      <c r="K2629" s="17"/>
      <c r="L2629" s="17"/>
      <c r="M2629" s="17"/>
      <c r="N2629" s="17"/>
      <c r="O2629" s="17"/>
      <c r="P2629" s="17"/>
      <c r="Q2629" s="17"/>
    </row>
    <row r="2630" spans="1:17">
      <c r="A2630" s="556" t="s">
        <v>2999</v>
      </c>
      <c r="B2630" s="557"/>
      <c r="C2630" s="558" t="s">
        <v>2304</v>
      </c>
      <c r="D2630" s="556" t="s">
        <v>6062</v>
      </c>
      <c r="E2630" s="17" t="s">
        <v>6090</v>
      </c>
      <c r="F2630" s="17">
        <v>4</v>
      </c>
      <c r="G2630" s="17">
        <v>1</v>
      </c>
      <c r="H2630" s="17" t="s">
        <v>7772</v>
      </c>
      <c r="I2630" s="17">
        <v>0</v>
      </c>
      <c r="J2630" s="17"/>
      <c r="K2630" s="17"/>
      <c r="L2630" s="17"/>
      <c r="M2630" s="17"/>
      <c r="N2630" s="17"/>
      <c r="O2630" s="17"/>
      <c r="P2630" s="17"/>
      <c r="Q2630" s="17"/>
    </row>
    <row r="2631" spans="1:17">
      <c r="A2631" s="556" t="s">
        <v>2999</v>
      </c>
      <c r="B2631" s="557"/>
      <c r="C2631" s="558" t="s">
        <v>2304</v>
      </c>
      <c r="D2631" s="556" t="s">
        <v>6071</v>
      </c>
      <c r="E2631" s="17" t="s">
        <v>6091</v>
      </c>
      <c r="F2631" s="17">
        <v>4</v>
      </c>
      <c r="G2631" s="17">
        <v>2</v>
      </c>
      <c r="H2631" s="17" t="s">
        <v>3347</v>
      </c>
      <c r="I2631" s="17">
        <v>0</v>
      </c>
      <c r="J2631" s="17"/>
      <c r="K2631" s="17"/>
      <c r="L2631" s="17"/>
      <c r="M2631" s="17"/>
      <c r="N2631" s="17"/>
      <c r="O2631" s="17"/>
      <c r="P2631" s="17"/>
      <c r="Q2631" s="17"/>
    </row>
    <row r="2632" spans="1:17">
      <c r="A2632" s="556" t="s">
        <v>2999</v>
      </c>
      <c r="B2632" s="557"/>
      <c r="C2632" s="558" t="s">
        <v>2304</v>
      </c>
      <c r="D2632" s="556" t="s">
        <v>6073</v>
      </c>
      <c r="E2632" s="17" t="s">
        <v>6092</v>
      </c>
      <c r="F2632" s="17">
        <v>4</v>
      </c>
      <c r="G2632" s="17">
        <v>3</v>
      </c>
      <c r="H2632" s="17" t="s">
        <v>3348</v>
      </c>
      <c r="I2632" s="17">
        <v>0</v>
      </c>
      <c r="J2632" s="17"/>
      <c r="K2632" s="17"/>
      <c r="L2632" s="17"/>
      <c r="M2632" s="17"/>
      <c r="N2632" s="17"/>
      <c r="O2632" s="17"/>
      <c r="P2632" s="17"/>
      <c r="Q2632" s="17"/>
    </row>
    <row r="2633" spans="1:17">
      <c r="A2633" s="556" t="s">
        <v>2999</v>
      </c>
      <c r="B2633" s="557"/>
      <c r="C2633" s="558" t="s">
        <v>2304</v>
      </c>
      <c r="D2633" s="556" t="s">
        <v>6064</v>
      </c>
      <c r="E2633" s="17" t="s">
        <v>6093</v>
      </c>
      <c r="F2633" s="17">
        <v>4</v>
      </c>
      <c r="G2633" s="17">
        <v>4</v>
      </c>
      <c r="H2633" s="17" t="s">
        <v>3349</v>
      </c>
      <c r="I2633" s="17">
        <v>0</v>
      </c>
      <c r="J2633" s="17"/>
      <c r="K2633" s="17"/>
      <c r="L2633" s="17"/>
      <c r="M2633" s="17"/>
      <c r="N2633" s="17"/>
      <c r="O2633" s="17"/>
      <c r="P2633" s="17"/>
      <c r="Q2633" s="17"/>
    </row>
    <row r="2634" spans="1:17">
      <c r="A2634" s="556" t="s">
        <v>2999</v>
      </c>
      <c r="B2634" s="557"/>
      <c r="C2634" s="558" t="s">
        <v>2304</v>
      </c>
      <c r="D2634" s="556" t="s">
        <v>6076</v>
      </c>
      <c r="E2634" s="17" t="s">
        <v>6094</v>
      </c>
      <c r="F2634" s="17">
        <v>4</v>
      </c>
      <c r="G2634" s="17">
        <v>5</v>
      </c>
      <c r="H2634" s="17" t="s">
        <v>3350</v>
      </c>
      <c r="I2634" s="17">
        <v>0</v>
      </c>
      <c r="J2634" s="17"/>
      <c r="K2634" s="17"/>
      <c r="L2634" s="17"/>
      <c r="M2634" s="17"/>
      <c r="N2634" s="17"/>
      <c r="O2634" s="17"/>
      <c r="P2634" s="17"/>
      <c r="Q2634" s="17"/>
    </row>
    <row r="2635" spans="1:17">
      <c r="A2635" s="556" t="s">
        <v>2999</v>
      </c>
      <c r="B2635" s="557"/>
      <c r="C2635" s="558" t="s">
        <v>2304</v>
      </c>
      <c r="D2635" s="556" t="s">
        <v>6078</v>
      </c>
      <c r="E2635" s="17" t="s">
        <v>6095</v>
      </c>
      <c r="F2635" s="17">
        <v>4</v>
      </c>
      <c r="G2635" s="17">
        <v>6</v>
      </c>
      <c r="H2635" s="17" t="s">
        <v>3453</v>
      </c>
      <c r="I2635" s="17">
        <v>0</v>
      </c>
      <c r="J2635" s="17"/>
      <c r="K2635" s="17"/>
      <c r="L2635" s="17"/>
      <c r="M2635" s="17"/>
      <c r="N2635" s="17"/>
      <c r="O2635" s="17"/>
      <c r="P2635" s="17"/>
      <c r="Q2635" s="17"/>
    </row>
    <row r="2636" spans="1:17">
      <c r="A2636" s="556" t="s">
        <v>2999</v>
      </c>
      <c r="B2636" s="557"/>
      <c r="C2636" s="558" t="s">
        <v>2304</v>
      </c>
      <c r="D2636" s="556" t="s">
        <v>6066</v>
      </c>
      <c r="E2636" s="17" t="s">
        <v>6096</v>
      </c>
      <c r="F2636" s="17">
        <v>4</v>
      </c>
      <c r="G2636" s="17">
        <v>7</v>
      </c>
      <c r="H2636" s="17" t="s">
        <v>7807</v>
      </c>
      <c r="I2636" s="17">
        <v>0</v>
      </c>
      <c r="J2636" s="17"/>
      <c r="K2636" s="17"/>
      <c r="L2636" s="17"/>
      <c r="M2636" s="17"/>
      <c r="N2636" s="17"/>
      <c r="O2636" s="17"/>
      <c r="P2636" s="17"/>
      <c r="Q2636" s="17"/>
    </row>
    <row r="2637" spans="1:17">
      <c r="A2637" s="556" t="s">
        <v>2999</v>
      </c>
      <c r="B2637" s="557"/>
      <c r="C2637" s="558" t="s">
        <v>2304</v>
      </c>
      <c r="D2637" s="556" t="s">
        <v>6068</v>
      </c>
      <c r="E2637" s="17" t="s">
        <v>6097</v>
      </c>
      <c r="F2637" s="17">
        <v>4</v>
      </c>
      <c r="G2637" s="17">
        <v>8</v>
      </c>
      <c r="H2637" s="17" t="s">
        <v>7808</v>
      </c>
      <c r="I2637" s="17">
        <v>0</v>
      </c>
      <c r="J2637" s="17"/>
      <c r="K2637" s="17"/>
      <c r="L2637" s="17"/>
      <c r="M2637" s="17"/>
      <c r="N2637" s="17"/>
      <c r="O2637" s="17"/>
      <c r="P2637" s="17"/>
      <c r="Q2637" s="17"/>
    </row>
    <row r="2638" spans="1:17">
      <c r="A2638" s="556" t="s">
        <v>2999</v>
      </c>
      <c r="B2638" s="557"/>
      <c r="C2638" s="558" t="s">
        <v>2305</v>
      </c>
      <c r="D2638" s="556" t="s">
        <v>6062</v>
      </c>
      <c r="E2638" s="17" t="s">
        <v>6098</v>
      </c>
      <c r="F2638" s="17">
        <v>5</v>
      </c>
      <c r="G2638" s="17">
        <v>1</v>
      </c>
      <c r="H2638" s="17" t="s">
        <v>7774</v>
      </c>
      <c r="I2638" s="17"/>
      <c r="J2638" s="17"/>
      <c r="K2638" s="17"/>
      <c r="L2638" s="17"/>
      <c r="M2638" s="17"/>
      <c r="N2638" s="17"/>
      <c r="O2638" s="17"/>
      <c r="P2638" s="17"/>
      <c r="Q2638" s="17"/>
    </row>
    <row r="2639" spans="1:17">
      <c r="A2639" s="556" t="s">
        <v>2999</v>
      </c>
      <c r="B2639" s="557"/>
      <c r="C2639" s="558" t="s">
        <v>2305</v>
      </c>
      <c r="D2639" s="556" t="s">
        <v>6071</v>
      </c>
      <c r="E2639" s="17" t="s">
        <v>6099</v>
      </c>
      <c r="F2639" s="17">
        <v>5</v>
      </c>
      <c r="G2639" s="17">
        <v>2</v>
      </c>
      <c r="H2639" s="17" t="s">
        <v>3351</v>
      </c>
      <c r="I2639" s="17"/>
      <c r="J2639" s="17"/>
      <c r="K2639" s="17"/>
      <c r="L2639" s="17"/>
      <c r="M2639" s="17"/>
      <c r="N2639" s="17"/>
      <c r="O2639" s="17"/>
      <c r="P2639" s="17"/>
      <c r="Q2639" s="17"/>
    </row>
    <row r="2640" spans="1:17">
      <c r="A2640" s="556" t="s">
        <v>2999</v>
      </c>
      <c r="B2640" s="557"/>
      <c r="C2640" s="558" t="s">
        <v>2305</v>
      </c>
      <c r="D2640" s="556" t="s">
        <v>6064</v>
      </c>
      <c r="E2640" s="17" t="s">
        <v>6100</v>
      </c>
      <c r="F2640" s="17">
        <v>5</v>
      </c>
      <c r="G2640" s="17">
        <v>4</v>
      </c>
      <c r="H2640" s="17" t="s">
        <v>3353</v>
      </c>
      <c r="I2640" s="17"/>
      <c r="J2640" s="17"/>
      <c r="K2640" s="17"/>
      <c r="L2640" s="17"/>
      <c r="M2640" s="17"/>
      <c r="N2640" s="17"/>
      <c r="O2640" s="17"/>
      <c r="P2640" s="17"/>
      <c r="Q2640" s="17"/>
    </row>
    <row r="2641" spans="1:17">
      <c r="A2641" s="556" t="s">
        <v>2999</v>
      </c>
      <c r="B2641" s="557"/>
      <c r="C2641" s="558" t="s">
        <v>2305</v>
      </c>
      <c r="D2641" s="556" t="s">
        <v>6076</v>
      </c>
      <c r="E2641" s="17" t="s">
        <v>6101</v>
      </c>
      <c r="F2641" s="17">
        <v>5</v>
      </c>
      <c r="G2641" s="17">
        <v>5</v>
      </c>
      <c r="H2641" s="17" t="s">
        <v>3354</v>
      </c>
      <c r="I2641" s="17"/>
      <c r="J2641" s="17"/>
      <c r="K2641" s="17"/>
      <c r="L2641" s="17"/>
      <c r="M2641" s="17"/>
      <c r="N2641" s="17"/>
      <c r="O2641" s="17"/>
      <c r="P2641" s="17"/>
      <c r="Q2641" s="17"/>
    </row>
    <row r="2642" spans="1:17">
      <c r="A2642" s="556" t="s">
        <v>2999</v>
      </c>
      <c r="B2642" s="557"/>
      <c r="C2642" s="558" t="s">
        <v>2305</v>
      </c>
      <c r="D2642" s="556" t="s">
        <v>6066</v>
      </c>
      <c r="E2642" s="17" t="s">
        <v>6102</v>
      </c>
      <c r="F2642" s="17">
        <v>5</v>
      </c>
      <c r="G2642" s="17">
        <v>7</v>
      </c>
      <c r="H2642" s="17" t="s">
        <v>7809</v>
      </c>
      <c r="I2642" s="17"/>
      <c r="J2642" s="17"/>
      <c r="K2642" s="17"/>
      <c r="L2642" s="17"/>
      <c r="M2642" s="17"/>
      <c r="N2642" s="17"/>
      <c r="O2642" s="17"/>
      <c r="P2642" s="17"/>
      <c r="Q2642" s="17"/>
    </row>
    <row r="2643" spans="1:17">
      <c r="A2643" s="556" t="s">
        <v>2999</v>
      </c>
      <c r="B2643" s="557"/>
      <c r="C2643" s="558" t="s">
        <v>2305</v>
      </c>
      <c r="D2643" s="556" t="s">
        <v>6068</v>
      </c>
      <c r="E2643" s="17" t="s">
        <v>6103</v>
      </c>
      <c r="F2643" s="17">
        <v>5</v>
      </c>
      <c r="G2643" s="17">
        <v>8</v>
      </c>
      <c r="H2643" s="17" t="s">
        <v>7810</v>
      </c>
      <c r="I2643" s="17">
        <v>0</v>
      </c>
      <c r="J2643" s="17"/>
      <c r="K2643" s="17"/>
      <c r="L2643" s="17"/>
      <c r="M2643" s="17"/>
      <c r="N2643" s="17"/>
      <c r="O2643" s="17"/>
      <c r="P2643" s="17"/>
      <c r="Q2643" s="17"/>
    </row>
    <row r="2644" spans="1:17">
      <c r="A2644" s="556" t="s">
        <v>2999</v>
      </c>
      <c r="B2644" s="557"/>
      <c r="C2644" s="558" t="s">
        <v>2306</v>
      </c>
      <c r="D2644" s="556" t="s">
        <v>6062</v>
      </c>
      <c r="E2644" s="17" t="s">
        <v>6104</v>
      </c>
      <c r="F2644" s="17">
        <v>6</v>
      </c>
      <c r="G2644" s="17">
        <v>1</v>
      </c>
      <c r="H2644" s="17" t="s">
        <v>7776</v>
      </c>
      <c r="I2644" s="17"/>
      <c r="J2644" s="17"/>
      <c r="K2644" s="17"/>
      <c r="L2644" s="17"/>
      <c r="M2644" s="17"/>
      <c r="N2644" s="17"/>
      <c r="O2644" s="17"/>
      <c r="P2644" s="17"/>
      <c r="Q2644" s="17"/>
    </row>
    <row r="2645" spans="1:17">
      <c r="A2645" s="556" t="s">
        <v>2999</v>
      </c>
      <c r="B2645" s="557"/>
      <c r="C2645" s="558" t="s">
        <v>2306</v>
      </c>
      <c r="D2645" s="556" t="s">
        <v>6071</v>
      </c>
      <c r="E2645" s="17" t="s">
        <v>6105</v>
      </c>
      <c r="F2645" s="17">
        <v>6</v>
      </c>
      <c r="G2645" s="17">
        <v>2</v>
      </c>
      <c r="H2645" s="17" t="s">
        <v>3355</v>
      </c>
      <c r="I2645" s="17"/>
      <c r="J2645" s="17"/>
      <c r="K2645" s="17"/>
      <c r="L2645" s="17"/>
      <c r="M2645" s="17"/>
      <c r="N2645" s="17"/>
      <c r="O2645" s="17"/>
      <c r="P2645" s="17"/>
      <c r="Q2645" s="17"/>
    </row>
    <row r="2646" spans="1:17">
      <c r="A2646" s="556" t="s">
        <v>2999</v>
      </c>
      <c r="B2646" s="557"/>
      <c r="C2646" s="558" t="s">
        <v>2306</v>
      </c>
      <c r="D2646" s="556" t="s">
        <v>6064</v>
      </c>
      <c r="E2646" s="17" t="s">
        <v>6106</v>
      </c>
      <c r="F2646" s="17">
        <v>6</v>
      </c>
      <c r="G2646" s="17">
        <v>4</v>
      </c>
      <c r="H2646" s="17" t="s">
        <v>3357</v>
      </c>
      <c r="I2646" s="17"/>
      <c r="J2646" s="17"/>
      <c r="K2646" s="17"/>
      <c r="L2646" s="17"/>
      <c r="M2646" s="17"/>
      <c r="N2646" s="17"/>
      <c r="O2646" s="17"/>
      <c r="P2646" s="17"/>
      <c r="Q2646" s="17"/>
    </row>
    <row r="2647" spans="1:17">
      <c r="A2647" s="556" t="s">
        <v>2999</v>
      </c>
      <c r="B2647" s="557"/>
      <c r="C2647" s="558" t="s">
        <v>2306</v>
      </c>
      <c r="D2647" s="556" t="s">
        <v>6076</v>
      </c>
      <c r="E2647" s="17" t="s">
        <v>6107</v>
      </c>
      <c r="F2647" s="17">
        <v>6</v>
      </c>
      <c r="G2647" s="17">
        <v>5</v>
      </c>
      <c r="H2647" s="17" t="s">
        <v>3358</v>
      </c>
      <c r="I2647" s="17"/>
      <c r="J2647" s="17"/>
      <c r="K2647" s="17"/>
      <c r="L2647" s="17"/>
      <c r="M2647" s="17"/>
      <c r="N2647" s="17"/>
      <c r="O2647" s="17"/>
      <c r="P2647" s="17"/>
      <c r="Q2647" s="17"/>
    </row>
    <row r="2648" spans="1:17">
      <c r="A2648" s="556" t="s">
        <v>2999</v>
      </c>
      <c r="B2648" s="557"/>
      <c r="C2648" s="558" t="s">
        <v>2306</v>
      </c>
      <c r="D2648" s="556" t="s">
        <v>6066</v>
      </c>
      <c r="E2648" s="17" t="s">
        <v>6108</v>
      </c>
      <c r="F2648" s="17">
        <v>6</v>
      </c>
      <c r="G2648" s="17">
        <v>7</v>
      </c>
      <c r="H2648" s="17" t="s">
        <v>7814</v>
      </c>
      <c r="I2648" s="17"/>
      <c r="J2648" s="17"/>
      <c r="K2648" s="17"/>
      <c r="L2648" s="17"/>
      <c r="M2648" s="17"/>
      <c r="N2648" s="17"/>
      <c r="O2648" s="17"/>
      <c r="P2648" s="17"/>
      <c r="Q2648" s="17"/>
    </row>
    <row r="2649" spans="1:17">
      <c r="A2649" s="556" t="s">
        <v>2999</v>
      </c>
      <c r="B2649" s="557"/>
      <c r="C2649" s="558" t="s">
        <v>2306</v>
      </c>
      <c r="D2649" s="556" t="s">
        <v>6068</v>
      </c>
      <c r="E2649" s="17" t="s">
        <v>6109</v>
      </c>
      <c r="F2649" s="17">
        <v>6</v>
      </c>
      <c r="G2649" s="17">
        <v>8</v>
      </c>
      <c r="H2649" s="17" t="s">
        <v>7859</v>
      </c>
      <c r="I2649" s="17">
        <v>0</v>
      </c>
      <c r="J2649" s="17"/>
      <c r="K2649" s="17"/>
      <c r="L2649" s="17"/>
      <c r="M2649" s="17"/>
      <c r="N2649" s="17"/>
      <c r="O2649" s="17"/>
      <c r="P2649" s="17"/>
      <c r="Q2649" s="17"/>
    </row>
    <row r="2650" spans="1:17">
      <c r="A2650" s="556" t="s">
        <v>2999</v>
      </c>
      <c r="B2650" s="557"/>
      <c r="C2650" s="558" t="s">
        <v>1777</v>
      </c>
      <c r="D2650" s="556" t="s">
        <v>6062</v>
      </c>
      <c r="E2650" s="17" t="s">
        <v>6110</v>
      </c>
      <c r="F2650" s="17">
        <v>7</v>
      </c>
      <c r="G2650" s="17">
        <v>1</v>
      </c>
      <c r="H2650" s="17" t="s">
        <v>7778</v>
      </c>
      <c r="I2650" s="17"/>
      <c r="J2650" s="17"/>
      <c r="K2650" s="17"/>
      <c r="L2650" s="17"/>
      <c r="M2650" s="17"/>
      <c r="N2650" s="17"/>
      <c r="O2650" s="17"/>
      <c r="P2650" s="17"/>
      <c r="Q2650" s="17"/>
    </row>
    <row r="2651" spans="1:17">
      <c r="A2651" s="556" t="s">
        <v>2999</v>
      </c>
      <c r="B2651" s="557"/>
      <c r="C2651" s="558" t="s">
        <v>1777</v>
      </c>
      <c r="D2651" s="556" t="s">
        <v>6071</v>
      </c>
      <c r="E2651" s="17" t="s">
        <v>6111</v>
      </c>
      <c r="F2651" s="17">
        <v>7</v>
      </c>
      <c r="G2651" s="17">
        <v>2</v>
      </c>
      <c r="H2651" s="17" t="s">
        <v>3359</v>
      </c>
      <c r="I2651" s="17"/>
      <c r="J2651" s="17"/>
      <c r="K2651" s="17"/>
      <c r="L2651" s="17"/>
      <c r="M2651" s="17"/>
      <c r="N2651" s="17"/>
      <c r="O2651" s="17"/>
      <c r="P2651" s="17"/>
      <c r="Q2651" s="17"/>
    </row>
    <row r="2652" spans="1:17">
      <c r="A2652" s="556" t="s">
        <v>2999</v>
      </c>
      <c r="B2652" s="557"/>
      <c r="C2652" s="558" t="s">
        <v>1777</v>
      </c>
      <c r="D2652" s="556" t="s">
        <v>6064</v>
      </c>
      <c r="E2652" s="17" t="s">
        <v>6112</v>
      </c>
      <c r="F2652" s="17">
        <v>7</v>
      </c>
      <c r="G2652" s="17">
        <v>4</v>
      </c>
      <c r="H2652" s="17" t="s">
        <v>3327</v>
      </c>
      <c r="I2652" s="17"/>
      <c r="J2652" s="17"/>
      <c r="K2652" s="17"/>
      <c r="L2652" s="17"/>
      <c r="M2652" s="17"/>
      <c r="N2652" s="17"/>
      <c r="O2652" s="17"/>
      <c r="P2652" s="17"/>
      <c r="Q2652" s="17"/>
    </row>
    <row r="2653" spans="1:17">
      <c r="A2653" s="556" t="s">
        <v>2999</v>
      </c>
      <c r="B2653" s="557"/>
      <c r="C2653" s="558" t="s">
        <v>1777</v>
      </c>
      <c r="D2653" s="556" t="s">
        <v>6076</v>
      </c>
      <c r="E2653" s="17" t="s">
        <v>6113</v>
      </c>
      <c r="F2653" s="17">
        <v>7</v>
      </c>
      <c r="G2653" s="17">
        <v>5</v>
      </c>
      <c r="H2653" s="17" t="s">
        <v>3361</v>
      </c>
      <c r="I2653" s="17"/>
      <c r="J2653" s="17"/>
      <c r="K2653" s="17"/>
      <c r="L2653" s="17"/>
      <c r="M2653" s="17"/>
      <c r="N2653" s="17"/>
      <c r="O2653" s="17"/>
      <c r="P2653" s="17"/>
      <c r="Q2653" s="17"/>
    </row>
    <row r="2654" spans="1:17">
      <c r="A2654" s="556" t="s">
        <v>2999</v>
      </c>
      <c r="B2654" s="557"/>
      <c r="C2654" s="558" t="s">
        <v>1777</v>
      </c>
      <c r="D2654" s="556" t="s">
        <v>6066</v>
      </c>
      <c r="E2654" s="17" t="s">
        <v>6114</v>
      </c>
      <c r="F2654" s="17">
        <v>7</v>
      </c>
      <c r="G2654" s="17">
        <v>7</v>
      </c>
      <c r="H2654" s="17" t="s">
        <v>7815</v>
      </c>
      <c r="I2654" s="17"/>
      <c r="J2654" s="17"/>
      <c r="K2654" s="17"/>
      <c r="L2654" s="17"/>
      <c r="M2654" s="17"/>
      <c r="N2654" s="17"/>
      <c r="O2654" s="17"/>
      <c r="P2654" s="17"/>
      <c r="Q2654" s="17"/>
    </row>
    <row r="2655" spans="1:17">
      <c r="A2655" s="556" t="s">
        <v>2999</v>
      </c>
      <c r="B2655" s="557"/>
      <c r="C2655" s="558" t="s">
        <v>1777</v>
      </c>
      <c r="D2655" s="556" t="s">
        <v>6068</v>
      </c>
      <c r="E2655" s="17" t="s">
        <v>6115</v>
      </c>
      <c r="F2655" s="17">
        <v>7</v>
      </c>
      <c r="G2655" s="17">
        <v>8</v>
      </c>
      <c r="H2655" s="17" t="s">
        <v>7866</v>
      </c>
      <c r="I2655" s="17">
        <v>0</v>
      </c>
      <c r="J2655" s="17"/>
      <c r="K2655" s="17"/>
      <c r="L2655" s="17"/>
      <c r="M2655" s="17"/>
      <c r="N2655" s="17"/>
      <c r="O2655" s="17"/>
      <c r="P2655" s="17"/>
      <c r="Q2655" s="17"/>
    </row>
    <row r="2656" spans="1:17">
      <c r="A2656" s="556" t="s">
        <v>2999</v>
      </c>
      <c r="B2656" s="557"/>
      <c r="C2656" s="558" t="s">
        <v>2307</v>
      </c>
      <c r="D2656" s="556" t="s">
        <v>6062</v>
      </c>
      <c r="E2656" s="17" t="s">
        <v>6116</v>
      </c>
      <c r="F2656" s="17">
        <v>8</v>
      </c>
      <c r="G2656" s="17">
        <v>1</v>
      </c>
      <c r="H2656" s="17" t="s">
        <v>7779</v>
      </c>
      <c r="I2656" s="17"/>
      <c r="J2656" s="17"/>
      <c r="K2656" s="17"/>
      <c r="L2656" s="17"/>
      <c r="M2656" s="17"/>
      <c r="N2656" s="17"/>
      <c r="O2656" s="17"/>
      <c r="P2656" s="17"/>
      <c r="Q2656" s="17"/>
    </row>
    <row r="2657" spans="1:17">
      <c r="A2657" s="556" t="s">
        <v>2999</v>
      </c>
      <c r="B2657" s="557"/>
      <c r="C2657" s="558" t="s">
        <v>2307</v>
      </c>
      <c r="D2657" s="556" t="s">
        <v>6071</v>
      </c>
      <c r="E2657" s="17" t="s">
        <v>6117</v>
      </c>
      <c r="F2657" s="17">
        <v>8</v>
      </c>
      <c r="G2657" s="17">
        <v>2</v>
      </c>
      <c r="H2657" s="17" t="s">
        <v>3362</v>
      </c>
      <c r="I2657" s="17"/>
      <c r="J2657" s="17"/>
      <c r="K2657" s="17"/>
      <c r="L2657" s="17"/>
      <c r="M2657" s="17"/>
      <c r="N2657" s="17"/>
      <c r="O2657" s="17"/>
      <c r="P2657" s="17"/>
      <c r="Q2657" s="17"/>
    </row>
    <row r="2658" spans="1:17">
      <c r="A2658" s="556" t="s">
        <v>2999</v>
      </c>
      <c r="B2658" s="557"/>
      <c r="C2658" s="558" t="s">
        <v>2307</v>
      </c>
      <c r="D2658" s="556" t="s">
        <v>6064</v>
      </c>
      <c r="E2658" s="17" t="s">
        <v>6118</v>
      </c>
      <c r="F2658" s="17">
        <v>8</v>
      </c>
      <c r="G2658" s="17">
        <v>4</v>
      </c>
      <c r="H2658" s="17" t="s">
        <v>3364</v>
      </c>
      <c r="I2658" s="17"/>
      <c r="J2658" s="17"/>
      <c r="K2658" s="17"/>
      <c r="L2658" s="17"/>
      <c r="M2658" s="17"/>
      <c r="N2658" s="17"/>
      <c r="O2658" s="17"/>
      <c r="P2658" s="17"/>
      <c r="Q2658" s="17"/>
    </row>
    <row r="2659" spans="1:17">
      <c r="A2659" s="556" t="s">
        <v>2999</v>
      </c>
      <c r="B2659" s="557"/>
      <c r="C2659" s="558" t="s">
        <v>2307</v>
      </c>
      <c r="D2659" s="556" t="s">
        <v>6076</v>
      </c>
      <c r="E2659" s="17" t="s">
        <v>6119</v>
      </c>
      <c r="F2659" s="17">
        <v>8</v>
      </c>
      <c r="G2659" s="17">
        <v>5</v>
      </c>
      <c r="H2659" s="17" t="s">
        <v>3365</v>
      </c>
      <c r="I2659" s="17"/>
      <c r="J2659" s="17"/>
      <c r="K2659" s="17"/>
      <c r="L2659" s="17"/>
      <c r="M2659" s="17"/>
      <c r="N2659" s="17"/>
      <c r="O2659" s="17"/>
      <c r="P2659" s="17"/>
      <c r="Q2659" s="17"/>
    </row>
    <row r="2660" spans="1:17">
      <c r="A2660" s="556" t="s">
        <v>2999</v>
      </c>
      <c r="B2660" s="557"/>
      <c r="C2660" s="558" t="s">
        <v>2307</v>
      </c>
      <c r="D2660" s="556" t="s">
        <v>6066</v>
      </c>
      <c r="E2660" s="17" t="s">
        <v>6120</v>
      </c>
      <c r="F2660" s="17">
        <v>8</v>
      </c>
      <c r="G2660" s="17">
        <v>7</v>
      </c>
      <c r="H2660" s="17" t="s">
        <v>7816</v>
      </c>
      <c r="I2660" s="17"/>
      <c r="J2660" s="17"/>
      <c r="K2660" s="17"/>
      <c r="L2660" s="17"/>
      <c r="M2660" s="17"/>
      <c r="N2660" s="17"/>
      <c r="O2660" s="17"/>
      <c r="P2660" s="17"/>
      <c r="Q2660" s="17"/>
    </row>
    <row r="2661" spans="1:17">
      <c r="A2661" s="556" t="s">
        <v>2999</v>
      </c>
      <c r="B2661" s="557"/>
      <c r="C2661" s="558" t="s">
        <v>2307</v>
      </c>
      <c r="D2661" s="556" t="s">
        <v>6068</v>
      </c>
      <c r="E2661" s="17" t="s">
        <v>6121</v>
      </c>
      <c r="F2661" s="17">
        <v>8</v>
      </c>
      <c r="G2661" s="17">
        <v>8</v>
      </c>
      <c r="H2661" s="17" t="s">
        <v>7873</v>
      </c>
      <c r="I2661" s="17">
        <v>0</v>
      </c>
      <c r="J2661" s="17"/>
      <c r="K2661" s="17"/>
      <c r="L2661" s="17"/>
      <c r="M2661" s="17"/>
      <c r="N2661" s="17"/>
      <c r="O2661" s="17"/>
      <c r="P2661" s="17"/>
      <c r="Q2661" s="17"/>
    </row>
    <row r="2662" spans="1:17">
      <c r="A2662" s="556" t="s">
        <v>2999</v>
      </c>
      <c r="B2662" s="557"/>
      <c r="C2662" s="558" t="s">
        <v>2308</v>
      </c>
      <c r="D2662" s="556" t="s">
        <v>6062</v>
      </c>
      <c r="E2662" s="17" t="s">
        <v>6122</v>
      </c>
      <c r="F2662" s="17">
        <v>9</v>
      </c>
      <c r="G2662" s="17">
        <v>1</v>
      </c>
      <c r="H2662" s="17" t="s">
        <v>7781</v>
      </c>
      <c r="I2662" s="17"/>
      <c r="J2662" s="17"/>
      <c r="K2662" s="17"/>
      <c r="L2662" s="17"/>
      <c r="M2662" s="17"/>
      <c r="N2662" s="17"/>
      <c r="O2662" s="17"/>
      <c r="P2662" s="17"/>
      <c r="Q2662" s="17"/>
    </row>
    <row r="2663" spans="1:17">
      <c r="A2663" s="556" t="s">
        <v>2999</v>
      </c>
      <c r="B2663" s="557"/>
      <c r="C2663" s="558" t="s">
        <v>2308</v>
      </c>
      <c r="D2663" s="556" t="s">
        <v>6071</v>
      </c>
      <c r="E2663" s="17" t="s">
        <v>6123</v>
      </c>
      <c r="F2663" s="17">
        <v>9</v>
      </c>
      <c r="G2663" s="17">
        <v>2</v>
      </c>
      <c r="H2663" s="17" t="s">
        <v>3366</v>
      </c>
      <c r="I2663" s="17"/>
      <c r="J2663" s="17"/>
      <c r="K2663" s="17"/>
      <c r="L2663" s="17"/>
      <c r="M2663" s="17"/>
      <c r="N2663" s="17"/>
      <c r="O2663" s="17"/>
      <c r="P2663" s="17"/>
      <c r="Q2663" s="17"/>
    </row>
    <row r="2664" spans="1:17">
      <c r="A2664" s="556" t="s">
        <v>2999</v>
      </c>
      <c r="B2664" s="557"/>
      <c r="C2664" s="558" t="s">
        <v>2308</v>
      </c>
      <c r="D2664" s="556" t="s">
        <v>6064</v>
      </c>
      <c r="E2664" s="17" t="s">
        <v>6124</v>
      </c>
      <c r="F2664" s="17">
        <v>9</v>
      </c>
      <c r="G2664" s="17">
        <v>4</v>
      </c>
      <c r="H2664" s="17" t="s">
        <v>3368</v>
      </c>
      <c r="I2664" s="17"/>
      <c r="J2664" s="17"/>
      <c r="K2664" s="17"/>
      <c r="L2664" s="17"/>
      <c r="M2664" s="17"/>
      <c r="N2664" s="17"/>
      <c r="O2664" s="17"/>
      <c r="P2664" s="17"/>
      <c r="Q2664" s="17"/>
    </row>
    <row r="2665" spans="1:17">
      <c r="A2665" s="556" t="s">
        <v>2999</v>
      </c>
      <c r="B2665" s="557"/>
      <c r="C2665" s="558" t="s">
        <v>2308</v>
      </c>
      <c r="D2665" s="556" t="s">
        <v>6076</v>
      </c>
      <c r="E2665" s="17" t="s">
        <v>6125</v>
      </c>
      <c r="F2665" s="17">
        <v>9</v>
      </c>
      <c r="G2665" s="17">
        <v>5</v>
      </c>
      <c r="H2665" s="17" t="s">
        <v>3369</v>
      </c>
      <c r="I2665" s="17"/>
      <c r="J2665" s="17"/>
      <c r="K2665" s="17"/>
      <c r="L2665" s="17"/>
      <c r="M2665" s="17"/>
      <c r="N2665" s="17"/>
      <c r="O2665" s="17"/>
      <c r="P2665" s="17"/>
      <c r="Q2665" s="17"/>
    </row>
    <row r="2666" spans="1:17">
      <c r="A2666" s="556" t="s">
        <v>2999</v>
      </c>
      <c r="B2666" s="557"/>
      <c r="C2666" s="558" t="s">
        <v>2308</v>
      </c>
      <c r="D2666" s="556" t="s">
        <v>6066</v>
      </c>
      <c r="E2666" s="17" t="s">
        <v>6126</v>
      </c>
      <c r="F2666" s="17">
        <v>9</v>
      </c>
      <c r="G2666" s="17">
        <v>7</v>
      </c>
      <c r="H2666" s="17" t="s">
        <v>7817</v>
      </c>
      <c r="I2666" s="17"/>
      <c r="J2666" s="17"/>
      <c r="K2666" s="17"/>
      <c r="L2666" s="17"/>
      <c r="M2666" s="17"/>
      <c r="N2666" s="17"/>
      <c r="O2666" s="17"/>
      <c r="P2666" s="17"/>
      <c r="Q2666" s="17"/>
    </row>
    <row r="2667" spans="1:17">
      <c r="A2667" s="556" t="s">
        <v>2999</v>
      </c>
      <c r="B2667" s="557"/>
      <c r="C2667" s="558" t="s">
        <v>2308</v>
      </c>
      <c r="D2667" s="556" t="s">
        <v>6068</v>
      </c>
      <c r="E2667" s="17" t="s">
        <v>6127</v>
      </c>
      <c r="F2667" s="17">
        <v>9</v>
      </c>
      <c r="G2667" s="17">
        <v>8</v>
      </c>
      <c r="H2667" s="17" t="s">
        <v>7897</v>
      </c>
      <c r="I2667" s="17">
        <v>0</v>
      </c>
      <c r="J2667" s="17"/>
      <c r="K2667" s="17"/>
      <c r="L2667" s="17"/>
      <c r="M2667" s="17"/>
      <c r="N2667" s="17"/>
      <c r="O2667" s="17"/>
      <c r="P2667" s="17"/>
      <c r="Q2667" s="17"/>
    </row>
    <row r="2668" spans="1:17">
      <c r="A2668" s="556" t="s">
        <v>2999</v>
      </c>
      <c r="B2668" s="557"/>
      <c r="C2668" s="558" t="s">
        <v>2309</v>
      </c>
      <c r="D2668" s="556" t="s">
        <v>6062</v>
      </c>
      <c r="E2668" s="17" t="s">
        <v>6128</v>
      </c>
      <c r="F2668" s="17">
        <v>10</v>
      </c>
      <c r="G2668" s="17">
        <v>1</v>
      </c>
      <c r="H2668" s="17" t="s">
        <v>7783</v>
      </c>
      <c r="I2668" s="17"/>
      <c r="J2668" s="17"/>
      <c r="K2668" s="17"/>
      <c r="L2668" s="17"/>
      <c r="M2668" s="17"/>
      <c r="N2668" s="17"/>
      <c r="O2668" s="17"/>
      <c r="P2668" s="17"/>
      <c r="Q2668" s="17"/>
    </row>
    <row r="2669" spans="1:17">
      <c r="A2669" s="556" t="s">
        <v>2999</v>
      </c>
      <c r="B2669" s="557"/>
      <c r="C2669" s="558" t="s">
        <v>2309</v>
      </c>
      <c r="D2669" s="556" t="s">
        <v>6073</v>
      </c>
      <c r="E2669" s="17" t="s">
        <v>6129</v>
      </c>
      <c r="F2669" s="17">
        <v>10</v>
      </c>
      <c r="G2669" s="17">
        <v>3</v>
      </c>
      <c r="H2669" s="17" t="s">
        <v>3371</v>
      </c>
      <c r="I2669" s="17"/>
      <c r="J2669" s="17"/>
      <c r="K2669" s="17"/>
      <c r="L2669" s="17"/>
      <c r="M2669" s="17"/>
      <c r="N2669" s="17"/>
      <c r="O2669" s="17"/>
      <c r="P2669" s="17"/>
      <c r="Q2669" s="17"/>
    </row>
    <row r="2670" spans="1:17">
      <c r="A2670" s="556" t="s">
        <v>2999</v>
      </c>
      <c r="B2670" s="557"/>
      <c r="C2670" s="558" t="s">
        <v>2309</v>
      </c>
      <c r="D2670" s="556" t="s">
        <v>6064</v>
      </c>
      <c r="E2670" s="17" t="s">
        <v>6130</v>
      </c>
      <c r="F2670" s="17">
        <v>10</v>
      </c>
      <c r="G2670" s="17">
        <v>4</v>
      </c>
      <c r="H2670" s="17" t="s">
        <v>3372</v>
      </c>
      <c r="I2670" s="17"/>
      <c r="J2670" s="17"/>
      <c r="K2670" s="17"/>
      <c r="L2670" s="17"/>
      <c r="M2670" s="17"/>
      <c r="N2670" s="17"/>
      <c r="O2670" s="17"/>
      <c r="P2670" s="17"/>
      <c r="Q2670" s="17"/>
    </row>
    <row r="2671" spans="1:17">
      <c r="A2671" s="556" t="s">
        <v>2999</v>
      </c>
      <c r="B2671" s="557"/>
      <c r="C2671" s="558" t="s">
        <v>2309</v>
      </c>
      <c r="D2671" s="556" t="s">
        <v>6078</v>
      </c>
      <c r="E2671" s="17" t="s">
        <v>6131</v>
      </c>
      <c r="F2671" s="17">
        <v>10</v>
      </c>
      <c r="G2671" s="17">
        <v>6</v>
      </c>
      <c r="H2671" s="17" t="s">
        <v>3459</v>
      </c>
      <c r="I2671" s="17"/>
      <c r="J2671" s="17"/>
      <c r="K2671" s="17"/>
      <c r="L2671" s="17"/>
      <c r="M2671" s="17"/>
      <c r="N2671" s="17"/>
      <c r="O2671" s="17"/>
      <c r="P2671" s="17"/>
      <c r="Q2671" s="17"/>
    </row>
    <row r="2672" spans="1:17">
      <c r="A2672" s="556" t="s">
        <v>2999</v>
      </c>
      <c r="B2672" s="557"/>
      <c r="C2672" s="558" t="s">
        <v>2309</v>
      </c>
      <c r="D2672" s="556" t="s">
        <v>6066</v>
      </c>
      <c r="E2672" s="17" t="s">
        <v>6132</v>
      </c>
      <c r="F2672" s="17">
        <v>10</v>
      </c>
      <c r="G2672" s="17">
        <v>7</v>
      </c>
      <c r="H2672" s="17" t="s">
        <v>7818</v>
      </c>
      <c r="I2672" s="17"/>
      <c r="J2672" s="17"/>
      <c r="K2672" s="17"/>
      <c r="L2672" s="17"/>
      <c r="M2672" s="17"/>
      <c r="N2672" s="17"/>
      <c r="O2672" s="17"/>
      <c r="P2672" s="17"/>
      <c r="Q2672" s="17"/>
    </row>
    <row r="2673" spans="1:17">
      <c r="A2673" s="556" t="s">
        <v>2999</v>
      </c>
      <c r="B2673" s="557"/>
      <c r="C2673" s="558" t="s">
        <v>2309</v>
      </c>
      <c r="D2673" s="556" t="s">
        <v>6068</v>
      </c>
      <c r="E2673" s="17" t="s">
        <v>6133</v>
      </c>
      <c r="F2673" s="17">
        <v>10</v>
      </c>
      <c r="G2673" s="17">
        <v>8</v>
      </c>
      <c r="H2673" s="17" t="s">
        <v>7898</v>
      </c>
      <c r="I2673" s="17">
        <v>0</v>
      </c>
      <c r="J2673" s="17"/>
      <c r="K2673" s="17"/>
      <c r="L2673" s="17"/>
      <c r="M2673" s="17"/>
      <c r="N2673" s="17"/>
      <c r="O2673" s="17"/>
      <c r="P2673" s="17"/>
      <c r="Q2673" s="17"/>
    </row>
    <row r="2674" spans="1:17">
      <c r="A2674" s="556" t="s">
        <v>2999</v>
      </c>
      <c r="B2674" s="557"/>
      <c r="C2674" s="558" t="s">
        <v>2310</v>
      </c>
      <c r="D2674" s="556" t="s">
        <v>6062</v>
      </c>
      <c r="E2674" s="17" t="s">
        <v>6134</v>
      </c>
      <c r="F2674" s="17">
        <v>11</v>
      </c>
      <c r="G2674" s="17">
        <v>1</v>
      </c>
      <c r="H2674" s="17" t="s">
        <v>7785</v>
      </c>
      <c r="I2674" s="17"/>
      <c r="J2674" s="17"/>
      <c r="K2674" s="17"/>
      <c r="L2674" s="17"/>
      <c r="M2674" s="17"/>
      <c r="N2674" s="17"/>
      <c r="O2674" s="17"/>
      <c r="P2674" s="17"/>
      <c r="Q2674" s="17"/>
    </row>
    <row r="2675" spans="1:17">
      <c r="A2675" s="556" t="s">
        <v>2999</v>
      </c>
      <c r="B2675" s="557"/>
      <c r="C2675" s="558" t="s">
        <v>2310</v>
      </c>
      <c r="D2675" s="556" t="s">
        <v>6073</v>
      </c>
      <c r="E2675" s="17" t="s">
        <v>6135</v>
      </c>
      <c r="F2675" s="17">
        <v>11</v>
      </c>
      <c r="G2675" s="17">
        <v>3</v>
      </c>
      <c r="H2675" s="17" t="s">
        <v>3375</v>
      </c>
      <c r="I2675" s="17"/>
      <c r="J2675" s="17"/>
      <c r="K2675" s="17"/>
      <c r="L2675" s="17"/>
      <c r="M2675" s="17"/>
      <c r="N2675" s="17"/>
      <c r="O2675" s="17"/>
      <c r="P2675" s="17"/>
      <c r="Q2675" s="17"/>
    </row>
    <row r="2676" spans="1:17">
      <c r="A2676" s="556" t="s">
        <v>2999</v>
      </c>
      <c r="B2676" s="557"/>
      <c r="C2676" s="558" t="s">
        <v>2310</v>
      </c>
      <c r="D2676" s="556" t="s">
        <v>6064</v>
      </c>
      <c r="E2676" s="17" t="s">
        <v>6136</v>
      </c>
      <c r="F2676" s="17">
        <v>11</v>
      </c>
      <c r="G2676" s="17">
        <v>4</v>
      </c>
      <c r="H2676" s="17" t="s">
        <v>3376</v>
      </c>
      <c r="I2676" s="17"/>
      <c r="J2676" s="17"/>
      <c r="K2676" s="17"/>
      <c r="L2676" s="17"/>
      <c r="M2676" s="17"/>
      <c r="N2676" s="17"/>
      <c r="O2676" s="17"/>
      <c r="P2676" s="17"/>
      <c r="Q2676" s="17"/>
    </row>
    <row r="2677" spans="1:17">
      <c r="A2677" s="556" t="s">
        <v>2999</v>
      </c>
      <c r="B2677" s="557"/>
      <c r="C2677" s="558" t="s">
        <v>2310</v>
      </c>
      <c r="D2677" s="556" t="s">
        <v>6078</v>
      </c>
      <c r="E2677" s="17" t="s">
        <v>6137</v>
      </c>
      <c r="F2677" s="17">
        <v>11</v>
      </c>
      <c r="G2677" s="17">
        <v>6</v>
      </c>
      <c r="H2677" s="17" t="s">
        <v>3460</v>
      </c>
      <c r="I2677" s="17"/>
      <c r="J2677" s="17"/>
      <c r="K2677" s="17"/>
      <c r="L2677" s="17"/>
      <c r="M2677" s="17"/>
      <c r="N2677" s="17"/>
      <c r="O2677" s="17"/>
      <c r="P2677" s="17"/>
      <c r="Q2677" s="17"/>
    </row>
    <row r="2678" spans="1:17">
      <c r="A2678" s="556" t="s">
        <v>2999</v>
      </c>
      <c r="B2678" s="557"/>
      <c r="C2678" s="558" t="s">
        <v>2310</v>
      </c>
      <c r="D2678" s="556" t="s">
        <v>6066</v>
      </c>
      <c r="E2678" s="17" t="s">
        <v>6138</v>
      </c>
      <c r="F2678" s="17">
        <v>11</v>
      </c>
      <c r="G2678" s="17">
        <v>7</v>
      </c>
      <c r="H2678" s="17" t="s">
        <v>7819</v>
      </c>
      <c r="I2678" s="17"/>
      <c r="J2678" s="17"/>
      <c r="K2678" s="17"/>
      <c r="L2678" s="17"/>
      <c r="M2678" s="17"/>
      <c r="N2678" s="17"/>
      <c r="O2678" s="17"/>
      <c r="P2678" s="17"/>
      <c r="Q2678" s="17"/>
    </row>
    <row r="2679" spans="1:17">
      <c r="A2679" s="556" t="s">
        <v>2999</v>
      </c>
      <c r="B2679" s="557"/>
      <c r="C2679" s="558" t="s">
        <v>2310</v>
      </c>
      <c r="D2679" s="556" t="s">
        <v>6068</v>
      </c>
      <c r="E2679" s="17" t="s">
        <v>6139</v>
      </c>
      <c r="F2679" s="17">
        <v>11</v>
      </c>
      <c r="G2679" s="17">
        <v>8</v>
      </c>
      <c r="H2679" s="17" t="s">
        <v>7899</v>
      </c>
      <c r="I2679" s="17">
        <v>0</v>
      </c>
      <c r="J2679" s="17"/>
      <c r="K2679" s="17"/>
      <c r="L2679" s="17"/>
      <c r="M2679" s="17"/>
      <c r="N2679" s="17"/>
      <c r="O2679" s="17"/>
      <c r="P2679" s="17"/>
      <c r="Q2679" s="17"/>
    </row>
    <row r="2680" spans="1:17">
      <c r="A2680" s="556" t="s">
        <v>2999</v>
      </c>
      <c r="B2680" s="557"/>
      <c r="C2680" s="558" t="s">
        <v>2311</v>
      </c>
      <c r="D2680" s="556" t="s">
        <v>6062</v>
      </c>
      <c r="E2680" s="17" t="s">
        <v>6140</v>
      </c>
      <c r="F2680" s="17">
        <v>12</v>
      </c>
      <c r="G2680" s="17">
        <v>1</v>
      </c>
      <c r="H2680" s="17" t="s">
        <v>3695</v>
      </c>
      <c r="I2680" s="17"/>
      <c r="J2680" s="17"/>
      <c r="K2680" s="17"/>
      <c r="L2680" s="17"/>
      <c r="M2680" s="17"/>
      <c r="N2680" s="17"/>
      <c r="O2680" s="17"/>
      <c r="P2680" s="17"/>
      <c r="Q2680" s="17"/>
    </row>
    <row r="2681" spans="1:17">
      <c r="A2681" s="556" t="s">
        <v>2999</v>
      </c>
      <c r="B2681" s="557"/>
      <c r="C2681" s="558" t="s">
        <v>2311</v>
      </c>
      <c r="D2681" s="556" t="s">
        <v>6073</v>
      </c>
      <c r="E2681" s="17" t="s">
        <v>6141</v>
      </c>
      <c r="F2681" s="17">
        <v>12</v>
      </c>
      <c r="G2681" s="17">
        <v>3</v>
      </c>
      <c r="H2681" s="17" t="s">
        <v>3379</v>
      </c>
      <c r="I2681" s="17"/>
      <c r="J2681" s="17"/>
      <c r="K2681" s="17"/>
      <c r="L2681" s="17"/>
      <c r="M2681" s="17"/>
      <c r="N2681" s="17"/>
      <c r="O2681" s="17"/>
      <c r="P2681" s="17"/>
      <c r="Q2681" s="17"/>
    </row>
    <row r="2682" spans="1:17">
      <c r="A2682" s="556" t="s">
        <v>2999</v>
      </c>
      <c r="B2682" s="557"/>
      <c r="C2682" s="558" t="s">
        <v>2311</v>
      </c>
      <c r="D2682" s="556" t="s">
        <v>6064</v>
      </c>
      <c r="E2682" s="17" t="s">
        <v>6142</v>
      </c>
      <c r="F2682" s="17">
        <v>12</v>
      </c>
      <c r="G2682" s="17">
        <v>4</v>
      </c>
      <c r="H2682" s="17" t="s">
        <v>3380</v>
      </c>
      <c r="I2682" s="17"/>
      <c r="J2682" s="17"/>
      <c r="K2682" s="17"/>
      <c r="L2682" s="17"/>
      <c r="M2682" s="17"/>
      <c r="N2682" s="17"/>
      <c r="O2682" s="17"/>
      <c r="P2682" s="17"/>
      <c r="Q2682" s="17"/>
    </row>
    <row r="2683" spans="1:17">
      <c r="A2683" s="556" t="s">
        <v>2999</v>
      </c>
      <c r="B2683" s="557"/>
      <c r="C2683" s="558" t="s">
        <v>2311</v>
      </c>
      <c r="D2683" s="556" t="s">
        <v>6078</v>
      </c>
      <c r="E2683" s="17" t="s">
        <v>6143</v>
      </c>
      <c r="F2683" s="17">
        <v>12</v>
      </c>
      <c r="G2683" s="17">
        <v>6</v>
      </c>
      <c r="H2683" s="17" t="s">
        <v>3461</v>
      </c>
      <c r="I2683" s="17"/>
      <c r="J2683" s="17"/>
      <c r="K2683" s="17"/>
      <c r="L2683" s="17"/>
      <c r="M2683" s="17"/>
      <c r="N2683" s="17"/>
      <c r="O2683" s="17"/>
      <c r="P2683" s="17"/>
      <c r="Q2683" s="17"/>
    </row>
    <row r="2684" spans="1:17">
      <c r="A2684" s="556" t="s">
        <v>2999</v>
      </c>
      <c r="B2684" s="557"/>
      <c r="C2684" s="558" t="s">
        <v>2311</v>
      </c>
      <c r="D2684" s="556" t="s">
        <v>6066</v>
      </c>
      <c r="E2684" s="17" t="s">
        <v>6144</v>
      </c>
      <c r="F2684" s="17">
        <v>12</v>
      </c>
      <c r="G2684" s="17">
        <v>7</v>
      </c>
      <c r="H2684" s="17" t="s">
        <v>7820</v>
      </c>
      <c r="I2684" s="17"/>
      <c r="J2684" s="17"/>
      <c r="K2684" s="17"/>
      <c r="L2684" s="17"/>
      <c r="M2684" s="17"/>
      <c r="N2684" s="17"/>
      <c r="O2684" s="17"/>
      <c r="P2684" s="17"/>
      <c r="Q2684" s="17"/>
    </row>
    <row r="2685" spans="1:17">
      <c r="A2685" s="556" t="s">
        <v>2999</v>
      </c>
      <c r="B2685" s="557"/>
      <c r="C2685" s="558" t="s">
        <v>2311</v>
      </c>
      <c r="D2685" s="556" t="s">
        <v>6068</v>
      </c>
      <c r="E2685" s="17" t="s">
        <v>6145</v>
      </c>
      <c r="F2685" s="17">
        <v>12</v>
      </c>
      <c r="G2685" s="17">
        <v>8</v>
      </c>
      <c r="H2685" s="17" t="s">
        <v>3704</v>
      </c>
      <c r="I2685" s="17">
        <v>0</v>
      </c>
      <c r="J2685" s="17"/>
      <c r="K2685" s="17"/>
      <c r="L2685" s="17"/>
      <c r="M2685" s="17"/>
      <c r="N2685" s="17"/>
      <c r="O2685" s="17"/>
      <c r="P2685" s="17"/>
      <c r="Q2685" s="17"/>
    </row>
    <row r="2686" spans="1:17">
      <c r="A2686" s="556" t="s">
        <v>2999</v>
      </c>
      <c r="B2686" s="557"/>
      <c r="C2686" s="558" t="s">
        <v>2312</v>
      </c>
      <c r="D2686" s="556" t="s">
        <v>6062</v>
      </c>
      <c r="E2686" s="17" t="s">
        <v>6146</v>
      </c>
      <c r="F2686" s="17">
        <v>13</v>
      </c>
      <c r="G2686" s="17">
        <v>1</v>
      </c>
      <c r="H2686" s="17" t="s">
        <v>7788</v>
      </c>
      <c r="I2686" s="17"/>
      <c r="J2686" s="17"/>
      <c r="K2686" s="17"/>
      <c r="L2686" s="17"/>
      <c r="M2686" s="17"/>
      <c r="N2686" s="17"/>
      <c r="O2686" s="17"/>
      <c r="P2686" s="17"/>
      <c r="Q2686" s="17"/>
    </row>
    <row r="2687" spans="1:17">
      <c r="A2687" s="556" t="s">
        <v>2999</v>
      </c>
      <c r="B2687" s="557"/>
      <c r="C2687" s="558" t="s">
        <v>2312</v>
      </c>
      <c r="D2687" s="556" t="s">
        <v>6073</v>
      </c>
      <c r="E2687" s="17" t="s">
        <v>6147</v>
      </c>
      <c r="F2687" s="17">
        <v>13</v>
      </c>
      <c r="G2687" s="17">
        <v>3</v>
      </c>
      <c r="H2687" s="17" t="s">
        <v>3383</v>
      </c>
      <c r="I2687" s="17"/>
      <c r="J2687" s="17"/>
      <c r="K2687" s="17"/>
      <c r="L2687" s="17"/>
      <c r="M2687" s="17"/>
      <c r="N2687" s="17"/>
      <c r="O2687" s="17"/>
      <c r="P2687" s="17"/>
      <c r="Q2687" s="17"/>
    </row>
    <row r="2688" spans="1:17">
      <c r="A2688" s="556" t="s">
        <v>2999</v>
      </c>
      <c r="B2688" s="557"/>
      <c r="C2688" s="558" t="s">
        <v>2312</v>
      </c>
      <c r="D2688" s="556" t="s">
        <v>6064</v>
      </c>
      <c r="E2688" s="17" t="s">
        <v>6148</v>
      </c>
      <c r="F2688" s="17">
        <v>13</v>
      </c>
      <c r="G2688" s="17">
        <v>4</v>
      </c>
      <c r="H2688" s="17" t="s">
        <v>3384</v>
      </c>
      <c r="I2688" s="17"/>
      <c r="J2688" s="17"/>
      <c r="K2688" s="17"/>
      <c r="L2688" s="17"/>
      <c r="M2688" s="17"/>
      <c r="N2688" s="17"/>
      <c r="O2688" s="17"/>
      <c r="P2688" s="17"/>
      <c r="Q2688" s="17"/>
    </row>
    <row r="2689" spans="1:17">
      <c r="A2689" s="556" t="s">
        <v>2999</v>
      </c>
      <c r="B2689" s="557"/>
      <c r="C2689" s="558" t="s">
        <v>2312</v>
      </c>
      <c r="D2689" s="556" t="s">
        <v>6078</v>
      </c>
      <c r="E2689" s="17" t="s">
        <v>6149</v>
      </c>
      <c r="F2689" s="17">
        <v>13</v>
      </c>
      <c r="G2689" s="17">
        <v>6</v>
      </c>
      <c r="H2689" s="17" t="s">
        <v>3462</v>
      </c>
      <c r="I2689" s="17"/>
      <c r="J2689" s="17"/>
      <c r="K2689" s="17"/>
      <c r="L2689" s="17"/>
      <c r="M2689" s="17"/>
      <c r="N2689" s="17"/>
      <c r="O2689" s="17"/>
      <c r="P2689" s="17"/>
      <c r="Q2689" s="17"/>
    </row>
    <row r="2690" spans="1:17">
      <c r="A2690" s="556" t="s">
        <v>2999</v>
      </c>
      <c r="B2690" s="557"/>
      <c r="C2690" s="558" t="s">
        <v>2312</v>
      </c>
      <c r="D2690" s="556" t="s">
        <v>6066</v>
      </c>
      <c r="E2690" s="17" t="s">
        <v>6150</v>
      </c>
      <c r="F2690" s="17">
        <v>13</v>
      </c>
      <c r="G2690" s="17">
        <v>7</v>
      </c>
      <c r="H2690" s="17" t="s">
        <v>7821</v>
      </c>
      <c r="I2690" s="17"/>
      <c r="J2690" s="17"/>
      <c r="K2690" s="17"/>
      <c r="L2690" s="17"/>
      <c r="M2690" s="17"/>
      <c r="N2690" s="17"/>
      <c r="O2690" s="17"/>
      <c r="P2690" s="17"/>
      <c r="Q2690" s="17"/>
    </row>
    <row r="2691" spans="1:17">
      <c r="A2691" s="556" t="s">
        <v>2999</v>
      </c>
      <c r="B2691" s="557"/>
      <c r="C2691" s="558" t="s">
        <v>2312</v>
      </c>
      <c r="D2691" s="556" t="s">
        <v>6068</v>
      </c>
      <c r="E2691" s="17" t="s">
        <v>6151</v>
      </c>
      <c r="F2691" s="17">
        <v>13</v>
      </c>
      <c r="G2691" s="17">
        <v>8</v>
      </c>
      <c r="H2691" s="17" t="s">
        <v>7881</v>
      </c>
      <c r="I2691" s="17">
        <v>0</v>
      </c>
      <c r="J2691" s="17"/>
      <c r="K2691" s="17"/>
      <c r="L2691" s="17"/>
      <c r="M2691" s="17"/>
      <c r="N2691" s="17"/>
      <c r="O2691" s="17"/>
      <c r="P2691" s="17"/>
      <c r="Q2691" s="17"/>
    </row>
    <row r="2692" spans="1:17">
      <c r="A2692" s="556" t="s">
        <v>2999</v>
      </c>
      <c r="B2692" s="557"/>
      <c r="C2692" s="558" t="s">
        <v>2313</v>
      </c>
      <c r="D2692" s="556" t="s">
        <v>6062</v>
      </c>
      <c r="E2692" s="17" t="s">
        <v>6152</v>
      </c>
      <c r="F2692" s="17">
        <v>14</v>
      </c>
      <c r="G2692" s="17">
        <v>1</v>
      </c>
      <c r="H2692" s="17" t="s">
        <v>7790</v>
      </c>
      <c r="I2692" s="17"/>
      <c r="J2692" s="17"/>
      <c r="K2692" s="17"/>
      <c r="L2692" s="17"/>
      <c r="M2692" s="17"/>
      <c r="N2692" s="17"/>
      <c r="O2692" s="17"/>
      <c r="P2692" s="17"/>
      <c r="Q2692" s="17"/>
    </row>
    <row r="2693" spans="1:17">
      <c r="A2693" s="556" t="s">
        <v>2999</v>
      </c>
      <c r="B2693" s="557"/>
      <c r="C2693" s="558" t="s">
        <v>2313</v>
      </c>
      <c r="D2693" s="556" t="s">
        <v>6073</v>
      </c>
      <c r="E2693" s="17" t="s">
        <v>6153</v>
      </c>
      <c r="F2693" s="17">
        <v>14</v>
      </c>
      <c r="G2693" s="17">
        <v>3</v>
      </c>
      <c r="H2693" s="17" t="s">
        <v>3387</v>
      </c>
      <c r="I2693" s="17"/>
      <c r="J2693" s="17"/>
      <c r="K2693" s="17"/>
      <c r="L2693" s="17"/>
      <c r="M2693" s="17"/>
      <c r="N2693" s="17"/>
      <c r="O2693" s="17"/>
      <c r="P2693" s="17"/>
      <c r="Q2693" s="17"/>
    </row>
    <row r="2694" spans="1:17">
      <c r="A2694" s="556" t="s">
        <v>2999</v>
      </c>
      <c r="B2694" s="557"/>
      <c r="C2694" s="558" t="s">
        <v>2313</v>
      </c>
      <c r="D2694" s="556" t="s">
        <v>6064</v>
      </c>
      <c r="E2694" s="17" t="s">
        <v>6154</v>
      </c>
      <c r="F2694" s="17">
        <v>14</v>
      </c>
      <c r="G2694" s="17">
        <v>4</v>
      </c>
      <c r="H2694" s="17" t="s">
        <v>3388</v>
      </c>
      <c r="I2694" s="17"/>
      <c r="J2694" s="17"/>
      <c r="K2694" s="17"/>
      <c r="L2694" s="17"/>
      <c r="M2694" s="17"/>
      <c r="N2694" s="17"/>
      <c r="O2694" s="17"/>
      <c r="P2694" s="17"/>
      <c r="Q2694" s="17"/>
    </row>
    <row r="2695" spans="1:17">
      <c r="A2695" s="556" t="s">
        <v>2999</v>
      </c>
      <c r="B2695" s="557"/>
      <c r="C2695" s="558" t="s">
        <v>2313</v>
      </c>
      <c r="D2695" s="556" t="s">
        <v>6078</v>
      </c>
      <c r="E2695" s="17" t="s">
        <v>6155</v>
      </c>
      <c r="F2695" s="17">
        <v>14</v>
      </c>
      <c r="G2695" s="17">
        <v>6</v>
      </c>
      <c r="H2695" s="17" t="s">
        <v>3463</v>
      </c>
      <c r="I2695" s="17"/>
      <c r="J2695" s="17"/>
      <c r="K2695" s="17"/>
      <c r="L2695" s="17"/>
      <c r="M2695" s="17"/>
      <c r="N2695" s="17"/>
      <c r="O2695" s="17"/>
      <c r="P2695" s="17"/>
      <c r="Q2695" s="17"/>
    </row>
    <row r="2696" spans="1:17">
      <c r="A2696" s="556" t="s">
        <v>2999</v>
      </c>
      <c r="B2696" s="557"/>
      <c r="C2696" s="558" t="s">
        <v>2313</v>
      </c>
      <c r="D2696" s="556" t="s">
        <v>6066</v>
      </c>
      <c r="E2696" s="17" t="s">
        <v>6156</v>
      </c>
      <c r="F2696" s="17">
        <v>14</v>
      </c>
      <c r="G2696" s="17">
        <v>7</v>
      </c>
      <c r="H2696" s="17" t="s">
        <v>7822</v>
      </c>
      <c r="I2696" s="17"/>
      <c r="J2696" s="17"/>
      <c r="K2696" s="17"/>
      <c r="L2696" s="17"/>
      <c r="M2696" s="17"/>
      <c r="N2696" s="17"/>
      <c r="O2696" s="17"/>
      <c r="P2696" s="17"/>
      <c r="Q2696" s="17"/>
    </row>
    <row r="2697" spans="1:17">
      <c r="A2697" s="556" t="s">
        <v>2999</v>
      </c>
      <c r="B2697" s="557"/>
      <c r="C2697" s="558" t="s">
        <v>2313</v>
      </c>
      <c r="D2697" s="556" t="s">
        <v>6068</v>
      </c>
      <c r="E2697" s="17" t="s">
        <v>6157</v>
      </c>
      <c r="F2697" s="17">
        <v>14</v>
      </c>
      <c r="G2697" s="17">
        <v>8</v>
      </c>
      <c r="H2697" s="17" t="s">
        <v>7883</v>
      </c>
      <c r="I2697" s="17">
        <v>0</v>
      </c>
      <c r="J2697" s="17"/>
      <c r="K2697" s="17"/>
      <c r="L2697" s="17"/>
      <c r="M2697" s="17"/>
      <c r="N2697" s="17"/>
      <c r="O2697" s="17"/>
      <c r="P2697" s="17"/>
      <c r="Q2697" s="17"/>
    </row>
    <row r="2698" spans="1:17">
      <c r="A2698" s="556" t="s">
        <v>2999</v>
      </c>
      <c r="B2698" s="557"/>
      <c r="C2698" s="558" t="s">
        <v>2314</v>
      </c>
      <c r="D2698" s="556" t="s">
        <v>6062</v>
      </c>
      <c r="E2698" s="17" t="s">
        <v>6158</v>
      </c>
      <c r="F2698" s="17">
        <v>15</v>
      </c>
      <c r="G2698" s="17">
        <v>1</v>
      </c>
      <c r="H2698" s="17" t="s">
        <v>7792</v>
      </c>
      <c r="I2698" s="17"/>
      <c r="J2698" s="17"/>
      <c r="K2698" s="17"/>
      <c r="L2698" s="17"/>
      <c r="M2698" s="17"/>
      <c r="N2698" s="17"/>
      <c r="O2698" s="17"/>
      <c r="P2698" s="17"/>
      <c r="Q2698" s="17"/>
    </row>
    <row r="2699" spans="1:17">
      <c r="A2699" s="556" t="s">
        <v>2999</v>
      </c>
      <c r="B2699" s="557"/>
      <c r="C2699" s="558" t="s">
        <v>2314</v>
      </c>
      <c r="D2699" s="556" t="s">
        <v>6071</v>
      </c>
      <c r="E2699" s="17" t="s">
        <v>6159</v>
      </c>
      <c r="F2699" s="17">
        <v>15</v>
      </c>
      <c r="G2699" s="17">
        <v>2</v>
      </c>
      <c r="H2699" s="17" t="s">
        <v>3390</v>
      </c>
      <c r="I2699" s="17"/>
      <c r="J2699" s="17"/>
      <c r="K2699" s="17"/>
      <c r="L2699" s="17"/>
      <c r="M2699" s="17"/>
      <c r="N2699" s="17"/>
      <c r="O2699" s="17"/>
      <c r="P2699" s="17"/>
      <c r="Q2699" s="17"/>
    </row>
    <row r="2700" spans="1:17">
      <c r="A2700" s="556" t="s">
        <v>2999</v>
      </c>
      <c r="B2700" s="557"/>
      <c r="C2700" s="558" t="s">
        <v>2314</v>
      </c>
      <c r="D2700" s="556" t="s">
        <v>6076</v>
      </c>
      <c r="E2700" s="17" t="s">
        <v>6160</v>
      </c>
      <c r="F2700" s="17">
        <v>15</v>
      </c>
      <c r="G2700" s="17">
        <v>5</v>
      </c>
      <c r="H2700" s="17" t="s">
        <v>3393</v>
      </c>
      <c r="I2700" s="17"/>
      <c r="J2700" s="17"/>
      <c r="K2700" s="17"/>
      <c r="L2700" s="17"/>
      <c r="M2700" s="17"/>
      <c r="N2700" s="17"/>
      <c r="O2700" s="17"/>
      <c r="P2700" s="17"/>
      <c r="Q2700" s="17"/>
    </row>
    <row r="2701" spans="1:17">
      <c r="A2701" s="556" t="s">
        <v>2999</v>
      </c>
      <c r="B2701" s="557"/>
      <c r="C2701" s="558" t="s">
        <v>2314</v>
      </c>
      <c r="D2701" s="556" t="s">
        <v>6068</v>
      </c>
      <c r="E2701" s="17" t="s">
        <v>6161</v>
      </c>
      <c r="F2701" s="17">
        <v>15</v>
      </c>
      <c r="G2701" s="17">
        <v>8</v>
      </c>
      <c r="H2701" s="17" t="s">
        <v>7885</v>
      </c>
      <c r="I2701" s="17">
        <v>0</v>
      </c>
      <c r="J2701" s="17"/>
      <c r="K2701" s="17"/>
      <c r="L2701" s="17"/>
      <c r="M2701" s="17"/>
      <c r="N2701" s="17"/>
      <c r="O2701" s="17"/>
      <c r="P2701" s="17"/>
      <c r="Q2701" s="17"/>
    </row>
    <row r="2702" spans="1:17">
      <c r="A2702" s="556" t="s">
        <v>2999</v>
      </c>
      <c r="B2702" s="557"/>
      <c r="C2702" s="558" t="s">
        <v>6162</v>
      </c>
      <c r="D2702" s="556" t="s">
        <v>6062</v>
      </c>
      <c r="E2702" s="17" t="s">
        <v>6163</v>
      </c>
      <c r="F2702" s="17">
        <v>16</v>
      </c>
      <c r="G2702" s="17">
        <v>1</v>
      </c>
      <c r="H2702" s="17" t="s">
        <v>7794</v>
      </c>
      <c r="I2702" s="17"/>
      <c r="J2702" s="17"/>
      <c r="K2702" s="17"/>
      <c r="L2702" s="17"/>
      <c r="M2702" s="17"/>
      <c r="N2702" s="17"/>
      <c r="O2702" s="17"/>
      <c r="P2702" s="17"/>
      <c r="Q2702" s="17"/>
    </row>
    <row r="2703" spans="1:17">
      <c r="A2703" s="556" t="s">
        <v>2999</v>
      </c>
      <c r="B2703" s="557"/>
      <c r="C2703" s="558" t="s">
        <v>6162</v>
      </c>
      <c r="D2703" s="556" t="s">
        <v>6064</v>
      </c>
      <c r="E2703" s="17" t="s">
        <v>6164</v>
      </c>
      <c r="F2703" s="17">
        <v>16</v>
      </c>
      <c r="G2703" s="17">
        <v>4</v>
      </c>
      <c r="H2703" s="17" t="s">
        <v>3396</v>
      </c>
      <c r="I2703" s="17"/>
      <c r="J2703" s="17"/>
      <c r="K2703" s="17"/>
      <c r="L2703" s="17"/>
      <c r="M2703" s="17"/>
      <c r="N2703" s="17"/>
      <c r="O2703" s="17"/>
      <c r="P2703" s="17"/>
      <c r="Q2703" s="17"/>
    </row>
    <row r="2704" spans="1:17">
      <c r="A2704" s="556" t="s">
        <v>2999</v>
      </c>
      <c r="B2704" s="557"/>
      <c r="C2704" s="558" t="s">
        <v>6162</v>
      </c>
      <c r="D2704" s="556" t="s">
        <v>6066</v>
      </c>
      <c r="E2704" s="17" t="s">
        <v>6165</v>
      </c>
      <c r="F2704" s="17">
        <v>16</v>
      </c>
      <c r="G2704" s="17">
        <v>7</v>
      </c>
      <c r="H2704" s="17" t="s">
        <v>7832</v>
      </c>
      <c r="I2704" s="17"/>
      <c r="J2704" s="17"/>
      <c r="K2704" s="17"/>
      <c r="L2704" s="17"/>
      <c r="M2704" s="17"/>
      <c r="N2704" s="17"/>
      <c r="O2704" s="17"/>
      <c r="P2704" s="17"/>
      <c r="Q2704" s="17"/>
    </row>
    <row r="2705" spans="1:17">
      <c r="A2705" s="556" t="s">
        <v>2999</v>
      </c>
      <c r="B2705" s="557"/>
      <c r="C2705" s="558" t="s">
        <v>6162</v>
      </c>
      <c r="D2705" s="556" t="s">
        <v>6068</v>
      </c>
      <c r="E2705" s="17" t="s">
        <v>6166</v>
      </c>
      <c r="F2705" s="17">
        <v>16</v>
      </c>
      <c r="G2705" s="17">
        <v>8</v>
      </c>
      <c r="H2705" s="17" t="s">
        <v>7887</v>
      </c>
      <c r="I2705" s="17">
        <v>0</v>
      </c>
      <c r="J2705" s="17"/>
      <c r="K2705" s="17"/>
      <c r="L2705" s="17"/>
      <c r="M2705" s="17"/>
      <c r="N2705" s="17"/>
      <c r="O2705" s="17"/>
      <c r="P2705" s="17"/>
      <c r="Q2705" s="17"/>
    </row>
    <row r="2706" spans="1:17">
      <c r="A2706" s="556" t="s">
        <v>2999</v>
      </c>
      <c r="B2706" s="557"/>
      <c r="C2706" s="558" t="s">
        <v>2316</v>
      </c>
      <c r="D2706" s="556" t="s">
        <v>6062</v>
      </c>
      <c r="E2706" s="17" t="s">
        <v>6167</v>
      </c>
      <c r="F2706" s="17">
        <v>17</v>
      </c>
      <c r="G2706" s="17">
        <v>1</v>
      </c>
      <c r="H2706" s="17" t="s">
        <v>7796</v>
      </c>
      <c r="I2706" s="17"/>
      <c r="J2706" s="17"/>
      <c r="K2706" s="17"/>
      <c r="L2706" s="17"/>
      <c r="M2706" s="17"/>
      <c r="N2706" s="17"/>
      <c r="O2706" s="17"/>
      <c r="P2706" s="17"/>
      <c r="Q2706" s="17"/>
    </row>
    <row r="2707" spans="1:17">
      <c r="A2707" s="556" t="s">
        <v>2999</v>
      </c>
      <c r="B2707" s="557"/>
      <c r="C2707" s="558" t="s">
        <v>2316</v>
      </c>
      <c r="D2707" s="556" t="s">
        <v>6073</v>
      </c>
      <c r="E2707" s="17" t="s">
        <v>6168</v>
      </c>
      <c r="F2707" s="17">
        <v>17</v>
      </c>
      <c r="G2707" s="17">
        <v>3</v>
      </c>
      <c r="H2707" s="17" t="s">
        <v>3399</v>
      </c>
      <c r="I2707" s="17"/>
      <c r="J2707" s="17"/>
      <c r="K2707" s="17"/>
      <c r="L2707" s="17"/>
      <c r="M2707" s="17"/>
      <c r="N2707" s="17"/>
      <c r="O2707" s="17"/>
      <c r="P2707" s="17"/>
      <c r="Q2707" s="17"/>
    </row>
    <row r="2708" spans="1:17">
      <c r="A2708" s="556" t="s">
        <v>2999</v>
      </c>
      <c r="B2708" s="557"/>
      <c r="C2708" s="558" t="s">
        <v>2316</v>
      </c>
      <c r="D2708" s="556" t="s">
        <v>6078</v>
      </c>
      <c r="E2708" s="17" t="s">
        <v>6169</v>
      </c>
      <c r="F2708" s="17">
        <v>17</v>
      </c>
      <c r="G2708" s="17">
        <v>6</v>
      </c>
      <c r="H2708" s="17" t="s">
        <v>3466</v>
      </c>
      <c r="I2708" s="17"/>
      <c r="J2708" s="17"/>
      <c r="K2708" s="17"/>
      <c r="L2708" s="17"/>
      <c r="M2708" s="17"/>
      <c r="N2708" s="17"/>
      <c r="O2708" s="17"/>
      <c r="P2708" s="17"/>
      <c r="Q2708" s="17"/>
    </row>
    <row r="2709" spans="1:17">
      <c r="A2709" s="556" t="s">
        <v>2999</v>
      </c>
      <c r="B2709" s="557"/>
      <c r="C2709" s="558" t="s">
        <v>2316</v>
      </c>
      <c r="D2709" s="556" t="s">
        <v>6068</v>
      </c>
      <c r="E2709" s="17" t="s">
        <v>6170</v>
      </c>
      <c r="F2709" s="17">
        <v>17</v>
      </c>
      <c r="G2709" s="17">
        <v>8</v>
      </c>
      <c r="H2709" s="17" t="s">
        <v>7889</v>
      </c>
      <c r="I2709" s="17">
        <v>0</v>
      </c>
      <c r="J2709" s="17"/>
      <c r="K2709" s="17"/>
      <c r="L2709" s="17"/>
      <c r="M2709" s="17"/>
      <c r="N2709" s="17"/>
      <c r="O2709" s="17"/>
      <c r="P2709" s="17"/>
      <c r="Q2709" s="17"/>
    </row>
    <row r="2710" spans="1:17">
      <c r="A2710" s="556" t="s">
        <v>2999</v>
      </c>
      <c r="B2710" s="557"/>
      <c r="C2710" s="558" t="s">
        <v>2317</v>
      </c>
      <c r="D2710" s="556" t="s">
        <v>6062</v>
      </c>
      <c r="E2710" s="17" t="s">
        <v>6171</v>
      </c>
      <c r="F2710" s="17">
        <v>18</v>
      </c>
      <c r="G2710" s="17">
        <v>1</v>
      </c>
      <c r="H2710" s="17" t="s">
        <v>7798</v>
      </c>
      <c r="I2710" s="17">
        <v>0</v>
      </c>
      <c r="J2710" s="17"/>
      <c r="K2710" s="17"/>
      <c r="L2710" s="17"/>
      <c r="M2710" s="17"/>
      <c r="N2710" s="17"/>
      <c r="O2710" s="17"/>
      <c r="P2710" s="17"/>
      <c r="Q2710" s="17"/>
    </row>
    <row r="2711" spans="1:17">
      <c r="A2711" s="556" t="s">
        <v>2999</v>
      </c>
      <c r="B2711" s="557"/>
      <c r="C2711" s="558" t="s">
        <v>2317</v>
      </c>
      <c r="D2711" s="556" t="s">
        <v>6071</v>
      </c>
      <c r="E2711" s="17" t="s">
        <v>6172</v>
      </c>
      <c r="F2711" s="17">
        <v>18</v>
      </c>
      <c r="G2711" s="17">
        <v>2</v>
      </c>
      <c r="H2711" s="17" t="s">
        <v>3402</v>
      </c>
      <c r="I2711" s="17">
        <v>0</v>
      </c>
      <c r="J2711" s="17"/>
      <c r="K2711" s="17"/>
      <c r="L2711" s="17"/>
      <c r="M2711" s="17"/>
      <c r="N2711" s="17"/>
      <c r="O2711" s="17"/>
      <c r="P2711" s="17"/>
      <c r="Q2711" s="17"/>
    </row>
    <row r="2712" spans="1:17">
      <c r="A2712" s="556" t="s">
        <v>2999</v>
      </c>
      <c r="B2712" s="557"/>
      <c r="C2712" s="558" t="s">
        <v>2317</v>
      </c>
      <c r="D2712" s="556" t="s">
        <v>6073</v>
      </c>
      <c r="E2712" s="17" t="s">
        <v>6173</v>
      </c>
      <c r="F2712" s="17">
        <v>18</v>
      </c>
      <c r="G2712" s="17">
        <v>3</v>
      </c>
      <c r="H2712" s="17" t="s">
        <v>3403</v>
      </c>
      <c r="I2712" s="17">
        <v>0</v>
      </c>
      <c r="J2712" s="17"/>
      <c r="K2712" s="17"/>
      <c r="L2712" s="17"/>
      <c r="M2712" s="17"/>
      <c r="N2712" s="17"/>
      <c r="O2712" s="17"/>
      <c r="P2712" s="17"/>
      <c r="Q2712" s="17"/>
    </row>
    <row r="2713" spans="1:17">
      <c r="A2713" s="556" t="s">
        <v>2999</v>
      </c>
      <c r="B2713" s="557"/>
      <c r="C2713" s="558" t="s">
        <v>2317</v>
      </c>
      <c r="D2713" s="556" t="s">
        <v>6064</v>
      </c>
      <c r="E2713" s="17" t="s">
        <v>6174</v>
      </c>
      <c r="F2713" s="17">
        <v>18</v>
      </c>
      <c r="G2713" s="17">
        <v>4</v>
      </c>
      <c r="H2713" s="17" t="s">
        <v>3404</v>
      </c>
      <c r="I2713" s="17">
        <v>0</v>
      </c>
      <c r="J2713" s="17"/>
      <c r="K2713" s="17"/>
      <c r="L2713" s="17"/>
      <c r="M2713" s="17"/>
      <c r="N2713" s="17"/>
      <c r="O2713" s="17"/>
      <c r="P2713" s="17"/>
      <c r="Q2713" s="17"/>
    </row>
    <row r="2714" spans="1:17">
      <c r="A2714" s="556" t="s">
        <v>2999</v>
      </c>
      <c r="B2714" s="557"/>
      <c r="C2714" s="558" t="s">
        <v>2317</v>
      </c>
      <c r="D2714" s="556" t="s">
        <v>6076</v>
      </c>
      <c r="E2714" s="17" t="s">
        <v>6175</v>
      </c>
      <c r="F2714" s="17">
        <v>18</v>
      </c>
      <c r="G2714" s="17">
        <v>5</v>
      </c>
      <c r="H2714" s="17" t="s">
        <v>3405</v>
      </c>
      <c r="I2714" s="17">
        <v>0</v>
      </c>
      <c r="J2714" s="17"/>
      <c r="K2714" s="17"/>
      <c r="L2714" s="17"/>
      <c r="M2714" s="17"/>
      <c r="N2714" s="17"/>
      <c r="O2714" s="17"/>
      <c r="P2714" s="17"/>
      <c r="Q2714" s="17"/>
    </row>
    <row r="2715" spans="1:17">
      <c r="A2715" s="556" t="s">
        <v>2999</v>
      </c>
      <c r="B2715" s="557"/>
      <c r="C2715" s="558" t="s">
        <v>2317</v>
      </c>
      <c r="D2715" s="556" t="s">
        <v>6078</v>
      </c>
      <c r="E2715" s="17" t="s">
        <v>6176</v>
      </c>
      <c r="F2715" s="17">
        <v>18</v>
      </c>
      <c r="G2715" s="17">
        <v>6</v>
      </c>
      <c r="H2715" s="17" t="s">
        <v>3467</v>
      </c>
      <c r="I2715" s="17">
        <v>0</v>
      </c>
      <c r="J2715" s="17"/>
      <c r="K2715" s="17"/>
      <c r="L2715" s="17"/>
      <c r="M2715" s="17"/>
      <c r="N2715" s="17"/>
      <c r="O2715" s="17"/>
      <c r="P2715" s="17"/>
      <c r="Q2715" s="17"/>
    </row>
    <row r="2716" spans="1:17">
      <c r="A2716" s="556" t="s">
        <v>2999</v>
      </c>
      <c r="B2716" s="557"/>
      <c r="C2716" s="558" t="s">
        <v>2317</v>
      </c>
      <c r="D2716" s="556" t="s">
        <v>6066</v>
      </c>
      <c r="E2716" s="17" t="s">
        <v>6177</v>
      </c>
      <c r="F2716" s="17">
        <v>18</v>
      </c>
      <c r="G2716" s="17">
        <v>7</v>
      </c>
      <c r="H2716" s="17" t="s">
        <v>7834</v>
      </c>
      <c r="I2716" s="17">
        <v>0</v>
      </c>
      <c r="J2716" s="17"/>
      <c r="K2716" s="17"/>
      <c r="L2716" s="17"/>
      <c r="M2716" s="17"/>
      <c r="N2716" s="17"/>
      <c r="O2716" s="17"/>
      <c r="P2716" s="17"/>
      <c r="Q2716" s="17"/>
    </row>
    <row r="2717" spans="1:17">
      <c r="A2717" s="556" t="s">
        <v>2999</v>
      </c>
      <c r="B2717" s="557"/>
      <c r="C2717" s="558" t="s">
        <v>2317</v>
      </c>
      <c r="D2717" s="556" t="s">
        <v>6068</v>
      </c>
      <c r="E2717" s="17" t="s">
        <v>6178</v>
      </c>
      <c r="F2717" s="17">
        <v>18</v>
      </c>
      <c r="G2717" s="17">
        <v>8</v>
      </c>
      <c r="H2717" s="17" t="s">
        <v>7891</v>
      </c>
      <c r="I2717" s="17">
        <v>0</v>
      </c>
      <c r="J2717" s="17"/>
      <c r="K2717" s="17"/>
      <c r="L2717" s="17"/>
      <c r="M2717" s="17"/>
      <c r="N2717" s="17"/>
      <c r="O2717" s="17"/>
      <c r="P2717" s="17"/>
      <c r="Q2717" s="17"/>
    </row>
    <row r="2718" spans="1:17">
      <c r="A2718" s="556" t="s">
        <v>2999</v>
      </c>
      <c r="B2718" s="557"/>
      <c r="C2718" s="558" t="s">
        <v>2318</v>
      </c>
      <c r="D2718" s="556" t="s">
        <v>6062</v>
      </c>
      <c r="E2718" s="17" t="s">
        <v>6179</v>
      </c>
      <c r="F2718" s="17">
        <v>19</v>
      </c>
      <c r="G2718" s="17">
        <v>1</v>
      </c>
      <c r="H2718" s="17" t="s">
        <v>7800</v>
      </c>
      <c r="I2718" s="17">
        <v>0</v>
      </c>
      <c r="J2718" s="17"/>
      <c r="K2718" s="17"/>
      <c r="L2718" s="17"/>
      <c r="M2718" s="17"/>
      <c r="N2718" s="17"/>
      <c r="O2718" s="17"/>
      <c r="P2718" s="17"/>
      <c r="Q2718" s="17"/>
    </row>
    <row r="2719" spans="1:17">
      <c r="A2719" s="556" t="s">
        <v>2999</v>
      </c>
      <c r="B2719" s="557"/>
      <c r="C2719" s="558" t="s">
        <v>2318</v>
      </c>
      <c r="D2719" s="556" t="s">
        <v>6071</v>
      </c>
      <c r="E2719" s="17" t="s">
        <v>6180</v>
      </c>
      <c r="F2719" s="17">
        <v>19</v>
      </c>
      <c r="G2719" s="17">
        <v>2</v>
      </c>
      <c r="H2719" s="17" t="s">
        <v>3406</v>
      </c>
      <c r="I2719" s="17">
        <v>0</v>
      </c>
      <c r="J2719" s="17"/>
      <c r="K2719" s="17"/>
      <c r="L2719" s="17"/>
      <c r="M2719" s="17"/>
      <c r="N2719" s="17"/>
      <c r="O2719" s="17"/>
      <c r="P2719" s="17"/>
      <c r="Q2719" s="17"/>
    </row>
    <row r="2720" spans="1:17">
      <c r="A2720" s="556" t="s">
        <v>2999</v>
      </c>
      <c r="B2720" s="557"/>
      <c r="C2720" s="558" t="s">
        <v>2318</v>
      </c>
      <c r="D2720" s="556" t="s">
        <v>6073</v>
      </c>
      <c r="E2720" s="17" t="s">
        <v>6181</v>
      </c>
      <c r="F2720" s="17">
        <v>19</v>
      </c>
      <c r="G2720" s="17">
        <v>3</v>
      </c>
      <c r="H2720" s="17" t="s">
        <v>3407</v>
      </c>
      <c r="I2720" s="17">
        <v>0</v>
      </c>
      <c r="J2720" s="17"/>
      <c r="K2720" s="17"/>
      <c r="L2720" s="17"/>
      <c r="M2720" s="17"/>
      <c r="N2720" s="17"/>
      <c r="O2720" s="17"/>
      <c r="P2720" s="17"/>
      <c r="Q2720" s="17"/>
    </row>
    <row r="2721" spans="1:17">
      <c r="A2721" s="556" t="s">
        <v>2999</v>
      </c>
      <c r="B2721" s="557"/>
      <c r="C2721" s="558" t="s">
        <v>2318</v>
      </c>
      <c r="D2721" s="556" t="s">
        <v>6064</v>
      </c>
      <c r="E2721" s="17" t="s">
        <v>6182</v>
      </c>
      <c r="F2721" s="17">
        <v>19</v>
      </c>
      <c r="G2721" s="17">
        <v>4</v>
      </c>
      <c r="H2721" s="17" t="s">
        <v>3408</v>
      </c>
      <c r="I2721" s="17">
        <v>0</v>
      </c>
      <c r="J2721" s="17"/>
      <c r="K2721" s="17"/>
      <c r="L2721" s="17"/>
      <c r="M2721" s="17"/>
      <c r="N2721" s="17"/>
      <c r="O2721" s="17"/>
      <c r="P2721" s="17"/>
      <c r="Q2721" s="17"/>
    </row>
    <row r="2722" spans="1:17">
      <c r="A2722" s="556" t="s">
        <v>2999</v>
      </c>
      <c r="B2722" s="557"/>
      <c r="C2722" s="558" t="s">
        <v>2318</v>
      </c>
      <c r="D2722" s="556" t="s">
        <v>6076</v>
      </c>
      <c r="E2722" s="17" t="s">
        <v>6183</v>
      </c>
      <c r="F2722" s="17">
        <v>19</v>
      </c>
      <c r="G2722" s="17">
        <v>5</v>
      </c>
      <c r="H2722" s="17" t="s">
        <v>3409</v>
      </c>
      <c r="I2722" s="17">
        <v>0</v>
      </c>
      <c r="J2722" s="17"/>
      <c r="K2722" s="17"/>
      <c r="L2722" s="17"/>
      <c r="M2722" s="17"/>
      <c r="N2722" s="17"/>
      <c r="O2722" s="17"/>
      <c r="P2722" s="17"/>
      <c r="Q2722" s="17"/>
    </row>
    <row r="2723" spans="1:17">
      <c r="A2723" s="556" t="s">
        <v>2999</v>
      </c>
      <c r="B2723" s="557"/>
      <c r="C2723" s="558" t="s">
        <v>2318</v>
      </c>
      <c r="D2723" s="556" t="s">
        <v>6078</v>
      </c>
      <c r="E2723" s="17" t="s">
        <v>6184</v>
      </c>
      <c r="F2723" s="17">
        <v>19</v>
      </c>
      <c r="G2723" s="17">
        <v>6</v>
      </c>
      <c r="H2723" s="17" t="s">
        <v>3468</v>
      </c>
      <c r="I2723" s="17">
        <v>0</v>
      </c>
      <c r="J2723" s="17"/>
      <c r="K2723" s="17"/>
      <c r="L2723" s="17"/>
      <c r="M2723" s="17"/>
      <c r="N2723" s="17"/>
      <c r="O2723" s="17"/>
      <c r="P2723" s="17"/>
      <c r="Q2723" s="17"/>
    </row>
    <row r="2724" spans="1:17">
      <c r="A2724" s="556" t="s">
        <v>2999</v>
      </c>
      <c r="B2724" s="557"/>
      <c r="C2724" s="558" t="s">
        <v>2318</v>
      </c>
      <c r="D2724" s="556" t="s">
        <v>6066</v>
      </c>
      <c r="E2724" s="17" t="s">
        <v>6185</v>
      </c>
      <c r="F2724" s="17">
        <v>19</v>
      </c>
      <c r="G2724" s="17">
        <v>7</v>
      </c>
      <c r="H2724" s="17" t="s">
        <v>7835</v>
      </c>
      <c r="I2724" s="17">
        <v>0</v>
      </c>
      <c r="J2724" s="17"/>
      <c r="K2724" s="17"/>
      <c r="L2724" s="17"/>
      <c r="M2724" s="17"/>
      <c r="N2724" s="17"/>
      <c r="O2724" s="17"/>
      <c r="P2724" s="17"/>
      <c r="Q2724" s="17"/>
    </row>
    <row r="2725" spans="1:17">
      <c r="A2725" s="556" t="s">
        <v>2999</v>
      </c>
      <c r="B2725" s="557"/>
      <c r="C2725" s="558" t="s">
        <v>2318</v>
      </c>
      <c r="D2725" s="556" t="s">
        <v>6068</v>
      </c>
      <c r="E2725" s="17" t="s">
        <v>6186</v>
      </c>
      <c r="F2725" s="17">
        <v>19</v>
      </c>
      <c r="G2725" s="17">
        <v>8</v>
      </c>
      <c r="H2725" s="17" t="s">
        <v>7900</v>
      </c>
      <c r="I2725" s="17">
        <v>0</v>
      </c>
      <c r="J2725" s="17"/>
      <c r="K2725" s="17"/>
      <c r="L2725" s="17"/>
      <c r="M2725" s="17"/>
      <c r="N2725" s="17"/>
      <c r="O2725" s="17"/>
      <c r="P2725" s="17"/>
      <c r="Q2725" s="17"/>
    </row>
    <row r="2726" spans="1:17">
      <c r="A2726" s="556" t="s">
        <v>3637</v>
      </c>
      <c r="B2726" s="557"/>
      <c r="C2726" s="558" t="s">
        <v>2322</v>
      </c>
      <c r="D2726" s="556" t="s">
        <v>1693</v>
      </c>
      <c r="E2726" s="17" t="s">
        <v>6187</v>
      </c>
      <c r="F2726" s="17">
        <v>1</v>
      </c>
      <c r="G2726" s="17">
        <v>1</v>
      </c>
      <c r="H2726" s="17" t="s">
        <v>3692</v>
      </c>
      <c r="I2726" s="17"/>
      <c r="J2726" s="17"/>
      <c r="K2726" s="17"/>
      <c r="L2726" s="17"/>
      <c r="M2726" s="17"/>
      <c r="N2726" s="17"/>
      <c r="O2726" s="17"/>
      <c r="P2726" s="17"/>
      <c r="Q2726" s="17"/>
    </row>
    <row r="2727" spans="1:17">
      <c r="A2727" s="556" t="s">
        <v>3637</v>
      </c>
      <c r="B2727" s="557"/>
      <c r="C2727" s="558" t="s">
        <v>2322</v>
      </c>
      <c r="D2727" s="556" t="s">
        <v>1694</v>
      </c>
      <c r="E2727" s="17" t="s">
        <v>6188</v>
      </c>
      <c r="F2727" s="17">
        <v>1</v>
      </c>
      <c r="G2727" s="17">
        <v>2</v>
      </c>
      <c r="H2727" s="17" t="s">
        <v>3701</v>
      </c>
      <c r="I2727" s="17"/>
      <c r="J2727" s="17"/>
      <c r="K2727" s="17"/>
      <c r="L2727" s="17"/>
      <c r="M2727" s="17"/>
      <c r="N2727" s="17"/>
      <c r="O2727" s="17"/>
      <c r="P2727" s="17"/>
      <c r="Q2727" s="17"/>
    </row>
    <row r="2728" spans="1:17">
      <c r="A2728" s="556" t="s">
        <v>3637</v>
      </c>
      <c r="B2728" s="557"/>
      <c r="C2728" s="558" t="s">
        <v>2322</v>
      </c>
      <c r="D2728" s="556" t="s">
        <v>4324</v>
      </c>
      <c r="E2728" s="17" t="s">
        <v>6189</v>
      </c>
      <c r="F2728" s="17">
        <v>1</v>
      </c>
      <c r="G2728" s="17">
        <v>3</v>
      </c>
      <c r="H2728" s="17" t="s">
        <v>3714</v>
      </c>
      <c r="I2728" s="17"/>
      <c r="J2728" s="17"/>
      <c r="K2728" s="17"/>
      <c r="L2728" s="17"/>
      <c r="M2728" s="17"/>
      <c r="N2728" s="17"/>
      <c r="O2728" s="17"/>
      <c r="P2728" s="17"/>
      <c r="Q2728" s="17"/>
    </row>
    <row r="2729" spans="1:17">
      <c r="A2729" s="556" t="s">
        <v>3637</v>
      </c>
      <c r="B2729" s="557"/>
      <c r="C2729" s="558" t="s">
        <v>2323</v>
      </c>
      <c r="D2729" s="556" t="s">
        <v>1693</v>
      </c>
      <c r="E2729" s="17" t="s">
        <v>6190</v>
      </c>
      <c r="F2729" s="17">
        <v>2</v>
      </c>
      <c r="G2729" s="17">
        <v>1</v>
      </c>
      <c r="H2729" s="17" t="s">
        <v>3518</v>
      </c>
      <c r="I2729" s="17"/>
      <c r="J2729" s="17"/>
      <c r="K2729" s="17"/>
      <c r="L2729" s="17"/>
      <c r="M2729" s="17"/>
      <c r="N2729" s="17"/>
      <c r="O2729" s="17"/>
      <c r="P2729" s="17"/>
      <c r="Q2729" s="17"/>
    </row>
    <row r="2730" spans="1:17">
      <c r="A2730" s="556" t="s">
        <v>3637</v>
      </c>
      <c r="B2730" s="557"/>
      <c r="C2730" s="558" t="s">
        <v>2323</v>
      </c>
      <c r="D2730" s="556" t="s">
        <v>1694</v>
      </c>
      <c r="E2730" s="17" t="s">
        <v>6191</v>
      </c>
      <c r="F2730" s="17">
        <v>2</v>
      </c>
      <c r="G2730" s="17">
        <v>2</v>
      </c>
      <c r="H2730" s="17" t="s">
        <v>3519</v>
      </c>
      <c r="I2730" s="17"/>
      <c r="J2730" s="17"/>
      <c r="K2730" s="17"/>
      <c r="L2730" s="17"/>
      <c r="M2730" s="17"/>
      <c r="N2730" s="17"/>
      <c r="O2730" s="17"/>
      <c r="P2730" s="17"/>
      <c r="Q2730" s="17"/>
    </row>
    <row r="2731" spans="1:17">
      <c r="A2731" s="556" t="s">
        <v>3637</v>
      </c>
      <c r="B2731" s="557"/>
      <c r="C2731" s="558" t="s">
        <v>2323</v>
      </c>
      <c r="D2731" s="556" t="s">
        <v>4324</v>
      </c>
      <c r="E2731" s="17" t="s">
        <v>6192</v>
      </c>
      <c r="F2731" s="17">
        <v>2</v>
      </c>
      <c r="G2731" s="17">
        <v>3</v>
      </c>
      <c r="H2731" s="17" t="s">
        <v>3520</v>
      </c>
      <c r="I2731" s="17"/>
      <c r="J2731" s="17"/>
      <c r="K2731" s="17"/>
      <c r="L2731" s="17"/>
      <c r="M2731" s="17"/>
      <c r="N2731" s="17"/>
      <c r="O2731" s="17"/>
      <c r="P2731" s="17"/>
      <c r="Q2731" s="17"/>
    </row>
    <row r="2732" spans="1:17">
      <c r="A2732" s="556" t="s">
        <v>3637</v>
      </c>
      <c r="B2732" s="557"/>
      <c r="C2732" s="558" t="s">
        <v>2324</v>
      </c>
      <c r="D2732" s="556" t="s">
        <v>1693</v>
      </c>
      <c r="E2732" s="17" t="s">
        <v>6193</v>
      </c>
      <c r="F2732" s="17">
        <v>3</v>
      </c>
      <c r="G2732" s="17">
        <v>1</v>
      </c>
      <c r="H2732" s="17" t="s">
        <v>2990</v>
      </c>
      <c r="I2732" s="17"/>
      <c r="J2732" s="17"/>
      <c r="K2732" s="17"/>
      <c r="L2732" s="17"/>
      <c r="M2732" s="17"/>
      <c r="N2732" s="17"/>
      <c r="O2732" s="17"/>
      <c r="P2732" s="17"/>
      <c r="Q2732" s="17"/>
    </row>
    <row r="2733" spans="1:17">
      <c r="A2733" s="556" t="s">
        <v>3637</v>
      </c>
      <c r="B2733" s="557"/>
      <c r="C2733" s="558" t="s">
        <v>2324</v>
      </c>
      <c r="D2733" s="556" t="s">
        <v>1694</v>
      </c>
      <c r="E2733" s="17" t="s">
        <v>6194</v>
      </c>
      <c r="F2733" s="17">
        <v>3</v>
      </c>
      <c r="G2733" s="17">
        <v>2</v>
      </c>
      <c r="H2733" s="17" t="s">
        <v>3338</v>
      </c>
      <c r="I2733" s="17"/>
      <c r="J2733" s="17"/>
      <c r="K2733" s="17"/>
      <c r="L2733" s="17"/>
      <c r="M2733" s="17"/>
      <c r="N2733" s="17"/>
      <c r="O2733" s="17"/>
      <c r="P2733" s="17"/>
      <c r="Q2733" s="17"/>
    </row>
    <row r="2734" spans="1:17">
      <c r="A2734" s="556" t="s">
        <v>3637</v>
      </c>
      <c r="B2734" s="557"/>
      <c r="C2734" s="558" t="s">
        <v>2324</v>
      </c>
      <c r="D2734" s="556" t="s">
        <v>4324</v>
      </c>
      <c r="E2734" s="17" t="s">
        <v>6195</v>
      </c>
      <c r="F2734" s="17">
        <v>3</v>
      </c>
      <c r="G2734" s="17">
        <v>3</v>
      </c>
      <c r="H2734" s="17" t="s">
        <v>2991</v>
      </c>
      <c r="I2734" s="17"/>
      <c r="J2734" s="17"/>
      <c r="K2734" s="17"/>
      <c r="L2734" s="17"/>
      <c r="M2734" s="17"/>
      <c r="N2734" s="17"/>
      <c r="O2734" s="17"/>
      <c r="P2734" s="17"/>
      <c r="Q2734" s="17"/>
    </row>
    <row r="2735" spans="1:17">
      <c r="A2735" s="556" t="s">
        <v>3637</v>
      </c>
      <c r="B2735" s="557"/>
      <c r="C2735" s="558" t="s">
        <v>2325</v>
      </c>
      <c r="D2735" s="556" t="s">
        <v>1693</v>
      </c>
      <c r="E2735" s="17" t="s">
        <v>6196</v>
      </c>
      <c r="F2735" s="17">
        <v>4</v>
      </c>
      <c r="G2735" s="17">
        <v>1</v>
      </c>
      <c r="H2735" s="17" t="s">
        <v>3339</v>
      </c>
      <c r="I2735" s="17"/>
      <c r="J2735" s="17"/>
      <c r="K2735" s="17"/>
      <c r="L2735" s="17"/>
      <c r="M2735" s="17"/>
      <c r="N2735" s="17"/>
      <c r="O2735" s="17"/>
      <c r="P2735" s="17"/>
      <c r="Q2735" s="17"/>
    </row>
    <row r="2736" spans="1:17">
      <c r="A2736" s="556" t="s">
        <v>3637</v>
      </c>
      <c r="B2736" s="557"/>
      <c r="C2736" s="558" t="s">
        <v>2325</v>
      </c>
      <c r="D2736" s="556" t="s">
        <v>1694</v>
      </c>
      <c r="E2736" s="17" t="s">
        <v>6197</v>
      </c>
      <c r="F2736" s="17">
        <v>4</v>
      </c>
      <c r="G2736" s="17">
        <v>2</v>
      </c>
      <c r="H2736" s="17" t="s">
        <v>3340</v>
      </c>
      <c r="I2736" s="17"/>
      <c r="J2736" s="17"/>
      <c r="K2736" s="17"/>
      <c r="L2736" s="17"/>
      <c r="M2736" s="17"/>
      <c r="N2736" s="17"/>
      <c r="O2736" s="17"/>
      <c r="P2736" s="17"/>
      <c r="Q2736" s="17"/>
    </row>
    <row r="2737" spans="1:17">
      <c r="A2737" s="556" t="s">
        <v>3637</v>
      </c>
      <c r="B2737" s="557"/>
      <c r="C2737" s="558" t="s">
        <v>2325</v>
      </c>
      <c r="D2737" s="556" t="s">
        <v>4324</v>
      </c>
      <c r="E2737" s="17" t="s">
        <v>6198</v>
      </c>
      <c r="F2737" s="17">
        <v>4</v>
      </c>
      <c r="G2737" s="17">
        <v>3</v>
      </c>
      <c r="H2737" s="17" t="s">
        <v>3341</v>
      </c>
      <c r="I2737" s="17"/>
      <c r="J2737" s="17"/>
      <c r="K2737" s="17"/>
      <c r="L2737" s="17"/>
      <c r="M2737" s="17"/>
      <c r="N2737" s="17"/>
      <c r="O2737" s="17"/>
      <c r="P2737" s="17"/>
      <c r="Q2737" s="17"/>
    </row>
    <row r="2738" spans="1:17">
      <c r="A2738" s="556" t="s">
        <v>3637</v>
      </c>
      <c r="B2738" s="557"/>
      <c r="C2738" s="558" t="s">
        <v>2326</v>
      </c>
      <c r="D2738" s="556" t="s">
        <v>1693</v>
      </c>
      <c r="E2738" s="17" t="s">
        <v>6199</v>
      </c>
      <c r="F2738" s="17">
        <v>5</v>
      </c>
      <c r="G2738" s="17">
        <v>1</v>
      </c>
      <c r="H2738" s="17" t="s">
        <v>3343</v>
      </c>
      <c r="I2738" s="17"/>
      <c r="J2738" s="17"/>
      <c r="K2738" s="17"/>
      <c r="L2738" s="17"/>
      <c r="M2738" s="17"/>
      <c r="N2738" s="17"/>
      <c r="O2738" s="17"/>
      <c r="P2738" s="17"/>
      <c r="Q2738" s="17"/>
    </row>
    <row r="2739" spans="1:17">
      <c r="A2739" s="556" t="s">
        <v>3637</v>
      </c>
      <c r="B2739" s="557"/>
      <c r="C2739" s="558" t="s">
        <v>2326</v>
      </c>
      <c r="D2739" s="556" t="s">
        <v>1694</v>
      </c>
      <c r="E2739" s="17" t="s">
        <v>6200</v>
      </c>
      <c r="F2739" s="17">
        <v>5</v>
      </c>
      <c r="G2739" s="17">
        <v>2</v>
      </c>
      <c r="H2739" s="17" t="s">
        <v>3344</v>
      </c>
      <c r="I2739" s="17"/>
      <c r="J2739" s="17"/>
      <c r="K2739" s="17"/>
      <c r="L2739" s="17"/>
      <c r="M2739" s="17"/>
      <c r="N2739" s="17"/>
      <c r="O2739" s="17"/>
      <c r="P2739" s="17"/>
      <c r="Q2739" s="17"/>
    </row>
    <row r="2740" spans="1:17">
      <c r="A2740" s="556" t="s">
        <v>3637</v>
      </c>
      <c r="B2740" s="557"/>
      <c r="C2740" s="558" t="s">
        <v>2326</v>
      </c>
      <c r="D2740" s="556" t="s">
        <v>4324</v>
      </c>
      <c r="E2740" s="17" t="s">
        <v>6201</v>
      </c>
      <c r="F2740" s="17">
        <v>5</v>
      </c>
      <c r="G2740" s="17">
        <v>3</v>
      </c>
      <c r="H2740" s="17" t="s">
        <v>3345</v>
      </c>
      <c r="I2740" s="17"/>
      <c r="J2740" s="17"/>
      <c r="K2740" s="17"/>
      <c r="L2740" s="17"/>
      <c r="M2740" s="17"/>
      <c r="N2740" s="17"/>
      <c r="O2740" s="17"/>
      <c r="P2740" s="17"/>
      <c r="Q2740" s="17"/>
    </row>
    <row r="2741" spans="1:17">
      <c r="A2741" s="556" t="s">
        <v>3637</v>
      </c>
      <c r="B2741" s="557"/>
      <c r="C2741" s="558" t="s">
        <v>2327</v>
      </c>
      <c r="D2741" s="556" t="s">
        <v>1693</v>
      </c>
      <c r="E2741" s="17" t="s">
        <v>6202</v>
      </c>
      <c r="F2741" s="17">
        <v>6</v>
      </c>
      <c r="G2741" s="17">
        <v>1</v>
      </c>
      <c r="H2741" s="17" t="s">
        <v>3347</v>
      </c>
      <c r="I2741" s="17"/>
      <c r="J2741" s="17"/>
      <c r="K2741" s="17"/>
      <c r="L2741" s="17"/>
      <c r="M2741" s="17"/>
      <c r="N2741" s="17"/>
      <c r="O2741" s="17"/>
      <c r="P2741" s="17"/>
      <c r="Q2741" s="17"/>
    </row>
    <row r="2742" spans="1:17">
      <c r="A2742" s="556" t="s">
        <v>3637</v>
      </c>
      <c r="B2742" s="557"/>
      <c r="C2742" s="558" t="s">
        <v>2327</v>
      </c>
      <c r="D2742" s="556" t="s">
        <v>1694</v>
      </c>
      <c r="E2742" s="17" t="s">
        <v>6203</v>
      </c>
      <c r="F2742" s="17">
        <v>6</v>
      </c>
      <c r="G2742" s="17">
        <v>2</v>
      </c>
      <c r="H2742" s="17" t="s">
        <v>3348</v>
      </c>
      <c r="I2742" s="17"/>
      <c r="J2742" s="17"/>
      <c r="K2742" s="17"/>
      <c r="L2742" s="17"/>
      <c r="M2742" s="17"/>
      <c r="N2742" s="17"/>
      <c r="O2742" s="17"/>
      <c r="P2742" s="17"/>
      <c r="Q2742" s="17"/>
    </row>
    <row r="2743" spans="1:17">
      <c r="A2743" s="556" t="s">
        <v>3637</v>
      </c>
      <c r="B2743" s="557"/>
      <c r="C2743" s="558" t="s">
        <v>2327</v>
      </c>
      <c r="D2743" s="556" t="s">
        <v>4324</v>
      </c>
      <c r="E2743" s="17" t="s">
        <v>6204</v>
      </c>
      <c r="F2743" s="17">
        <v>6</v>
      </c>
      <c r="G2743" s="17">
        <v>3</v>
      </c>
      <c r="H2743" s="17" t="s">
        <v>3349</v>
      </c>
      <c r="I2743" s="17"/>
      <c r="J2743" s="17"/>
      <c r="K2743" s="17"/>
      <c r="L2743" s="17"/>
      <c r="M2743" s="17"/>
      <c r="N2743" s="17"/>
      <c r="O2743" s="17"/>
      <c r="P2743" s="17"/>
      <c r="Q2743" s="17"/>
    </row>
    <row r="2744" spans="1:17">
      <c r="A2744" s="556" t="s">
        <v>3637</v>
      </c>
      <c r="B2744" s="557"/>
      <c r="C2744" s="558" t="s">
        <v>2328</v>
      </c>
      <c r="D2744" s="556" t="s">
        <v>1693</v>
      </c>
      <c r="E2744" s="17" t="s">
        <v>6205</v>
      </c>
      <c r="F2744" s="17">
        <v>7</v>
      </c>
      <c r="G2744" s="17">
        <v>1</v>
      </c>
      <c r="H2744" s="17" t="s">
        <v>3351</v>
      </c>
      <c r="I2744" s="17"/>
      <c r="J2744" s="17"/>
      <c r="K2744" s="17"/>
      <c r="L2744" s="17"/>
      <c r="M2744" s="17"/>
      <c r="N2744" s="17"/>
      <c r="O2744" s="17"/>
      <c r="P2744" s="17"/>
      <c r="Q2744" s="17"/>
    </row>
    <row r="2745" spans="1:17">
      <c r="A2745" s="556" t="s">
        <v>3637</v>
      </c>
      <c r="B2745" s="557"/>
      <c r="C2745" s="558" t="s">
        <v>2328</v>
      </c>
      <c r="D2745" s="556" t="s">
        <v>1694</v>
      </c>
      <c r="E2745" s="17" t="s">
        <v>6206</v>
      </c>
      <c r="F2745" s="17">
        <v>7</v>
      </c>
      <c r="G2745" s="17">
        <v>2</v>
      </c>
      <c r="H2745" s="17" t="s">
        <v>3352</v>
      </c>
      <c r="I2745" s="17"/>
      <c r="J2745" s="17"/>
      <c r="K2745" s="17"/>
      <c r="L2745" s="17"/>
      <c r="M2745" s="17"/>
      <c r="N2745" s="17"/>
      <c r="O2745" s="17"/>
      <c r="P2745" s="17"/>
      <c r="Q2745" s="17"/>
    </row>
    <row r="2746" spans="1:17">
      <c r="A2746" s="556" t="s">
        <v>3637</v>
      </c>
      <c r="B2746" s="557"/>
      <c r="C2746" s="558" t="s">
        <v>2328</v>
      </c>
      <c r="D2746" s="556" t="s">
        <v>4324</v>
      </c>
      <c r="E2746" s="17" t="s">
        <v>6207</v>
      </c>
      <c r="F2746" s="17">
        <v>7</v>
      </c>
      <c r="G2746" s="17">
        <v>3</v>
      </c>
      <c r="H2746" s="17" t="s">
        <v>3353</v>
      </c>
      <c r="I2746" s="17"/>
      <c r="J2746" s="17"/>
      <c r="K2746" s="17"/>
      <c r="L2746" s="17"/>
      <c r="M2746" s="17"/>
      <c r="N2746" s="17"/>
      <c r="O2746" s="17"/>
      <c r="P2746" s="17"/>
      <c r="Q2746" s="17"/>
    </row>
    <row r="2747" spans="1:17">
      <c r="A2747" s="556" t="s">
        <v>3637</v>
      </c>
      <c r="B2747" s="557"/>
      <c r="C2747" s="558" t="s">
        <v>8760</v>
      </c>
      <c r="D2747" s="556" t="s">
        <v>1693</v>
      </c>
      <c r="E2747" s="17" t="s">
        <v>6208</v>
      </c>
      <c r="F2747" s="17">
        <v>8</v>
      </c>
      <c r="G2747" s="17">
        <v>1</v>
      </c>
      <c r="H2747" s="17" t="s">
        <v>3355</v>
      </c>
      <c r="I2747" s="17"/>
      <c r="J2747" s="17"/>
      <c r="K2747" s="17"/>
      <c r="L2747" s="17"/>
      <c r="M2747" s="17"/>
      <c r="N2747" s="17"/>
      <c r="O2747" s="17"/>
      <c r="P2747" s="17"/>
      <c r="Q2747" s="17"/>
    </row>
    <row r="2748" spans="1:17">
      <c r="A2748" s="556" t="s">
        <v>3637</v>
      </c>
      <c r="B2748" s="557"/>
      <c r="C2748" s="558" t="s">
        <v>8760</v>
      </c>
      <c r="D2748" s="556" t="s">
        <v>1694</v>
      </c>
      <c r="E2748" s="17" t="s">
        <v>6209</v>
      </c>
      <c r="F2748" s="17">
        <v>8</v>
      </c>
      <c r="G2748" s="17">
        <v>2</v>
      </c>
      <c r="H2748" s="17" t="s">
        <v>3356</v>
      </c>
      <c r="I2748" s="17"/>
      <c r="J2748" s="17"/>
      <c r="K2748" s="17"/>
      <c r="L2748" s="17"/>
      <c r="M2748" s="17"/>
      <c r="N2748" s="17"/>
      <c r="O2748" s="17"/>
      <c r="P2748" s="17"/>
      <c r="Q2748" s="17"/>
    </row>
    <row r="2749" spans="1:17">
      <c r="A2749" s="556" t="s">
        <v>3637</v>
      </c>
      <c r="B2749" s="557"/>
      <c r="C2749" s="558" t="s">
        <v>8760</v>
      </c>
      <c r="D2749" s="556" t="s">
        <v>4324</v>
      </c>
      <c r="E2749" s="17" t="s">
        <v>6210</v>
      </c>
      <c r="F2749" s="17">
        <v>8</v>
      </c>
      <c r="G2749" s="17">
        <v>3</v>
      </c>
      <c r="H2749" s="17" t="s">
        <v>3357</v>
      </c>
      <c r="I2749" s="17"/>
      <c r="J2749" s="17"/>
      <c r="K2749" s="17"/>
      <c r="L2749" s="17"/>
      <c r="M2749" s="17"/>
      <c r="N2749" s="17"/>
      <c r="O2749" s="17"/>
      <c r="P2749" s="17"/>
      <c r="Q2749" s="17"/>
    </row>
    <row r="2750" spans="1:17">
      <c r="A2750" s="556" t="s">
        <v>3637</v>
      </c>
      <c r="B2750" s="557"/>
      <c r="C2750" s="558" t="s">
        <v>2330</v>
      </c>
      <c r="D2750" s="556" t="s">
        <v>1693</v>
      </c>
      <c r="E2750" s="17" t="s">
        <v>6211</v>
      </c>
      <c r="F2750" s="17">
        <v>9</v>
      </c>
      <c r="G2750" s="17">
        <v>1</v>
      </c>
      <c r="H2750" s="17" t="s">
        <v>3359</v>
      </c>
      <c r="I2750" s="17"/>
      <c r="J2750" s="17"/>
      <c r="K2750" s="17"/>
      <c r="L2750" s="17"/>
      <c r="M2750" s="17"/>
      <c r="N2750" s="17"/>
      <c r="O2750" s="17"/>
      <c r="P2750" s="17"/>
      <c r="Q2750" s="17"/>
    </row>
    <row r="2751" spans="1:17">
      <c r="A2751" s="556" t="s">
        <v>3637</v>
      </c>
      <c r="B2751" s="557"/>
      <c r="C2751" s="558" t="s">
        <v>2330</v>
      </c>
      <c r="D2751" s="556" t="s">
        <v>1694</v>
      </c>
      <c r="E2751" s="17" t="s">
        <v>6212</v>
      </c>
      <c r="F2751" s="17">
        <v>9</v>
      </c>
      <c r="G2751" s="17">
        <v>2</v>
      </c>
      <c r="H2751" s="17" t="s">
        <v>3360</v>
      </c>
      <c r="I2751" s="17"/>
      <c r="J2751" s="17"/>
      <c r="K2751" s="17"/>
      <c r="L2751" s="17"/>
      <c r="M2751" s="17"/>
      <c r="N2751" s="17"/>
      <c r="O2751" s="17"/>
      <c r="P2751" s="17"/>
      <c r="Q2751" s="17"/>
    </row>
    <row r="2752" spans="1:17">
      <c r="A2752" s="556" t="s">
        <v>3637</v>
      </c>
      <c r="B2752" s="557"/>
      <c r="C2752" s="558" t="s">
        <v>2330</v>
      </c>
      <c r="D2752" s="556" t="s">
        <v>4324</v>
      </c>
      <c r="E2752" s="17" t="s">
        <v>6213</v>
      </c>
      <c r="F2752" s="17">
        <v>9</v>
      </c>
      <c r="G2752" s="17">
        <v>3</v>
      </c>
      <c r="H2752" s="17" t="s">
        <v>3327</v>
      </c>
      <c r="I2752" s="17"/>
      <c r="J2752" s="17"/>
      <c r="K2752" s="17"/>
      <c r="L2752" s="17"/>
      <c r="M2752" s="17"/>
      <c r="N2752" s="17"/>
      <c r="O2752" s="17"/>
      <c r="P2752" s="17"/>
      <c r="Q2752" s="17"/>
    </row>
    <row r="2753" spans="1:17">
      <c r="A2753" s="556" t="s">
        <v>3637</v>
      </c>
      <c r="B2753" s="557"/>
      <c r="C2753" s="558" t="s">
        <v>2331</v>
      </c>
      <c r="D2753" s="556" t="s">
        <v>1693</v>
      </c>
      <c r="E2753" s="17" t="s">
        <v>6214</v>
      </c>
      <c r="F2753" s="17">
        <v>10</v>
      </c>
      <c r="G2753" s="17">
        <v>1</v>
      </c>
      <c r="H2753" s="17" t="s">
        <v>3362</v>
      </c>
      <c r="I2753" s="17"/>
      <c r="J2753" s="17"/>
      <c r="K2753" s="17"/>
      <c r="L2753" s="17"/>
      <c r="M2753" s="17"/>
      <c r="N2753" s="17"/>
      <c r="O2753" s="17"/>
      <c r="P2753" s="17"/>
      <c r="Q2753" s="17"/>
    </row>
    <row r="2754" spans="1:17">
      <c r="A2754" s="556" t="s">
        <v>3637</v>
      </c>
      <c r="B2754" s="557"/>
      <c r="C2754" s="558" t="s">
        <v>2331</v>
      </c>
      <c r="D2754" s="556" t="s">
        <v>1694</v>
      </c>
      <c r="E2754" s="17" t="s">
        <v>6215</v>
      </c>
      <c r="F2754" s="17">
        <v>10</v>
      </c>
      <c r="G2754" s="17">
        <v>2</v>
      </c>
      <c r="H2754" s="17" t="s">
        <v>3363</v>
      </c>
      <c r="I2754" s="17"/>
      <c r="J2754" s="17"/>
      <c r="K2754" s="17"/>
      <c r="L2754" s="17"/>
      <c r="M2754" s="17"/>
      <c r="N2754" s="17"/>
      <c r="O2754" s="17"/>
      <c r="P2754" s="17"/>
      <c r="Q2754" s="17"/>
    </row>
    <row r="2755" spans="1:17">
      <c r="A2755" s="556" t="s">
        <v>3637</v>
      </c>
      <c r="B2755" s="557"/>
      <c r="C2755" s="558" t="s">
        <v>2331</v>
      </c>
      <c r="D2755" s="556" t="s">
        <v>4324</v>
      </c>
      <c r="E2755" s="17" t="s">
        <v>6216</v>
      </c>
      <c r="F2755" s="17">
        <v>10</v>
      </c>
      <c r="G2755" s="17">
        <v>3</v>
      </c>
      <c r="H2755" s="17" t="s">
        <v>3364</v>
      </c>
      <c r="I2755" s="17"/>
      <c r="J2755" s="17"/>
      <c r="K2755" s="17"/>
      <c r="L2755" s="17"/>
      <c r="M2755" s="17"/>
      <c r="N2755" s="17"/>
      <c r="O2755" s="17"/>
      <c r="P2755" s="17"/>
      <c r="Q2755" s="17"/>
    </row>
    <row r="2756" spans="1:17">
      <c r="A2756" s="556" t="s">
        <v>3637</v>
      </c>
      <c r="B2756" s="557"/>
      <c r="C2756" s="558" t="s">
        <v>2332</v>
      </c>
      <c r="D2756" s="556" t="s">
        <v>1693</v>
      </c>
      <c r="E2756" s="17" t="s">
        <v>6217</v>
      </c>
      <c r="F2756" s="17">
        <v>11</v>
      </c>
      <c r="G2756" s="17">
        <v>1</v>
      </c>
      <c r="H2756" s="17" t="s">
        <v>3366</v>
      </c>
      <c r="I2756" s="17">
        <v>0</v>
      </c>
      <c r="J2756" s="17"/>
      <c r="K2756" s="17"/>
      <c r="L2756" s="17"/>
      <c r="M2756" s="17"/>
      <c r="N2756" s="17"/>
      <c r="O2756" s="17"/>
      <c r="P2756" s="17"/>
      <c r="Q2756" s="17"/>
    </row>
    <row r="2757" spans="1:17">
      <c r="A2757" s="556" t="s">
        <v>3637</v>
      </c>
      <c r="B2757" s="557"/>
      <c r="C2757" s="558" t="s">
        <v>2332</v>
      </c>
      <c r="D2757" s="556" t="s">
        <v>1694</v>
      </c>
      <c r="E2757" s="17" t="s">
        <v>6218</v>
      </c>
      <c r="F2757" s="17">
        <v>11</v>
      </c>
      <c r="G2757" s="17">
        <v>2</v>
      </c>
      <c r="H2757" s="17" t="s">
        <v>3367</v>
      </c>
      <c r="I2757" s="17">
        <v>0</v>
      </c>
      <c r="J2757" s="17"/>
      <c r="K2757" s="17"/>
      <c r="L2757" s="17"/>
      <c r="M2757" s="17"/>
      <c r="N2757" s="17"/>
      <c r="O2757" s="17"/>
      <c r="P2757" s="17"/>
      <c r="Q2757" s="17"/>
    </row>
    <row r="2758" spans="1:17">
      <c r="A2758" s="556" t="s">
        <v>3637</v>
      </c>
      <c r="B2758" s="557"/>
      <c r="C2758" s="558" t="s">
        <v>2332</v>
      </c>
      <c r="D2758" s="556" t="s">
        <v>4324</v>
      </c>
      <c r="E2758" s="17" t="s">
        <v>6219</v>
      </c>
      <c r="F2758" s="17">
        <v>11</v>
      </c>
      <c r="G2758" s="17">
        <v>3</v>
      </c>
      <c r="H2758" s="17" t="s">
        <v>3368</v>
      </c>
      <c r="I2758" s="17"/>
      <c r="J2758" s="17"/>
      <c r="K2758" s="17"/>
      <c r="L2758" s="17"/>
      <c r="M2758" s="17"/>
      <c r="N2758" s="17"/>
      <c r="O2758" s="17"/>
      <c r="P2758" s="17"/>
      <c r="Q2758" s="17"/>
    </row>
    <row r="2759" spans="1:17">
      <c r="A2759" s="556" t="s">
        <v>3637</v>
      </c>
      <c r="B2759" s="557"/>
      <c r="C2759" s="558" t="s">
        <v>2333</v>
      </c>
      <c r="D2759" s="556" t="s">
        <v>1693</v>
      </c>
      <c r="E2759" s="17" t="s">
        <v>6220</v>
      </c>
      <c r="F2759" s="17">
        <v>12</v>
      </c>
      <c r="G2759" s="17">
        <v>1</v>
      </c>
      <c r="H2759" s="17" t="s">
        <v>3370</v>
      </c>
      <c r="I2759" s="17"/>
      <c r="J2759" s="17"/>
      <c r="K2759" s="17"/>
      <c r="L2759" s="17"/>
      <c r="M2759" s="17"/>
      <c r="N2759" s="17"/>
      <c r="O2759" s="17"/>
      <c r="P2759" s="17"/>
      <c r="Q2759" s="17"/>
    </row>
    <row r="2760" spans="1:17">
      <c r="A2760" s="556" t="s">
        <v>3637</v>
      </c>
      <c r="B2760" s="557"/>
      <c r="C2760" s="558" t="s">
        <v>2333</v>
      </c>
      <c r="D2760" s="556" t="s">
        <v>1694</v>
      </c>
      <c r="E2760" s="17" t="s">
        <v>6221</v>
      </c>
      <c r="F2760" s="17">
        <v>12</v>
      </c>
      <c r="G2760" s="17">
        <v>2</v>
      </c>
      <c r="H2760" s="17" t="s">
        <v>3371</v>
      </c>
      <c r="I2760" s="17"/>
      <c r="J2760" s="17"/>
      <c r="K2760" s="17"/>
      <c r="L2760" s="17"/>
      <c r="M2760" s="17"/>
      <c r="N2760" s="17"/>
      <c r="O2760" s="17"/>
      <c r="P2760" s="17"/>
      <c r="Q2760" s="17"/>
    </row>
    <row r="2761" spans="1:17">
      <c r="A2761" s="556" t="s">
        <v>3637</v>
      </c>
      <c r="B2761" s="557"/>
      <c r="C2761" s="558" t="s">
        <v>2333</v>
      </c>
      <c r="D2761" s="556" t="s">
        <v>4324</v>
      </c>
      <c r="E2761" s="17" t="s">
        <v>6222</v>
      </c>
      <c r="F2761" s="17">
        <v>12</v>
      </c>
      <c r="G2761" s="17">
        <v>3</v>
      </c>
      <c r="H2761" s="17" t="s">
        <v>3372</v>
      </c>
      <c r="I2761" s="17"/>
      <c r="J2761" s="17"/>
      <c r="K2761" s="17"/>
      <c r="L2761" s="17"/>
      <c r="M2761" s="17"/>
      <c r="N2761" s="17"/>
      <c r="O2761" s="17"/>
      <c r="P2761" s="17"/>
      <c r="Q2761" s="17"/>
    </row>
    <row r="2762" spans="1:17">
      <c r="A2762" s="556" t="s">
        <v>3637</v>
      </c>
      <c r="B2762" s="557"/>
      <c r="C2762" s="558" t="s">
        <v>2334</v>
      </c>
      <c r="D2762" s="556" t="s">
        <v>1693</v>
      </c>
      <c r="E2762" s="17" t="s">
        <v>6223</v>
      </c>
      <c r="F2762" s="17">
        <v>13</v>
      </c>
      <c r="G2762" s="17">
        <v>1</v>
      </c>
      <c r="H2762" s="17" t="s">
        <v>3374</v>
      </c>
      <c r="I2762" s="17"/>
      <c r="J2762" s="17"/>
      <c r="K2762" s="17"/>
      <c r="L2762" s="17"/>
      <c r="M2762" s="17"/>
      <c r="N2762" s="17"/>
      <c r="O2762" s="17"/>
      <c r="P2762" s="17"/>
      <c r="Q2762" s="17"/>
    </row>
    <row r="2763" spans="1:17">
      <c r="A2763" s="556" t="s">
        <v>3637</v>
      </c>
      <c r="B2763" s="557"/>
      <c r="C2763" s="558" t="s">
        <v>2334</v>
      </c>
      <c r="D2763" s="556" t="s">
        <v>1694</v>
      </c>
      <c r="E2763" s="17" t="s">
        <v>6224</v>
      </c>
      <c r="F2763" s="17">
        <v>13</v>
      </c>
      <c r="G2763" s="17">
        <v>2</v>
      </c>
      <c r="H2763" s="17" t="s">
        <v>3375</v>
      </c>
      <c r="I2763" s="17"/>
      <c r="J2763" s="17"/>
      <c r="K2763" s="17"/>
      <c r="L2763" s="17"/>
      <c r="M2763" s="17"/>
      <c r="N2763" s="17"/>
      <c r="O2763" s="17"/>
      <c r="P2763" s="17"/>
      <c r="Q2763" s="17"/>
    </row>
    <row r="2764" spans="1:17">
      <c r="A2764" s="556" t="s">
        <v>3637</v>
      </c>
      <c r="B2764" s="557"/>
      <c r="C2764" s="558" t="s">
        <v>2334</v>
      </c>
      <c r="D2764" s="556" t="s">
        <v>4324</v>
      </c>
      <c r="E2764" s="17" t="s">
        <v>6225</v>
      </c>
      <c r="F2764" s="17">
        <v>13</v>
      </c>
      <c r="G2764" s="17">
        <v>3</v>
      </c>
      <c r="H2764" s="17" t="s">
        <v>3376</v>
      </c>
      <c r="I2764" s="17"/>
      <c r="J2764" s="17"/>
      <c r="K2764" s="17"/>
      <c r="L2764" s="17"/>
      <c r="M2764" s="17"/>
      <c r="N2764" s="17"/>
      <c r="O2764" s="17"/>
      <c r="P2764" s="17"/>
      <c r="Q2764" s="17"/>
    </row>
    <row r="2765" spans="1:17">
      <c r="A2765" s="556" t="s">
        <v>3637</v>
      </c>
      <c r="B2765" s="557"/>
      <c r="C2765" s="558" t="s">
        <v>2335</v>
      </c>
      <c r="D2765" s="556" t="s">
        <v>1693</v>
      </c>
      <c r="E2765" s="17" t="s">
        <v>6226</v>
      </c>
      <c r="F2765" s="17">
        <v>14</v>
      </c>
      <c r="G2765" s="17">
        <v>1</v>
      </c>
      <c r="H2765" s="17" t="s">
        <v>3378</v>
      </c>
      <c r="I2765" s="17"/>
      <c r="J2765" s="17"/>
      <c r="K2765" s="17"/>
      <c r="L2765" s="17"/>
      <c r="M2765" s="17"/>
      <c r="N2765" s="17"/>
      <c r="O2765" s="17"/>
      <c r="P2765" s="17"/>
      <c r="Q2765" s="17"/>
    </row>
    <row r="2766" spans="1:17">
      <c r="A2766" s="556" t="s">
        <v>3637</v>
      </c>
      <c r="B2766" s="557"/>
      <c r="C2766" s="558" t="s">
        <v>2335</v>
      </c>
      <c r="D2766" s="556" t="s">
        <v>1694</v>
      </c>
      <c r="E2766" s="17" t="s">
        <v>6227</v>
      </c>
      <c r="F2766" s="17">
        <v>14</v>
      </c>
      <c r="G2766" s="17">
        <v>2</v>
      </c>
      <c r="H2766" s="17" t="s">
        <v>3379</v>
      </c>
      <c r="I2766" s="17"/>
      <c r="J2766" s="17"/>
      <c r="K2766" s="17"/>
      <c r="L2766" s="17"/>
      <c r="M2766" s="17"/>
      <c r="N2766" s="17"/>
      <c r="O2766" s="17"/>
      <c r="P2766" s="17"/>
      <c r="Q2766" s="17"/>
    </row>
    <row r="2767" spans="1:17">
      <c r="A2767" s="556" t="s">
        <v>3637</v>
      </c>
      <c r="B2767" s="557"/>
      <c r="C2767" s="558" t="s">
        <v>2335</v>
      </c>
      <c r="D2767" s="556" t="s">
        <v>4324</v>
      </c>
      <c r="E2767" s="17" t="s">
        <v>6228</v>
      </c>
      <c r="F2767" s="17">
        <v>14</v>
      </c>
      <c r="G2767" s="17">
        <v>3</v>
      </c>
      <c r="H2767" s="17" t="s">
        <v>3380</v>
      </c>
      <c r="I2767" s="17"/>
      <c r="J2767" s="17"/>
      <c r="K2767" s="17"/>
      <c r="L2767" s="17"/>
      <c r="M2767" s="17"/>
      <c r="N2767" s="17"/>
      <c r="O2767" s="17"/>
      <c r="P2767" s="17"/>
      <c r="Q2767" s="17"/>
    </row>
    <row r="2768" spans="1:17">
      <c r="A2768" s="556" t="s">
        <v>3637</v>
      </c>
      <c r="B2768" s="557"/>
      <c r="C2768" s="558" t="s">
        <v>2336</v>
      </c>
      <c r="D2768" s="556" t="s">
        <v>1693</v>
      </c>
      <c r="E2768" s="17" t="s">
        <v>6229</v>
      </c>
      <c r="F2768" s="17">
        <v>15</v>
      </c>
      <c r="G2768" s="17">
        <v>1</v>
      </c>
      <c r="H2768" s="17" t="s">
        <v>3382</v>
      </c>
      <c r="I2768" s="17"/>
      <c r="J2768" s="17"/>
      <c r="K2768" s="17"/>
      <c r="L2768" s="17"/>
      <c r="M2768" s="17"/>
      <c r="N2768" s="17"/>
      <c r="O2768" s="17"/>
      <c r="P2768" s="17"/>
      <c r="Q2768" s="17"/>
    </row>
    <row r="2769" spans="1:17">
      <c r="A2769" s="556" t="s">
        <v>3637</v>
      </c>
      <c r="B2769" s="557"/>
      <c r="C2769" s="558" t="s">
        <v>2336</v>
      </c>
      <c r="D2769" s="556" t="s">
        <v>1694</v>
      </c>
      <c r="E2769" s="17" t="s">
        <v>6230</v>
      </c>
      <c r="F2769" s="17">
        <v>15</v>
      </c>
      <c r="G2769" s="17">
        <v>2</v>
      </c>
      <c r="H2769" s="17" t="s">
        <v>3383</v>
      </c>
      <c r="I2769" s="17"/>
      <c r="J2769" s="17"/>
      <c r="K2769" s="17"/>
      <c r="L2769" s="17"/>
      <c r="M2769" s="17"/>
      <c r="N2769" s="17"/>
      <c r="O2769" s="17"/>
      <c r="P2769" s="17"/>
      <c r="Q2769" s="17"/>
    </row>
    <row r="2770" spans="1:17">
      <c r="A2770" s="556" t="s">
        <v>3637</v>
      </c>
      <c r="B2770" s="557"/>
      <c r="C2770" s="558" t="s">
        <v>2336</v>
      </c>
      <c r="D2770" s="556" t="s">
        <v>4324</v>
      </c>
      <c r="E2770" s="17" t="s">
        <v>6231</v>
      </c>
      <c r="F2770" s="17">
        <v>15</v>
      </c>
      <c r="G2770" s="17">
        <v>3</v>
      </c>
      <c r="H2770" s="17" t="s">
        <v>3384</v>
      </c>
      <c r="I2770" s="17"/>
      <c r="J2770" s="17"/>
      <c r="K2770" s="17"/>
      <c r="L2770" s="17"/>
      <c r="M2770" s="17"/>
      <c r="N2770" s="17"/>
      <c r="O2770" s="17"/>
      <c r="P2770" s="17"/>
      <c r="Q2770" s="17"/>
    </row>
    <row r="2771" spans="1:17">
      <c r="A2771" s="556" t="s">
        <v>3637</v>
      </c>
      <c r="B2771" s="557"/>
      <c r="C2771" s="558" t="s">
        <v>2337</v>
      </c>
      <c r="D2771" s="556" t="s">
        <v>1693</v>
      </c>
      <c r="E2771" s="17" t="s">
        <v>6232</v>
      </c>
      <c r="F2771" s="17">
        <v>16</v>
      </c>
      <c r="G2771" s="17">
        <v>1</v>
      </c>
      <c r="H2771" s="17" t="s">
        <v>3386</v>
      </c>
      <c r="I2771" s="17"/>
      <c r="J2771" s="17"/>
      <c r="K2771" s="17"/>
      <c r="L2771" s="17"/>
      <c r="M2771" s="17"/>
      <c r="N2771" s="17"/>
      <c r="O2771" s="17"/>
      <c r="P2771" s="17"/>
      <c r="Q2771" s="17"/>
    </row>
    <row r="2772" spans="1:17">
      <c r="A2772" s="556" t="s">
        <v>3637</v>
      </c>
      <c r="B2772" s="557"/>
      <c r="C2772" s="558" t="s">
        <v>2337</v>
      </c>
      <c r="D2772" s="556" t="s">
        <v>1694</v>
      </c>
      <c r="E2772" s="17" t="s">
        <v>6233</v>
      </c>
      <c r="F2772" s="17">
        <v>16</v>
      </c>
      <c r="G2772" s="17">
        <v>2</v>
      </c>
      <c r="H2772" s="17" t="s">
        <v>3387</v>
      </c>
      <c r="I2772" s="17"/>
      <c r="J2772" s="17"/>
      <c r="K2772" s="17"/>
      <c r="L2772" s="17"/>
      <c r="M2772" s="17"/>
      <c r="N2772" s="17"/>
      <c r="O2772" s="17"/>
      <c r="P2772" s="17"/>
      <c r="Q2772" s="17"/>
    </row>
    <row r="2773" spans="1:17">
      <c r="A2773" s="556" t="s">
        <v>3637</v>
      </c>
      <c r="B2773" s="557"/>
      <c r="C2773" s="558" t="s">
        <v>2337</v>
      </c>
      <c r="D2773" s="556" t="s">
        <v>4324</v>
      </c>
      <c r="E2773" s="17" t="s">
        <v>6234</v>
      </c>
      <c r="F2773" s="17">
        <v>16</v>
      </c>
      <c r="G2773" s="17">
        <v>3</v>
      </c>
      <c r="H2773" s="17" t="s">
        <v>3388</v>
      </c>
      <c r="I2773" s="17"/>
      <c r="J2773" s="17"/>
      <c r="K2773" s="17"/>
      <c r="L2773" s="17"/>
      <c r="M2773" s="17"/>
      <c r="N2773" s="17"/>
      <c r="O2773" s="17"/>
      <c r="P2773" s="17"/>
      <c r="Q2773" s="17"/>
    </row>
    <row r="2774" spans="1:17">
      <c r="A2774" s="556" t="s">
        <v>3637</v>
      </c>
      <c r="B2774" s="557"/>
      <c r="C2774" s="558" t="s">
        <v>2338</v>
      </c>
      <c r="D2774" s="556" t="s">
        <v>1693</v>
      </c>
      <c r="E2774" s="17" t="s">
        <v>6235</v>
      </c>
      <c r="F2774" s="17">
        <v>17</v>
      </c>
      <c r="G2774" s="17">
        <v>1</v>
      </c>
      <c r="H2774" s="17" t="s">
        <v>3390</v>
      </c>
      <c r="I2774" s="17"/>
      <c r="J2774" s="17"/>
      <c r="K2774" s="17"/>
      <c r="L2774" s="17"/>
      <c r="M2774" s="17"/>
      <c r="N2774" s="17"/>
      <c r="O2774" s="17"/>
      <c r="P2774" s="17"/>
      <c r="Q2774" s="17"/>
    </row>
    <row r="2775" spans="1:17">
      <c r="A2775" s="556" t="s">
        <v>3637</v>
      </c>
      <c r="B2775" s="557"/>
      <c r="C2775" s="558" t="s">
        <v>2338</v>
      </c>
      <c r="D2775" s="556" t="s">
        <v>1694</v>
      </c>
      <c r="E2775" s="17" t="s">
        <v>6236</v>
      </c>
      <c r="F2775" s="17">
        <v>17</v>
      </c>
      <c r="G2775" s="17">
        <v>2</v>
      </c>
      <c r="H2775" s="17" t="s">
        <v>3391</v>
      </c>
      <c r="I2775" s="17"/>
      <c r="J2775" s="17"/>
      <c r="K2775" s="17"/>
      <c r="L2775" s="17"/>
      <c r="M2775" s="17"/>
      <c r="N2775" s="17"/>
      <c r="O2775" s="17"/>
      <c r="P2775" s="17"/>
      <c r="Q2775" s="17"/>
    </row>
    <row r="2776" spans="1:17">
      <c r="A2776" s="556" t="s">
        <v>3637</v>
      </c>
      <c r="B2776" s="557"/>
      <c r="C2776" s="558" t="s">
        <v>2338</v>
      </c>
      <c r="D2776" s="556" t="s">
        <v>4324</v>
      </c>
      <c r="E2776" s="17" t="s">
        <v>6237</v>
      </c>
      <c r="F2776" s="17">
        <v>17</v>
      </c>
      <c r="G2776" s="17">
        <v>3</v>
      </c>
      <c r="H2776" s="17" t="s">
        <v>3392</v>
      </c>
      <c r="I2776" s="17"/>
      <c r="J2776" s="17"/>
      <c r="K2776" s="17"/>
      <c r="L2776" s="17"/>
      <c r="M2776" s="17"/>
      <c r="N2776" s="17"/>
      <c r="O2776" s="17"/>
      <c r="P2776" s="17"/>
      <c r="Q2776" s="17"/>
    </row>
    <row r="2777" spans="1:17">
      <c r="A2777" s="556" t="s">
        <v>3637</v>
      </c>
      <c r="B2777" s="557"/>
      <c r="C2777" s="558" t="s">
        <v>2339</v>
      </c>
      <c r="D2777" s="556" t="s">
        <v>1693</v>
      </c>
      <c r="E2777" s="17" t="s">
        <v>6238</v>
      </c>
      <c r="F2777" s="17">
        <v>18</v>
      </c>
      <c r="G2777" s="17">
        <v>1</v>
      </c>
      <c r="H2777" s="17" t="s">
        <v>3394</v>
      </c>
      <c r="I2777" s="17"/>
      <c r="J2777" s="17"/>
      <c r="K2777" s="17"/>
      <c r="L2777" s="17"/>
      <c r="M2777" s="17"/>
      <c r="N2777" s="17"/>
      <c r="O2777" s="17"/>
      <c r="P2777" s="17"/>
      <c r="Q2777" s="17"/>
    </row>
    <row r="2778" spans="1:17">
      <c r="A2778" s="556" t="s">
        <v>3637</v>
      </c>
      <c r="B2778" s="557"/>
      <c r="C2778" s="558" t="s">
        <v>2339</v>
      </c>
      <c r="D2778" s="556" t="s">
        <v>1694</v>
      </c>
      <c r="E2778" s="17" t="s">
        <v>6239</v>
      </c>
      <c r="F2778" s="17">
        <v>18</v>
      </c>
      <c r="G2778" s="17">
        <v>2</v>
      </c>
      <c r="H2778" s="17" t="s">
        <v>3395</v>
      </c>
      <c r="I2778" s="17"/>
      <c r="J2778" s="17"/>
      <c r="K2778" s="17"/>
      <c r="L2778" s="17"/>
      <c r="M2778" s="17"/>
      <c r="N2778" s="17"/>
      <c r="O2778" s="17"/>
      <c r="P2778" s="17"/>
      <c r="Q2778" s="17"/>
    </row>
    <row r="2779" spans="1:17">
      <c r="A2779" s="556" t="s">
        <v>3637</v>
      </c>
      <c r="B2779" s="557"/>
      <c r="C2779" s="558" t="s">
        <v>2339</v>
      </c>
      <c r="D2779" s="556" t="s">
        <v>4324</v>
      </c>
      <c r="E2779" s="17" t="s">
        <v>6240</v>
      </c>
      <c r="F2779" s="17">
        <v>18</v>
      </c>
      <c r="G2779" s="17">
        <v>3</v>
      </c>
      <c r="H2779" s="17" t="s">
        <v>3396</v>
      </c>
      <c r="I2779" s="17"/>
      <c r="J2779" s="17"/>
      <c r="K2779" s="17"/>
      <c r="L2779" s="17"/>
      <c r="M2779" s="17"/>
      <c r="N2779" s="17"/>
      <c r="O2779" s="17"/>
      <c r="P2779" s="17"/>
      <c r="Q2779" s="17"/>
    </row>
    <row r="2780" spans="1:17">
      <c r="A2780" s="556" t="s">
        <v>3637</v>
      </c>
      <c r="B2780" s="557"/>
      <c r="C2780" s="558" t="s">
        <v>2340</v>
      </c>
      <c r="D2780" s="556" t="s">
        <v>1693</v>
      </c>
      <c r="E2780" s="17" t="s">
        <v>6241</v>
      </c>
      <c r="F2780" s="17">
        <v>19</v>
      </c>
      <c r="G2780" s="17">
        <v>1</v>
      </c>
      <c r="H2780" s="17" t="s">
        <v>3398</v>
      </c>
      <c r="I2780" s="17"/>
      <c r="J2780" s="17"/>
      <c r="K2780" s="17"/>
      <c r="L2780" s="17"/>
      <c r="M2780" s="17"/>
      <c r="N2780" s="17"/>
      <c r="O2780" s="17"/>
      <c r="P2780" s="17"/>
      <c r="Q2780" s="17"/>
    </row>
    <row r="2781" spans="1:17">
      <c r="A2781" s="556" t="s">
        <v>3637</v>
      </c>
      <c r="B2781" s="557"/>
      <c r="C2781" s="558" t="s">
        <v>2340</v>
      </c>
      <c r="D2781" s="556" t="s">
        <v>1694</v>
      </c>
      <c r="E2781" s="17" t="s">
        <v>6242</v>
      </c>
      <c r="F2781" s="17">
        <v>19</v>
      </c>
      <c r="G2781" s="17">
        <v>2</v>
      </c>
      <c r="H2781" s="17" t="s">
        <v>3399</v>
      </c>
      <c r="I2781" s="17"/>
      <c r="J2781" s="17"/>
      <c r="K2781" s="17"/>
      <c r="L2781" s="17"/>
      <c r="M2781" s="17"/>
      <c r="N2781" s="17"/>
      <c r="O2781" s="17"/>
      <c r="P2781" s="17"/>
      <c r="Q2781" s="17"/>
    </row>
    <row r="2782" spans="1:17">
      <c r="A2782" s="556" t="s">
        <v>3637</v>
      </c>
      <c r="B2782" s="557"/>
      <c r="C2782" s="558" t="s">
        <v>2340</v>
      </c>
      <c r="D2782" s="556" t="s">
        <v>4324</v>
      </c>
      <c r="E2782" s="17" t="s">
        <v>6243</v>
      </c>
      <c r="F2782" s="17">
        <v>19</v>
      </c>
      <c r="G2782" s="17">
        <v>3</v>
      </c>
      <c r="H2782" s="17" t="s">
        <v>3400</v>
      </c>
      <c r="I2782" s="17"/>
      <c r="J2782" s="17"/>
      <c r="K2782" s="17"/>
      <c r="L2782" s="17"/>
      <c r="M2782" s="17"/>
      <c r="N2782" s="17"/>
      <c r="O2782" s="17"/>
      <c r="P2782" s="17"/>
      <c r="Q2782" s="17"/>
    </row>
    <row r="2783" spans="1:17">
      <c r="A2783" s="556" t="s">
        <v>3637</v>
      </c>
      <c r="B2783" s="557"/>
      <c r="C2783" s="558" t="s">
        <v>6244</v>
      </c>
      <c r="D2783" s="556" t="s">
        <v>1693</v>
      </c>
      <c r="E2783" s="17" t="s">
        <v>6245</v>
      </c>
      <c r="F2783" s="17">
        <v>20</v>
      </c>
      <c r="G2783" s="17">
        <v>1</v>
      </c>
      <c r="H2783" s="17" t="s">
        <v>3402</v>
      </c>
      <c r="I2783" s="17"/>
      <c r="J2783" s="17"/>
      <c r="K2783" s="17"/>
      <c r="L2783" s="17"/>
      <c r="M2783" s="17"/>
      <c r="N2783" s="17"/>
      <c r="O2783" s="17"/>
      <c r="P2783" s="17"/>
      <c r="Q2783" s="17"/>
    </row>
    <row r="2784" spans="1:17">
      <c r="A2784" s="556" t="s">
        <v>3637</v>
      </c>
      <c r="B2784" s="557"/>
      <c r="C2784" s="558" t="s">
        <v>6244</v>
      </c>
      <c r="D2784" s="556" t="s">
        <v>1694</v>
      </c>
      <c r="E2784" s="17" t="s">
        <v>6246</v>
      </c>
      <c r="F2784" s="17">
        <v>20</v>
      </c>
      <c r="G2784" s="17">
        <v>2</v>
      </c>
      <c r="H2784" s="17" t="s">
        <v>3403</v>
      </c>
      <c r="I2784" s="17"/>
      <c r="J2784" s="17"/>
      <c r="K2784" s="17"/>
      <c r="L2784" s="17"/>
      <c r="M2784" s="17"/>
      <c r="N2784" s="17"/>
      <c r="O2784" s="17"/>
      <c r="P2784" s="17"/>
      <c r="Q2784" s="17"/>
    </row>
    <row r="2785" spans="1:17">
      <c r="A2785" s="556" t="s">
        <v>3637</v>
      </c>
      <c r="B2785" s="557"/>
      <c r="C2785" s="558" t="s">
        <v>6244</v>
      </c>
      <c r="D2785" s="556" t="s">
        <v>4324</v>
      </c>
      <c r="E2785" s="17" t="s">
        <v>6247</v>
      </c>
      <c r="F2785" s="17">
        <v>20</v>
      </c>
      <c r="G2785" s="17">
        <v>3</v>
      </c>
      <c r="H2785" s="17" t="s">
        <v>3404</v>
      </c>
      <c r="I2785" s="17"/>
      <c r="J2785" s="17"/>
      <c r="K2785" s="17"/>
      <c r="L2785" s="17"/>
      <c r="M2785" s="17"/>
      <c r="N2785" s="17"/>
      <c r="O2785" s="17"/>
      <c r="P2785" s="17"/>
      <c r="Q2785" s="17"/>
    </row>
    <row r="2786" spans="1:17">
      <c r="A2786" s="556" t="s">
        <v>3637</v>
      </c>
      <c r="B2786" s="557"/>
      <c r="C2786" s="558" t="s">
        <v>2342</v>
      </c>
      <c r="D2786" s="556" t="s">
        <v>1693</v>
      </c>
      <c r="E2786" s="17" t="s">
        <v>6248</v>
      </c>
      <c r="F2786" s="17">
        <v>21</v>
      </c>
      <c r="G2786" s="17">
        <v>1</v>
      </c>
      <c r="H2786" s="17" t="s">
        <v>3406</v>
      </c>
      <c r="I2786" s="17">
        <v>0</v>
      </c>
      <c r="J2786" s="17"/>
      <c r="K2786" s="17"/>
      <c r="L2786" s="17"/>
      <c r="M2786" s="17"/>
      <c r="N2786" s="17"/>
      <c r="O2786" s="17"/>
      <c r="P2786" s="17"/>
      <c r="Q2786" s="17"/>
    </row>
    <row r="2787" spans="1:17">
      <c r="A2787" s="556" t="s">
        <v>3637</v>
      </c>
      <c r="B2787" s="557"/>
      <c r="C2787" s="558" t="s">
        <v>2342</v>
      </c>
      <c r="D2787" s="556" t="s">
        <v>1694</v>
      </c>
      <c r="E2787" s="17" t="s">
        <v>6249</v>
      </c>
      <c r="F2787" s="17">
        <v>21</v>
      </c>
      <c r="G2787" s="17">
        <v>2</v>
      </c>
      <c r="H2787" s="17" t="s">
        <v>3407</v>
      </c>
      <c r="I2787" s="17">
        <v>0</v>
      </c>
      <c r="J2787" s="17"/>
      <c r="K2787" s="17"/>
      <c r="L2787" s="17"/>
      <c r="M2787" s="17"/>
      <c r="N2787" s="17"/>
      <c r="O2787" s="17"/>
      <c r="P2787" s="17"/>
      <c r="Q2787" s="17"/>
    </row>
    <row r="2788" spans="1:17">
      <c r="A2788" s="556" t="s">
        <v>3637</v>
      </c>
      <c r="B2788" s="557"/>
      <c r="C2788" s="558" t="s">
        <v>2342</v>
      </c>
      <c r="D2788" s="556" t="s">
        <v>4324</v>
      </c>
      <c r="E2788" s="17" t="s">
        <v>6250</v>
      </c>
      <c r="F2788" s="17">
        <v>21</v>
      </c>
      <c r="G2788" s="17">
        <v>3</v>
      </c>
      <c r="H2788" s="17" t="s">
        <v>3408</v>
      </c>
      <c r="I2788" s="17"/>
      <c r="J2788" s="17"/>
      <c r="K2788" s="17"/>
      <c r="L2788" s="17"/>
      <c r="M2788" s="17"/>
      <c r="N2788" s="17"/>
      <c r="O2788" s="17"/>
      <c r="P2788" s="17"/>
      <c r="Q2788" s="17"/>
    </row>
    <row r="2789" spans="1:17">
      <c r="A2789" s="556" t="s">
        <v>3637</v>
      </c>
      <c r="B2789" s="557"/>
      <c r="C2789" s="558" t="s">
        <v>2343</v>
      </c>
      <c r="D2789" s="556" t="s">
        <v>1693</v>
      </c>
      <c r="E2789" s="17" t="s">
        <v>6251</v>
      </c>
      <c r="F2789" s="17">
        <v>22</v>
      </c>
      <c r="G2789" s="17">
        <v>1</v>
      </c>
      <c r="H2789" s="17" t="s">
        <v>3410</v>
      </c>
      <c r="I2789" s="17">
        <v>0</v>
      </c>
      <c r="J2789" s="17"/>
      <c r="K2789" s="17"/>
      <c r="L2789" s="17"/>
      <c r="M2789" s="17"/>
      <c r="N2789" s="17"/>
      <c r="O2789" s="17"/>
      <c r="P2789" s="17"/>
      <c r="Q2789" s="17"/>
    </row>
    <row r="2790" spans="1:17">
      <c r="A2790" s="556" t="s">
        <v>3637</v>
      </c>
      <c r="B2790" s="557"/>
      <c r="C2790" s="558" t="s">
        <v>2343</v>
      </c>
      <c r="D2790" s="556" t="s">
        <v>1694</v>
      </c>
      <c r="E2790" s="17" t="s">
        <v>6252</v>
      </c>
      <c r="F2790" s="17">
        <v>22</v>
      </c>
      <c r="G2790" s="17">
        <v>2</v>
      </c>
      <c r="H2790" s="17" t="s">
        <v>3411</v>
      </c>
      <c r="I2790" s="17">
        <v>0</v>
      </c>
      <c r="J2790" s="17"/>
      <c r="K2790" s="17"/>
      <c r="L2790" s="17"/>
      <c r="M2790" s="17"/>
      <c r="N2790" s="17"/>
      <c r="O2790" s="17"/>
      <c r="P2790" s="17"/>
      <c r="Q2790" s="17"/>
    </row>
    <row r="2791" spans="1:17">
      <c r="A2791" s="556" t="s">
        <v>3637</v>
      </c>
      <c r="B2791" s="557"/>
      <c r="C2791" s="558" t="s">
        <v>2343</v>
      </c>
      <c r="D2791" s="556" t="s">
        <v>4324</v>
      </c>
      <c r="E2791" s="17" t="s">
        <v>6253</v>
      </c>
      <c r="F2791" s="17">
        <v>22</v>
      </c>
      <c r="G2791" s="17">
        <v>3</v>
      </c>
      <c r="H2791" s="17" t="s">
        <v>3412</v>
      </c>
      <c r="I2791" s="17"/>
      <c r="J2791" s="17"/>
      <c r="K2791" s="17"/>
      <c r="L2791" s="17"/>
      <c r="M2791" s="17"/>
      <c r="N2791" s="17"/>
      <c r="O2791" s="17"/>
      <c r="P2791" s="17"/>
      <c r="Q2791" s="17"/>
    </row>
    <row r="2792" spans="1:17">
      <c r="A2792" s="556" t="s">
        <v>3639</v>
      </c>
      <c r="B2792" s="557"/>
      <c r="C2792" s="558" t="s">
        <v>6254</v>
      </c>
      <c r="D2792" s="556" t="s">
        <v>1693</v>
      </c>
      <c r="E2792" s="17" t="s">
        <v>6255</v>
      </c>
      <c r="F2792" s="17">
        <v>1</v>
      </c>
      <c r="G2792" s="17">
        <v>1</v>
      </c>
      <c r="H2792" s="17" t="s">
        <v>3692</v>
      </c>
      <c r="I2792" s="17">
        <v>0</v>
      </c>
      <c r="J2792" s="17"/>
      <c r="K2792" s="17"/>
      <c r="L2792" s="17"/>
      <c r="M2792" s="17"/>
      <c r="N2792" s="17"/>
      <c r="O2792" s="17"/>
      <c r="P2792" s="17"/>
      <c r="Q2792" s="17"/>
    </row>
    <row r="2793" spans="1:17">
      <c r="A2793" s="556" t="s">
        <v>3639</v>
      </c>
      <c r="B2793" s="557"/>
      <c r="C2793" s="558" t="s">
        <v>6254</v>
      </c>
      <c r="D2793" s="556" t="s">
        <v>1694</v>
      </c>
      <c r="E2793" s="17" t="s">
        <v>6256</v>
      </c>
      <c r="F2793" s="17">
        <v>1</v>
      </c>
      <c r="G2793" s="17">
        <v>2</v>
      </c>
      <c r="H2793" s="17" t="s">
        <v>3701</v>
      </c>
      <c r="I2793" s="17">
        <v>0</v>
      </c>
      <c r="J2793" s="17"/>
      <c r="K2793" s="17"/>
      <c r="L2793" s="17"/>
      <c r="M2793" s="17"/>
      <c r="N2793" s="17"/>
      <c r="O2793" s="17"/>
      <c r="P2793" s="17"/>
      <c r="Q2793" s="17"/>
    </row>
    <row r="2794" spans="1:17">
      <c r="A2794" s="556" t="s">
        <v>3639</v>
      </c>
      <c r="B2794" s="557"/>
      <c r="C2794" s="558" t="s">
        <v>6254</v>
      </c>
      <c r="D2794" s="556" t="s">
        <v>4324</v>
      </c>
      <c r="E2794" s="17" t="s">
        <v>6257</v>
      </c>
      <c r="F2794" s="17">
        <v>1</v>
      </c>
      <c r="G2794" s="17">
        <v>3</v>
      </c>
      <c r="H2794" s="17" t="s">
        <v>3714</v>
      </c>
      <c r="I2794" s="17"/>
      <c r="J2794" s="17"/>
      <c r="K2794" s="17"/>
      <c r="L2794" s="17"/>
      <c r="M2794" s="17"/>
      <c r="N2794" s="17"/>
      <c r="O2794" s="17"/>
      <c r="P2794" s="17"/>
      <c r="Q2794" s="17"/>
    </row>
    <row r="2795" spans="1:17">
      <c r="A2795" s="556" t="s">
        <v>3639</v>
      </c>
      <c r="B2795" s="557"/>
      <c r="C2795" s="558" t="s">
        <v>2353</v>
      </c>
      <c r="D2795" s="556" t="s">
        <v>1693</v>
      </c>
      <c r="E2795" s="17" t="s">
        <v>6258</v>
      </c>
      <c r="F2795" s="84">
        <f>ROW('NOTE 30'!F11)-ROW('NOTE 30'!F9)+1</f>
        <v>3</v>
      </c>
      <c r="G2795" s="17">
        <v>1</v>
      </c>
      <c r="H2795" s="17" t="s">
        <v>2990</v>
      </c>
      <c r="I2795" s="17"/>
      <c r="J2795" s="17"/>
      <c r="K2795" s="17"/>
      <c r="L2795" s="17"/>
      <c r="M2795" s="17"/>
      <c r="N2795" s="17"/>
      <c r="O2795" s="17"/>
      <c r="P2795" s="17"/>
      <c r="Q2795" s="17"/>
    </row>
    <row r="2796" spans="1:17">
      <c r="A2796" s="556" t="s">
        <v>3639</v>
      </c>
      <c r="B2796" s="557"/>
      <c r="C2796" s="558" t="s">
        <v>2353</v>
      </c>
      <c r="D2796" s="556" t="s">
        <v>1694</v>
      </c>
      <c r="E2796" s="17" t="s">
        <v>6259</v>
      </c>
      <c r="F2796" s="84">
        <f>ROW('NOTE 30'!F11)-ROW('NOTE 30'!F9)+1</f>
        <v>3</v>
      </c>
      <c r="G2796" s="17">
        <v>2</v>
      </c>
      <c r="H2796" s="17" t="s">
        <v>3338</v>
      </c>
      <c r="I2796" s="17"/>
      <c r="J2796" s="17"/>
      <c r="K2796" s="17"/>
      <c r="L2796" s="17"/>
      <c r="M2796" s="17"/>
      <c r="N2796" s="17"/>
      <c r="O2796" s="17"/>
      <c r="P2796" s="17"/>
      <c r="Q2796" s="17"/>
    </row>
    <row r="2797" spans="1:17">
      <c r="A2797" s="556" t="s">
        <v>3639</v>
      </c>
      <c r="B2797" s="557"/>
      <c r="C2797" s="558" t="s">
        <v>2353</v>
      </c>
      <c r="D2797" s="556" t="s">
        <v>4324</v>
      </c>
      <c r="E2797" s="17" t="s">
        <v>6260</v>
      </c>
      <c r="F2797" s="84">
        <f>ROW('NOTE 30'!F11)-ROW('NOTE 30'!F9)+1</f>
        <v>3</v>
      </c>
      <c r="G2797" s="17">
        <v>3</v>
      </c>
      <c r="H2797" s="17" t="s">
        <v>2991</v>
      </c>
      <c r="I2797" s="17"/>
      <c r="J2797" s="17"/>
      <c r="K2797" s="17"/>
      <c r="L2797" s="17"/>
      <c r="M2797" s="17"/>
      <c r="N2797" s="17"/>
      <c r="O2797" s="17"/>
      <c r="P2797" s="17"/>
      <c r="Q2797" s="17"/>
    </row>
    <row r="2798" spans="1:17">
      <c r="A2798" s="556" t="s">
        <v>3639</v>
      </c>
      <c r="B2798" s="557"/>
      <c r="C2798" s="558" t="s">
        <v>2354</v>
      </c>
      <c r="D2798" s="556" t="s">
        <v>1693</v>
      </c>
      <c r="E2798" s="17" t="s">
        <v>6261</v>
      </c>
      <c r="F2798" s="84">
        <f>ROW('NOTE 30'!F12)-ROW('NOTE 30'!F9)+1</f>
        <v>4</v>
      </c>
      <c r="G2798" s="17">
        <v>1</v>
      </c>
      <c r="H2798" s="17" t="s">
        <v>3339</v>
      </c>
      <c r="I2798" s="17"/>
      <c r="J2798" s="17"/>
      <c r="K2798" s="17"/>
      <c r="L2798" s="17"/>
      <c r="M2798" s="17"/>
      <c r="N2798" s="17"/>
      <c r="O2798" s="17"/>
      <c r="P2798" s="17"/>
      <c r="Q2798" s="17"/>
    </row>
    <row r="2799" spans="1:17">
      <c r="A2799" s="556" t="s">
        <v>3639</v>
      </c>
      <c r="B2799" s="557"/>
      <c r="C2799" s="558" t="s">
        <v>2354</v>
      </c>
      <c r="D2799" s="556" t="s">
        <v>1694</v>
      </c>
      <c r="E2799" s="17" t="s">
        <v>6262</v>
      </c>
      <c r="F2799" s="84">
        <f>ROW('NOTE 30'!F12)-ROW('NOTE 30'!F9)+1</f>
        <v>4</v>
      </c>
      <c r="G2799" s="17">
        <v>2</v>
      </c>
      <c r="H2799" s="17" t="s">
        <v>3340</v>
      </c>
      <c r="I2799" s="17"/>
      <c r="J2799" s="17"/>
      <c r="K2799" s="17"/>
      <c r="L2799" s="17"/>
      <c r="M2799" s="17"/>
      <c r="N2799" s="17"/>
      <c r="O2799" s="17"/>
      <c r="P2799" s="17"/>
      <c r="Q2799" s="17"/>
    </row>
    <row r="2800" spans="1:17">
      <c r="A2800" s="556" t="s">
        <v>3639</v>
      </c>
      <c r="B2800" s="557"/>
      <c r="C2800" s="558" t="s">
        <v>2354</v>
      </c>
      <c r="D2800" s="556" t="s">
        <v>4324</v>
      </c>
      <c r="E2800" s="17" t="s">
        <v>6263</v>
      </c>
      <c r="F2800" s="84">
        <f>ROW('NOTE 30'!F12)-ROW('NOTE 30'!F9)+1</f>
        <v>4</v>
      </c>
      <c r="G2800" s="17">
        <v>3</v>
      </c>
      <c r="H2800" s="17" t="s">
        <v>3341</v>
      </c>
      <c r="I2800" s="17"/>
      <c r="J2800" s="17"/>
      <c r="K2800" s="17"/>
      <c r="L2800" s="17"/>
      <c r="M2800" s="17"/>
      <c r="N2800" s="17"/>
      <c r="O2800" s="17"/>
      <c r="P2800" s="17"/>
      <c r="Q2800" s="17"/>
    </row>
    <row r="2801" spans="1:17">
      <c r="A2801" s="556" t="s">
        <v>3639</v>
      </c>
      <c r="B2801" s="557"/>
      <c r="C2801" s="558" t="s">
        <v>2355</v>
      </c>
      <c r="D2801" s="556" t="s">
        <v>1693</v>
      </c>
      <c r="E2801" s="17" t="s">
        <v>6264</v>
      </c>
      <c r="F2801" s="84">
        <f>ROW('NOTE 30'!F13)-ROW('NOTE 30'!F9)+1</f>
        <v>5</v>
      </c>
      <c r="G2801" s="17">
        <v>1</v>
      </c>
      <c r="H2801" s="17" t="s">
        <v>3343</v>
      </c>
      <c r="I2801" s="17"/>
      <c r="J2801" s="17"/>
      <c r="K2801" s="17"/>
      <c r="L2801" s="17"/>
      <c r="M2801" s="17"/>
      <c r="N2801" s="17"/>
      <c r="O2801" s="17"/>
      <c r="P2801" s="17"/>
      <c r="Q2801" s="17"/>
    </row>
    <row r="2802" spans="1:17">
      <c r="A2802" s="556" t="s">
        <v>3639</v>
      </c>
      <c r="B2802" s="557"/>
      <c r="C2802" s="558" t="s">
        <v>2355</v>
      </c>
      <c r="D2802" s="556" t="s">
        <v>1694</v>
      </c>
      <c r="E2802" s="17" t="s">
        <v>6265</v>
      </c>
      <c r="F2802" s="84">
        <f>ROW('NOTE 30'!F13)-ROW('NOTE 30'!F9)+1</f>
        <v>5</v>
      </c>
      <c r="G2802" s="17">
        <v>2</v>
      </c>
      <c r="H2802" s="17" t="s">
        <v>3344</v>
      </c>
      <c r="I2802" s="17"/>
      <c r="J2802" s="17"/>
      <c r="K2802" s="17"/>
      <c r="L2802" s="17"/>
      <c r="M2802" s="17"/>
      <c r="N2802" s="17"/>
      <c r="O2802" s="17"/>
      <c r="P2802" s="17"/>
      <c r="Q2802" s="17"/>
    </row>
    <row r="2803" spans="1:17">
      <c r="A2803" s="556" t="s">
        <v>3639</v>
      </c>
      <c r="B2803" s="557"/>
      <c r="C2803" s="558" t="s">
        <v>2355</v>
      </c>
      <c r="D2803" s="556" t="s">
        <v>4324</v>
      </c>
      <c r="E2803" s="17" t="s">
        <v>6266</v>
      </c>
      <c r="F2803" s="84">
        <f>ROW('NOTE 30'!F13)-ROW('NOTE 30'!F9)+1</f>
        <v>5</v>
      </c>
      <c r="G2803" s="17">
        <v>3</v>
      </c>
      <c r="H2803" s="17" t="s">
        <v>3345</v>
      </c>
      <c r="I2803" s="17"/>
      <c r="J2803" s="17"/>
      <c r="K2803" s="17"/>
      <c r="L2803" s="17"/>
      <c r="M2803" s="17"/>
      <c r="N2803" s="17"/>
      <c r="O2803" s="17"/>
      <c r="P2803" s="17"/>
      <c r="Q2803" s="17"/>
    </row>
    <row r="2804" spans="1:17">
      <c r="A2804" s="556" t="s">
        <v>3639</v>
      </c>
      <c r="B2804" s="557"/>
      <c r="C2804" s="558" t="s">
        <v>2356</v>
      </c>
      <c r="D2804" s="556" t="s">
        <v>1693</v>
      </c>
      <c r="E2804" s="17" t="s">
        <v>6267</v>
      </c>
      <c r="F2804" s="84">
        <f>ROW('NOTE 30'!F14)-ROW('NOTE 30'!F9)+1</f>
        <v>6</v>
      </c>
      <c r="G2804" s="17">
        <v>1</v>
      </c>
      <c r="H2804" s="17" t="s">
        <v>3347</v>
      </c>
      <c r="I2804" s="17"/>
      <c r="J2804" s="17"/>
      <c r="K2804" s="17"/>
      <c r="L2804" s="17"/>
      <c r="M2804" s="17"/>
      <c r="N2804" s="17"/>
      <c r="O2804" s="17"/>
      <c r="P2804" s="17"/>
      <c r="Q2804" s="17"/>
    </row>
    <row r="2805" spans="1:17">
      <c r="A2805" s="556" t="s">
        <v>3639</v>
      </c>
      <c r="B2805" s="557"/>
      <c r="C2805" s="558" t="s">
        <v>2356</v>
      </c>
      <c r="D2805" s="556" t="s">
        <v>1694</v>
      </c>
      <c r="E2805" s="17" t="s">
        <v>6268</v>
      </c>
      <c r="F2805" s="84">
        <f>ROW('NOTE 30'!F14)-ROW('NOTE 30'!F9)+1</f>
        <v>6</v>
      </c>
      <c r="G2805" s="17">
        <v>2</v>
      </c>
      <c r="H2805" s="17" t="s">
        <v>3348</v>
      </c>
      <c r="I2805" s="17"/>
      <c r="J2805" s="17"/>
      <c r="K2805" s="17"/>
      <c r="L2805" s="17"/>
      <c r="M2805" s="17"/>
      <c r="N2805" s="17"/>
      <c r="O2805" s="17"/>
      <c r="P2805" s="17"/>
      <c r="Q2805" s="17"/>
    </row>
    <row r="2806" spans="1:17">
      <c r="A2806" s="556" t="s">
        <v>3639</v>
      </c>
      <c r="B2806" s="557"/>
      <c r="C2806" s="558" t="s">
        <v>2356</v>
      </c>
      <c r="D2806" s="556" t="s">
        <v>4324</v>
      </c>
      <c r="E2806" s="17" t="s">
        <v>6269</v>
      </c>
      <c r="F2806" s="84">
        <f>ROW('NOTE 30'!F14)-ROW('NOTE 30'!F9)+1</f>
        <v>6</v>
      </c>
      <c r="G2806" s="17">
        <v>3</v>
      </c>
      <c r="H2806" s="17" t="s">
        <v>3349</v>
      </c>
      <c r="I2806" s="17"/>
      <c r="J2806" s="17"/>
      <c r="K2806" s="17"/>
      <c r="L2806" s="17"/>
      <c r="M2806" s="17"/>
      <c r="N2806" s="17"/>
      <c r="O2806" s="17"/>
      <c r="P2806" s="17"/>
      <c r="Q2806" s="17"/>
    </row>
    <row r="2807" spans="1:17">
      <c r="A2807" s="556" t="s">
        <v>3639</v>
      </c>
      <c r="B2807" s="557"/>
      <c r="C2807" s="558" t="s">
        <v>2357</v>
      </c>
      <c r="D2807" s="556" t="s">
        <v>1693</v>
      </c>
      <c r="E2807" s="17" t="s">
        <v>6270</v>
      </c>
      <c r="F2807" s="84">
        <f>ROW('NOTE 30'!F15)-ROW('NOTE 30'!F9)+1</f>
        <v>7</v>
      </c>
      <c r="G2807" s="17">
        <v>1</v>
      </c>
      <c r="H2807" s="17" t="s">
        <v>3351</v>
      </c>
      <c r="I2807" s="17"/>
      <c r="J2807" s="17"/>
      <c r="K2807" s="17"/>
      <c r="L2807" s="17"/>
      <c r="M2807" s="17"/>
      <c r="N2807" s="17"/>
      <c r="O2807" s="17"/>
      <c r="P2807" s="17"/>
      <c r="Q2807" s="17"/>
    </row>
    <row r="2808" spans="1:17">
      <c r="A2808" s="556" t="s">
        <v>3639</v>
      </c>
      <c r="B2808" s="557"/>
      <c r="C2808" s="558" t="s">
        <v>2357</v>
      </c>
      <c r="D2808" s="556" t="s">
        <v>1694</v>
      </c>
      <c r="E2808" s="17" t="s">
        <v>6271</v>
      </c>
      <c r="F2808" s="84">
        <f>ROW('NOTE 30'!F15)-ROW('NOTE 30'!F9)+1</f>
        <v>7</v>
      </c>
      <c r="G2808" s="17">
        <v>2</v>
      </c>
      <c r="H2808" s="17" t="s">
        <v>3352</v>
      </c>
      <c r="I2808" s="17"/>
      <c r="J2808" s="17"/>
      <c r="K2808" s="17"/>
      <c r="L2808" s="17"/>
      <c r="M2808" s="17"/>
      <c r="N2808" s="17"/>
      <c r="O2808" s="17"/>
      <c r="P2808" s="17"/>
      <c r="Q2808" s="17"/>
    </row>
    <row r="2809" spans="1:17">
      <c r="A2809" s="556" t="s">
        <v>3639</v>
      </c>
      <c r="B2809" s="557"/>
      <c r="C2809" s="558" t="s">
        <v>2357</v>
      </c>
      <c r="D2809" s="556" t="s">
        <v>4324</v>
      </c>
      <c r="E2809" s="17" t="s">
        <v>6272</v>
      </c>
      <c r="F2809" s="84">
        <f>ROW('NOTE 30'!F15)-ROW('NOTE 30'!F9)+1</f>
        <v>7</v>
      </c>
      <c r="G2809" s="17">
        <v>3</v>
      </c>
      <c r="H2809" s="17" t="s">
        <v>3353</v>
      </c>
      <c r="I2809" s="17"/>
      <c r="J2809" s="17"/>
      <c r="K2809" s="17"/>
      <c r="L2809" s="17"/>
      <c r="M2809" s="17"/>
      <c r="N2809" s="17"/>
      <c r="O2809" s="17"/>
      <c r="P2809" s="17"/>
      <c r="Q2809" s="17"/>
    </row>
    <row r="2810" spans="1:17">
      <c r="A2810" s="556" t="s">
        <v>3639</v>
      </c>
      <c r="B2810" s="557"/>
      <c r="C2810" s="558" t="s">
        <v>2358</v>
      </c>
      <c r="D2810" s="556" t="s">
        <v>1693</v>
      </c>
      <c r="E2810" s="17" t="s">
        <v>6273</v>
      </c>
      <c r="F2810" s="84">
        <f>ROW('NOTE 30'!F16)-ROW('NOTE 30'!F9)+1</f>
        <v>8</v>
      </c>
      <c r="G2810" s="17">
        <v>1</v>
      </c>
      <c r="H2810" s="17" t="s">
        <v>3355</v>
      </c>
      <c r="I2810" s="17"/>
      <c r="J2810" s="17"/>
      <c r="K2810" s="17"/>
      <c r="L2810" s="17"/>
      <c r="M2810" s="17"/>
      <c r="N2810" s="17"/>
      <c r="O2810" s="17"/>
      <c r="P2810" s="17"/>
      <c r="Q2810" s="17"/>
    </row>
    <row r="2811" spans="1:17">
      <c r="A2811" s="556" t="s">
        <v>3639</v>
      </c>
      <c r="B2811" s="557"/>
      <c r="C2811" s="558" t="s">
        <v>2358</v>
      </c>
      <c r="D2811" s="556" t="s">
        <v>1694</v>
      </c>
      <c r="E2811" s="17" t="s">
        <v>6274</v>
      </c>
      <c r="F2811" s="84">
        <f>ROW('NOTE 30'!F16)-ROW('NOTE 30'!F9)+1</f>
        <v>8</v>
      </c>
      <c r="G2811" s="17">
        <v>2</v>
      </c>
      <c r="H2811" s="17" t="s">
        <v>3356</v>
      </c>
      <c r="I2811" s="17"/>
      <c r="J2811" s="17"/>
      <c r="K2811" s="17"/>
      <c r="L2811" s="17"/>
      <c r="M2811" s="17"/>
      <c r="N2811" s="17"/>
      <c r="O2811" s="17"/>
      <c r="P2811" s="17"/>
      <c r="Q2811" s="17"/>
    </row>
    <row r="2812" spans="1:17">
      <c r="A2812" s="556" t="s">
        <v>3639</v>
      </c>
      <c r="B2812" s="557"/>
      <c r="C2812" s="558" t="s">
        <v>2358</v>
      </c>
      <c r="D2812" s="556" t="s">
        <v>4324</v>
      </c>
      <c r="E2812" s="17" t="s">
        <v>6275</v>
      </c>
      <c r="F2812" s="84">
        <f>ROW('NOTE 30'!F16)-ROW('NOTE 30'!F9)+1</f>
        <v>8</v>
      </c>
      <c r="G2812" s="17">
        <v>3</v>
      </c>
      <c r="H2812" s="17" t="s">
        <v>3357</v>
      </c>
      <c r="I2812" s="17"/>
      <c r="J2812" s="17"/>
      <c r="K2812" s="17"/>
      <c r="L2812" s="17"/>
      <c r="M2812" s="17"/>
      <c r="N2812" s="17"/>
      <c r="O2812" s="17"/>
      <c r="P2812" s="17"/>
      <c r="Q2812" s="17"/>
    </row>
    <row r="2813" spans="1:17">
      <c r="A2813" s="556" t="s">
        <v>3639</v>
      </c>
      <c r="B2813" s="557"/>
      <c r="C2813" s="558" t="s">
        <v>1347</v>
      </c>
      <c r="D2813" s="556" t="s">
        <v>1693</v>
      </c>
      <c r="E2813" s="17" t="s">
        <v>6276</v>
      </c>
      <c r="F2813" s="84">
        <f>ROW('NOTE 30'!F17)-ROW('NOTE 30'!F9)+1</f>
        <v>9</v>
      </c>
      <c r="G2813" s="17">
        <v>1</v>
      </c>
      <c r="H2813" s="17" t="s">
        <v>3359</v>
      </c>
      <c r="I2813" s="17"/>
      <c r="J2813" s="17"/>
      <c r="K2813" s="17"/>
      <c r="L2813" s="17"/>
      <c r="M2813" s="17"/>
      <c r="N2813" s="17"/>
      <c r="O2813" s="17"/>
      <c r="P2813" s="17"/>
      <c r="Q2813" s="17"/>
    </row>
    <row r="2814" spans="1:17">
      <c r="A2814" s="556" t="s">
        <v>3639</v>
      </c>
      <c r="B2814" s="557"/>
      <c r="C2814" s="558" t="s">
        <v>1347</v>
      </c>
      <c r="D2814" s="556" t="s">
        <v>1694</v>
      </c>
      <c r="E2814" s="17" t="s">
        <v>6277</v>
      </c>
      <c r="F2814" s="84">
        <f>ROW('NOTE 30'!F17)-ROW('NOTE 30'!F9)+1</f>
        <v>9</v>
      </c>
      <c r="G2814" s="17">
        <v>2</v>
      </c>
      <c r="H2814" s="17" t="s">
        <v>3360</v>
      </c>
      <c r="I2814" s="17"/>
      <c r="J2814" s="17"/>
      <c r="K2814" s="17"/>
      <c r="L2814" s="17"/>
      <c r="M2814" s="17"/>
      <c r="N2814" s="17"/>
      <c r="O2814" s="17"/>
      <c r="P2814" s="17"/>
      <c r="Q2814" s="17"/>
    </row>
    <row r="2815" spans="1:17">
      <c r="A2815" s="556" t="s">
        <v>3639</v>
      </c>
      <c r="B2815" s="557"/>
      <c r="C2815" s="558" t="s">
        <v>1347</v>
      </c>
      <c r="D2815" s="556" t="s">
        <v>4324</v>
      </c>
      <c r="E2815" s="17" t="s">
        <v>6278</v>
      </c>
      <c r="F2815" s="84">
        <f>ROW('NOTE 30'!F17)-ROW('NOTE 30'!F9)+1</f>
        <v>9</v>
      </c>
      <c r="G2815" s="17">
        <v>3</v>
      </c>
      <c r="H2815" s="17" t="s">
        <v>3327</v>
      </c>
      <c r="I2815" s="17"/>
      <c r="J2815" s="17"/>
      <c r="K2815" s="17"/>
      <c r="L2815" s="17"/>
      <c r="M2815" s="17"/>
      <c r="N2815" s="17"/>
      <c r="O2815" s="17"/>
      <c r="P2815" s="17"/>
      <c r="Q2815" s="17"/>
    </row>
    <row r="2816" spans="1:17">
      <c r="A2816" s="556" t="s">
        <v>3639</v>
      </c>
      <c r="B2816" s="557"/>
      <c r="C2816" s="558" t="s">
        <v>2359</v>
      </c>
      <c r="D2816" s="556" t="s">
        <v>1693</v>
      </c>
      <c r="E2816" s="17" t="s">
        <v>6279</v>
      </c>
      <c r="F2816" s="84">
        <f>ROW('NOTE 30'!F18)-ROW('NOTE 30'!F9)+1</f>
        <v>10</v>
      </c>
      <c r="G2816" s="17">
        <v>1</v>
      </c>
      <c r="H2816" s="17" t="s">
        <v>3362</v>
      </c>
      <c r="I2816" s="17">
        <v>0</v>
      </c>
      <c r="J2816" s="17"/>
      <c r="K2816" s="17"/>
      <c r="L2816" s="17"/>
      <c r="M2816" s="17"/>
      <c r="N2816" s="17"/>
      <c r="O2816" s="17"/>
      <c r="P2816" s="17"/>
      <c r="Q2816" s="17"/>
    </row>
    <row r="2817" spans="1:17">
      <c r="A2817" s="556" t="s">
        <v>3639</v>
      </c>
      <c r="B2817" s="557"/>
      <c r="C2817" s="558" t="s">
        <v>2359</v>
      </c>
      <c r="D2817" s="556" t="s">
        <v>1694</v>
      </c>
      <c r="E2817" s="17" t="s">
        <v>6280</v>
      </c>
      <c r="F2817" s="84">
        <f>ROW('NOTE 30'!F18)-ROW('NOTE 30'!F9)+1</f>
        <v>10</v>
      </c>
      <c r="G2817" s="17">
        <v>2</v>
      </c>
      <c r="H2817" s="17" t="s">
        <v>3363</v>
      </c>
      <c r="I2817" s="17">
        <v>0</v>
      </c>
      <c r="J2817" s="17"/>
      <c r="K2817" s="17"/>
      <c r="L2817" s="17"/>
      <c r="M2817" s="17"/>
      <c r="N2817" s="17"/>
      <c r="O2817" s="17"/>
      <c r="P2817" s="17"/>
      <c r="Q2817" s="17"/>
    </row>
    <row r="2818" spans="1:17">
      <c r="A2818" s="556" t="s">
        <v>3639</v>
      </c>
      <c r="B2818" s="557"/>
      <c r="C2818" s="558" t="s">
        <v>2359</v>
      </c>
      <c r="D2818" s="556" t="s">
        <v>4324</v>
      </c>
      <c r="E2818" s="17" t="s">
        <v>6281</v>
      </c>
      <c r="F2818" s="84">
        <f>ROW('NOTE 30'!F18)-ROW('NOTE 30'!F9)+1</f>
        <v>10</v>
      </c>
      <c r="G2818" s="17">
        <v>3</v>
      </c>
      <c r="H2818" s="17" t="s">
        <v>3364</v>
      </c>
      <c r="I2818" s="17"/>
      <c r="J2818" s="17"/>
      <c r="K2818" s="17"/>
      <c r="L2818" s="17"/>
      <c r="M2818" s="17"/>
      <c r="N2818" s="17"/>
      <c r="O2818" s="17"/>
      <c r="P2818" s="17"/>
      <c r="Q2818" s="17"/>
    </row>
    <row r="2819" spans="1:17">
      <c r="A2819" s="556" t="s">
        <v>3639</v>
      </c>
      <c r="B2819" s="557"/>
      <c r="C2819" s="558" t="s">
        <v>6282</v>
      </c>
      <c r="D2819" s="556" t="s">
        <v>1693</v>
      </c>
      <c r="E2819" s="17" t="s">
        <v>6283</v>
      </c>
      <c r="F2819" s="84">
        <f>ROW('NOTE 30'!F19)-ROW('NOTE 30'!F9)+1</f>
        <v>11</v>
      </c>
      <c r="G2819" s="17">
        <v>1</v>
      </c>
      <c r="H2819" s="17" t="s">
        <v>3366</v>
      </c>
      <c r="I2819" s="17">
        <v>0</v>
      </c>
      <c r="J2819" s="17"/>
      <c r="K2819" s="17"/>
      <c r="L2819" s="17"/>
      <c r="M2819" s="17"/>
      <c r="N2819" s="17"/>
      <c r="O2819" s="17"/>
      <c r="P2819" s="17"/>
      <c r="Q2819" s="17"/>
    </row>
    <row r="2820" spans="1:17">
      <c r="A2820" s="556" t="s">
        <v>3639</v>
      </c>
      <c r="B2820" s="557"/>
      <c r="C2820" s="558" t="s">
        <v>6282</v>
      </c>
      <c r="D2820" s="556" t="s">
        <v>1694</v>
      </c>
      <c r="E2820" s="17" t="s">
        <v>6284</v>
      </c>
      <c r="F2820" s="84">
        <f>ROW('NOTE 30'!F19)-ROW('NOTE 30'!F9)+1</f>
        <v>11</v>
      </c>
      <c r="G2820" s="17">
        <v>2</v>
      </c>
      <c r="H2820" s="17" t="s">
        <v>3367</v>
      </c>
      <c r="I2820" s="17">
        <v>0</v>
      </c>
      <c r="J2820" s="17"/>
      <c r="K2820" s="17"/>
      <c r="L2820" s="17"/>
      <c r="M2820" s="17"/>
      <c r="N2820" s="17"/>
      <c r="O2820" s="17"/>
      <c r="P2820" s="17"/>
      <c r="Q2820" s="17"/>
    </row>
    <row r="2821" spans="1:17">
      <c r="A2821" s="556" t="s">
        <v>3639</v>
      </c>
      <c r="B2821" s="557"/>
      <c r="C2821" s="558" t="s">
        <v>6282</v>
      </c>
      <c r="D2821" s="556" t="s">
        <v>4324</v>
      </c>
      <c r="E2821" s="17" t="s">
        <v>6285</v>
      </c>
      <c r="F2821" s="84">
        <f>ROW('NOTE 30'!F19)-ROW('NOTE 30'!F9)+1</f>
        <v>11</v>
      </c>
      <c r="G2821" s="17">
        <v>3</v>
      </c>
      <c r="H2821" s="17" t="s">
        <v>3368</v>
      </c>
      <c r="I2821" s="17"/>
      <c r="J2821" s="17"/>
      <c r="K2821" s="17"/>
      <c r="L2821" s="17"/>
      <c r="M2821" s="17"/>
      <c r="N2821" s="17"/>
      <c r="O2821" s="17"/>
      <c r="P2821" s="17"/>
      <c r="Q2821" s="17"/>
    </row>
    <row r="2822" spans="1:17">
      <c r="A2822" s="556" t="s">
        <v>3639</v>
      </c>
      <c r="B2822" s="557"/>
      <c r="C2822" s="558" t="s">
        <v>2361</v>
      </c>
      <c r="D2822" s="556" t="s">
        <v>1693</v>
      </c>
      <c r="E2822" s="17" t="s">
        <v>6286</v>
      </c>
      <c r="F2822" s="84">
        <f>ROW('NOTE 30'!F21)-ROW('NOTE 30'!F9)+1</f>
        <v>13</v>
      </c>
      <c r="G2822" s="17">
        <v>1</v>
      </c>
      <c r="H2822" s="17" t="s">
        <v>3374</v>
      </c>
      <c r="I2822" s="17"/>
      <c r="J2822" s="17"/>
      <c r="K2822" s="17"/>
      <c r="L2822" s="17"/>
      <c r="M2822" s="17"/>
      <c r="N2822" s="17"/>
      <c r="O2822" s="17"/>
      <c r="P2822" s="17"/>
      <c r="Q2822" s="17"/>
    </row>
    <row r="2823" spans="1:17">
      <c r="A2823" s="556" t="s">
        <v>3639</v>
      </c>
      <c r="B2823" s="557"/>
      <c r="C2823" s="558" t="s">
        <v>2361</v>
      </c>
      <c r="D2823" s="556" t="s">
        <v>1694</v>
      </c>
      <c r="E2823" s="17" t="s">
        <v>6287</v>
      </c>
      <c r="F2823" s="84">
        <f>ROW('NOTE 30'!F21)-ROW('NOTE 30'!F9)+1</f>
        <v>13</v>
      </c>
      <c r="G2823" s="17">
        <v>2</v>
      </c>
      <c r="H2823" s="17" t="s">
        <v>3375</v>
      </c>
      <c r="I2823" s="17"/>
      <c r="J2823" s="17"/>
      <c r="K2823" s="17"/>
      <c r="L2823" s="17"/>
      <c r="M2823" s="17"/>
      <c r="N2823" s="17"/>
      <c r="O2823" s="17"/>
      <c r="P2823" s="17"/>
      <c r="Q2823" s="17"/>
    </row>
    <row r="2824" spans="1:17">
      <c r="A2824" s="556" t="s">
        <v>3639</v>
      </c>
      <c r="B2824" s="557"/>
      <c r="C2824" s="558" t="s">
        <v>2361</v>
      </c>
      <c r="D2824" s="556" t="s">
        <v>4324</v>
      </c>
      <c r="E2824" s="17" t="s">
        <v>6288</v>
      </c>
      <c r="F2824" s="84">
        <f>ROW('NOTE 30'!F21)-ROW('NOTE 30'!F9)+1</f>
        <v>13</v>
      </c>
      <c r="G2824" s="17">
        <v>3</v>
      </c>
      <c r="H2824" s="17" t="s">
        <v>3376</v>
      </c>
      <c r="I2824" s="17"/>
      <c r="J2824" s="17"/>
      <c r="K2824" s="17"/>
      <c r="L2824" s="17"/>
      <c r="M2824" s="17"/>
      <c r="N2824" s="17"/>
      <c r="O2824" s="17"/>
      <c r="P2824" s="17"/>
      <c r="Q2824" s="17"/>
    </row>
    <row r="2825" spans="1:17">
      <c r="A2825" s="556" t="s">
        <v>3639</v>
      </c>
      <c r="B2825" s="557"/>
      <c r="C2825" s="558" t="s">
        <v>2362</v>
      </c>
      <c r="D2825" s="556" t="s">
        <v>1693</v>
      </c>
      <c r="E2825" s="17" t="s">
        <v>6289</v>
      </c>
      <c r="F2825" s="84">
        <f>ROW('NOTE 30'!F22)-ROW('NOTE 30'!F9)+1</f>
        <v>14</v>
      </c>
      <c r="G2825" s="17">
        <v>1</v>
      </c>
      <c r="H2825" s="17" t="s">
        <v>3378</v>
      </c>
      <c r="I2825" s="17"/>
      <c r="J2825" s="17"/>
      <c r="K2825" s="17"/>
      <c r="L2825" s="17"/>
      <c r="M2825" s="17"/>
      <c r="N2825" s="17"/>
      <c r="O2825" s="17"/>
      <c r="P2825" s="17"/>
      <c r="Q2825" s="17"/>
    </row>
    <row r="2826" spans="1:17">
      <c r="A2826" s="556" t="s">
        <v>3639</v>
      </c>
      <c r="B2826" s="557"/>
      <c r="C2826" s="558" t="s">
        <v>2362</v>
      </c>
      <c r="D2826" s="556" t="s">
        <v>1694</v>
      </c>
      <c r="E2826" s="17" t="s">
        <v>6290</v>
      </c>
      <c r="F2826" s="84">
        <f>ROW('NOTE 30'!F22)-ROW('NOTE 30'!F9)+1</f>
        <v>14</v>
      </c>
      <c r="G2826" s="17">
        <v>2</v>
      </c>
      <c r="H2826" s="17" t="s">
        <v>3379</v>
      </c>
      <c r="I2826" s="17"/>
      <c r="J2826" s="17"/>
      <c r="K2826" s="17"/>
      <c r="L2826" s="17"/>
      <c r="M2826" s="17"/>
      <c r="N2826" s="17"/>
      <c r="O2826" s="17"/>
      <c r="P2826" s="17"/>
      <c r="Q2826" s="17"/>
    </row>
    <row r="2827" spans="1:17">
      <c r="A2827" s="556" t="s">
        <v>3639</v>
      </c>
      <c r="B2827" s="557"/>
      <c r="C2827" s="558" t="s">
        <v>2362</v>
      </c>
      <c r="D2827" s="556" t="s">
        <v>4324</v>
      </c>
      <c r="E2827" s="17" t="s">
        <v>6291</v>
      </c>
      <c r="F2827" s="84">
        <f>ROW('NOTE 30'!F22)-ROW('NOTE 30'!F9)+1</f>
        <v>14</v>
      </c>
      <c r="G2827" s="17">
        <v>3</v>
      </c>
      <c r="H2827" s="17" t="s">
        <v>3380</v>
      </c>
      <c r="I2827" s="17"/>
      <c r="J2827" s="17"/>
      <c r="K2827" s="17"/>
      <c r="L2827" s="17"/>
      <c r="M2827" s="17"/>
      <c r="N2827" s="17"/>
      <c r="O2827" s="17"/>
      <c r="P2827" s="17"/>
      <c r="Q2827" s="17"/>
    </row>
    <row r="2828" spans="1:17">
      <c r="A2828" s="556" t="s">
        <v>3639</v>
      </c>
      <c r="B2828" s="557"/>
      <c r="C2828" s="558" t="s">
        <v>2363</v>
      </c>
      <c r="D2828" s="556" t="s">
        <v>1693</v>
      </c>
      <c r="E2828" s="17" t="s">
        <v>6292</v>
      </c>
      <c r="F2828" s="84">
        <f>ROW('NOTE 30'!F23)-ROW('NOTE 30'!F9)+1</f>
        <v>15</v>
      </c>
      <c r="G2828" s="17">
        <v>1</v>
      </c>
      <c r="H2828" s="17" t="s">
        <v>3382</v>
      </c>
      <c r="I2828" s="17"/>
      <c r="J2828" s="17"/>
      <c r="K2828" s="17"/>
      <c r="L2828" s="17"/>
      <c r="M2828" s="17"/>
      <c r="N2828" s="17"/>
      <c r="O2828" s="17"/>
      <c r="P2828" s="17"/>
      <c r="Q2828" s="17"/>
    </row>
    <row r="2829" spans="1:17">
      <c r="A2829" s="556" t="s">
        <v>3639</v>
      </c>
      <c r="B2829" s="557"/>
      <c r="C2829" s="558" t="s">
        <v>2363</v>
      </c>
      <c r="D2829" s="556" t="s">
        <v>1694</v>
      </c>
      <c r="E2829" s="17" t="s">
        <v>6293</v>
      </c>
      <c r="F2829" s="84">
        <f>ROW('NOTE 30'!F23)-ROW('NOTE 30'!F9)+1</f>
        <v>15</v>
      </c>
      <c r="G2829" s="17">
        <v>2</v>
      </c>
      <c r="H2829" s="17" t="s">
        <v>3383</v>
      </c>
      <c r="I2829" s="17"/>
      <c r="J2829" s="17"/>
      <c r="K2829" s="17"/>
      <c r="L2829" s="17"/>
      <c r="M2829" s="17"/>
      <c r="N2829" s="17"/>
      <c r="O2829" s="17"/>
      <c r="P2829" s="17"/>
      <c r="Q2829" s="17"/>
    </row>
    <row r="2830" spans="1:17">
      <c r="A2830" s="556" t="s">
        <v>3639</v>
      </c>
      <c r="B2830" s="557"/>
      <c r="C2830" s="558" t="s">
        <v>2363</v>
      </c>
      <c r="D2830" s="556" t="s">
        <v>4324</v>
      </c>
      <c r="E2830" s="17" t="s">
        <v>6294</v>
      </c>
      <c r="F2830" s="84">
        <f>ROW('NOTE 30'!F23)-ROW('NOTE 30'!F9)+1</f>
        <v>15</v>
      </c>
      <c r="G2830" s="17">
        <v>3</v>
      </c>
      <c r="H2830" s="17" t="s">
        <v>3384</v>
      </c>
      <c r="I2830" s="17"/>
      <c r="J2830" s="17"/>
      <c r="K2830" s="17"/>
      <c r="L2830" s="17"/>
      <c r="M2830" s="17"/>
      <c r="N2830" s="17"/>
      <c r="O2830" s="17"/>
      <c r="P2830" s="17"/>
      <c r="Q2830" s="17"/>
    </row>
    <row r="2831" spans="1:17">
      <c r="A2831" s="556" t="s">
        <v>3639</v>
      </c>
      <c r="B2831" s="557"/>
      <c r="C2831" s="558" t="s">
        <v>2364</v>
      </c>
      <c r="D2831" s="556" t="s">
        <v>1693</v>
      </c>
      <c r="E2831" s="17" t="s">
        <v>6295</v>
      </c>
      <c r="F2831" s="84">
        <f>ROW('NOTE 30'!F24)-ROW('NOTE 30'!F9)+1</f>
        <v>16</v>
      </c>
      <c r="G2831" s="17">
        <v>1</v>
      </c>
      <c r="H2831" s="17" t="s">
        <v>3386</v>
      </c>
      <c r="I2831" s="17"/>
      <c r="J2831" s="17"/>
      <c r="K2831" s="17"/>
      <c r="L2831" s="17"/>
      <c r="M2831" s="17"/>
      <c r="N2831" s="17"/>
      <c r="O2831" s="17"/>
      <c r="P2831" s="17"/>
      <c r="Q2831" s="17"/>
    </row>
    <row r="2832" spans="1:17">
      <c r="A2832" s="556" t="s">
        <v>3639</v>
      </c>
      <c r="B2832" s="557"/>
      <c r="C2832" s="558" t="s">
        <v>2364</v>
      </c>
      <c r="D2832" s="556" t="s">
        <v>1694</v>
      </c>
      <c r="E2832" s="17" t="s">
        <v>6296</v>
      </c>
      <c r="F2832" s="84">
        <f>ROW('NOTE 30'!F24)-ROW('NOTE 30'!F9)+1</f>
        <v>16</v>
      </c>
      <c r="G2832" s="17">
        <v>2</v>
      </c>
      <c r="H2832" s="17" t="s">
        <v>3387</v>
      </c>
      <c r="I2832" s="17"/>
      <c r="J2832" s="17"/>
      <c r="K2832" s="17"/>
      <c r="L2832" s="17"/>
      <c r="M2832" s="17"/>
      <c r="N2832" s="17"/>
      <c r="O2832" s="17"/>
      <c r="P2832" s="17"/>
      <c r="Q2832" s="17"/>
    </row>
    <row r="2833" spans="1:17">
      <c r="A2833" s="556" t="s">
        <v>3639</v>
      </c>
      <c r="B2833" s="557"/>
      <c r="C2833" s="558" t="s">
        <v>2364</v>
      </c>
      <c r="D2833" s="556" t="s">
        <v>4324</v>
      </c>
      <c r="E2833" s="17" t="s">
        <v>6297</v>
      </c>
      <c r="F2833" s="84">
        <f>ROW('NOTE 30'!F24)-ROW('NOTE 30'!F9)+1</f>
        <v>16</v>
      </c>
      <c r="G2833" s="17">
        <v>3</v>
      </c>
      <c r="H2833" s="17" t="s">
        <v>3388</v>
      </c>
      <c r="I2833" s="17"/>
      <c r="J2833" s="17"/>
      <c r="K2833" s="17"/>
      <c r="L2833" s="17"/>
      <c r="M2833" s="17"/>
      <c r="N2833" s="17"/>
      <c r="O2833" s="17"/>
      <c r="P2833" s="17"/>
      <c r="Q2833" s="17"/>
    </row>
    <row r="2834" spans="1:17">
      <c r="A2834" s="556" t="s">
        <v>3639</v>
      </c>
      <c r="B2834" s="557"/>
      <c r="C2834" s="558" t="s">
        <v>2365</v>
      </c>
      <c r="D2834" s="556" t="s">
        <v>1693</v>
      </c>
      <c r="E2834" s="17" t="s">
        <v>6298</v>
      </c>
      <c r="F2834" s="84">
        <f>ROW('NOTE 30'!F25)-ROW('NOTE 30'!F9)+1</f>
        <v>17</v>
      </c>
      <c r="G2834" s="17">
        <v>1</v>
      </c>
      <c r="H2834" s="17" t="s">
        <v>3390</v>
      </c>
      <c r="I2834" s="17"/>
      <c r="J2834" s="17"/>
      <c r="K2834" s="17"/>
      <c r="L2834" s="17"/>
      <c r="M2834" s="17"/>
      <c r="N2834" s="17"/>
      <c r="O2834" s="17"/>
      <c r="P2834" s="17"/>
      <c r="Q2834" s="17"/>
    </row>
    <row r="2835" spans="1:17">
      <c r="A2835" s="556" t="s">
        <v>3639</v>
      </c>
      <c r="B2835" s="557"/>
      <c r="C2835" s="558" t="s">
        <v>2365</v>
      </c>
      <c r="D2835" s="556" t="s">
        <v>1694</v>
      </c>
      <c r="E2835" s="17" t="s">
        <v>6299</v>
      </c>
      <c r="F2835" s="84">
        <f>ROW('NOTE 30'!F25)-ROW('NOTE 30'!F9)+1</f>
        <v>17</v>
      </c>
      <c r="G2835" s="17">
        <v>2</v>
      </c>
      <c r="H2835" s="17" t="s">
        <v>3391</v>
      </c>
      <c r="I2835" s="17"/>
      <c r="J2835" s="17"/>
      <c r="K2835" s="17"/>
      <c r="L2835" s="17"/>
      <c r="M2835" s="17"/>
      <c r="N2835" s="17"/>
      <c r="O2835" s="17"/>
      <c r="P2835" s="17"/>
      <c r="Q2835" s="17"/>
    </row>
    <row r="2836" spans="1:17">
      <c r="A2836" s="556" t="s">
        <v>3639</v>
      </c>
      <c r="B2836" s="557"/>
      <c r="C2836" s="558" t="s">
        <v>2365</v>
      </c>
      <c r="D2836" s="556" t="s">
        <v>4324</v>
      </c>
      <c r="E2836" s="17" t="s">
        <v>6300</v>
      </c>
      <c r="F2836" s="84">
        <f>ROW('NOTE 30'!F25)-ROW('NOTE 30'!F9)+1</f>
        <v>17</v>
      </c>
      <c r="G2836" s="17">
        <v>3</v>
      </c>
      <c r="H2836" s="17" t="s">
        <v>3392</v>
      </c>
      <c r="I2836" s="17"/>
      <c r="J2836" s="17"/>
      <c r="K2836" s="17"/>
      <c r="L2836" s="17"/>
      <c r="M2836" s="17"/>
      <c r="N2836" s="17"/>
      <c r="O2836" s="17"/>
      <c r="P2836" s="17"/>
      <c r="Q2836" s="17"/>
    </row>
    <row r="2837" spans="1:17">
      <c r="A2837" s="556" t="s">
        <v>3639</v>
      </c>
      <c r="B2837" s="557"/>
      <c r="C2837" s="558" t="s">
        <v>2366</v>
      </c>
      <c r="D2837" s="556" t="s">
        <v>1693</v>
      </c>
      <c r="E2837" s="17" t="s">
        <v>6301</v>
      </c>
      <c r="F2837" s="84">
        <f>ROW('NOTE 30'!F26)-ROW('NOTE 30'!F9)+1</f>
        <v>18</v>
      </c>
      <c r="G2837" s="17">
        <v>1</v>
      </c>
      <c r="H2837" s="17" t="s">
        <v>3394</v>
      </c>
      <c r="I2837" s="17"/>
      <c r="J2837" s="17"/>
      <c r="K2837" s="17"/>
      <c r="L2837" s="17"/>
      <c r="M2837" s="17"/>
      <c r="N2837" s="17"/>
      <c r="O2837" s="17"/>
      <c r="P2837" s="17"/>
      <c r="Q2837" s="17"/>
    </row>
    <row r="2838" spans="1:17">
      <c r="A2838" s="556" t="s">
        <v>3639</v>
      </c>
      <c r="B2838" s="557"/>
      <c r="C2838" s="558" t="s">
        <v>2366</v>
      </c>
      <c r="D2838" s="556" t="s">
        <v>1694</v>
      </c>
      <c r="E2838" s="17" t="s">
        <v>6302</v>
      </c>
      <c r="F2838" s="84">
        <f>ROW('NOTE 30'!F26)-ROW('NOTE 30'!F9)+1</f>
        <v>18</v>
      </c>
      <c r="G2838" s="17">
        <v>2</v>
      </c>
      <c r="H2838" s="17" t="s">
        <v>3395</v>
      </c>
      <c r="I2838" s="17"/>
      <c r="J2838" s="17"/>
      <c r="K2838" s="17"/>
      <c r="L2838" s="17"/>
      <c r="M2838" s="17"/>
      <c r="N2838" s="17"/>
      <c r="O2838" s="17"/>
      <c r="P2838" s="17"/>
      <c r="Q2838" s="17"/>
    </row>
    <row r="2839" spans="1:17">
      <c r="A2839" s="556" t="s">
        <v>3639</v>
      </c>
      <c r="B2839" s="557"/>
      <c r="C2839" s="558" t="s">
        <v>2366</v>
      </c>
      <c r="D2839" s="556" t="s">
        <v>4324</v>
      </c>
      <c r="E2839" s="17" t="s">
        <v>6303</v>
      </c>
      <c r="F2839" s="84">
        <f>ROW('NOTE 30'!F26)-ROW('NOTE 30'!F9)+1</f>
        <v>18</v>
      </c>
      <c r="G2839" s="17">
        <v>3</v>
      </c>
      <c r="H2839" s="17" t="s">
        <v>3396</v>
      </c>
      <c r="I2839" s="17"/>
      <c r="J2839" s="17"/>
      <c r="K2839" s="17"/>
      <c r="L2839" s="17"/>
      <c r="M2839" s="17"/>
      <c r="N2839" s="17"/>
      <c r="O2839" s="17"/>
      <c r="P2839" s="17"/>
      <c r="Q2839" s="17"/>
    </row>
    <row r="2840" spans="1:17">
      <c r="A2840" s="556" t="s">
        <v>3639</v>
      </c>
      <c r="B2840" s="557"/>
      <c r="C2840" s="558" t="s">
        <v>2367</v>
      </c>
      <c r="D2840" s="556" t="s">
        <v>1693</v>
      </c>
      <c r="E2840" s="17" t="s">
        <v>6304</v>
      </c>
      <c r="F2840" s="84">
        <f>ROW('NOTE 30'!F27)-ROW('NOTE 30'!F9)+1</f>
        <v>19</v>
      </c>
      <c r="G2840" s="17">
        <v>1</v>
      </c>
      <c r="H2840" s="17" t="s">
        <v>3398</v>
      </c>
      <c r="I2840" s="17"/>
      <c r="J2840" s="17"/>
      <c r="K2840" s="17"/>
      <c r="L2840" s="17"/>
      <c r="M2840" s="17"/>
      <c r="N2840" s="17"/>
      <c r="O2840" s="17"/>
      <c r="P2840" s="17"/>
      <c r="Q2840" s="17"/>
    </row>
    <row r="2841" spans="1:17">
      <c r="A2841" s="556" t="s">
        <v>3639</v>
      </c>
      <c r="B2841" s="557"/>
      <c r="C2841" s="558" t="s">
        <v>2367</v>
      </c>
      <c r="D2841" s="556" t="s">
        <v>1694</v>
      </c>
      <c r="E2841" s="17" t="s">
        <v>6305</v>
      </c>
      <c r="F2841" s="84">
        <f>ROW('NOTE 30'!F27)-ROW('NOTE 30'!F9)+1</f>
        <v>19</v>
      </c>
      <c r="G2841" s="17">
        <v>2</v>
      </c>
      <c r="H2841" s="17" t="s">
        <v>3399</v>
      </c>
      <c r="I2841" s="17"/>
      <c r="J2841" s="17"/>
      <c r="K2841" s="17"/>
      <c r="L2841" s="17"/>
      <c r="M2841" s="17"/>
      <c r="N2841" s="17"/>
      <c r="O2841" s="17"/>
      <c r="P2841" s="17"/>
      <c r="Q2841" s="17"/>
    </row>
    <row r="2842" spans="1:17">
      <c r="A2842" s="556" t="s">
        <v>3639</v>
      </c>
      <c r="B2842" s="557"/>
      <c r="C2842" s="558" t="s">
        <v>2367</v>
      </c>
      <c r="D2842" s="556" t="s">
        <v>4324</v>
      </c>
      <c r="E2842" s="17" t="s">
        <v>6306</v>
      </c>
      <c r="F2842" s="84">
        <f>ROW('NOTE 30'!F27)-ROW('NOTE 30'!F9)+1</f>
        <v>19</v>
      </c>
      <c r="G2842" s="17">
        <v>3</v>
      </c>
      <c r="H2842" s="17" t="s">
        <v>3400</v>
      </c>
      <c r="I2842" s="17"/>
      <c r="J2842" s="17"/>
      <c r="K2842" s="17"/>
      <c r="L2842" s="17"/>
      <c r="M2842" s="17"/>
      <c r="N2842" s="17"/>
      <c r="O2842" s="17"/>
      <c r="P2842" s="17"/>
      <c r="Q2842" s="17"/>
    </row>
    <row r="2843" spans="1:17">
      <c r="A2843" s="556" t="s">
        <v>3639</v>
      </c>
      <c r="B2843" s="557"/>
      <c r="C2843" s="558" t="s">
        <v>2368</v>
      </c>
      <c r="D2843" s="556" t="s">
        <v>1693</v>
      </c>
      <c r="E2843" s="17" t="s">
        <v>6307</v>
      </c>
      <c r="F2843" s="84">
        <f>ROW('NOTE 30'!F28)-ROW('NOTE 30'!F9)+1</f>
        <v>20</v>
      </c>
      <c r="G2843" s="17">
        <v>1</v>
      </c>
      <c r="H2843" s="17" t="s">
        <v>3402</v>
      </c>
      <c r="I2843" s="17"/>
      <c r="J2843" s="17"/>
      <c r="K2843" s="17"/>
      <c r="L2843" s="17"/>
      <c r="M2843" s="17"/>
      <c r="N2843" s="17"/>
      <c r="O2843" s="17"/>
      <c r="P2843" s="17"/>
      <c r="Q2843" s="17"/>
    </row>
    <row r="2844" spans="1:17">
      <c r="A2844" s="556" t="s">
        <v>3639</v>
      </c>
      <c r="B2844" s="557"/>
      <c r="C2844" s="558" t="s">
        <v>2368</v>
      </c>
      <c r="D2844" s="556" t="s">
        <v>1694</v>
      </c>
      <c r="E2844" s="17" t="s">
        <v>6308</v>
      </c>
      <c r="F2844" s="84">
        <f>ROW('NOTE 30'!F28)-ROW('NOTE 30'!F9)+1</f>
        <v>20</v>
      </c>
      <c r="G2844" s="17">
        <v>2</v>
      </c>
      <c r="H2844" s="17" t="s">
        <v>3403</v>
      </c>
      <c r="I2844" s="17"/>
      <c r="J2844" s="17"/>
      <c r="K2844" s="17"/>
      <c r="L2844" s="17"/>
      <c r="M2844" s="17"/>
      <c r="N2844" s="17"/>
      <c r="O2844" s="17"/>
      <c r="P2844" s="17"/>
      <c r="Q2844" s="17"/>
    </row>
    <row r="2845" spans="1:17">
      <c r="A2845" s="556" t="s">
        <v>3639</v>
      </c>
      <c r="B2845" s="557"/>
      <c r="C2845" s="558" t="s">
        <v>2368</v>
      </c>
      <c r="D2845" s="556" t="s">
        <v>4324</v>
      </c>
      <c r="E2845" s="17" t="s">
        <v>6309</v>
      </c>
      <c r="F2845" s="84">
        <f>ROW('NOTE 30'!F28)-ROW('NOTE 30'!F9)+1</f>
        <v>20</v>
      </c>
      <c r="G2845" s="17">
        <v>3</v>
      </c>
      <c r="H2845" s="17" t="s">
        <v>3404</v>
      </c>
      <c r="I2845" s="17"/>
      <c r="J2845" s="17"/>
      <c r="K2845" s="17"/>
      <c r="L2845" s="17"/>
      <c r="M2845" s="17"/>
      <c r="N2845" s="17"/>
      <c r="O2845" s="17"/>
      <c r="P2845" s="17"/>
      <c r="Q2845" s="17"/>
    </row>
    <row r="2846" spans="1:17">
      <c r="A2846" s="556" t="s">
        <v>3639</v>
      </c>
      <c r="B2846" s="557"/>
      <c r="C2846" s="558" t="s">
        <v>2369</v>
      </c>
      <c r="D2846" s="556" t="s">
        <v>1693</v>
      </c>
      <c r="E2846" s="17" t="s">
        <v>6310</v>
      </c>
      <c r="F2846" s="84">
        <f>ROW('NOTE 30'!F29)-ROW('NOTE 30'!F9)+1</f>
        <v>21</v>
      </c>
      <c r="G2846" s="17">
        <v>1</v>
      </c>
      <c r="H2846" s="17" t="s">
        <v>3406</v>
      </c>
      <c r="I2846" s="17">
        <v>0</v>
      </c>
      <c r="J2846" s="17"/>
      <c r="K2846" s="17"/>
      <c r="L2846" s="17"/>
      <c r="M2846" s="17"/>
      <c r="N2846" s="17"/>
      <c r="O2846" s="17"/>
      <c r="P2846" s="17"/>
      <c r="Q2846" s="17"/>
    </row>
    <row r="2847" spans="1:17">
      <c r="A2847" s="556" t="s">
        <v>3639</v>
      </c>
      <c r="B2847" s="557"/>
      <c r="C2847" s="558" t="s">
        <v>2369</v>
      </c>
      <c r="D2847" s="556" t="s">
        <v>1694</v>
      </c>
      <c r="E2847" s="17" t="s">
        <v>6311</v>
      </c>
      <c r="F2847" s="84">
        <f>ROW('NOTE 30'!F29)-ROW('NOTE 30'!F9)+1</f>
        <v>21</v>
      </c>
      <c r="G2847" s="17">
        <v>2</v>
      </c>
      <c r="H2847" s="17" t="s">
        <v>3407</v>
      </c>
      <c r="I2847" s="17">
        <v>0</v>
      </c>
      <c r="J2847" s="17"/>
      <c r="K2847" s="17"/>
      <c r="L2847" s="17"/>
      <c r="M2847" s="17"/>
      <c r="N2847" s="17"/>
      <c r="O2847" s="17"/>
      <c r="P2847" s="17"/>
      <c r="Q2847" s="17"/>
    </row>
    <row r="2848" spans="1:17">
      <c r="A2848" s="556" t="s">
        <v>3639</v>
      </c>
      <c r="B2848" s="557"/>
      <c r="C2848" s="558" t="s">
        <v>2369</v>
      </c>
      <c r="D2848" s="556" t="s">
        <v>4324</v>
      </c>
      <c r="E2848" s="17" t="s">
        <v>6312</v>
      </c>
      <c r="F2848" s="84">
        <f>ROW('NOTE 30'!F29)-ROW('NOTE 30'!F9)+1</f>
        <v>21</v>
      </c>
      <c r="G2848" s="17">
        <v>3</v>
      </c>
      <c r="H2848" s="17" t="s">
        <v>3408</v>
      </c>
      <c r="I2848" s="17"/>
      <c r="J2848" s="17"/>
      <c r="K2848" s="17"/>
      <c r="L2848" s="17"/>
      <c r="M2848" s="17"/>
      <c r="N2848" s="17"/>
      <c r="O2848" s="17"/>
      <c r="P2848" s="17"/>
      <c r="Q2848" s="17"/>
    </row>
    <row r="2849" spans="1:17">
      <c r="A2849" s="556" t="s">
        <v>3645</v>
      </c>
      <c r="B2849" s="557"/>
      <c r="C2849" s="558" t="s">
        <v>6313</v>
      </c>
      <c r="D2849" s="556" t="s">
        <v>1361</v>
      </c>
      <c r="E2849" s="17" t="s">
        <v>6314</v>
      </c>
      <c r="F2849" s="17">
        <v>1</v>
      </c>
      <c r="G2849" s="17">
        <v>1</v>
      </c>
      <c r="H2849" s="17" t="s">
        <v>3519</v>
      </c>
      <c r="I2849" s="17">
        <v>0</v>
      </c>
      <c r="J2849" s="17"/>
      <c r="K2849" s="17"/>
      <c r="L2849" s="17"/>
      <c r="M2849" s="17"/>
      <c r="N2849" s="17"/>
      <c r="O2849" s="17"/>
      <c r="P2849" s="17"/>
      <c r="Q2849" s="17"/>
    </row>
    <row r="2850" spans="1:17">
      <c r="A2850" s="556" t="s">
        <v>3645</v>
      </c>
      <c r="B2850" s="557"/>
      <c r="C2850" s="558" t="s">
        <v>6313</v>
      </c>
      <c r="D2850" s="556" t="s">
        <v>1362</v>
      </c>
      <c r="E2850" s="17" t="s">
        <v>6315</v>
      </c>
      <c r="F2850" s="17">
        <v>1</v>
      </c>
      <c r="G2850" s="17">
        <v>2</v>
      </c>
      <c r="H2850" s="17" t="s">
        <v>3520</v>
      </c>
      <c r="I2850" s="17">
        <v>0</v>
      </c>
      <c r="J2850" s="17"/>
      <c r="K2850" s="17"/>
      <c r="L2850" s="17"/>
      <c r="M2850" s="17"/>
      <c r="N2850" s="17"/>
      <c r="O2850" s="17"/>
      <c r="P2850" s="17"/>
      <c r="Q2850" s="17"/>
    </row>
    <row r="2851" spans="1:17">
      <c r="A2851" s="556" t="s">
        <v>3645</v>
      </c>
      <c r="B2851" s="557"/>
      <c r="C2851" s="558" t="s">
        <v>6313</v>
      </c>
      <c r="D2851" s="556" t="s">
        <v>6316</v>
      </c>
      <c r="E2851" s="17" t="s">
        <v>6317</v>
      </c>
      <c r="F2851" s="17">
        <v>1</v>
      </c>
      <c r="G2851" s="17">
        <v>3</v>
      </c>
      <c r="H2851" s="17" t="s">
        <v>3521</v>
      </c>
      <c r="I2851" s="17">
        <v>0</v>
      </c>
      <c r="J2851" s="17"/>
      <c r="K2851" s="17"/>
      <c r="L2851" s="17"/>
      <c r="M2851" s="17"/>
      <c r="N2851" s="17"/>
      <c r="O2851" s="17"/>
      <c r="P2851" s="17"/>
      <c r="Q2851" s="17"/>
    </row>
    <row r="2852" spans="1:17">
      <c r="A2852" s="556" t="s">
        <v>3645</v>
      </c>
      <c r="B2852" s="557"/>
      <c r="C2852" s="558" t="s">
        <v>6313</v>
      </c>
      <c r="D2852" s="556" t="s">
        <v>6318</v>
      </c>
      <c r="E2852" s="17" t="s">
        <v>6319</v>
      </c>
      <c r="F2852" s="17">
        <v>1</v>
      </c>
      <c r="G2852" s="17">
        <v>4</v>
      </c>
      <c r="H2852" s="17" t="s">
        <v>3505</v>
      </c>
      <c r="I2852" s="17">
        <v>0</v>
      </c>
      <c r="J2852" s="17"/>
      <c r="K2852" s="17"/>
      <c r="L2852" s="17"/>
      <c r="M2852" s="17"/>
      <c r="N2852" s="17"/>
      <c r="O2852" s="17"/>
      <c r="P2852" s="17"/>
      <c r="Q2852" s="17"/>
    </row>
    <row r="2853" spans="1:17">
      <c r="A2853" s="556" t="s">
        <v>3645</v>
      </c>
      <c r="B2853" s="557"/>
      <c r="C2853" s="558" t="s">
        <v>6313</v>
      </c>
      <c r="D2853" s="556" t="s">
        <v>6320</v>
      </c>
      <c r="E2853" s="17" t="s">
        <v>6321</v>
      </c>
      <c r="F2853" s="17">
        <v>1</v>
      </c>
      <c r="G2853" s="17">
        <v>5</v>
      </c>
      <c r="H2853" s="17" t="s">
        <v>3522</v>
      </c>
      <c r="I2853" s="17">
        <v>0</v>
      </c>
      <c r="J2853" s="17"/>
      <c r="K2853" s="17"/>
      <c r="L2853" s="17"/>
      <c r="M2853" s="17"/>
      <c r="N2853" s="17"/>
      <c r="O2853" s="17"/>
      <c r="P2853" s="17"/>
      <c r="Q2853" s="17"/>
    </row>
    <row r="2854" spans="1:17">
      <c r="A2854" s="556" t="s">
        <v>3645</v>
      </c>
      <c r="B2854" s="557"/>
      <c r="C2854" s="558" t="s">
        <v>2379</v>
      </c>
      <c r="D2854" s="556" t="s">
        <v>1361</v>
      </c>
      <c r="E2854" s="17" t="s">
        <v>6322</v>
      </c>
      <c r="F2854" s="17">
        <v>2</v>
      </c>
      <c r="G2854" s="17">
        <v>1</v>
      </c>
      <c r="H2854" s="17" t="s">
        <v>3338</v>
      </c>
      <c r="I2854" s="17"/>
      <c r="J2854" s="17"/>
      <c r="K2854" s="17"/>
      <c r="L2854" s="17"/>
      <c r="M2854" s="17"/>
      <c r="N2854" s="17"/>
      <c r="O2854" s="17"/>
      <c r="P2854" s="17"/>
      <c r="Q2854" s="17"/>
    </row>
    <row r="2855" spans="1:17">
      <c r="A2855" s="556" t="s">
        <v>3645</v>
      </c>
      <c r="B2855" s="557"/>
      <c r="C2855" s="558" t="s">
        <v>2379</v>
      </c>
      <c r="D2855" s="556" t="s">
        <v>1362</v>
      </c>
      <c r="E2855" s="17" t="s">
        <v>6323</v>
      </c>
      <c r="F2855" s="17">
        <v>2</v>
      </c>
      <c r="G2855" s="17">
        <v>2</v>
      </c>
      <c r="H2855" s="17" t="s">
        <v>2991</v>
      </c>
      <c r="I2855" s="17"/>
      <c r="J2855" s="17"/>
      <c r="K2855" s="17"/>
      <c r="L2855" s="17"/>
      <c r="M2855" s="17"/>
      <c r="N2855" s="17"/>
      <c r="O2855" s="17"/>
      <c r="P2855" s="17"/>
      <c r="Q2855" s="17"/>
    </row>
    <row r="2856" spans="1:17">
      <c r="A2856" s="556" t="s">
        <v>3645</v>
      </c>
      <c r="B2856" s="557"/>
      <c r="C2856" s="558" t="s">
        <v>2379</v>
      </c>
      <c r="D2856" s="556" t="s">
        <v>6316</v>
      </c>
      <c r="E2856" s="17" t="s">
        <v>6324</v>
      </c>
      <c r="F2856" s="17">
        <v>2</v>
      </c>
      <c r="G2856" s="17">
        <v>3</v>
      </c>
      <c r="H2856" s="17" t="s">
        <v>2992</v>
      </c>
      <c r="I2856" s="17"/>
      <c r="J2856" s="17"/>
      <c r="K2856" s="17"/>
      <c r="L2856" s="17"/>
      <c r="M2856" s="17"/>
      <c r="N2856" s="17"/>
      <c r="O2856" s="17"/>
      <c r="P2856" s="17"/>
      <c r="Q2856" s="17"/>
    </row>
    <row r="2857" spans="1:17">
      <c r="A2857" s="556" t="s">
        <v>3645</v>
      </c>
      <c r="B2857" s="557"/>
      <c r="C2857" s="558" t="s">
        <v>2379</v>
      </c>
      <c r="D2857" s="556" t="s">
        <v>6318</v>
      </c>
      <c r="E2857" s="17" t="s">
        <v>6325</v>
      </c>
      <c r="F2857" s="17">
        <v>2</v>
      </c>
      <c r="G2857" s="17">
        <v>4</v>
      </c>
      <c r="H2857" s="17" t="s">
        <v>3450</v>
      </c>
      <c r="I2857" s="17"/>
      <c r="J2857" s="17"/>
      <c r="K2857" s="17"/>
      <c r="L2857" s="17"/>
      <c r="M2857" s="17"/>
      <c r="N2857" s="17"/>
      <c r="O2857" s="17"/>
      <c r="P2857" s="17"/>
      <c r="Q2857" s="17"/>
    </row>
    <row r="2858" spans="1:17">
      <c r="A2858" s="556" t="s">
        <v>3645</v>
      </c>
      <c r="B2858" s="557"/>
      <c r="C2858" s="558" t="s">
        <v>2379</v>
      </c>
      <c r="D2858" s="556" t="s">
        <v>6320</v>
      </c>
      <c r="E2858" s="17" t="s">
        <v>6326</v>
      </c>
      <c r="F2858" s="17">
        <v>2</v>
      </c>
      <c r="G2858" s="17">
        <v>5</v>
      </c>
      <c r="H2858" s="17" t="s">
        <v>7803</v>
      </c>
      <c r="I2858" s="17"/>
      <c r="J2858" s="17"/>
      <c r="K2858" s="17"/>
      <c r="L2858" s="17"/>
      <c r="M2858" s="17"/>
      <c r="N2858" s="17"/>
      <c r="O2858" s="17"/>
      <c r="P2858" s="17"/>
      <c r="Q2858" s="17"/>
    </row>
    <row r="2859" spans="1:17">
      <c r="A2859" s="556" t="s">
        <v>3645</v>
      </c>
      <c r="B2859" s="557"/>
      <c r="C2859" s="558" t="s">
        <v>2380</v>
      </c>
      <c r="D2859" s="556" t="s">
        <v>1361</v>
      </c>
      <c r="E2859" s="17" t="s">
        <v>6327</v>
      </c>
      <c r="F2859" s="17">
        <v>3</v>
      </c>
      <c r="G2859" s="17">
        <v>1</v>
      </c>
      <c r="H2859" s="17" t="s">
        <v>3340</v>
      </c>
      <c r="I2859" s="17"/>
      <c r="J2859" s="17"/>
      <c r="K2859" s="17"/>
      <c r="L2859" s="17"/>
      <c r="M2859" s="17"/>
      <c r="N2859" s="17"/>
      <c r="O2859" s="17"/>
      <c r="P2859" s="17"/>
      <c r="Q2859" s="17"/>
    </row>
    <row r="2860" spans="1:17">
      <c r="A2860" s="556" t="s">
        <v>3645</v>
      </c>
      <c r="B2860" s="557"/>
      <c r="C2860" s="558" t="s">
        <v>2380</v>
      </c>
      <c r="D2860" s="556" t="s">
        <v>1362</v>
      </c>
      <c r="E2860" s="17" t="s">
        <v>6328</v>
      </c>
      <c r="F2860" s="17">
        <v>3</v>
      </c>
      <c r="G2860" s="17">
        <v>2</v>
      </c>
      <c r="H2860" s="17" t="s">
        <v>3341</v>
      </c>
      <c r="I2860" s="17"/>
      <c r="J2860" s="17"/>
      <c r="K2860" s="17"/>
      <c r="L2860" s="17"/>
      <c r="M2860" s="17"/>
      <c r="N2860" s="17"/>
      <c r="O2860" s="17"/>
      <c r="P2860" s="17"/>
      <c r="Q2860" s="17"/>
    </row>
    <row r="2861" spans="1:17">
      <c r="A2861" s="556" t="s">
        <v>3645</v>
      </c>
      <c r="B2861" s="557"/>
      <c r="C2861" s="558" t="s">
        <v>2380</v>
      </c>
      <c r="D2861" s="556" t="s">
        <v>6316</v>
      </c>
      <c r="E2861" s="17" t="s">
        <v>6329</v>
      </c>
      <c r="F2861" s="17">
        <v>3</v>
      </c>
      <c r="G2861" s="17">
        <v>3</v>
      </c>
      <c r="H2861" s="17" t="s">
        <v>3342</v>
      </c>
      <c r="I2861" s="17"/>
      <c r="J2861" s="17"/>
      <c r="K2861" s="17"/>
      <c r="L2861" s="17"/>
      <c r="M2861" s="17"/>
      <c r="N2861" s="17"/>
      <c r="O2861" s="17"/>
      <c r="P2861" s="17"/>
      <c r="Q2861" s="17"/>
    </row>
    <row r="2862" spans="1:17">
      <c r="A2862" s="556" t="s">
        <v>3645</v>
      </c>
      <c r="B2862" s="557"/>
      <c r="C2862" s="558" t="s">
        <v>2380</v>
      </c>
      <c r="D2862" s="556" t="s">
        <v>6318</v>
      </c>
      <c r="E2862" s="17" t="s">
        <v>6330</v>
      </c>
      <c r="F2862" s="17">
        <v>3</v>
      </c>
      <c r="G2862" s="17">
        <v>4</v>
      </c>
      <c r="H2862" s="17" t="s">
        <v>3451</v>
      </c>
      <c r="I2862" s="17"/>
      <c r="J2862" s="17"/>
      <c r="K2862" s="17"/>
      <c r="L2862" s="17"/>
      <c r="M2862" s="17"/>
      <c r="N2862" s="17"/>
      <c r="O2862" s="17"/>
      <c r="P2862" s="17"/>
      <c r="Q2862" s="17"/>
    </row>
    <row r="2863" spans="1:17">
      <c r="A2863" s="556" t="s">
        <v>3645</v>
      </c>
      <c r="B2863" s="557"/>
      <c r="C2863" s="558" t="s">
        <v>2380</v>
      </c>
      <c r="D2863" s="556" t="s">
        <v>6320</v>
      </c>
      <c r="E2863" s="17" t="s">
        <v>6331</v>
      </c>
      <c r="F2863" s="17">
        <v>3</v>
      </c>
      <c r="G2863" s="17">
        <v>5</v>
      </c>
      <c r="H2863" s="17" t="s">
        <v>7804</v>
      </c>
      <c r="I2863" s="17"/>
      <c r="J2863" s="17"/>
      <c r="K2863" s="17"/>
      <c r="L2863" s="17"/>
      <c r="M2863" s="17"/>
      <c r="N2863" s="17"/>
      <c r="O2863" s="17"/>
      <c r="P2863" s="17"/>
      <c r="Q2863" s="17"/>
    </row>
    <row r="2864" spans="1:17">
      <c r="A2864" s="556" t="s">
        <v>3645</v>
      </c>
      <c r="B2864" s="557"/>
      <c r="C2864" s="558" t="s">
        <v>2381</v>
      </c>
      <c r="D2864" s="556" t="s">
        <v>1361</v>
      </c>
      <c r="E2864" s="17" t="s">
        <v>6332</v>
      </c>
      <c r="F2864" s="17">
        <v>4</v>
      </c>
      <c r="G2864" s="17">
        <v>1</v>
      </c>
      <c r="H2864" s="17" t="s">
        <v>3344</v>
      </c>
      <c r="I2864" s="17"/>
      <c r="J2864" s="17"/>
      <c r="K2864" s="17"/>
      <c r="L2864" s="17"/>
      <c r="M2864" s="17"/>
      <c r="N2864" s="17"/>
      <c r="O2864" s="17"/>
      <c r="P2864" s="17"/>
      <c r="Q2864" s="17"/>
    </row>
    <row r="2865" spans="1:17">
      <c r="A2865" s="556" t="s">
        <v>3645</v>
      </c>
      <c r="B2865" s="557"/>
      <c r="C2865" s="558" t="s">
        <v>2381</v>
      </c>
      <c r="D2865" s="556" t="s">
        <v>1362</v>
      </c>
      <c r="E2865" s="17" t="s">
        <v>6333</v>
      </c>
      <c r="F2865" s="17">
        <v>4</v>
      </c>
      <c r="G2865" s="17">
        <v>2</v>
      </c>
      <c r="H2865" s="17" t="s">
        <v>3345</v>
      </c>
      <c r="I2865" s="17"/>
      <c r="J2865" s="17"/>
      <c r="K2865" s="17"/>
      <c r="L2865" s="17"/>
      <c r="M2865" s="17"/>
      <c r="N2865" s="17"/>
      <c r="O2865" s="17"/>
      <c r="P2865" s="17"/>
      <c r="Q2865" s="17"/>
    </row>
    <row r="2866" spans="1:17">
      <c r="A2866" s="556" t="s">
        <v>3645</v>
      </c>
      <c r="B2866" s="557"/>
      <c r="C2866" s="558" t="s">
        <v>2381</v>
      </c>
      <c r="D2866" s="556" t="s">
        <v>6316</v>
      </c>
      <c r="E2866" s="17" t="s">
        <v>6334</v>
      </c>
      <c r="F2866" s="17">
        <v>4</v>
      </c>
      <c r="G2866" s="17">
        <v>3</v>
      </c>
      <c r="H2866" s="17" t="s">
        <v>3346</v>
      </c>
      <c r="I2866" s="17"/>
      <c r="J2866" s="17"/>
      <c r="K2866" s="17"/>
      <c r="L2866" s="17"/>
      <c r="M2866" s="17"/>
      <c r="N2866" s="17"/>
      <c r="O2866" s="17"/>
      <c r="P2866" s="17"/>
      <c r="Q2866" s="17"/>
    </row>
    <row r="2867" spans="1:17">
      <c r="A2867" s="556" t="s">
        <v>3645</v>
      </c>
      <c r="B2867" s="557"/>
      <c r="C2867" s="558" t="s">
        <v>2381</v>
      </c>
      <c r="D2867" s="556" t="s">
        <v>6318</v>
      </c>
      <c r="E2867" s="17" t="s">
        <v>6335</v>
      </c>
      <c r="F2867" s="17">
        <v>4</v>
      </c>
      <c r="G2867" s="17">
        <v>4</v>
      </c>
      <c r="H2867" s="17" t="s">
        <v>3452</v>
      </c>
      <c r="I2867" s="17"/>
      <c r="J2867" s="17"/>
      <c r="K2867" s="17"/>
      <c r="L2867" s="17"/>
      <c r="M2867" s="17"/>
      <c r="N2867" s="17"/>
      <c r="O2867" s="17"/>
      <c r="P2867" s="17"/>
      <c r="Q2867" s="17"/>
    </row>
    <row r="2868" spans="1:17">
      <c r="A2868" s="556" t="s">
        <v>3645</v>
      </c>
      <c r="B2868" s="557"/>
      <c r="C2868" s="558" t="s">
        <v>2381</v>
      </c>
      <c r="D2868" s="556" t="s">
        <v>6320</v>
      </c>
      <c r="E2868" s="17" t="s">
        <v>6336</v>
      </c>
      <c r="F2868" s="17">
        <v>4</v>
      </c>
      <c r="G2868" s="17">
        <v>5</v>
      </c>
      <c r="H2868" s="17" t="s">
        <v>7805</v>
      </c>
      <c r="I2868" s="17"/>
      <c r="J2868" s="17"/>
      <c r="K2868" s="17"/>
      <c r="L2868" s="17"/>
      <c r="M2868" s="17"/>
      <c r="N2868" s="17"/>
      <c r="O2868" s="17"/>
      <c r="P2868" s="17"/>
      <c r="Q2868" s="17"/>
    </row>
    <row r="2869" spans="1:17">
      <c r="A2869" s="556" t="s">
        <v>3645</v>
      </c>
      <c r="B2869" s="557"/>
      <c r="C2869" s="558" t="s">
        <v>2382</v>
      </c>
      <c r="D2869" s="556" t="s">
        <v>1361</v>
      </c>
      <c r="E2869" s="17" t="s">
        <v>6337</v>
      </c>
      <c r="F2869" s="17">
        <v>5</v>
      </c>
      <c r="G2869" s="17">
        <v>1</v>
      </c>
      <c r="H2869" s="17" t="s">
        <v>3348</v>
      </c>
      <c r="I2869" s="17"/>
      <c r="J2869" s="17"/>
      <c r="K2869" s="17"/>
      <c r="L2869" s="17"/>
      <c r="M2869" s="17"/>
      <c r="N2869" s="17"/>
      <c r="O2869" s="17"/>
      <c r="P2869" s="17"/>
      <c r="Q2869" s="17"/>
    </row>
    <row r="2870" spans="1:17">
      <c r="A2870" s="556" t="s">
        <v>3645</v>
      </c>
      <c r="B2870" s="557"/>
      <c r="C2870" s="558" t="s">
        <v>2382</v>
      </c>
      <c r="D2870" s="556" t="s">
        <v>1362</v>
      </c>
      <c r="E2870" s="17" t="s">
        <v>6338</v>
      </c>
      <c r="F2870" s="17">
        <v>5</v>
      </c>
      <c r="G2870" s="17">
        <v>2</v>
      </c>
      <c r="H2870" s="17" t="s">
        <v>3349</v>
      </c>
      <c r="I2870" s="17"/>
      <c r="J2870" s="17"/>
      <c r="K2870" s="17"/>
      <c r="L2870" s="17"/>
      <c r="M2870" s="17"/>
      <c r="N2870" s="17"/>
      <c r="O2870" s="17"/>
      <c r="P2870" s="17"/>
      <c r="Q2870" s="17"/>
    </row>
    <row r="2871" spans="1:17">
      <c r="A2871" s="556" t="s">
        <v>3645</v>
      </c>
      <c r="B2871" s="557"/>
      <c r="C2871" s="558" t="s">
        <v>2382</v>
      </c>
      <c r="D2871" s="556" t="s">
        <v>6316</v>
      </c>
      <c r="E2871" s="17" t="s">
        <v>6339</v>
      </c>
      <c r="F2871" s="17">
        <v>5</v>
      </c>
      <c r="G2871" s="17">
        <v>3</v>
      </c>
      <c r="H2871" s="17" t="s">
        <v>3350</v>
      </c>
      <c r="I2871" s="17"/>
      <c r="J2871" s="17"/>
      <c r="K2871" s="17"/>
      <c r="L2871" s="17"/>
      <c r="M2871" s="17"/>
      <c r="N2871" s="17"/>
      <c r="O2871" s="17"/>
      <c r="P2871" s="17"/>
      <c r="Q2871" s="17"/>
    </row>
    <row r="2872" spans="1:17">
      <c r="A2872" s="556" t="s">
        <v>3645</v>
      </c>
      <c r="B2872" s="557"/>
      <c r="C2872" s="558" t="s">
        <v>2382</v>
      </c>
      <c r="D2872" s="556" t="s">
        <v>6318</v>
      </c>
      <c r="E2872" s="17" t="s">
        <v>6340</v>
      </c>
      <c r="F2872" s="17">
        <v>5</v>
      </c>
      <c r="G2872" s="17">
        <v>4</v>
      </c>
      <c r="H2872" s="17" t="s">
        <v>3453</v>
      </c>
      <c r="I2872" s="17"/>
      <c r="J2872" s="17"/>
      <c r="K2872" s="17"/>
      <c r="L2872" s="17"/>
      <c r="M2872" s="17"/>
      <c r="N2872" s="17"/>
      <c r="O2872" s="17"/>
      <c r="P2872" s="17"/>
      <c r="Q2872" s="17"/>
    </row>
    <row r="2873" spans="1:17">
      <c r="A2873" s="556" t="s">
        <v>3645</v>
      </c>
      <c r="B2873" s="557"/>
      <c r="C2873" s="558" t="s">
        <v>2382</v>
      </c>
      <c r="D2873" s="556" t="s">
        <v>6320</v>
      </c>
      <c r="E2873" s="17" t="s">
        <v>6341</v>
      </c>
      <c r="F2873" s="17">
        <v>5</v>
      </c>
      <c r="G2873" s="17">
        <v>5</v>
      </c>
      <c r="H2873" s="17" t="s">
        <v>7807</v>
      </c>
      <c r="I2873" s="17"/>
      <c r="J2873" s="17"/>
      <c r="K2873" s="17"/>
      <c r="L2873" s="17"/>
      <c r="M2873" s="17"/>
      <c r="N2873" s="17"/>
      <c r="O2873" s="17"/>
      <c r="P2873" s="17"/>
      <c r="Q2873" s="17"/>
    </row>
    <row r="2874" spans="1:17">
      <c r="A2874" s="556" t="s">
        <v>3645</v>
      </c>
      <c r="B2874" s="557"/>
      <c r="C2874" s="558" t="s">
        <v>2383</v>
      </c>
      <c r="D2874" s="556" t="s">
        <v>1361</v>
      </c>
      <c r="E2874" s="17" t="s">
        <v>6342</v>
      </c>
      <c r="F2874" s="17">
        <v>6</v>
      </c>
      <c r="G2874" s="17">
        <v>1</v>
      </c>
      <c r="H2874" s="17" t="s">
        <v>3352</v>
      </c>
      <c r="I2874" s="17"/>
      <c r="J2874" s="17"/>
      <c r="K2874" s="17"/>
      <c r="L2874" s="17"/>
      <c r="M2874" s="17"/>
      <c r="N2874" s="17"/>
      <c r="O2874" s="17"/>
      <c r="P2874" s="17"/>
      <c r="Q2874" s="17"/>
    </row>
    <row r="2875" spans="1:17">
      <c r="A2875" s="556" t="s">
        <v>3645</v>
      </c>
      <c r="B2875" s="557"/>
      <c r="C2875" s="558" t="s">
        <v>2383</v>
      </c>
      <c r="D2875" s="556" t="s">
        <v>1362</v>
      </c>
      <c r="E2875" s="17" t="s">
        <v>6343</v>
      </c>
      <c r="F2875" s="17">
        <v>6</v>
      </c>
      <c r="G2875" s="17">
        <v>2</v>
      </c>
      <c r="H2875" s="17" t="s">
        <v>3353</v>
      </c>
      <c r="I2875" s="17"/>
      <c r="J2875" s="17"/>
      <c r="K2875" s="17"/>
      <c r="L2875" s="17"/>
      <c r="M2875" s="17"/>
      <c r="N2875" s="17"/>
      <c r="O2875" s="17"/>
      <c r="P2875" s="17"/>
      <c r="Q2875" s="17"/>
    </row>
    <row r="2876" spans="1:17">
      <c r="A2876" s="556" t="s">
        <v>3645</v>
      </c>
      <c r="B2876" s="557"/>
      <c r="C2876" s="558" t="s">
        <v>2383</v>
      </c>
      <c r="D2876" s="556" t="s">
        <v>6316</v>
      </c>
      <c r="E2876" s="17" t="s">
        <v>6344</v>
      </c>
      <c r="F2876" s="17">
        <v>6</v>
      </c>
      <c r="G2876" s="17">
        <v>3</v>
      </c>
      <c r="H2876" s="17" t="s">
        <v>3354</v>
      </c>
      <c r="I2876" s="17"/>
      <c r="J2876" s="17"/>
      <c r="K2876" s="17"/>
      <c r="L2876" s="17"/>
      <c r="M2876" s="17"/>
      <c r="N2876" s="17"/>
      <c r="O2876" s="17"/>
      <c r="P2876" s="17"/>
      <c r="Q2876" s="17"/>
    </row>
    <row r="2877" spans="1:17">
      <c r="A2877" s="556" t="s">
        <v>3645</v>
      </c>
      <c r="B2877" s="557"/>
      <c r="C2877" s="558" t="s">
        <v>2383</v>
      </c>
      <c r="D2877" s="556" t="s">
        <v>6318</v>
      </c>
      <c r="E2877" s="17" t="s">
        <v>6345</v>
      </c>
      <c r="F2877" s="17">
        <v>6</v>
      </c>
      <c r="G2877" s="17">
        <v>4</v>
      </c>
      <c r="H2877" s="17" t="s">
        <v>3454</v>
      </c>
      <c r="I2877" s="17"/>
      <c r="J2877" s="17"/>
      <c r="K2877" s="17"/>
      <c r="L2877" s="17"/>
      <c r="M2877" s="17"/>
      <c r="N2877" s="17"/>
      <c r="O2877" s="17"/>
      <c r="P2877" s="17"/>
      <c r="Q2877" s="17"/>
    </row>
    <row r="2878" spans="1:17">
      <c r="A2878" s="556" t="s">
        <v>3645</v>
      </c>
      <c r="B2878" s="557"/>
      <c r="C2878" s="558" t="s">
        <v>2383</v>
      </c>
      <c r="D2878" s="556" t="s">
        <v>6320</v>
      </c>
      <c r="E2878" s="17" t="s">
        <v>6346</v>
      </c>
      <c r="F2878" s="17">
        <v>6</v>
      </c>
      <c r="G2878" s="17">
        <v>5</v>
      </c>
      <c r="H2878" s="17" t="s">
        <v>7809</v>
      </c>
      <c r="I2878" s="17"/>
      <c r="J2878" s="17"/>
      <c r="K2878" s="17"/>
      <c r="L2878" s="17"/>
      <c r="M2878" s="17"/>
      <c r="N2878" s="17"/>
      <c r="O2878" s="17"/>
      <c r="P2878" s="17"/>
      <c r="Q2878" s="17"/>
    </row>
    <row r="2879" spans="1:17">
      <c r="A2879" s="556" t="s">
        <v>3645</v>
      </c>
      <c r="B2879" s="557"/>
      <c r="C2879" s="568" t="s">
        <v>2384</v>
      </c>
      <c r="D2879" s="556" t="s">
        <v>1361</v>
      </c>
      <c r="E2879" s="17" t="s">
        <v>6347</v>
      </c>
      <c r="F2879" s="17">
        <v>7</v>
      </c>
      <c r="G2879" s="17">
        <v>1</v>
      </c>
      <c r="H2879" s="17" t="s">
        <v>3356</v>
      </c>
      <c r="I2879" s="17"/>
      <c r="J2879" s="17"/>
      <c r="K2879" s="17"/>
      <c r="L2879" s="17"/>
      <c r="M2879" s="17"/>
      <c r="N2879" s="17"/>
      <c r="O2879" s="17"/>
      <c r="P2879" s="17"/>
      <c r="Q2879" s="17"/>
    </row>
    <row r="2880" spans="1:17">
      <c r="A2880" s="556" t="s">
        <v>3645</v>
      </c>
      <c r="B2880" s="557"/>
      <c r="C2880" s="568" t="s">
        <v>2384</v>
      </c>
      <c r="D2880" s="556" t="s">
        <v>1362</v>
      </c>
      <c r="E2880" s="17" t="s">
        <v>6348</v>
      </c>
      <c r="F2880" s="17">
        <v>7</v>
      </c>
      <c r="G2880" s="17">
        <v>2</v>
      </c>
      <c r="H2880" s="17" t="s">
        <v>3357</v>
      </c>
      <c r="I2880" s="17"/>
      <c r="J2880" s="17"/>
      <c r="K2880" s="17"/>
      <c r="L2880" s="17"/>
      <c r="M2880" s="17"/>
      <c r="N2880" s="17"/>
      <c r="O2880" s="17"/>
      <c r="P2880" s="17"/>
      <c r="Q2880" s="17"/>
    </row>
    <row r="2881" spans="1:17">
      <c r="A2881" s="556" t="s">
        <v>3645</v>
      </c>
      <c r="B2881" s="557"/>
      <c r="C2881" s="568" t="s">
        <v>2384</v>
      </c>
      <c r="D2881" s="556" t="s">
        <v>6316</v>
      </c>
      <c r="E2881" s="17" t="s">
        <v>6349</v>
      </c>
      <c r="F2881" s="17">
        <v>7</v>
      </c>
      <c r="G2881" s="17">
        <v>3</v>
      </c>
      <c r="H2881" s="17" t="s">
        <v>3358</v>
      </c>
      <c r="I2881" s="17"/>
      <c r="J2881" s="17"/>
      <c r="K2881" s="17"/>
      <c r="L2881" s="17"/>
      <c r="M2881" s="17"/>
      <c r="N2881" s="17"/>
      <c r="O2881" s="17"/>
      <c r="P2881" s="17"/>
      <c r="Q2881" s="17"/>
    </row>
    <row r="2882" spans="1:17">
      <c r="A2882" s="556" t="s">
        <v>3645</v>
      </c>
      <c r="B2882" s="557"/>
      <c r="C2882" s="568" t="s">
        <v>2384</v>
      </c>
      <c r="D2882" s="556" t="s">
        <v>6318</v>
      </c>
      <c r="E2882" s="17" t="s">
        <v>6350</v>
      </c>
      <c r="F2882" s="17">
        <v>7</v>
      </c>
      <c r="G2882" s="17">
        <v>4</v>
      </c>
      <c r="H2882" s="17" t="s">
        <v>3455</v>
      </c>
      <c r="I2882" s="17"/>
      <c r="J2882" s="17"/>
      <c r="K2882" s="17"/>
      <c r="L2882" s="17"/>
      <c r="M2882" s="17"/>
      <c r="N2882" s="17"/>
      <c r="O2882" s="17"/>
      <c r="P2882" s="17"/>
      <c r="Q2882" s="17"/>
    </row>
    <row r="2883" spans="1:17">
      <c r="A2883" s="556" t="s">
        <v>3645</v>
      </c>
      <c r="B2883" s="557"/>
      <c r="C2883" s="568" t="s">
        <v>2384</v>
      </c>
      <c r="D2883" s="556" t="s">
        <v>6320</v>
      </c>
      <c r="E2883" s="17" t="s">
        <v>6351</v>
      </c>
      <c r="F2883" s="17">
        <v>7</v>
      </c>
      <c r="G2883" s="17">
        <v>5</v>
      </c>
      <c r="H2883" s="17" t="s">
        <v>7814</v>
      </c>
      <c r="I2883" s="17"/>
      <c r="J2883" s="17"/>
      <c r="K2883" s="17"/>
      <c r="L2883" s="17"/>
      <c r="M2883" s="17"/>
      <c r="N2883" s="17"/>
      <c r="O2883" s="17"/>
      <c r="P2883" s="17"/>
      <c r="Q2883" s="17"/>
    </row>
    <row r="2884" spans="1:17">
      <c r="A2884" s="556" t="s">
        <v>3645</v>
      </c>
      <c r="B2884" s="557"/>
      <c r="C2884" s="558" t="s">
        <v>6352</v>
      </c>
      <c r="D2884" s="556" t="s">
        <v>1361</v>
      </c>
      <c r="E2884" s="17" t="s">
        <v>6353</v>
      </c>
      <c r="F2884" s="17">
        <v>8</v>
      </c>
      <c r="G2884" s="17">
        <v>1</v>
      </c>
      <c r="H2884" s="17" t="s">
        <v>3360</v>
      </c>
      <c r="I2884" s="17">
        <v>0</v>
      </c>
      <c r="J2884" s="17"/>
      <c r="K2884" s="17"/>
      <c r="L2884" s="17"/>
      <c r="M2884" s="17"/>
      <c r="N2884" s="17"/>
      <c r="O2884" s="17"/>
      <c r="P2884" s="17"/>
      <c r="Q2884" s="17"/>
    </row>
    <row r="2885" spans="1:17">
      <c r="A2885" s="556" t="s">
        <v>3645</v>
      </c>
      <c r="B2885" s="557"/>
      <c r="C2885" s="558" t="s">
        <v>6352</v>
      </c>
      <c r="D2885" s="556" t="s">
        <v>1362</v>
      </c>
      <c r="E2885" s="17" t="s">
        <v>6354</v>
      </c>
      <c r="F2885" s="17">
        <v>8</v>
      </c>
      <c r="G2885" s="17">
        <v>2</v>
      </c>
      <c r="H2885" s="17" t="s">
        <v>3327</v>
      </c>
      <c r="I2885" s="17">
        <v>0</v>
      </c>
      <c r="J2885" s="17"/>
      <c r="K2885" s="17"/>
      <c r="L2885" s="17"/>
      <c r="M2885" s="17"/>
      <c r="N2885" s="17"/>
      <c r="O2885" s="17"/>
      <c r="P2885" s="17"/>
      <c r="Q2885" s="17"/>
    </row>
    <row r="2886" spans="1:17">
      <c r="A2886" s="556" t="s">
        <v>3645</v>
      </c>
      <c r="B2886" s="557"/>
      <c r="C2886" s="558" t="s">
        <v>6352</v>
      </c>
      <c r="D2886" s="556" t="s">
        <v>6316</v>
      </c>
      <c r="E2886" s="17" t="s">
        <v>6355</v>
      </c>
      <c r="F2886" s="17">
        <v>8</v>
      </c>
      <c r="G2886" s="17">
        <v>3</v>
      </c>
      <c r="H2886" s="17" t="s">
        <v>3361</v>
      </c>
      <c r="I2886" s="17">
        <v>0</v>
      </c>
      <c r="J2886" s="17"/>
      <c r="K2886" s="17"/>
      <c r="L2886" s="17"/>
      <c r="M2886" s="17"/>
      <c r="N2886" s="17"/>
      <c r="O2886" s="17"/>
      <c r="P2886" s="17"/>
      <c r="Q2886" s="17"/>
    </row>
    <row r="2887" spans="1:17">
      <c r="A2887" s="556" t="s">
        <v>3645</v>
      </c>
      <c r="B2887" s="557"/>
      <c r="C2887" s="558" t="s">
        <v>6352</v>
      </c>
      <c r="D2887" s="556" t="s">
        <v>6318</v>
      </c>
      <c r="E2887" s="17" t="s">
        <v>6356</v>
      </c>
      <c r="F2887" s="17">
        <v>8</v>
      </c>
      <c r="G2887" s="17">
        <v>4</v>
      </c>
      <c r="H2887" s="17" t="s">
        <v>3456</v>
      </c>
      <c r="I2887" s="17">
        <v>0</v>
      </c>
      <c r="J2887" s="17"/>
      <c r="K2887" s="17"/>
      <c r="L2887" s="17"/>
      <c r="M2887" s="17"/>
      <c r="N2887" s="17"/>
      <c r="O2887" s="17"/>
      <c r="P2887" s="17"/>
      <c r="Q2887" s="17"/>
    </row>
    <row r="2888" spans="1:17">
      <c r="A2888" s="556" t="s">
        <v>3645</v>
      </c>
      <c r="B2888" s="557"/>
      <c r="C2888" s="558" t="s">
        <v>6352</v>
      </c>
      <c r="D2888" s="556" t="s">
        <v>6320</v>
      </c>
      <c r="E2888" s="17" t="s">
        <v>6357</v>
      </c>
      <c r="F2888" s="17">
        <v>8</v>
      </c>
      <c r="G2888" s="17">
        <v>5</v>
      </c>
      <c r="H2888" s="17" t="s">
        <v>7815</v>
      </c>
      <c r="I2888" s="17">
        <v>0</v>
      </c>
      <c r="J2888" s="17"/>
      <c r="K2888" s="17"/>
      <c r="L2888" s="17"/>
      <c r="M2888" s="17"/>
      <c r="N2888" s="17"/>
      <c r="O2888" s="17"/>
      <c r="P2888" s="17"/>
      <c r="Q2888" s="17"/>
    </row>
    <row r="2889" spans="1:17">
      <c r="A2889" s="556" t="s">
        <v>3645</v>
      </c>
      <c r="B2889" s="557"/>
      <c r="C2889" s="558" t="s">
        <v>2386</v>
      </c>
      <c r="D2889" s="556" t="s">
        <v>1361</v>
      </c>
      <c r="E2889" s="17" t="s">
        <v>6358</v>
      </c>
      <c r="F2889" s="17">
        <v>9</v>
      </c>
      <c r="G2889" s="17">
        <v>1</v>
      </c>
      <c r="H2889" s="17" t="s">
        <v>3363</v>
      </c>
      <c r="I2889" s="17"/>
      <c r="J2889" s="17"/>
      <c r="K2889" s="17"/>
      <c r="L2889" s="17"/>
      <c r="M2889" s="17"/>
      <c r="N2889" s="17"/>
      <c r="O2889" s="17"/>
      <c r="P2889" s="17"/>
      <c r="Q2889" s="17"/>
    </row>
    <row r="2890" spans="1:17">
      <c r="A2890" s="556" t="s">
        <v>3645</v>
      </c>
      <c r="B2890" s="557"/>
      <c r="C2890" s="558" t="s">
        <v>2386</v>
      </c>
      <c r="D2890" s="556" t="s">
        <v>1362</v>
      </c>
      <c r="E2890" s="17" t="s">
        <v>6359</v>
      </c>
      <c r="F2890" s="17">
        <v>9</v>
      </c>
      <c r="G2890" s="17">
        <v>2</v>
      </c>
      <c r="H2890" s="17" t="s">
        <v>3364</v>
      </c>
      <c r="I2890" s="17"/>
      <c r="J2890" s="17"/>
      <c r="K2890" s="17"/>
      <c r="L2890" s="17"/>
      <c r="M2890" s="17"/>
      <c r="N2890" s="17"/>
      <c r="O2890" s="17"/>
      <c r="P2890" s="17"/>
      <c r="Q2890" s="17"/>
    </row>
    <row r="2891" spans="1:17">
      <c r="A2891" s="556" t="s">
        <v>3645</v>
      </c>
      <c r="B2891" s="557"/>
      <c r="C2891" s="558" t="s">
        <v>2386</v>
      </c>
      <c r="D2891" s="556" t="s">
        <v>6316</v>
      </c>
      <c r="E2891" s="17" t="s">
        <v>6360</v>
      </c>
      <c r="F2891" s="17">
        <v>9</v>
      </c>
      <c r="G2891" s="17">
        <v>3</v>
      </c>
      <c r="H2891" s="17" t="s">
        <v>3365</v>
      </c>
      <c r="I2891" s="17"/>
      <c r="J2891" s="17"/>
      <c r="K2891" s="17"/>
      <c r="L2891" s="17"/>
      <c r="M2891" s="17"/>
      <c r="N2891" s="17"/>
      <c r="O2891" s="17"/>
      <c r="P2891" s="17"/>
      <c r="Q2891" s="17"/>
    </row>
    <row r="2892" spans="1:17">
      <c r="A2892" s="556" t="s">
        <v>3645</v>
      </c>
      <c r="B2892" s="557"/>
      <c r="C2892" s="558" t="s">
        <v>2386</v>
      </c>
      <c r="D2892" s="556" t="s">
        <v>6318</v>
      </c>
      <c r="E2892" s="17" t="s">
        <v>6361</v>
      </c>
      <c r="F2892" s="17">
        <v>9</v>
      </c>
      <c r="G2892" s="17">
        <v>4</v>
      </c>
      <c r="H2892" s="17" t="s">
        <v>3457</v>
      </c>
      <c r="I2892" s="17"/>
      <c r="J2892" s="17"/>
      <c r="K2892" s="17"/>
      <c r="L2892" s="17"/>
      <c r="M2892" s="17"/>
      <c r="N2892" s="17"/>
      <c r="O2892" s="17"/>
      <c r="P2892" s="17"/>
      <c r="Q2892" s="17"/>
    </row>
    <row r="2893" spans="1:17">
      <c r="A2893" s="556" t="s">
        <v>3645</v>
      </c>
      <c r="B2893" s="557"/>
      <c r="C2893" s="558" t="s">
        <v>2386</v>
      </c>
      <c r="D2893" s="556" t="s">
        <v>6320</v>
      </c>
      <c r="E2893" s="17" t="s">
        <v>6362</v>
      </c>
      <c r="F2893" s="17">
        <v>9</v>
      </c>
      <c r="G2893" s="17">
        <v>5</v>
      </c>
      <c r="H2893" s="17" t="s">
        <v>7816</v>
      </c>
      <c r="I2893" s="17"/>
      <c r="J2893" s="17"/>
      <c r="K2893" s="17"/>
      <c r="L2893" s="17"/>
      <c r="M2893" s="17"/>
      <c r="N2893" s="17"/>
      <c r="O2893" s="17"/>
      <c r="P2893" s="17"/>
      <c r="Q2893" s="17"/>
    </row>
    <row r="2894" spans="1:17">
      <c r="A2894" s="556" t="s">
        <v>3645</v>
      </c>
      <c r="B2894" s="557"/>
      <c r="C2894" s="558" t="s">
        <v>2387</v>
      </c>
      <c r="D2894" s="556" t="s">
        <v>1361</v>
      </c>
      <c r="E2894" s="17" t="s">
        <v>6363</v>
      </c>
      <c r="F2894" s="17">
        <v>10</v>
      </c>
      <c r="G2894" s="17">
        <v>1</v>
      </c>
      <c r="H2894" s="17" t="s">
        <v>3367</v>
      </c>
      <c r="I2894" s="17"/>
      <c r="J2894" s="17"/>
      <c r="K2894" s="17"/>
      <c r="L2894" s="17"/>
      <c r="M2894" s="17"/>
      <c r="N2894" s="17"/>
      <c r="O2894" s="17"/>
      <c r="P2894" s="17"/>
      <c r="Q2894" s="17"/>
    </row>
    <row r="2895" spans="1:17">
      <c r="A2895" s="556" t="s">
        <v>3645</v>
      </c>
      <c r="B2895" s="557"/>
      <c r="C2895" s="558" t="s">
        <v>2387</v>
      </c>
      <c r="D2895" s="556" t="s">
        <v>1362</v>
      </c>
      <c r="E2895" s="17" t="s">
        <v>6364</v>
      </c>
      <c r="F2895" s="17">
        <v>10</v>
      </c>
      <c r="G2895" s="17">
        <v>2</v>
      </c>
      <c r="H2895" s="17" t="s">
        <v>3368</v>
      </c>
      <c r="I2895" s="17"/>
      <c r="J2895" s="17"/>
      <c r="K2895" s="17"/>
      <c r="L2895" s="17"/>
      <c r="M2895" s="17"/>
      <c r="N2895" s="17"/>
      <c r="O2895" s="17"/>
      <c r="P2895" s="17"/>
      <c r="Q2895" s="17"/>
    </row>
    <row r="2896" spans="1:17">
      <c r="A2896" s="556" t="s">
        <v>3645</v>
      </c>
      <c r="B2896" s="557"/>
      <c r="C2896" s="558" t="s">
        <v>2387</v>
      </c>
      <c r="D2896" s="556" t="s">
        <v>6316</v>
      </c>
      <c r="E2896" s="17" t="s">
        <v>6365</v>
      </c>
      <c r="F2896" s="17">
        <v>10</v>
      </c>
      <c r="G2896" s="17">
        <v>3</v>
      </c>
      <c r="H2896" s="17" t="s">
        <v>3369</v>
      </c>
      <c r="I2896" s="17"/>
      <c r="J2896" s="17"/>
      <c r="K2896" s="17"/>
      <c r="L2896" s="17"/>
      <c r="M2896" s="17"/>
      <c r="N2896" s="17"/>
      <c r="O2896" s="17"/>
      <c r="P2896" s="17"/>
      <c r="Q2896" s="17"/>
    </row>
    <row r="2897" spans="1:17">
      <c r="A2897" s="556" t="s">
        <v>3645</v>
      </c>
      <c r="B2897" s="557"/>
      <c r="C2897" s="558" t="s">
        <v>2387</v>
      </c>
      <c r="D2897" s="556" t="s">
        <v>6318</v>
      </c>
      <c r="E2897" s="17" t="s">
        <v>6366</v>
      </c>
      <c r="F2897" s="17">
        <v>10</v>
      </c>
      <c r="G2897" s="17">
        <v>4</v>
      </c>
      <c r="H2897" s="17" t="s">
        <v>3458</v>
      </c>
      <c r="I2897" s="17"/>
      <c r="J2897" s="17"/>
      <c r="K2897" s="17"/>
      <c r="L2897" s="17"/>
      <c r="M2897" s="17"/>
      <c r="N2897" s="17"/>
      <c r="O2897" s="17"/>
      <c r="P2897" s="17"/>
      <c r="Q2897" s="17"/>
    </row>
    <row r="2898" spans="1:17">
      <c r="A2898" s="556" t="s">
        <v>3645</v>
      </c>
      <c r="B2898" s="557"/>
      <c r="C2898" s="558" t="s">
        <v>2387</v>
      </c>
      <c r="D2898" s="556" t="s">
        <v>6320</v>
      </c>
      <c r="E2898" s="17" t="s">
        <v>6367</v>
      </c>
      <c r="F2898" s="17">
        <v>10</v>
      </c>
      <c r="G2898" s="17">
        <v>5</v>
      </c>
      <c r="H2898" s="17" t="s">
        <v>7817</v>
      </c>
      <c r="I2898" s="17"/>
      <c r="J2898" s="17"/>
      <c r="K2898" s="17"/>
      <c r="L2898" s="17"/>
      <c r="M2898" s="17"/>
      <c r="N2898" s="17"/>
      <c r="O2898" s="17"/>
      <c r="P2898" s="17"/>
      <c r="Q2898" s="17"/>
    </row>
    <row r="2899" spans="1:17">
      <c r="A2899" s="556" t="s">
        <v>3645</v>
      </c>
      <c r="B2899" s="557"/>
      <c r="C2899" s="558" t="s">
        <v>2388</v>
      </c>
      <c r="D2899" s="556" t="s">
        <v>1361</v>
      </c>
      <c r="E2899" s="17" t="s">
        <v>6368</v>
      </c>
      <c r="F2899" s="17">
        <v>11</v>
      </c>
      <c r="G2899" s="17">
        <v>1</v>
      </c>
      <c r="H2899" s="17" t="s">
        <v>3371</v>
      </c>
      <c r="I2899" s="17"/>
      <c r="J2899" s="17"/>
      <c r="K2899" s="17"/>
      <c r="L2899" s="17"/>
      <c r="M2899" s="17"/>
      <c r="N2899" s="17"/>
      <c r="O2899" s="17"/>
      <c r="P2899" s="17"/>
      <c r="Q2899" s="17"/>
    </row>
    <row r="2900" spans="1:17">
      <c r="A2900" s="556" t="s">
        <v>3645</v>
      </c>
      <c r="B2900" s="557"/>
      <c r="C2900" s="558" t="s">
        <v>2388</v>
      </c>
      <c r="D2900" s="556" t="s">
        <v>1362</v>
      </c>
      <c r="E2900" s="17" t="s">
        <v>6369</v>
      </c>
      <c r="F2900" s="17">
        <v>11</v>
      </c>
      <c r="G2900" s="17">
        <v>2</v>
      </c>
      <c r="H2900" s="17" t="s">
        <v>3372</v>
      </c>
      <c r="I2900" s="17"/>
      <c r="J2900" s="17"/>
      <c r="K2900" s="17"/>
      <c r="L2900" s="17"/>
      <c r="M2900" s="17"/>
      <c r="N2900" s="17"/>
      <c r="O2900" s="17"/>
      <c r="P2900" s="17"/>
      <c r="Q2900" s="17"/>
    </row>
    <row r="2901" spans="1:17">
      <c r="A2901" s="556" t="s">
        <v>3645</v>
      </c>
      <c r="B2901" s="557"/>
      <c r="C2901" s="558" t="s">
        <v>2388</v>
      </c>
      <c r="D2901" s="556" t="s">
        <v>6316</v>
      </c>
      <c r="E2901" s="17" t="s">
        <v>6370</v>
      </c>
      <c r="F2901" s="17">
        <v>11</v>
      </c>
      <c r="G2901" s="17">
        <v>3</v>
      </c>
      <c r="H2901" s="17" t="s">
        <v>3373</v>
      </c>
      <c r="I2901" s="17"/>
      <c r="J2901" s="17"/>
      <c r="K2901" s="17"/>
      <c r="L2901" s="17"/>
      <c r="M2901" s="17"/>
      <c r="N2901" s="17"/>
      <c r="O2901" s="17"/>
      <c r="P2901" s="17"/>
      <c r="Q2901" s="17"/>
    </row>
    <row r="2902" spans="1:17">
      <c r="A2902" s="556" t="s">
        <v>3645</v>
      </c>
      <c r="B2902" s="557"/>
      <c r="C2902" s="558" t="s">
        <v>2388</v>
      </c>
      <c r="D2902" s="556" t="s">
        <v>6318</v>
      </c>
      <c r="E2902" s="17" t="s">
        <v>6371</v>
      </c>
      <c r="F2902" s="17">
        <v>11</v>
      </c>
      <c r="G2902" s="17">
        <v>4</v>
      </c>
      <c r="H2902" s="17" t="s">
        <v>3459</v>
      </c>
      <c r="I2902" s="17"/>
      <c r="J2902" s="17"/>
      <c r="K2902" s="17"/>
      <c r="L2902" s="17"/>
      <c r="M2902" s="17"/>
      <c r="N2902" s="17"/>
      <c r="O2902" s="17"/>
      <c r="P2902" s="17"/>
      <c r="Q2902" s="17"/>
    </row>
    <row r="2903" spans="1:17">
      <c r="A2903" s="556" t="s">
        <v>3645</v>
      </c>
      <c r="B2903" s="557"/>
      <c r="C2903" s="558" t="s">
        <v>2388</v>
      </c>
      <c r="D2903" s="556" t="s">
        <v>6320</v>
      </c>
      <c r="E2903" s="17" t="s">
        <v>6372</v>
      </c>
      <c r="F2903" s="17">
        <v>11</v>
      </c>
      <c r="G2903" s="17">
        <v>5</v>
      </c>
      <c r="H2903" s="17" t="s">
        <v>7818</v>
      </c>
      <c r="I2903" s="17"/>
      <c r="J2903" s="17"/>
      <c r="K2903" s="17"/>
      <c r="L2903" s="17"/>
      <c r="M2903" s="17"/>
      <c r="N2903" s="17"/>
      <c r="O2903" s="17"/>
      <c r="P2903" s="17"/>
      <c r="Q2903" s="17"/>
    </row>
    <row r="2904" spans="1:17">
      <c r="A2904" s="556" t="s">
        <v>3645</v>
      </c>
      <c r="B2904" s="557"/>
      <c r="C2904" s="558" t="s">
        <v>2389</v>
      </c>
      <c r="D2904" s="556" t="s">
        <v>1361</v>
      </c>
      <c r="E2904" s="17" t="s">
        <v>6373</v>
      </c>
      <c r="F2904" s="17">
        <v>12</v>
      </c>
      <c r="G2904" s="17">
        <v>1</v>
      </c>
      <c r="H2904" s="17" t="s">
        <v>3375</v>
      </c>
      <c r="I2904" s="17"/>
      <c r="J2904" s="17"/>
      <c r="K2904" s="17"/>
      <c r="L2904" s="17"/>
      <c r="M2904" s="17"/>
      <c r="N2904" s="17"/>
      <c r="O2904" s="17"/>
      <c r="P2904" s="17"/>
      <c r="Q2904" s="17"/>
    </row>
    <row r="2905" spans="1:17">
      <c r="A2905" s="556" t="s">
        <v>3645</v>
      </c>
      <c r="B2905" s="557"/>
      <c r="C2905" s="558" t="s">
        <v>2389</v>
      </c>
      <c r="D2905" s="556" t="s">
        <v>1362</v>
      </c>
      <c r="E2905" s="17" t="s">
        <v>6374</v>
      </c>
      <c r="F2905" s="17">
        <v>12</v>
      </c>
      <c r="G2905" s="17">
        <v>2</v>
      </c>
      <c r="H2905" s="17" t="s">
        <v>3376</v>
      </c>
      <c r="I2905" s="17"/>
      <c r="J2905" s="17"/>
      <c r="K2905" s="17"/>
      <c r="L2905" s="17"/>
      <c r="M2905" s="17"/>
      <c r="N2905" s="17"/>
      <c r="O2905" s="17"/>
      <c r="P2905" s="17"/>
      <c r="Q2905" s="17"/>
    </row>
    <row r="2906" spans="1:17">
      <c r="A2906" s="556" t="s">
        <v>3645</v>
      </c>
      <c r="B2906" s="557"/>
      <c r="C2906" s="558" t="s">
        <v>2389</v>
      </c>
      <c r="D2906" s="556" t="s">
        <v>6316</v>
      </c>
      <c r="E2906" s="17" t="s">
        <v>6375</v>
      </c>
      <c r="F2906" s="17">
        <v>12</v>
      </c>
      <c r="G2906" s="17">
        <v>3</v>
      </c>
      <c r="H2906" s="17" t="s">
        <v>3377</v>
      </c>
      <c r="I2906" s="17"/>
      <c r="J2906" s="17"/>
      <c r="K2906" s="17"/>
      <c r="L2906" s="17"/>
      <c r="M2906" s="17"/>
      <c r="N2906" s="17"/>
      <c r="O2906" s="17"/>
      <c r="P2906" s="17"/>
      <c r="Q2906" s="17"/>
    </row>
    <row r="2907" spans="1:17">
      <c r="A2907" s="556" t="s">
        <v>3645</v>
      </c>
      <c r="B2907" s="557"/>
      <c r="C2907" s="558" t="s">
        <v>2389</v>
      </c>
      <c r="D2907" s="556" t="s">
        <v>6318</v>
      </c>
      <c r="E2907" s="17" t="s">
        <v>6376</v>
      </c>
      <c r="F2907" s="17">
        <v>12</v>
      </c>
      <c r="G2907" s="17">
        <v>4</v>
      </c>
      <c r="H2907" s="17" t="s">
        <v>3460</v>
      </c>
      <c r="I2907" s="17"/>
      <c r="J2907" s="17"/>
      <c r="K2907" s="17"/>
      <c r="L2907" s="17"/>
      <c r="M2907" s="17"/>
      <c r="N2907" s="17"/>
      <c r="O2907" s="17"/>
      <c r="P2907" s="17"/>
      <c r="Q2907" s="17"/>
    </row>
    <row r="2908" spans="1:17">
      <c r="A2908" s="556" t="s">
        <v>3645</v>
      </c>
      <c r="B2908" s="557"/>
      <c r="C2908" s="558" t="s">
        <v>2389</v>
      </c>
      <c r="D2908" s="556" t="s">
        <v>6320</v>
      </c>
      <c r="E2908" s="17" t="s">
        <v>6377</v>
      </c>
      <c r="F2908" s="17">
        <v>12</v>
      </c>
      <c r="G2908" s="17">
        <v>5</v>
      </c>
      <c r="H2908" s="17" t="s">
        <v>7819</v>
      </c>
      <c r="I2908" s="17"/>
      <c r="J2908" s="17"/>
      <c r="K2908" s="17"/>
      <c r="L2908" s="17"/>
      <c r="M2908" s="17"/>
      <c r="N2908" s="17"/>
      <c r="O2908" s="17"/>
      <c r="P2908" s="17"/>
      <c r="Q2908" s="17"/>
    </row>
    <row r="2909" spans="1:17">
      <c r="A2909" s="556" t="s">
        <v>3645</v>
      </c>
      <c r="B2909" s="557"/>
      <c r="C2909" s="558" t="s">
        <v>2390</v>
      </c>
      <c r="D2909" s="556" t="s">
        <v>1361</v>
      </c>
      <c r="E2909" s="17" t="s">
        <v>6378</v>
      </c>
      <c r="F2909" s="17">
        <v>13</v>
      </c>
      <c r="G2909" s="17">
        <v>1</v>
      </c>
      <c r="H2909" s="17" t="s">
        <v>3379</v>
      </c>
      <c r="I2909" s="17"/>
      <c r="J2909" s="17"/>
      <c r="K2909" s="17"/>
      <c r="L2909" s="17"/>
      <c r="M2909" s="17"/>
      <c r="N2909" s="17"/>
      <c r="O2909" s="17"/>
      <c r="P2909" s="17"/>
      <c r="Q2909" s="17"/>
    </row>
    <row r="2910" spans="1:17">
      <c r="A2910" s="556" t="s">
        <v>3645</v>
      </c>
      <c r="B2910" s="557"/>
      <c r="C2910" s="558" t="s">
        <v>2390</v>
      </c>
      <c r="D2910" s="556" t="s">
        <v>1362</v>
      </c>
      <c r="E2910" s="17" t="s">
        <v>6379</v>
      </c>
      <c r="F2910" s="17">
        <v>13</v>
      </c>
      <c r="G2910" s="17">
        <v>2</v>
      </c>
      <c r="H2910" s="17" t="s">
        <v>3380</v>
      </c>
      <c r="I2910" s="17"/>
      <c r="J2910" s="17"/>
      <c r="K2910" s="17"/>
      <c r="L2910" s="17"/>
      <c r="M2910" s="17"/>
      <c r="N2910" s="17"/>
      <c r="O2910" s="17"/>
      <c r="P2910" s="17"/>
      <c r="Q2910" s="17"/>
    </row>
    <row r="2911" spans="1:17">
      <c r="A2911" s="556" t="s">
        <v>3645</v>
      </c>
      <c r="B2911" s="557"/>
      <c r="C2911" s="558" t="s">
        <v>2390</v>
      </c>
      <c r="D2911" s="556" t="s">
        <v>6316</v>
      </c>
      <c r="E2911" s="17" t="s">
        <v>6380</v>
      </c>
      <c r="F2911" s="17">
        <v>13</v>
      </c>
      <c r="G2911" s="17">
        <v>3</v>
      </c>
      <c r="H2911" s="17" t="s">
        <v>3381</v>
      </c>
      <c r="I2911" s="17"/>
      <c r="J2911" s="17"/>
      <c r="K2911" s="17"/>
      <c r="L2911" s="17"/>
      <c r="M2911" s="17"/>
      <c r="N2911" s="17"/>
      <c r="O2911" s="17"/>
      <c r="P2911" s="17"/>
      <c r="Q2911" s="17"/>
    </row>
    <row r="2912" spans="1:17">
      <c r="A2912" s="556" t="s">
        <v>3645</v>
      </c>
      <c r="B2912" s="557"/>
      <c r="C2912" s="558" t="s">
        <v>2390</v>
      </c>
      <c r="D2912" s="556" t="s">
        <v>6318</v>
      </c>
      <c r="E2912" s="17" t="s">
        <v>6381</v>
      </c>
      <c r="F2912" s="17">
        <v>13</v>
      </c>
      <c r="G2912" s="17">
        <v>4</v>
      </c>
      <c r="H2912" s="17" t="s">
        <v>3461</v>
      </c>
      <c r="I2912" s="17"/>
      <c r="J2912" s="17"/>
      <c r="K2912" s="17"/>
      <c r="L2912" s="17"/>
      <c r="M2912" s="17"/>
      <c r="N2912" s="17"/>
      <c r="O2912" s="17"/>
      <c r="P2912" s="17"/>
      <c r="Q2912" s="17"/>
    </row>
    <row r="2913" spans="1:17">
      <c r="A2913" s="556" t="s">
        <v>3645</v>
      </c>
      <c r="B2913" s="557"/>
      <c r="C2913" s="558" t="s">
        <v>2390</v>
      </c>
      <c r="D2913" s="556" t="s">
        <v>6320</v>
      </c>
      <c r="E2913" s="17" t="s">
        <v>6382</v>
      </c>
      <c r="F2913" s="17">
        <v>13</v>
      </c>
      <c r="G2913" s="17">
        <v>5</v>
      </c>
      <c r="H2913" s="17" t="s">
        <v>7820</v>
      </c>
      <c r="I2913" s="17"/>
      <c r="J2913" s="17"/>
      <c r="K2913" s="17"/>
      <c r="L2913" s="17"/>
      <c r="M2913" s="17"/>
      <c r="N2913" s="17"/>
      <c r="O2913" s="17"/>
      <c r="P2913" s="17"/>
      <c r="Q2913" s="17"/>
    </row>
    <row r="2914" spans="1:17">
      <c r="A2914" s="556" t="s">
        <v>3645</v>
      </c>
      <c r="B2914" s="557"/>
      <c r="C2914" s="558" t="s">
        <v>2391</v>
      </c>
      <c r="D2914" s="556" t="s">
        <v>1361</v>
      </c>
      <c r="E2914" s="17" t="s">
        <v>6383</v>
      </c>
      <c r="F2914" s="17">
        <v>14</v>
      </c>
      <c r="G2914" s="17">
        <v>1</v>
      </c>
      <c r="H2914" s="17" t="s">
        <v>3383</v>
      </c>
      <c r="I2914" s="17">
        <v>0</v>
      </c>
      <c r="J2914" s="17"/>
      <c r="K2914" s="17"/>
      <c r="L2914" s="17"/>
      <c r="M2914" s="17"/>
      <c r="N2914" s="17"/>
      <c r="O2914" s="17"/>
      <c r="P2914" s="17"/>
      <c r="Q2914" s="17"/>
    </row>
    <row r="2915" spans="1:17">
      <c r="A2915" s="556" t="s">
        <v>3645</v>
      </c>
      <c r="B2915" s="557"/>
      <c r="C2915" s="558" t="s">
        <v>2391</v>
      </c>
      <c r="D2915" s="556" t="s">
        <v>1362</v>
      </c>
      <c r="E2915" s="17" t="s">
        <v>6384</v>
      </c>
      <c r="F2915" s="17">
        <v>14</v>
      </c>
      <c r="G2915" s="17">
        <v>2</v>
      </c>
      <c r="H2915" s="17" t="s">
        <v>3384</v>
      </c>
      <c r="I2915" s="17">
        <v>0</v>
      </c>
      <c r="J2915" s="17"/>
      <c r="K2915" s="17"/>
      <c r="L2915" s="17"/>
      <c r="M2915" s="17"/>
      <c r="N2915" s="17"/>
      <c r="O2915" s="17"/>
      <c r="P2915" s="17"/>
      <c r="Q2915" s="17"/>
    </row>
    <row r="2916" spans="1:17">
      <c r="A2916" s="556" t="s">
        <v>3645</v>
      </c>
      <c r="B2916" s="557"/>
      <c r="C2916" s="558" t="s">
        <v>2391</v>
      </c>
      <c r="D2916" s="556" t="s">
        <v>6316</v>
      </c>
      <c r="E2916" s="17" t="s">
        <v>6385</v>
      </c>
      <c r="F2916" s="17">
        <v>14</v>
      </c>
      <c r="G2916" s="17">
        <v>3</v>
      </c>
      <c r="H2916" s="17" t="s">
        <v>3385</v>
      </c>
      <c r="I2916" s="17">
        <v>0</v>
      </c>
      <c r="J2916" s="17"/>
      <c r="K2916" s="17"/>
      <c r="L2916" s="17"/>
      <c r="M2916" s="17"/>
      <c r="N2916" s="17"/>
      <c r="O2916" s="17"/>
      <c r="P2916" s="17"/>
      <c r="Q2916" s="17"/>
    </row>
    <row r="2917" spans="1:17">
      <c r="A2917" s="556" t="s">
        <v>3645</v>
      </c>
      <c r="B2917" s="557"/>
      <c r="C2917" s="558" t="s">
        <v>2391</v>
      </c>
      <c r="D2917" s="556" t="s">
        <v>6318</v>
      </c>
      <c r="E2917" s="17" t="s">
        <v>6386</v>
      </c>
      <c r="F2917" s="17">
        <v>14</v>
      </c>
      <c r="G2917" s="17">
        <v>4</v>
      </c>
      <c r="H2917" s="17" t="s">
        <v>3462</v>
      </c>
      <c r="I2917" s="17">
        <v>0</v>
      </c>
      <c r="J2917" s="17"/>
      <c r="K2917" s="17"/>
      <c r="L2917" s="17"/>
      <c r="M2917" s="17"/>
      <c r="N2917" s="17"/>
      <c r="O2917" s="17"/>
      <c r="P2917" s="17"/>
      <c r="Q2917" s="17"/>
    </row>
    <row r="2918" spans="1:17">
      <c r="A2918" s="556" t="s">
        <v>3645</v>
      </c>
      <c r="B2918" s="557"/>
      <c r="C2918" s="558" t="s">
        <v>2391</v>
      </c>
      <c r="D2918" s="556" t="s">
        <v>6320</v>
      </c>
      <c r="E2918" s="17" t="s">
        <v>6387</v>
      </c>
      <c r="F2918" s="17">
        <v>14</v>
      </c>
      <c r="G2918" s="17">
        <v>5</v>
      </c>
      <c r="H2918" s="17" t="s">
        <v>7821</v>
      </c>
      <c r="I2918" s="17">
        <v>0</v>
      </c>
      <c r="J2918" s="17"/>
      <c r="K2918" s="17"/>
      <c r="L2918" s="17"/>
      <c r="M2918" s="17"/>
      <c r="N2918" s="17"/>
      <c r="O2918" s="17"/>
      <c r="P2918" s="17"/>
      <c r="Q2918" s="17"/>
    </row>
    <row r="2919" spans="1:17">
      <c r="A2919" s="556" t="s">
        <v>3645</v>
      </c>
      <c r="B2919" s="557"/>
      <c r="C2919" s="558" t="s">
        <v>2392</v>
      </c>
      <c r="D2919" s="556" t="s">
        <v>1361</v>
      </c>
      <c r="E2919" s="17" t="s">
        <v>6388</v>
      </c>
      <c r="F2919" s="17">
        <v>15</v>
      </c>
      <c r="G2919" s="17">
        <v>1</v>
      </c>
      <c r="H2919" s="17" t="s">
        <v>3387</v>
      </c>
      <c r="I2919" s="17"/>
      <c r="J2919" s="17"/>
      <c r="K2919" s="17"/>
      <c r="L2919" s="17"/>
      <c r="M2919" s="17"/>
      <c r="N2919" s="17"/>
      <c r="O2919" s="17"/>
      <c r="P2919" s="17"/>
      <c r="Q2919" s="17"/>
    </row>
    <row r="2920" spans="1:17">
      <c r="A2920" s="556" t="s">
        <v>3645</v>
      </c>
      <c r="B2920" s="557"/>
      <c r="C2920" s="558" t="s">
        <v>2392</v>
      </c>
      <c r="D2920" s="556" t="s">
        <v>1362</v>
      </c>
      <c r="E2920" s="17" t="s">
        <v>6389</v>
      </c>
      <c r="F2920" s="17">
        <v>15</v>
      </c>
      <c r="G2920" s="17">
        <v>2</v>
      </c>
      <c r="H2920" s="17" t="s">
        <v>3388</v>
      </c>
      <c r="I2920" s="17"/>
      <c r="J2920" s="17"/>
      <c r="K2920" s="17"/>
      <c r="L2920" s="17"/>
      <c r="M2920" s="17"/>
      <c r="N2920" s="17"/>
      <c r="O2920" s="17"/>
      <c r="P2920" s="17"/>
      <c r="Q2920" s="17"/>
    </row>
    <row r="2921" spans="1:17">
      <c r="A2921" s="556" t="s">
        <v>3645</v>
      </c>
      <c r="B2921" s="557"/>
      <c r="C2921" s="558" t="s">
        <v>2392</v>
      </c>
      <c r="D2921" s="556" t="s">
        <v>6316</v>
      </c>
      <c r="E2921" s="17" t="s">
        <v>6390</v>
      </c>
      <c r="F2921" s="17">
        <v>15</v>
      </c>
      <c r="G2921" s="17">
        <v>3</v>
      </c>
      <c r="H2921" s="17" t="s">
        <v>3389</v>
      </c>
      <c r="I2921" s="17"/>
      <c r="J2921" s="17"/>
      <c r="K2921" s="17"/>
      <c r="L2921" s="17"/>
      <c r="M2921" s="17"/>
      <c r="N2921" s="17"/>
      <c r="O2921" s="17"/>
      <c r="P2921" s="17"/>
      <c r="Q2921" s="17"/>
    </row>
    <row r="2922" spans="1:17">
      <c r="A2922" s="556" t="s">
        <v>3645</v>
      </c>
      <c r="B2922" s="557"/>
      <c r="C2922" s="558" t="s">
        <v>2392</v>
      </c>
      <c r="D2922" s="556" t="s">
        <v>6318</v>
      </c>
      <c r="E2922" s="17" t="s">
        <v>6391</v>
      </c>
      <c r="F2922" s="17">
        <v>15</v>
      </c>
      <c r="G2922" s="17">
        <v>4</v>
      </c>
      <c r="H2922" s="17" t="s">
        <v>3463</v>
      </c>
      <c r="I2922" s="17"/>
      <c r="J2922" s="17"/>
      <c r="K2922" s="17"/>
      <c r="L2922" s="17"/>
      <c r="M2922" s="17"/>
      <c r="N2922" s="17"/>
      <c r="O2922" s="17"/>
      <c r="P2922" s="17"/>
      <c r="Q2922" s="17"/>
    </row>
    <row r="2923" spans="1:17">
      <c r="A2923" s="556" t="s">
        <v>3645</v>
      </c>
      <c r="B2923" s="557"/>
      <c r="C2923" s="558" t="s">
        <v>2392</v>
      </c>
      <c r="D2923" s="556" t="s">
        <v>6320</v>
      </c>
      <c r="E2923" s="17" t="s">
        <v>6392</v>
      </c>
      <c r="F2923" s="17">
        <v>15</v>
      </c>
      <c r="G2923" s="17">
        <v>5</v>
      </c>
      <c r="H2923" s="17" t="s">
        <v>7822</v>
      </c>
      <c r="I2923" s="17"/>
      <c r="J2923" s="17"/>
      <c r="K2923" s="17"/>
      <c r="L2923" s="17"/>
      <c r="M2923" s="17"/>
      <c r="N2923" s="17"/>
      <c r="O2923" s="17"/>
      <c r="P2923" s="17"/>
      <c r="Q2923" s="17"/>
    </row>
    <row r="2924" spans="1:17">
      <c r="A2924" s="556" t="s">
        <v>3645</v>
      </c>
      <c r="B2924" s="557"/>
      <c r="C2924" s="558" t="s">
        <v>2393</v>
      </c>
      <c r="D2924" s="556" t="s">
        <v>1361</v>
      </c>
      <c r="E2924" s="17" t="s">
        <v>6393</v>
      </c>
      <c r="F2924" s="17">
        <v>16</v>
      </c>
      <c r="G2924" s="17">
        <v>1</v>
      </c>
      <c r="H2924" s="17" t="s">
        <v>3391</v>
      </c>
      <c r="I2924" s="17"/>
      <c r="J2924" s="17"/>
      <c r="K2924" s="17"/>
      <c r="L2924" s="17"/>
      <c r="M2924" s="17"/>
      <c r="N2924" s="17"/>
      <c r="O2924" s="17"/>
      <c r="P2924" s="17"/>
      <c r="Q2924" s="17"/>
    </row>
    <row r="2925" spans="1:17">
      <c r="A2925" s="556" t="s">
        <v>3645</v>
      </c>
      <c r="B2925" s="557"/>
      <c r="C2925" s="558" t="s">
        <v>2393</v>
      </c>
      <c r="D2925" s="556" t="s">
        <v>1362</v>
      </c>
      <c r="E2925" s="17" t="s">
        <v>6394</v>
      </c>
      <c r="F2925" s="17">
        <v>16</v>
      </c>
      <c r="G2925" s="17">
        <v>2</v>
      </c>
      <c r="H2925" s="17" t="s">
        <v>3392</v>
      </c>
      <c r="I2925" s="17"/>
      <c r="J2925" s="17"/>
      <c r="K2925" s="17"/>
      <c r="L2925" s="17"/>
      <c r="M2925" s="17"/>
      <c r="N2925" s="17"/>
      <c r="O2925" s="17"/>
      <c r="P2925" s="17"/>
      <c r="Q2925" s="17"/>
    </row>
    <row r="2926" spans="1:17">
      <c r="A2926" s="556" t="s">
        <v>3645</v>
      </c>
      <c r="B2926" s="557"/>
      <c r="C2926" s="558" t="s">
        <v>2393</v>
      </c>
      <c r="D2926" s="556" t="s">
        <v>6316</v>
      </c>
      <c r="E2926" s="17" t="s">
        <v>6395</v>
      </c>
      <c r="F2926" s="17">
        <v>16</v>
      </c>
      <c r="G2926" s="17">
        <v>3</v>
      </c>
      <c r="H2926" s="17" t="s">
        <v>3393</v>
      </c>
      <c r="I2926" s="17"/>
      <c r="J2926" s="17"/>
      <c r="K2926" s="17"/>
      <c r="L2926" s="17"/>
      <c r="M2926" s="17"/>
      <c r="N2926" s="17"/>
      <c r="O2926" s="17"/>
      <c r="P2926" s="17"/>
      <c r="Q2926" s="17"/>
    </row>
    <row r="2927" spans="1:17">
      <c r="A2927" s="556" t="s">
        <v>3645</v>
      </c>
      <c r="B2927" s="557"/>
      <c r="C2927" s="558" t="s">
        <v>2393</v>
      </c>
      <c r="D2927" s="556" t="s">
        <v>6318</v>
      </c>
      <c r="E2927" s="17" t="s">
        <v>6396</v>
      </c>
      <c r="F2927" s="17">
        <v>16</v>
      </c>
      <c r="G2927" s="17">
        <v>4</v>
      </c>
      <c r="H2927" s="17" t="s">
        <v>3464</v>
      </c>
      <c r="I2927" s="17"/>
      <c r="J2927" s="17"/>
      <c r="K2927" s="17"/>
      <c r="L2927" s="17"/>
      <c r="M2927" s="17"/>
      <c r="N2927" s="17"/>
      <c r="O2927" s="17"/>
      <c r="P2927" s="17"/>
      <c r="Q2927" s="17"/>
    </row>
    <row r="2928" spans="1:17">
      <c r="A2928" s="556" t="s">
        <v>3645</v>
      </c>
      <c r="B2928" s="557"/>
      <c r="C2928" s="558" t="s">
        <v>2393</v>
      </c>
      <c r="D2928" s="556" t="s">
        <v>6320</v>
      </c>
      <c r="E2928" s="17" t="s">
        <v>6397</v>
      </c>
      <c r="F2928" s="17">
        <v>16</v>
      </c>
      <c r="G2928" s="17">
        <v>5</v>
      </c>
      <c r="H2928" s="17" t="s">
        <v>3694</v>
      </c>
      <c r="I2928" s="17"/>
      <c r="J2928" s="17"/>
      <c r="K2928" s="17"/>
      <c r="L2928" s="17"/>
      <c r="M2928" s="17"/>
      <c r="N2928" s="17"/>
      <c r="O2928" s="17"/>
      <c r="P2928" s="17"/>
      <c r="Q2928" s="17"/>
    </row>
    <row r="2929" spans="1:17">
      <c r="A2929" s="556" t="s">
        <v>3645</v>
      </c>
      <c r="B2929" s="557"/>
      <c r="C2929" s="558" t="s">
        <v>2394</v>
      </c>
      <c r="D2929" s="556" t="s">
        <v>1361</v>
      </c>
      <c r="E2929" s="17" t="s">
        <v>6398</v>
      </c>
      <c r="F2929" s="17">
        <v>17</v>
      </c>
      <c r="G2929" s="17">
        <v>1</v>
      </c>
      <c r="H2929" s="17" t="s">
        <v>3395</v>
      </c>
      <c r="I2929" s="17">
        <v>0</v>
      </c>
      <c r="J2929" s="17"/>
      <c r="K2929" s="17"/>
      <c r="L2929" s="17"/>
      <c r="M2929" s="17"/>
      <c r="N2929" s="17"/>
      <c r="O2929" s="17"/>
      <c r="P2929" s="17"/>
      <c r="Q2929" s="17"/>
    </row>
    <row r="2930" spans="1:17">
      <c r="A2930" s="556" t="s">
        <v>3645</v>
      </c>
      <c r="B2930" s="557"/>
      <c r="C2930" s="558" t="s">
        <v>2394</v>
      </c>
      <c r="D2930" s="556" t="s">
        <v>1362</v>
      </c>
      <c r="E2930" s="17" t="s">
        <v>6399</v>
      </c>
      <c r="F2930" s="17">
        <v>17</v>
      </c>
      <c r="G2930" s="17">
        <v>2</v>
      </c>
      <c r="H2930" s="17" t="s">
        <v>3396</v>
      </c>
      <c r="I2930" s="17">
        <v>0</v>
      </c>
      <c r="J2930" s="17"/>
      <c r="K2930" s="17"/>
      <c r="L2930" s="17"/>
      <c r="M2930" s="17"/>
      <c r="N2930" s="17"/>
      <c r="O2930" s="17"/>
      <c r="P2930" s="17"/>
      <c r="Q2930" s="17"/>
    </row>
    <row r="2931" spans="1:17">
      <c r="A2931" s="556" t="s">
        <v>3645</v>
      </c>
      <c r="B2931" s="557"/>
      <c r="C2931" s="558" t="s">
        <v>2394</v>
      </c>
      <c r="D2931" s="556" t="s">
        <v>6316</v>
      </c>
      <c r="E2931" s="17" t="s">
        <v>6400</v>
      </c>
      <c r="F2931" s="17">
        <v>17</v>
      </c>
      <c r="G2931" s="17">
        <v>3</v>
      </c>
      <c r="H2931" s="17" t="s">
        <v>3397</v>
      </c>
      <c r="I2931" s="17">
        <v>0</v>
      </c>
      <c r="J2931" s="17"/>
      <c r="K2931" s="17"/>
      <c r="L2931" s="17"/>
      <c r="M2931" s="17"/>
      <c r="N2931" s="17"/>
      <c r="O2931" s="17"/>
      <c r="P2931" s="17"/>
      <c r="Q2931" s="17"/>
    </row>
    <row r="2932" spans="1:17">
      <c r="A2932" s="556" t="s">
        <v>3645</v>
      </c>
      <c r="B2932" s="557"/>
      <c r="C2932" s="558" t="s">
        <v>2394</v>
      </c>
      <c r="D2932" s="556" t="s">
        <v>6318</v>
      </c>
      <c r="E2932" s="17" t="s">
        <v>6401</v>
      </c>
      <c r="F2932" s="17">
        <v>17</v>
      </c>
      <c r="G2932" s="17">
        <v>4</v>
      </c>
      <c r="H2932" s="17" t="s">
        <v>3465</v>
      </c>
      <c r="I2932" s="17">
        <v>0</v>
      </c>
      <c r="J2932" s="17"/>
      <c r="K2932" s="17"/>
      <c r="L2932" s="17"/>
      <c r="M2932" s="17"/>
      <c r="N2932" s="17"/>
      <c r="O2932" s="17"/>
      <c r="P2932" s="17"/>
      <c r="Q2932" s="17"/>
    </row>
    <row r="2933" spans="1:17">
      <c r="A2933" s="556" t="s">
        <v>3645</v>
      </c>
      <c r="B2933" s="557"/>
      <c r="C2933" s="558" t="s">
        <v>2394</v>
      </c>
      <c r="D2933" s="556" t="s">
        <v>6320</v>
      </c>
      <c r="E2933" s="17" t="s">
        <v>6402</v>
      </c>
      <c r="F2933" s="17">
        <v>17</v>
      </c>
      <c r="G2933" s="17">
        <v>5</v>
      </c>
      <c r="H2933" s="17" t="s">
        <v>7832</v>
      </c>
      <c r="I2933" s="17">
        <v>0</v>
      </c>
      <c r="J2933" s="17"/>
      <c r="K2933" s="17"/>
      <c r="L2933" s="17"/>
      <c r="M2933" s="17"/>
      <c r="N2933" s="17"/>
      <c r="O2933" s="17"/>
      <c r="P2933" s="17"/>
      <c r="Q2933" s="17"/>
    </row>
    <row r="2934" spans="1:17">
      <c r="A2934" s="556" t="s">
        <v>3645</v>
      </c>
      <c r="B2934" s="557"/>
      <c r="C2934" s="558" t="s">
        <v>6403</v>
      </c>
      <c r="D2934" s="556" t="s">
        <v>1361</v>
      </c>
      <c r="E2934" s="17" t="s">
        <v>6404</v>
      </c>
      <c r="F2934" s="17">
        <v>18</v>
      </c>
      <c r="G2934" s="17">
        <v>1</v>
      </c>
      <c r="H2934" s="17" t="s">
        <v>3399</v>
      </c>
      <c r="I2934" s="17"/>
      <c r="J2934" s="17"/>
      <c r="K2934" s="17"/>
      <c r="L2934" s="17"/>
      <c r="M2934" s="17"/>
      <c r="N2934" s="17"/>
      <c r="O2934" s="17"/>
      <c r="P2934" s="17"/>
      <c r="Q2934" s="17"/>
    </row>
    <row r="2935" spans="1:17">
      <c r="A2935" s="556" t="s">
        <v>3645</v>
      </c>
      <c r="B2935" s="557"/>
      <c r="C2935" s="558" t="s">
        <v>6403</v>
      </c>
      <c r="D2935" s="556" t="s">
        <v>1362</v>
      </c>
      <c r="E2935" s="17" t="s">
        <v>6405</v>
      </c>
      <c r="F2935" s="17">
        <v>18</v>
      </c>
      <c r="G2935" s="17">
        <v>2</v>
      </c>
      <c r="H2935" s="17" t="s">
        <v>3400</v>
      </c>
      <c r="I2935" s="17"/>
      <c r="J2935" s="17"/>
      <c r="K2935" s="17"/>
      <c r="L2935" s="17"/>
      <c r="M2935" s="17"/>
      <c r="N2935" s="17"/>
      <c r="O2935" s="17"/>
      <c r="P2935" s="17"/>
      <c r="Q2935" s="17"/>
    </row>
    <row r="2936" spans="1:17">
      <c r="A2936" s="556" t="s">
        <v>3645</v>
      </c>
      <c r="B2936" s="557"/>
      <c r="C2936" s="558" t="s">
        <v>6403</v>
      </c>
      <c r="D2936" s="556" t="s">
        <v>6316</v>
      </c>
      <c r="E2936" s="17" t="s">
        <v>6406</v>
      </c>
      <c r="F2936" s="17">
        <v>18</v>
      </c>
      <c r="G2936" s="17">
        <v>3</v>
      </c>
      <c r="H2936" s="17" t="s">
        <v>3401</v>
      </c>
      <c r="I2936" s="17"/>
      <c r="J2936" s="17"/>
      <c r="K2936" s="17"/>
      <c r="L2936" s="17"/>
      <c r="M2936" s="17"/>
      <c r="N2936" s="17"/>
      <c r="O2936" s="17"/>
      <c r="P2936" s="17"/>
      <c r="Q2936" s="17"/>
    </row>
    <row r="2937" spans="1:17">
      <c r="A2937" s="556" t="s">
        <v>3645</v>
      </c>
      <c r="B2937" s="557"/>
      <c r="C2937" s="558" t="s">
        <v>6403</v>
      </c>
      <c r="D2937" s="556" t="s">
        <v>6318</v>
      </c>
      <c r="E2937" s="17" t="s">
        <v>6407</v>
      </c>
      <c r="F2937" s="17">
        <v>18</v>
      </c>
      <c r="G2937" s="17">
        <v>4</v>
      </c>
      <c r="H2937" s="17" t="s">
        <v>3466</v>
      </c>
      <c r="I2937" s="17"/>
      <c r="J2937" s="17"/>
      <c r="K2937" s="17"/>
      <c r="L2937" s="17"/>
      <c r="M2937" s="17"/>
      <c r="N2937" s="17"/>
      <c r="O2937" s="17"/>
      <c r="P2937" s="17"/>
      <c r="Q2937" s="17"/>
    </row>
    <row r="2938" spans="1:17">
      <c r="A2938" s="556" t="s">
        <v>3645</v>
      </c>
      <c r="B2938" s="557"/>
      <c r="C2938" s="558" t="s">
        <v>6403</v>
      </c>
      <c r="D2938" s="556" t="s">
        <v>6320</v>
      </c>
      <c r="E2938" s="17" t="s">
        <v>6408</v>
      </c>
      <c r="F2938" s="17">
        <v>18</v>
      </c>
      <c r="G2938" s="17">
        <v>5</v>
      </c>
      <c r="H2938" s="17" t="s">
        <v>7833</v>
      </c>
      <c r="I2938" s="17"/>
      <c r="J2938" s="17"/>
      <c r="K2938" s="17"/>
      <c r="L2938" s="17"/>
      <c r="M2938" s="17"/>
      <c r="N2938" s="17"/>
      <c r="O2938" s="17"/>
      <c r="P2938" s="17"/>
      <c r="Q2938" s="17"/>
    </row>
    <row r="2939" spans="1:17">
      <c r="A2939" s="556" t="s">
        <v>3645</v>
      </c>
      <c r="B2939" s="557"/>
      <c r="C2939" s="558" t="s">
        <v>2396</v>
      </c>
      <c r="D2939" s="556" t="s">
        <v>1361</v>
      </c>
      <c r="E2939" s="17" t="s">
        <v>6409</v>
      </c>
      <c r="F2939" s="17">
        <v>19</v>
      </c>
      <c r="G2939" s="17">
        <v>1</v>
      </c>
      <c r="H2939" s="17" t="s">
        <v>3403</v>
      </c>
      <c r="I2939" s="17"/>
      <c r="J2939" s="17"/>
      <c r="K2939" s="17"/>
      <c r="L2939" s="17"/>
      <c r="M2939" s="17"/>
      <c r="N2939" s="17"/>
      <c r="O2939" s="17"/>
      <c r="P2939" s="17"/>
      <c r="Q2939" s="17"/>
    </row>
    <row r="2940" spans="1:17">
      <c r="A2940" s="556" t="s">
        <v>3645</v>
      </c>
      <c r="B2940" s="557"/>
      <c r="C2940" s="558" t="s">
        <v>2396</v>
      </c>
      <c r="D2940" s="556" t="s">
        <v>1362</v>
      </c>
      <c r="E2940" s="17" t="s">
        <v>6410</v>
      </c>
      <c r="F2940" s="17">
        <v>19</v>
      </c>
      <c r="G2940" s="17">
        <v>2</v>
      </c>
      <c r="H2940" s="17" t="s">
        <v>3404</v>
      </c>
      <c r="I2940" s="17"/>
      <c r="J2940" s="17"/>
      <c r="K2940" s="17"/>
      <c r="L2940" s="17"/>
      <c r="M2940" s="17"/>
      <c r="N2940" s="17"/>
      <c r="O2940" s="17"/>
      <c r="P2940" s="17"/>
      <c r="Q2940" s="17"/>
    </row>
    <row r="2941" spans="1:17">
      <c r="A2941" s="556" t="s">
        <v>3645</v>
      </c>
      <c r="B2941" s="557"/>
      <c r="C2941" s="558" t="s">
        <v>2396</v>
      </c>
      <c r="D2941" s="556" t="s">
        <v>6316</v>
      </c>
      <c r="E2941" s="17" t="s">
        <v>6411</v>
      </c>
      <c r="F2941" s="17">
        <v>19</v>
      </c>
      <c r="G2941" s="17">
        <v>3</v>
      </c>
      <c r="H2941" s="17" t="s">
        <v>3405</v>
      </c>
      <c r="I2941" s="17"/>
      <c r="J2941" s="17"/>
      <c r="K2941" s="17"/>
      <c r="L2941" s="17"/>
      <c r="M2941" s="17"/>
      <c r="N2941" s="17"/>
      <c r="O2941" s="17"/>
      <c r="P2941" s="17"/>
      <c r="Q2941" s="17"/>
    </row>
    <row r="2942" spans="1:17">
      <c r="A2942" s="556" t="s">
        <v>3645</v>
      </c>
      <c r="B2942" s="557"/>
      <c r="C2942" s="558" t="s">
        <v>2396</v>
      </c>
      <c r="D2942" s="556" t="s">
        <v>6318</v>
      </c>
      <c r="E2942" s="17" t="s">
        <v>6412</v>
      </c>
      <c r="F2942" s="17">
        <v>19</v>
      </c>
      <c r="G2942" s="17">
        <v>4</v>
      </c>
      <c r="H2942" s="17" t="s">
        <v>3467</v>
      </c>
      <c r="I2942" s="17"/>
      <c r="J2942" s="17"/>
      <c r="K2942" s="17"/>
      <c r="L2942" s="17"/>
      <c r="M2942" s="17"/>
      <c r="N2942" s="17"/>
      <c r="O2942" s="17"/>
      <c r="P2942" s="17"/>
      <c r="Q2942" s="17"/>
    </row>
    <row r="2943" spans="1:17">
      <c r="A2943" s="556" t="s">
        <v>3645</v>
      </c>
      <c r="B2943" s="557"/>
      <c r="C2943" s="558" t="s">
        <v>2396</v>
      </c>
      <c r="D2943" s="556" t="s">
        <v>6320</v>
      </c>
      <c r="E2943" s="17" t="s">
        <v>6413</v>
      </c>
      <c r="F2943" s="17">
        <v>19</v>
      </c>
      <c r="G2943" s="17">
        <v>5</v>
      </c>
      <c r="H2943" s="17" t="s">
        <v>7834</v>
      </c>
      <c r="I2943" s="17"/>
      <c r="J2943" s="17"/>
      <c r="K2943" s="17"/>
      <c r="L2943" s="17"/>
      <c r="M2943" s="17"/>
      <c r="N2943" s="17"/>
      <c r="O2943" s="17"/>
      <c r="P2943" s="17"/>
      <c r="Q2943" s="17"/>
    </row>
    <row r="2944" spans="1:17">
      <c r="A2944" s="556" t="s">
        <v>3645</v>
      </c>
      <c r="B2944" s="557"/>
      <c r="C2944" s="558" t="s">
        <v>6414</v>
      </c>
      <c r="D2944" s="556" t="s">
        <v>1361</v>
      </c>
      <c r="E2944" s="17" t="s">
        <v>6415</v>
      </c>
      <c r="F2944" s="17">
        <v>20</v>
      </c>
      <c r="G2944" s="17">
        <v>1</v>
      </c>
      <c r="H2944" s="17" t="s">
        <v>3407</v>
      </c>
      <c r="I2944" s="17"/>
      <c r="J2944" s="17"/>
      <c r="K2944" s="17"/>
      <c r="L2944" s="17"/>
      <c r="M2944" s="17"/>
      <c r="N2944" s="17"/>
      <c r="O2944" s="17"/>
      <c r="P2944" s="17"/>
      <c r="Q2944" s="17"/>
    </row>
    <row r="2945" spans="1:17">
      <c r="A2945" s="556" t="s">
        <v>3645</v>
      </c>
      <c r="B2945" s="557"/>
      <c r="C2945" s="558" t="s">
        <v>6414</v>
      </c>
      <c r="D2945" s="556" t="s">
        <v>1362</v>
      </c>
      <c r="E2945" s="17" t="s">
        <v>6416</v>
      </c>
      <c r="F2945" s="17">
        <v>20</v>
      </c>
      <c r="G2945" s="17">
        <v>2</v>
      </c>
      <c r="H2945" s="17" t="s">
        <v>3408</v>
      </c>
      <c r="I2945" s="17"/>
      <c r="J2945" s="17"/>
      <c r="K2945" s="17"/>
      <c r="L2945" s="17"/>
      <c r="M2945" s="17"/>
      <c r="N2945" s="17"/>
      <c r="O2945" s="17"/>
      <c r="P2945" s="17"/>
      <c r="Q2945" s="17"/>
    </row>
    <row r="2946" spans="1:17">
      <c r="A2946" s="556" t="s">
        <v>3645</v>
      </c>
      <c r="B2946" s="557"/>
      <c r="C2946" s="558" t="s">
        <v>6414</v>
      </c>
      <c r="D2946" s="556" t="s">
        <v>6316</v>
      </c>
      <c r="E2946" s="17" t="s">
        <v>6417</v>
      </c>
      <c r="F2946" s="17">
        <v>20</v>
      </c>
      <c r="G2946" s="17">
        <v>3</v>
      </c>
      <c r="H2946" s="17" t="s">
        <v>3409</v>
      </c>
      <c r="I2946" s="17"/>
      <c r="J2946" s="17"/>
      <c r="K2946" s="17"/>
      <c r="L2946" s="17"/>
      <c r="M2946" s="17"/>
      <c r="N2946" s="17"/>
      <c r="O2946" s="17"/>
      <c r="P2946" s="17"/>
      <c r="Q2946" s="17"/>
    </row>
    <row r="2947" spans="1:17">
      <c r="A2947" s="556" t="s">
        <v>3645</v>
      </c>
      <c r="B2947" s="557"/>
      <c r="C2947" s="558" t="s">
        <v>6414</v>
      </c>
      <c r="D2947" s="556" t="s">
        <v>6318</v>
      </c>
      <c r="E2947" s="17" t="s">
        <v>6418</v>
      </c>
      <c r="F2947" s="17">
        <v>20</v>
      </c>
      <c r="G2947" s="17">
        <v>4</v>
      </c>
      <c r="H2947" s="17" t="s">
        <v>3468</v>
      </c>
      <c r="I2947" s="17"/>
      <c r="J2947" s="17"/>
      <c r="K2947" s="17"/>
      <c r="L2947" s="17"/>
      <c r="M2947" s="17"/>
      <c r="N2947" s="17"/>
      <c r="O2947" s="17"/>
      <c r="P2947" s="17"/>
      <c r="Q2947" s="17"/>
    </row>
    <row r="2948" spans="1:17">
      <c r="A2948" s="556" t="s">
        <v>3645</v>
      </c>
      <c r="B2948" s="557"/>
      <c r="C2948" s="558" t="s">
        <v>6414</v>
      </c>
      <c r="D2948" s="556" t="s">
        <v>6320</v>
      </c>
      <c r="E2948" s="17" t="s">
        <v>6419</v>
      </c>
      <c r="F2948" s="17">
        <v>20</v>
      </c>
      <c r="G2948" s="17">
        <v>5</v>
      </c>
      <c r="H2948" s="17" t="s">
        <v>7835</v>
      </c>
      <c r="I2948" s="17"/>
      <c r="J2948" s="17"/>
      <c r="K2948" s="17"/>
      <c r="L2948" s="17"/>
      <c r="M2948" s="17"/>
      <c r="N2948" s="17"/>
      <c r="O2948" s="17"/>
      <c r="P2948" s="17"/>
      <c r="Q2948" s="17"/>
    </row>
    <row r="2949" spans="1:17">
      <c r="A2949" s="556" t="s">
        <v>3645</v>
      </c>
      <c r="B2949" s="557"/>
      <c r="C2949" s="558" t="s">
        <v>6420</v>
      </c>
      <c r="D2949" s="556" t="s">
        <v>1361</v>
      </c>
      <c r="E2949" s="17" t="s">
        <v>6421</v>
      </c>
      <c r="F2949" s="17">
        <v>21</v>
      </c>
      <c r="G2949" s="17">
        <v>1</v>
      </c>
      <c r="H2949" s="17" t="s">
        <v>3411</v>
      </c>
      <c r="I2949" s="17"/>
      <c r="J2949" s="17"/>
      <c r="K2949" s="17"/>
      <c r="L2949" s="17"/>
      <c r="M2949" s="17"/>
      <c r="N2949" s="17"/>
      <c r="O2949" s="17"/>
      <c r="P2949" s="17"/>
      <c r="Q2949" s="17"/>
    </row>
    <row r="2950" spans="1:17">
      <c r="A2950" s="556" t="s">
        <v>3645</v>
      </c>
      <c r="B2950" s="557"/>
      <c r="C2950" s="558" t="s">
        <v>6420</v>
      </c>
      <c r="D2950" s="556" t="s">
        <v>1362</v>
      </c>
      <c r="E2950" s="17" t="s">
        <v>6422</v>
      </c>
      <c r="F2950" s="17">
        <v>21</v>
      </c>
      <c r="G2950" s="17">
        <v>2</v>
      </c>
      <c r="H2950" s="17" t="s">
        <v>3412</v>
      </c>
      <c r="I2950" s="17"/>
      <c r="J2950" s="17"/>
      <c r="K2950" s="17"/>
      <c r="L2950" s="17"/>
      <c r="M2950" s="17"/>
      <c r="N2950" s="17"/>
      <c r="O2950" s="17"/>
      <c r="P2950" s="17"/>
      <c r="Q2950" s="17"/>
    </row>
    <row r="2951" spans="1:17">
      <c r="A2951" s="556" t="s">
        <v>3645</v>
      </c>
      <c r="B2951" s="557"/>
      <c r="C2951" s="558" t="s">
        <v>6420</v>
      </c>
      <c r="D2951" s="556" t="s">
        <v>6316</v>
      </c>
      <c r="E2951" s="17" t="s">
        <v>6423</v>
      </c>
      <c r="F2951" s="17">
        <v>21</v>
      </c>
      <c r="G2951" s="17">
        <v>3</v>
      </c>
      <c r="H2951" s="17" t="s">
        <v>3413</v>
      </c>
      <c r="I2951" s="17"/>
      <c r="J2951" s="17"/>
      <c r="K2951" s="17"/>
      <c r="L2951" s="17"/>
      <c r="M2951" s="17"/>
      <c r="N2951" s="17"/>
      <c r="O2951" s="17"/>
      <c r="P2951" s="17"/>
      <c r="Q2951" s="17"/>
    </row>
    <row r="2952" spans="1:17">
      <c r="A2952" s="556" t="s">
        <v>3645</v>
      </c>
      <c r="B2952" s="557"/>
      <c r="C2952" s="558" t="s">
        <v>6420</v>
      </c>
      <c r="D2952" s="556" t="s">
        <v>6318</v>
      </c>
      <c r="E2952" s="17" t="s">
        <v>6424</v>
      </c>
      <c r="F2952" s="17">
        <v>21</v>
      </c>
      <c r="G2952" s="17">
        <v>4</v>
      </c>
      <c r="H2952" s="17" t="s">
        <v>3469</v>
      </c>
      <c r="I2952" s="17"/>
      <c r="J2952" s="17"/>
      <c r="K2952" s="17"/>
      <c r="L2952" s="17"/>
      <c r="M2952" s="17"/>
      <c r="N2952" s="17"/>
      <c r="O2952" s="17"/>
      <c r="P2952" s="17"/>
      <c r="Q2952" s="17"/>
    </row>
    <row r="2953" spans="1:17">
      <c r="A2953" s="556" t="s">
        <v>3645</v>
      </c>
      <c r="B2953" s="557"/>
      <c r="C2953" s="558" t="s">
        <v>6420</v>
      </c>
      <c r="D2953" s="556" t="s">
        <v>6320</v>
      </c>
      <c r="E2953" s="17" t="s">
        <v>6425</v>
      </c>
      <c r="F2953" s="17">
        <v>21</v>
      </c>
      <c r="G2953" s="17">
        <v>5</v>
      </c>
      <c r="H2953" s="17" t="s">
        <v>7901</v>
      </c>
      <c r="I2953" s="17"/>
      <c r="J2953" s="17"/>
      <c r="K2953" s="17"/>
      <c r="L2953" s="17"/>
      <c r="M2953" s="17"/>
      <c r="N2953" s="17"/>
      <c r="O2953" s="17"/>
      <c r="P2953" s="17"/>
      <c r="Q2953" s="17"/>
    </row>
    <row r="2954" spans="1:17">
      <c r="A2954" s="556" t="s">
        <v>3645</v>
      </c>
      <c r="B2954" s="557"/>
      <c r="C2954" s="558" t="s">
        <v>6426</v>
      </c>
      <c r="D2954" s="556" t="s">
        <v>1361</v>
      </c>
      <c r="E2954" s="17" t="s">
        <v>6427</v>
      </c>
      <c r="F2954" s="17">
        <v>22</v>
      </c>
      <c r="G2954" s="17">
        <v>1</v>
      </c>
      <c r="H2954" s="17" t="s">
        <v>3415</v>
      </c>
      <c r="I2954" s="17"/>
      <c r="J2954" s="17"/>
      <c r="K2954" s="17"/>
      <c r="L2954" s="17"/>
      <c r="M2954" s="17"/>
      <c r="N2954" s="17"/>
      <c r="O2954" s="17"/>
      <c r="P2954" s="17"/>
      <c r="Q2954" s="17"/>
    </row>
    <row r="2955" spans="1:17">
      <c r="A2955" s="556" t="s">
        <v>3645</v>
      </c>
      <c r="B2955" s="557"/>
      <c r="C2955" s="558" t="s">
        <v>6426</v>
      </c>
      <c r="D2955" s="556" t="s">
        <v>1362</v>
      </c>
      <c r="E2955" s="17" t="s">
        <v>6428</v>
      </c>
      <c r="F2955" s="17">
        <v>22</v>
      </c>
      <c r="G2955" s="17">
        <v>2</v>
      </c>
      <c r="H2955" s="17" t="s">
        <v>3416</v>
      </c>
      <c r="I2955" s="17"/>
      <c r="J2955" s="17"/>
      <c r="K2955" s="17"/>
      <c r="L2955" s="17"/>
      <c r="M2955" s="17"/>
      <c r="N2955" s="17"/>
      <c r="O2955" s="17"/>
      <c r="P2955" s="17"/>
      <c r="Q2955" s="17"/>
    </row>
    <row r="2956" spans="1:17">
      <c r="A2956" s="556" t="s">
        <v>3645</v>
      </c>
      <c r="B2956" s="557"/>
      <c r="C2956" s="558" t="s">
        <v>6426</v>
      </c>
      <c r="D2956" s="556" t="s">
        <v>6316</v>
      </c>
      <c r="E2956" s="17" t="s">
        <v>6429</v>
      </c>
      <c r="F2956" s="17">
        <v>22</v>
      </c>
      <c r="G2956" s="17">
        <v>3</v>
      </c>
      <c r="H2956" s="17" t="s">
        <v>3417</v>
      </c>
      <c r="I2956" s="17"/>
      <c r="J2956" s="17"/>
      <c r="K2956" s="17"/>
      <c r="L2956" s="17"/>
      <c r="M2956" s="17"/>
      <c r="N2956" s="17"/>
      <c r="O2956" s="17"/>
      <c r="P2956" s="17"/>
      <c r="Q2956" s="17"/>
    </row>
    <row r="2957" spans="1:17">
      <c r="A2957" s="556" t="s">
        <v>3645</v>
      </c>
      <c r="B2957" s="557"/>
      <c r="C2957" s="558" t="s">
        <v>6426</v>
      </c>
      <c r="D2957" s="556" t="s">
        <v>6318</v>
      </c>
      <c r="E2957" s="17" t="s">
        <v>6430</v>
      </c>
      <c r="F2957" s="17">
        <v>22</v>
      </c>
      <c r="G2957" s="17">
        <v>4</v>
      </c>
      <c r="H2957" s="17" t="s">
        <v>3470</v>
      </c>
      <c r="I2957" s="17"/>
      <c r="J2957" s="17"/>
      <c r="K2957" s="17"/>
      <c r="L2957" s="17"/>
      <c r="M2957" s="17"/>
      <c r="N2957" s="17"/>
      <c r="O2957" s="17"/>
      <c r="P2957" s="17"/>
      <c r="Q2957" s="17"/>
    </row>
    <row r="2958" spans="1:17">
      <c r="A2958" s="556" t="s">
        <v>3645</v>
      </c>
      <c r="B2958" s="557"/>
      <c r="C2958" s="558" t="s">
        <v>6426</v>
      </c>
      <c r="D2958" s="556" t="s">
        <v>6320</v>
      </c>
      <c r="E2958" s="17" t="s">
        <v>6431</v>
      </c>
      <c r="F2958" s="17">
        <v>22</v>
      </c>
      <c r="G2958" s="17">
        <v>5</v>
      </c>
      <c r="H2958" s="17" t="s">
        <v>7902</v>
      </c>
      <c r="I2958" s="17"/>
      <c r="J2958" s="17"/>
      <c r="K2958" s="17"/>
      <c r="L2958" s="17"/>
      <c r="M2958" s="17"/>
      <c r="N2958" s="17"/>
      <c r="O2958" s="17"/>
      <c r="P2958" s="17"/>
      <c r="Q2958" s="17"/>
    </row>
    <row r="2959" spans="1:17">
      <c r="A2959" s="556" t="s">
        <v>9259</v>
      </c>
      <c r="B2959" s="557"/>
      <c r="C2959" s="558" t="s">
        <v>9260</v>
      </c>
      <c r="D2959" s="556" t="s">
        <v>8648</v>
      </c>
      <c r="E2959" s="559" t="s">
        <v>9280</v>
      </c>
      <c r="F2959" s="17">
        <v>1</v>
      </c>
      <c r="G2959" s="17">
        <v>1</v>
      </c>
      <c r="H2959" s="564" t="s">
        <v>3697</v>
      </c>
      <c r="I2959" s="567">
        <v>0</v>
      </c>
      <c r="J2959" s="17"/>
      <c r="K2959" s="17"/>
      <c r="L2959" s="17"/>
      <c r="M2959" s="17"/>
      <c r="N2959" s="17"/>
      <c r="O2959" s="17"/>
      <c r="P2959" s="17"/>
      <c r="Q2959" s="17"/>
    </row>
    <row r="2960" spans="1:17">
      <c r="A2960" s="556" t="s">
        <v>9259</v>
      </c>
      <c r="B2960" s="557"/>
      <c r="C2960" s="558" t="s">
        <v>9260</v>
      </c>
      <c r="D2960" s="556" t="s">
        <v>8650</v>
      </c>
      <c r="E2960" s="559" t="s">
        <v>9281</v>
      </c>
      <c r="F2960" s="17">
        <v>1</v>
      </c>
      <c r="G2960" s="17">
        <v>2</v>
      </c>
      <c r="H2960" s="564" t="s">
        <v>3343</v>
      </c>
      <c r="I2960" s="567">
        <v>0</v>
      </c>
      <c r="J2960" s="17"/>
      <c r="K2960" s="17"/>
      <c r="L2960" s="17"/>
      <c r="M2960" s="17"/>
      <c r="N2960" s="17"/>
      <c r="O2960" s="17"/>
      <c r="P2960" s="17"/>
      <c r="Q2960" s="17"/>
    </row>
    <row r="2961" spans="1:17">
      <c r="A2961" s="556" t="s">
        <v>9259</v>
      </c>
      <c r="B2961" s="557"/>
      <c r="C2961" s="558" t="s">
        <v>9260</v>
      </c>
      <c r="D2961" s="556" t="s">
        <v>8652</v>
      </c>
      <c r="E2961" s="559" t="s">
        <v>9282</v>
      </c>
      <c r="F2961" s="17">
        <v>1</v>
      </c>
      <c r="G2961" s="17">
        <v>3</v>
      </c>
      <c r="H2961" s="564" t="s">
        <v>3344</v>
      </c>
      <c r="I2961" s="567">
        <v>0</v>
      </c>
      <c r="J2961" s="17"/>
      <c r="K2961" s="17"/>
      <c r="L2961" s="17"/>
      <c r="M2961" s="17"/>
      <c r="N2961" s="17"/>
      <c r="O2961" s="17"/>
      <c r="P2961" s="17"/>
      <c r="Q2961" s="17"/>
    </row>
    <row r="2962" spans="1:17">
      <c r="A2962" s="556" t="s">
        <v>9259</v>
      </c>
      <c r="B2962" s="557"/>
      <c r="C2962" s="558" t="s">
        <v>9260</v>
      </c>
      <c r="D2962" s="556" t="s">
        <v>8654</v>
      </c>
      <c r="E2962" s="559" t="s">
        <v>9283</v>
      </c>
      <c r="F2962" s="17">
        <v>1</v>
      </c>
      <c r="G2962" s="17">
        <v>4</v>
      </c>
      <c r="H2962" s="564" t="s">
        <v>3345</v>
      </c>
      <c r="I2962" s="567">
        <v>0</v>
      </c>
      <c r="J2962" s="17"/>
      <c r="K2962" s="17"/>
      <c r="L2962" s="17"/>
      <c r="M2962" s="17"/>
      <c r="N2962" s="17"/>
      <c r="O2962" s="17"/>
      <c r="P2962" s="17"/>
      <c r="Q2962" s="17"/>
    </row>
    <row r="2963" spans="1:17">
      <c r="A2963" s="556" t="s">
        <v>9259</v>
      </c>
      <c r="B2963" s="557"/>
      <c r="C2963" s="558" t="s">
        <v>9260</v>
      </c>
      <c r="D2963" s="556" t="s">
        <v>8656</v>
      </c>
      <c r="E2963" s="559" t="s">
        <v>9284</v>
      </c>
      <c r="F2963" s="17">
        <v>1</v>
      </c>
      <c r="G2963" s="17">
        <v>5</v>
      </c>
      <c r="H2963" s="564" t="s">
        <v>3346</v>
      </c>
      <c r="I2963" s="567">
        <v>0</v>
      </c>
      <c r="J2963" s="17"/>
      <c r="K2963" s="17"/>
      <c r="L2963" s="17"/>
      <c r="M2963" s="17"/>
      <c r="N2963" s="17"/>
      <c r="O2963" s="17"/>
      <c r="P2963" s="17"/>
      <c r="Q2963" s="17"/>
    </row>
    <row r="2964" spans="1:17">
      <c r="A2964" s="556" t="s">
        <v>9259</v>
      </c>
      <c r="B2964" s="557"/>
      <c r="C2964" s="558" t="s">
        <v>9260</v>
      </c>
      <c r="D2964" s="556" t="s">
        <v>8658</v>
      </c>
      <c r="E2964" s="559" t="s">
        <v>9285</v>
      </c>
      <c r="F2964" s="17">
        <v>1</v>
      </c>
      <c r="G2964" s="17">
        <v>6</v>
      </c>
      <c r="H2964" s="564" t="s">
        <v>3452</v>
      </c>
      <c r="I2964" s="567">
        <v>0</v>
      </c>
      <c r="J2964" s="17"/>
      <c r="K2964" s="17"/>
      <c r="L2964" s="17"/>
      <c r="M2964" s="17"/>
      <c r="N2964" s="17"/>
      <c r="O2964" s="17"/>
      <c r="P2964" s="17"/>
      <c r="Q2964" s="17"/>
    </row>
    <row r="2965" spans="1:17">
      <c r="A2965" s="556" t="s">
        <v>9259</v>
      </c>
      <c r="B2965" s="557"/>
      <c r="C2965" s="558" t="s">
        <v>9260</v>
      </c>
      <c r="D2965" s="556" t="s">
        <v>8660</v>
      </c>
      <c r="E2965" s="559" t="s">
        <v>9286</v>
      </c>
      <c r="F2965" s="17">
        <v>1</v>
      </c>
      <c r="G2965" s="17">
        <v>7</v>
      </c>
      <c r="H2965" s="564" t="s">
        <v>7805</v>
      </c>
      <c r="I2965" s="567">
        <v>0</v>
      </c>
      <c r="J2965" s="17"/>
      <c r="K2965" s="17"/>
      <c r="L2965" s="17"/>
      <c r="M2965" s="17"/>
      <c r="N2965" s="17"/>
      <c r="O2965" s="17"/>
      <c r="P2965" s="17"/>
      <c r="Q2965" s="17"/>
    </row>
    <row r="2966" spans="1:17">
      <c r="A2966" s="556" t="s">
        <v>9259</v>
      </c>
      <c r="B2966" s="557"/>
      <c r="C2966" s="558" t="s">
        <v>9260</v>
      </c>
      <c r="D2966" s="556" t="s">
        <v>8662</v>
      </c>
      <c r="E2966" s="559" t="s">
        <v>9287</v>
      </c>
      <c r="F2966" s="17">
        <v>1</v>
      </c>
      <c r="G2966" s="17">
        <v>8</v>
      </c>
      <c r="H2966" s="564" t="s">
        <v>7806</v>
      </c>
      <c r="I2966" s="567">
        <v>0</v>
      </c>
      <c r="J2966" s="17"/>
      <c r="K2966" s="17"/>
      <c r="L2966" s="17"/>
      <c r="M2966" s="17"/>
      <c r="N2966" s="17"/>
      <c r="O2966" s="17"/>
      <c r="P2966" s="17"/>
      <c r="Q2966" s="17"/>
    </row>
    <row r="2967" spans="1:17">
      <c r="A2967" s="556" t="s">
        <v>9259</v>
      </c>
      <c r="B2967" s="557"/>
      <c r="C2967" s="558" t="s">
        <v>9260</v>
      </c>
      <c r="D2967" s="556" t="s">
        <v>8664</v>
      </c>
      <c r="E2967" s="559" t="s">
        <v>9288</v>
      </c>
      <c r="F2967" s="17">
        <v>1</v>
      </c>
      <c r="G2967" s="17">
        <v>9</v>
      </c>
      <c r="H2967" s="564" t="s">
        <v>7842</v>
      </c>
      <c r="I2967" s="567">
        <v>0</v>
      </c>
      <c r="J2967" s="17"/>
      <c r="K2967" s="17"/>
      <c r="L2967" s="17"/>
      <c r="M2967" s="17"/>
      <c r="N2967" s="17"/>
      <c r="O2967" s="17"/>
      <c r="P2967" s="17"/>
      <c r="Q2967" s="17"/>
    </row>
    <row r="2968" spans="1:17">
      <c r="A2968" s="556" t="s">
        <v>9259</v>
      </c>
      <c r="B2968" s="557"/>
      <c r="C2968" s="558" t="s">
        <v>9260</v>
      </c>
      <c r="D2968" s="556" t="s">
        <v>8666</v>
      </c>
      <c r="E2968" s="559" t="s">
        <v>9289</v>
      </c>
      <c r="F2968" s="17">
        <v>1</v>
      </c>
      <c r="G2968" s="17">
        <v>10</v>
      </c>
      <c r="H2968" s="564" t="s">
        <v>3719</v>
      </c>
      <c r="I2968" s="567">
        <v>0</v>
      </c>
      <c r="J2968" s="17"/>
      <c r="K2968" s="17"/>
      <c r="L2968" s="17"/>
      <c r="M2968" s="17"/>
      <c r="N2968" s="17"/>
      <c r="O2968" s="17"/>
      <c r="P2968" s="17"/>
      <c r="Q2968" s="17"/>
    </row>
    <row r="2969" spans="1:17">
      <c r="A2969" s="556" t="s">
        <v>9259</v>
      </c>
      <c r="B2969" s="557"/>
      <c r="C2969" s="558" t="s">
        <v>9260</v>
      </c>
      <c r="D2969" s="556" t="s">
        <v>8668</v>
      </c>
      <c r="E2969" s="559" t="s">
        <v>9290</v>
      </c>
      <c r="F2969" s="17">
        <v>1</v>
      </c>
      <c r="G2969" s="17">
        <v>11</v>
      </c>
      <c r="H2969" s="564" t="s">
        <v>7843</v>
      </c>
      <c r="I2969" s="567">
        <v>0</v>
      </c>
      <c r="J2969" s="17"/>
      <c r="K2969" s="17"/>
      <c r="L2969" s="17"/>
      <c r="M2969" s="17"/>
      <c r="N2969" s="17"/>
      <c r="O2969" s="17"/>
      <c r="P2969" s="17"/>
      <c r="Q2969" s="17"/>
    </row>
    <row r="2970" spans="1:17">
      <c r="A2970" s="556" t="s">
        <v>9259</v>
      </c>
      <c r="B2970" s="557"/>
      <c r="C2970" s="558" t="s">
        <v>9260</v>
      </c>
      <c r="D2970" s="556" t="s">
        <v>8670</v>
      </c>
      <c r="E2970" s="559" t="s">
        <v>9291</v>
      </c>
      <c r="F2970" s="17">
        <v>1</v>
      </c>
      <c r="G2970" s="17">
        <v>12</v>
      </c>
      <c r="H2970" s="564" t="s">
        <v>7844</v>
      </c>
      <c r="I2970" s="567">
        <v>0</v>
      </c>
      <c r="J2970" s="17"/>
      <c r="K2970" s="17"/>
      <c r="L2970" s="17"/>
      <c r="M2970" s="17"/>
      <c r="N2970" s="17"/>
      <c r="O2970" s="17"/>
      <c r="P2970" s="17"/>
      <c r="Q2970" s="17"/>
    </row>
    <row r="2971" spans="1:17">
      <c r="A2971" s="556" t="s">
        <v>9261</v>
      </c>
      <c r="B2971" s="557"/>
      <c r="C2971" s="558" t="s">
        <v>9262</v>
      </c>
      <c r="D2971" s="556" t="s">
        <v>8675</v>
      </c>
      <c r="E2971" s="559" t="s">
        <v>9292</v>
      </c>
      <c r="F2971" s="17">
        <v>1</v>
      </c>
      <c r="G2971" s="17">
        <v>1</v>
      </c>
      <c r="H2971" s="564" t="s">
        <v>3347</v>
      </c>
      <c r="I2971" s="567">
        <v>0</v>
      </c>
      <c r="J2971" s="17"/>
      <c r="K2971" s="17"/>
      <c r="L2971" s="17"/>
      <c r="M2971" s="17"/>
      <c r="N2971" s="17"/>
      <c r="O2971" s="17"/>
      <c r="P2971" s="17"/>
      <c r="Q2971" s="17"/>
    </row>
    <row r="2972" spans="1:17">
      <c r="A2972" s="556" t="s">
        <v>9261</v>
      </c>
      <c r="B2972" s="557"/>
      <c r="C2972" s="558" t="s">
        <v>9262</v>
      </c>
      <c r="D2972" s="556" t="s">
        <v>8677</v>
      </c>
      <c r="E2972" s="559" t="s">
        <v>9293</v>
      </c>
      <c r="F2972" s="17">
        <v>1</v>
      </c>
      <c r="G2972" s="17">
        <v>2</v>
      </c>
      <c r="H2972" s="564" t="s">
        <v>3348</v>
      </c>
      <c r="I2972" s="567">
        <v>0</v>
      </c>
      <c r="J2972" s="17"/>
      <c r="K2972" s="17"/>
      <c r="L2972" s="17"/>
      <c r="M2972" s="17"/>
      <c r="N2972" s="17"/>
      <c r="O2972" s="17"/>
      <c r="P2972" s="17"/>
      <c r="Q2972" s="17"/>
    </row>
    <row r="2973" spans="1:17">
      <c r="A2973" s="556" t="s">
        <v>9261</v>
      </c>
      <c r="B2973" s="557"/>
      <c r="C2973" s="558" t="s">
        <v>9262</v>
      </c>
      <c r="D2973" s="556" t="s">
        <v>8679</v>
      </c>
      <c r="E2973" s="559" t="s">
        <v>9294</v>
      </c>
      <c r="F2973" s="17">
        <v>1</v>
      </c>
      <c r="G2973" s="17">
        <v>3</v>
      </c>
      <c r="H2973" s="564" t="s">
        <v>3349</v>
      </c>
      <c r="I2973" s="567">
        <v>0</v>
      </c>
      <c r="J2973" s="17"/>
      <c r="K2973" s="17"/>
      <c r="L2973" s="17"/>
      <c r="M2973" s="17"/>
      <c r="N2973" s="17"/>
      <c r="O2973" s="17"/>
      <c r="P2973" s="17"/>
      <c r="Q2973" s="17"/>
    </row>
    <row r="2974" spans="1:17">
      <c r="A2974" s="556" t="s">
        <v>9261</v>
      </c>
      <c r="B2974" s="557"/>
      <c r="C2974" s="558" t="s">
        <v>9262</v>
      </c>
      <c r="D2974" s="556" t="s">
        <v>8681</v>
      </c>
      <c r="E2974" s="559" t="s">
        <v>9295</v>
      </c>
      <c r="F2974" s="17">
        <v>1</v>
      </c>
      <c r="G2974" s="17">
        <v>4</v>
      </c>
      <c r="H2974" s="564" t="s">
        <v>3350</v>
      </c>
      <c r="I2974" s="567">
        <v>0</v>
      </c>
      <c r="J2974" s="17"/>
      <c r="K2974" s="17"/>
      <c r="L2974" s="17"/>
      <c r="M2974" s="17"/>
      <c r="N2974" s="17"/>
      <c r="O2974" s="17"/>
      <c r="P2974" s="17"/>
      <c r="Q2974" s="17"/>
    </row>
    <row r="2975" spans="1:17">
      <c r="A2975" s="556" t="s">
        <v>9261</v>
      </c>
      <c r="B2975" s="557"/>
      <c r="C2975" s="558" t="s">
        <v>9262</v>
      </c>
      <c r="D2975" s="556" t="s">
        <v>8683</v>
      </c>
      <c r="E2975" s="559" t="s">
        <v>9296</v>
      </c>
      <c r="F2975" s="17">
        <v>1</v>
      </c>
      <c r="G2975" s="17">
        <v>5</v>
      </c>
      <c r="H2975" s="564" t="s">
        <v>3453</v>
      </c>
      <c r="I2975" s="567">
        <v>0</v>
      </c>
      <c r="J2975" s="17"/>
      <c r="K2975" s="17"/>
      <c r="L2975" s="17"/>
      <c r="M2975" s="17"/>
      <c r="N2975" s="17"/>
      <c r="O2975" s="17"/>
      <c r="P2975" s="17"/>
      <c r="Q2975" s="17"/>
    </row>
    <row r="2976" spans="1:17">
      <c r="A2976" s="556" t="s">
        <v>9261</v>
      </c>
      <c r="B2976" s="557"/>
      <c r="C2976" s="558" t="s">
        <v>9262</v>
      </c>
      <c r="D2976" s="556" t="s">
        <v>8685</v>
      </c>
      <c r="E2976" s="559" t="s">
        <v>9297</v>
      </c>
      <c r="F2976" s="17">
        <v>1</v>
      </c>
      <c r="G2976" s="17">
        <v>6</v>
      </c>
      <c r="H2976" s="564" t="s">
        <v>7807</v>
      </c>
      <c r="I2976" s="567">
        <v>0</v>
      </c>
      <c r="J2976" s="17"/>
      <c r="K2976" s="17"/>
      <c r="L2976" s="17"/>
      <c r="M2976" s="17"/>
      <c r="N2976" s="17"/>
      <c r="O2976" s="17"/>
      <c r="P2976" s="17"/>
      <c r="Q2976" s="17"/>
    </row>
    <row r="2977" spans="1:17">
      <c r="A2977" s="556" t="s">
        <v>9261</v>
      </c>
      <c r="B2977" s="557"/>
      <c r="C2977" s="558" t="s">
        <v>9262</v>
      </c>
      <c r="D2977" s="556" t="s">
        <v>8687</v>
      </c>
      <c r="E2977" s="559" t="s">
        <v>9298</v>
      </c>
      <c r="F2977" s="17">
        <v>1</v>
      </c>
      <c r="G2977" s="17">
        <v>7</v>
      </c>
      <c r="H2977" s="564" t="s">
        <v>7808</v>
      </c>
      <c r="I2977" s="567">
        <v>0</v>
      </c>
      <c r="J2977" s="17"/>
      <c r="K2977" s="17"/>
      <c r="L2977" s="17"/>
      <c r="M2977" s="17"/>
      <c r="N2977" s="17"/>
      <c r="O2977" s="17"/>
      <c r="P2977" s="17"/>
      <c r="Q2977" s="17"/>
    </row>
    <row r="2978" spans="1:17">
      <c r="A2978" s="556" t="s">
        <v>3649</v>
      </c>
      <c r="B2978" s="557"/>
      <c r="C2978" s="558" t="s">
        <v>2433</v>
      </c>
      <c r="D2978" s="556" t="s">
        <v>1693</v>
      </c>
      <c r="E2978" s="17" t="s">
        <v>6432</v>
      </c>
      <c r="F2978" s="17">
        <v>3</v>
      </c>
      <c r="G2978" s="17">
        <v>1</v>
      </c>
      <c r="H2978" s="17" t="s">
        <v>2990</v>
      </c>
      <c r="I2978" s="17"/>
      <c r="J2978" s="17"/>
      <c r="K2978" s="17"/>
      <c r="L2978" s="17"/>
      <c r="M2978" s="17"/>
      <c r="N2978" s="17"/>
      <c r="O2978" s="17"/>
      <c r="P2978" s="17"/>
      <c r="Q2978" s="17"/>
    </row>
    <row r="2979" spans="1:17">
      <c r="A2979" s="556" t="s">
        <v>3649</v>
      </c>
      <c r="B2979" s="557"/>
      <c r="C2979" s="558" t="s">
        <v>2433</v>
      </c>
      <c r="D2979" s="556" t="s">
        <v>1694</v>
      </c>
      <c r="E2979" s="17" t="s">
        <v>6433</v>
      </c>
      <c r="F2979" s="17">
        <v>3</v>
      </c>
      <c r="G2979" s="17">
        <v>2</v>
      </c>
      <c r="H2979" s="17" t="s">
        <v>3338</v>
      </c>
      <c r="I2979" s="17"/>
      <c r="J2979" s="17"/>
      <c r="K2979" s="17"/>
      <c r="L2979" s="17"/>
      <c r="M2979" s="17"/>
      <c r="N2979" s="17"/>
      <c r="O2979" s="17"/>
      <c r="P2979" s="17"/>
      <c r="Q2979" s="17"/>
    </row>
    <row r="2980" spans="1:17">
      <c r="A2980" s="556" t="s">
        <v>3649</v>
      </c>
      <c r="B2980" s="557"/>
      <c r="C2980" s="558" t="s">
        <v>2433</v>
      </c>
      <c r="D2980" s="556" t="s">
        <v>4324</v>
      </c>
      <c r="E2980" s="17" t="s">
        <v>6434</v>
      </c>
      <c r="F2980" s="17">
        <v>3</v>
      </c>
      <c r="G2980" s="17">
        <v>3</v>
      </c>
      <c r="H2980" s="17" t="s">
        <v>2991</v>
      </c>
      <c r="I2980" s="17"/>
      <c r="J2980" s="17"/>
      <c r="K2980" s="17"/>
      <c r="L2980" s="17"/>
      <c r="M2980" s="17"/>
      <c r="N2980" s="17"/>
      <c r="O2980" s="17"/>
      <c r="P2980" s="17"/>
      <c r="Q2980" s="17"/>
    </row>
    <row r="2981" spans="1:17">
      <c r="A2981" s="556" t="s">
        <v>3649</v>
      </c>
      <c r="B2981" s="557"/>
      <c r="C2981" s="558" t="s">
        <v>2434</v>
      </c>
      <c r="D2981" s="556" t="s">
        <v>1693</v>
      </c>
      <c r="E2981" s="17" t="s">
        <v>6435</v>
      </c>
      <c r="F2981" s="17">
        <v>4</v>
      </c>
      <c r="G2981" s="17">
        <v>1</v>
      </c>
      <c r="H2981" s="17" t="s">
        <v>3339</v>
      </c>
      <c r="I2981" s="17"/>
      <c r="J2981" s="17"/>
      <c r="K2981" s="17"/>
      <c r="L2981" s="17"/>
      <c r="M2981" s="17"/>
      <c r="N2981" s="17"/>
      <c r="O2981" s="17"/>
      <c r="P2981" s="17"/>
      <c r="Q2981" s="17"/>
    </row>
    <row r="2982" spans="1:17">
      <c r="A2982" s="556" t="s">
        <v>3649</v>
      </c>
      <c r="B2982" s="557"/>
      <c r="C2982" s="558" t="s">
        <v>2434</v>
      </c>
      <c r="D2982" s="556" t="s">
        <v>1694</v>
      </c>
      <c r="E2982" s="17" t="s">
        <v>6436</v>
      </c>
      <c r="F2982" s="17">
        <v>4</v>
      </c>
      <c r="G2982" s="17">
        <v>2</v>
      </c>
      <c r="H2982" s="17" t="s">
        <v>3340</v>
      </c>
      <c r="I2982" s="17"/>
      <c r="J2982" s="17"/>
      <c r="K2982" s="17"/>
      <c r="L2982" s="17"/>
      <c r="M2982" s="17"/>
      <c r="N2982" s="17"/>
      <c r="O2982" s="17"/>
      <c r="P2982" s="17"/>
      <c r="Q2982" s="17"/>
    </row>
    <row r="2983" spans="1:17">
      <c r="A2983" s="556" t="s">
        <v>3649</v>
      </c>
      <c r="B2983" s="557"/>
      <c r="C2983" s="558" t="s">
        <v>2434</v>
      </c>
      <c r="D2983" s="556" t="s">
        <v>4324</v>
      </c>
      <c r="E2983" s="17" t="s">
        <v>6437</v>
      </c>
      <c r="F2983" s="17">
        <v>4</v>
      </c>
      <c r="G2983" s="17">
        <v>3</v>
      </c>
      <c r="H2983" s="17" t="s">
        <v>3341</v>
      </c>
      <c r="I2983" s="17"/>
      <c r="J2983" s="17"/>
      <c r="K2983" s="17"/>
      <c r="L2983" s="17"/>
      <c r="M2983" s="17"/>
      <c r="N2983" s="17"/>
      <c r="O2983" s="17"/>
      <c r="P2983" s="17"/>
      <c r="Q2983" s="17"/>
    </row>
    <row r="2984" spans="1:17">
      <c r="A2984" s="556" t="s">
        <v>3649</v>
      </c>
      <c r="B2984" s="557"/>
      <c r="C2984" s="558" t="s">
        <v>2435</v>
      </c>
      <c r="D2984" s="556" t="s">
        <v>1693</v>
      </c>
      <c r="E2984" s="17" t="s">
        <v>6438</v>
      </c>
      <c r="F2984" s="17">
        <v>5</v>
      </c>
      <c r="G2984" s="17">
        <v>1</v>
      </c>
      <c r="H2984" s="17" t="s">
        <v>3343</v>
      </c>
      <c r="I2984" s="17"/>
      <c r="J2984" s="17"/>
      <c r="K2984" s="17"/>
      <c r="L2984" s="17"/>
      <c r="M2984" s="17"/>
      <c r="N2984" s="17"/>
      <c r="O2984" s="17"/>
      <c r="P2984" s="17"/>
      <c r="Q2984" s="17"/>
    </row>
    <row r="2985" spans="1:17">
      <c r="A2985" s="556" t="s">
        <v>3649</v>
      </c>
      <c r="B2985" s="557"/>
      <c r="C2985" s="558" t="s">
        <v>2435</v>
      </c>
      <c r="D2985" s="556" t="s">
        <v>1694</v>
      </c>
      <c r="E2985" s="17" t="s">
        <v>6439</v>
      </c>
      <c r="F2985" s="17">
        <v>5</v>
      </c>
      <c r="G2985" s="17">
        <v>2</v>
      </c>
      <c r="H2985" s="17" t="s">
        <v>3344</v>
      </c>
      <c r="I2985" s="17"/>
      <c r="J2985" s="17"/>
      <c r="K2985" s="17"/>
      <c r="L2985" s="17"/>
      <c r="M2985" s="17"/>
      <c r="N2985" s="17"/>
      <c r="O2985" s="17"/>
      <c r="P2985" s="17"/>
      <c r="Q2985" s="17"/>
    </row>
    <row r="2986" spans="1:17">
      <c r="A2986" s="556" t="s">
        <v>3649</v>
      </c>
      <c r="B2986" s="557"/>
      <c r="C2986" s="558" t="s">
        <v>2435</v>
      </c>
      <c r="D2986" s="556" t="s">
        <v>4324</v>
      </c>
      <c r="E2986" s="17" t="s">
        <v>6440</v>
      </c>
      <c r="F2986" s="17">
        <v>5</v>
      </c>
      <c r="G2986" s="17">
        <v>3</v>
      </c>
      <c r="H2986" s="17" t="s">
        <v>3345</v>
      </c>
      <c r="I2986" s="17"/>
      <c r="J2986" s="17"/>
      <c r="K2986" s="17"/>
      <c r="L2986" s="17"/>
      <c r="M2986" s="17"/>
      <c r="N2986" s="17"/>
      <c r="O2986" s="17"/>
      <c r="P2986" s="17"/>
      <c r="Q2986" s="17"/>
    </row>
    <row r="2987" spans="1:17">
      <c r="A2987" s="556" t="s">
        <v>3649</v>
      </c>
      <c r="B2987" s="557"/>
      <c r="C2987" s="558" t="s">
        <v>2436</v>
      </c>
      <c r="D2987" s="556" t="s">
        <v>1693</v>
      </c>
      <c r="E2987" s="17" t="s">
        <v>6441</v>
      </c>
      <c r="F2987" s="17">
        <v>6</v>
      </c>
      <c r="G2987" s="17">
        <v>1</v>
      </c>
      <c r="H2987" s="17" t="s">
        <v>3347</v>
      </c>
      <c r="I2987" s="17"/>
      <c r="J2987" s="17"/>
      <c r="K2987" s="17"/>
      <c r="L2987" s="17"/>
      <c r="M2987" s="17"/>
      <c r="N2987" s="17"/>
      <c r="O2987" s="17"/>
      <c r="P2987" s="17"/>
      <c r="Q2987" s="17"/>
    </row>
    <row r="2988" spans="1:17">
      <c r="A2988" s="556" t="s">
        <v>3649</v>
      </c>
      <c r="B2988" s="557"/>
      <c r="C2988" s="558" t="s">
        <v>2436</v>
      </c>
      <c r="D2988" s="556" t="s">
        <v>1694</v>
      </c>
      <c r="E2988" s="17" t="s">
        <v>6442</v>
      </c>
      <c r="F2988" s="17">
        <v>6</v>
      </c>
      <c r="G2988" s="17">
        <v>2</v>
      </c>
      <c r="H2988" s="17" t="s">
        <v>3348</v>
      </c>
      <c r="I2988" s="17"/>
      <c r="J2988" s="17"/>
      <c r="K2988" s="17"/>
      <c r="L2988" s="17"/>
      <c r="M2988" s="17"/>
      <c r="N2988" s="17"/>
      <c r="O2988" s="17"/>
      <c r="P2988" s="17"/>
      <c r="Q2988" s="17"/>
    </row>
    <row r="2989" spans="1:17">
      <c r="A2989" s="556" t="s">
        <v>3649</v>
      </c>
      <c r="B2989" s="557"/>
      <c r="C2989" s="558" t="s">
        <v>2436</v>
      </c>
      <c r="D2989" s="556" t="s">
        <v>4324</v>
      </c>
      <c r="E2989" s="17" t="s">
        <v>6443</v>
      </c>
      <c r="F2989" s="17">
        <v>6</v>
      </c>
      <c r="G2989" s="17">
        <v>3</v>
      </c>
      <c r="H2989" s="17" t="s">
        <v>3349</v>
      </c>
      <c r="I2989" s="17"/>
      <c r="J2989" s="17"/>
      <c r="K2989" s="17"/>
      <c r="L2989" s="17"/>
      <c r="M2989" s="17"/>
      <c r="N2989" s="17"/>
      <c r="O2989" s="17"/>
      <c r="P2989" s="17"/>
      <c r="Q2989" s="17"/>
    </row>
    <row r="2990" spans="1:17">
      <c r="A2990" s="556" t="s">
        <v>3649</v>
      </c>
      <c r="B2990" s="557"/>
      <c r="C2990" s="558" t="s">
        <v>2437</v>
      </c>
      <c r="D2990" s="556" t="s">
        <v>1693</v>
      </c>
      <c r="E2990" s="17" t="s">
        <v>6444</v>
      </c>
      <c r="F2990" s="17">
        <v>7</v>
      </c>
      <c r="G2990" s="17">
        <v>1</v>
      </c>
      <c r="H2990" s="17" t="s">
        <v>3351</v>
      </c>
      <c r="I2990" s="17"/>
      <c r="J2990" s="17"/>
      <c r="K2990" s="17"/>
      <c r="L2990" s="17"/>
      <c r="M2990" s="17"/>
      <c r="N2990" s="17"/>
      <c r="O2990" s="17"/>
      <c r="P2990" s="17"/>
      <c r="Q2990" s="17"/>
    </row>
    <row r="2991" spans="1:17">
      <c r="A2991" s="556" t="s">
        <v>3649</v>
      </c>
      <c r="B2991" s="557"/>
      <c r="C2991" s="558" t="s">
        <v>2437</v>
      </c>
      <c r="D2991" s="556" t="s">
        <v>1694</v>
      </c>
      <c r="E2991" s="17" t="s">
        <v>6445</v>
      </c>
      <c r="F2991" s="17">
        <v>7</v>
      </c>
      <c r="G2991" s="17">
        <v>2</v>
      </c>
      <c r="H2991" s="17" t="s">
        <v>3352</v>
      </c>
      <c r="I2991" s="17"/>
      <c r="J2991" s="17"/>
      <c r="K2991" s="17"/>
      <c r="L2991" s="17"/>
      <c r="M2991" s="17"/>
      <c r="N2991" s="17"/>
      <c r="O2991" s="17"/>
      <c r="P2991" s="17"/>
      <c r="Q2991" s="17"/>
    </row>
    <row r="2992" spans="1:17">
      <c r="A2992" s="556" t="s">
        <v>3649</v>
      </c>
      <c r="B2992" s="557"/>
      <c r="C2992" s="558" t="s">
        <v>2437</v>
      </c>
      <c r="D2992" s="556" t="s">
        <v>4324</v>
      </c>
      <c r="E2992" s="17" t="s">
        <v>6446</v>
      </c>
      <c r="F2992" s="17">
        <v>7</v>
      </c>
      <c r="G2992" s="17">
        <v>3</v>
      </c>
      <c r="H2992" s="17" t="s">
        <v>3353</v>
      </c>
      <c r="I2992" s="17"/>
      <c r="J2992" s="17"/>
      <c r="K2992" s="17"/>
      <c r="L2992" s="17"/>
      <c r="M2992" s="17"/>
      <c r="N2992" s="17"/>
      <c r="O2992" s="17"/>
      <c r="P2992" s="17"/>
      <c r="Q2992" s="17"/>
    </row>
    <row r="2993" spans="1:17">
      <c r="A2993" s="556" t="s">
        <v>3649</v>
      </c>
      <c r="B2993" s="557"/>
      <c r="C2993" s="558" t="s">
        <v>2438</v>
      </c>
      <c r="D2993" s="556" t="s">
        <v>1693</v>
      </c>
      <c r="E2993" s="17" t="s">
        <v>6447</v>
      </c>
      <c r="F2993" s="17">
        <v>8</v>
      </c>
      <c r="G2993" s="17">
        <v>1</v>
      </c>
      <c r="H2993" s="17" t="s">
        <v>3355</v>
      </c>
      <c r="I2993" s="17"/>
      <c r="J2993" s="17"/>
      <c r="K2993" s="17"/>
      <c r="L2993" s="17"/>
      <c r="M2993" s="17"/>
      <c r="N2993" s="17"/>
      <c r="O2993" s="17"/>
      <c r="P2993" s="17"/>
      <c r="Q2993" s="17"/>
    </row>
    <row r="2994" spans="1:17">
      <c r="A2994" s="556" t="s">
        <v>3649</v>
      </c>
      <c r="B2994" s="557"/>
      <c r="C2994" s="558" t="s">
        <v>2438</v>
      </c>
      <c r="D2994" s="556" t="s">
        <v>1694</v>
      </c>
      <c r="E2994" s="17" t="s">
        <v>6448</v>
      </c>
      <c r="F2994" s="17">
        <v>8</v>
      </c>
      <c r="G2994" s="17">
        <v>2</v>
      </c>
      <c r="H2994" s="17" t="s">
        <v>3356</v>
      </c>
      <c r="I2994" s="17"/>
      <c r="J2994" s="17"/>
      <c r="K2994" s="17"/>
      <c r="L2994" s="17"/>
      <c r="M2994" s="17"/>
      <c r="N2994" s="17"/>
      <c r="O2994" s="17"/>
      <c r="P2994" s="17"/>
      <c r="Q2994" s="17"/>
    </row>
    <row r="2995" spans="1:17">
      <c r="A2995" s="556" t="s">
        <v>3649</v>
      </c>
      <c r="B2995" s="557"/>
      <c r="C2995" s="558" t="s">
        <v>2438</v>
      </c>
      <c r="D2995" s="556" t="s">
        <v>4324</v>
      </c>
      <c r="E2995" s="17" t="s">
        <v>6449</v>
      </c>
      <c r="F2995" s="17">
        <v>8</v>
      </c>
      <c r="G2995" s="17">
        <v>3</v>
      </c>
      <c r="H2995" s="17" t="s">
        <v>3357</v>
      </c>
      <c r="I2995" s="17"/>
      <c r="J2995" s="17"/>
      <c r="K2995" s="17"/>
      <c r="L2995" s="17"/>
      <c r="M2995" s="17"/>
      <c r="N2995" s="17"/>
      <c r="O2995" s="17"/>
      <c r="P2995" s="17"/>
      <c r="Q2995" s="17"/>
    </row>
    <row r="2996" spans="1:17">
      <c r="A2996" s="556" t="s">
        <v>3649</v>
      </c>
      <c r="B2996" s="557"/>
      <c r="C2996" s="558" t="s">
        <v>2439</v>
      </c>
      <c r="D2996" s="556" t="s">
        <v>1693</v>
      </c>
      <c r="E2996" s="17" t="s">
        <v>6450</v>
      </c>
      <c r="F2996" s="17">
        <v>9</v>
      </c>
      <c r="G2996" s="17">
        <v>1</v>
      </c>
      <c r="H2996" s="17" t="s">
        <v>3359</v>
      </c>
      <c r="I2996" s="17"/>
      <c r="J2996" s="17"/>
      <c r="K2996" s="17"/>
      <c r="L2996" s="17"/>
      <c r="M2996" s="17"/>
      <c r="N2996" s="17"/>
      <c r="O2996" s="17"/>
      <c r="P2996" s="17"/>
      <c r="Q2996" s="17"/>
    </row>
    <row r="2997" spans="1:17">
      <c r="A2997" s="556" t="s">
        <v>3649</v>
      </c>
      <c r="B2997" s="557"/>
      <c r="C2997" s="558" t="s">
        <v>2439</v>
      </c>
      <c r="D2997" s="556" t="s">
        <v>1694</v>
      </c>
      <c r="E2997" s="17" t="s">
        <v>6451</v>
      </c>
      <c r="F2997" s="17">
        <v>9</v>
      </c>
      <c r="G2997" s="17">
        <v>2</v>
      </c>
      <c r="H2997" s="17" t="s">
        <v>3360</v>
      </c>
      <c r="I2997" s="17"/>
      <c r="J2997" s="17"/>
      <c r="K2997" s="17"/>
      <c r="L2997" s="17"/>
      <c r="M2997" s="17"/>
      <c r="N2997" s="17"/>
      <c r="O2997" s="17"/>
      <c r="P2997" s="17"/>
      <c r="Q2997" s="17"/>
    </row>
    <row r="2998" spans="1:17">
      <c r="A2998" s="556" t="s">
        <v>3649</v>
      </c>
      <c r="B2998" s="557"/>
      <c r="C2998" s="558" t="s">
        <v>2439</v>
      </c>
      <c r="D2998" s="556" t="s">
        <v>4324</v>
      </c>
      <c r="E2998" s="17" t="s">
        <v>6452</v>
      </c>
      <c r="F2998" s="17">
        <v>9</v>
      </c>
      <c r="G2998" s="17">
        <v>3</v>
      </c>
      <c r="H2998" s="17" t="s">
        <v>3327</v>
      </c>
      <c r="I2998" s="17"/>
      <c r="J2998" s="17"/>
      <c r="K2998" s="17"/>
      <c r="L2998" s="17"/>
      <c r="M2998" s="17"/>
      <c r="N2998" s="17"/>
      <c r="O2998" s="17"/>
      <c r="P2998" s="17"/>
      <c r="Q2998" s="17"/>
    </row>
    <row r="2999" spans="1:17">
      <c r="A2999" s="556" t="s">
        <v>3649</v>
      </c>
      <c r="B2999" s="557"/>
      <c r="C2999" s="558" t="s">
        <v>2440</v>
      </c>
      <c r="D2999" s="556" t="s">
        <v>1693</v>
      </c>
      <c r="E2999" s="17" t="s">
        <v>6453</v>
      </c>
      <c r="F2999" s="17">
        <v>10</v>
      </c>
      <c r="G2999" s="17">
        <v>1</v>
      </c>
      <c r="H2999" s="17" t="s">
        <v>3362</v>
      </c>
      <c r="I2999" s="17"/>
      <c r="J2999" s="17"/>
      <c r="K2999" s="17"/>
      <c r="L2999" s="17"/>
      <c r="M2999" s="17"/>
      <c r="N2999" s="17"/>
      <c r="O2999" s="17"/>
      <c r="P2999" s="17"/>
      <c r="Q2999" s="17"/>
    </row>
    <row r="3000" spans="1:17">
      <c r="A3000" s="556" t="s">
        <v>3649</v>
      </c>
      <c r="B3000" s="557"/>
      <c r="C3000" s="558" t="s">
        <v>2440</v>
      </c>
      <c r="D3000" s="556" t="s">
        <v>1694</v>
      </c>
      <c r="E3000" s="17" t="s">
        <v>6454</v>
      </c>
      <c r="F3000" s="17">
        <v>10</v>
      </c>
      <c r="G3000" s="17">
        <v>2</v>
      </c>
      <c r="H3000" s="17" t="s">
        <v>3363</v>
      </c>
      <c r="I3000" s="17"/>
      <c r="J3000" s="17"/>
      <c r="K3000" s="17"/>
      <c r="L3000" s="17"/>
      <c r="M3000" s="17"/>
      <c r="N3000" s="17"/>
      <c r="O3000" s="17"/>
      <c r="P3000" s="17"/>
      <c r="Q3000" s="17"/>
    </row>
    <row r="3001" spans="1:17">
      <c r="A3001" s="556" t="s">
        <v>3649</v>
      </c>
      <c r="B3001" s="557"/>
      <c r="C3001" s="558" t="s">
        <v>2440</v>
      </c>
      <c r="D3001" s="556" t="s">
        <v>4324</v>
      </c>
      <c r="E3001" s="17" t="s">
        <v>6455</v>
      </c>
      <c r="F3001" s="17">
        <v>10</v>
      </c>
      <c r="G3001" s="17">
        <v>3</v>
      </c>
      <c r="H3001" s="17" t="s">
        <v>3364</v>
      </c>
      <c r="I3001" s="17"/>
      <c r="J3001" s="17"/>
      <c r="K3001" s="17"/>
      <c r="L3001" s="17"/>
      <c r="M3001" s="17"/>
      <c r="N3001" s="17"/>
      <c r="O3001" s="17"/>
      <c r="P3001" s="17"/>
      <c r="Q3001" s="17"/>
    </row>
    <row r="3002" spans="1:17">
      <c r="A3002" s="556" t="s">
        <v>3649</v>
      </c>
      <c r="B3002" s="557"/>
      <c r="C3002" s="558" t="s">
        <v>2441</v>
      </c>
      <c r="D3002" s="556" t="s">
        <v>1693</v>
      </c>
      <c r="E3002" s="17" t="s">
        <v>6456</v>
      </c>
      <c r="F3002" s="17">
        <v>11</v>
      </c>
      <c r="G3002" s="17">
        <v>1</v>
      </c>
      <c r="H3002" s="17" t="s">
        <v>3366</v>
      </c>
      <c r="I3002" s="17"/>
      <c r="J3002" s="17"/>
      <c r="K3002" s="17"/>
      <c r="L3002" s="17"/>
      <c r="M3002" s="17"/>
      <c r="N3002" s="17"/>
      <c r="O3002" s="17"/>
      <c r="P3002" s="17"/>
      <c r="Q3002" s="17"/>
    </row>
    <row r="3003" spans="1:17">
      <c r="A3003" s="556" t="s">
        <v>3649</v>
      </c>
      <c r="B3003" s="557"/>
      <c r="C3003" s="558" t="s">
        <v>2441</v>
      </c>
      <c r="D3003" s="556" t="s">
        <v>1694</v>
      </c>
      <c r="E3003" s="17" t="s">
        <v>6457</v>
      </c>
      <c r="F3003" s="17">
        <v>11</v>
      </c>
      <c r="G3003" s="17">
        <v>2</v>
      </c>
      <c r="H3003" s="17" t="s">
        <v>3367</v>
      </c>
      <c r="I3003" s="17"/>
      <c r="J3003" s="17"/>
      <c r="K3003" s="17"/>
      <c r="L3003" s="17"/>
      <c r="M3003" s="17"/>
      <c r="N3003" s="17"/>
      <c r="O3003" s="17"/>
      <c r="P3003" s="17"/>
      <c r="Q3003" s="17"/>
    </row>
    <row r="3004" spans="1:17">
      <c r="A3004" s="556" t="s">
        <v>3649</v>
      </c>
      <c r="B3004" s="557"/>
      <c r="C3004" s="558" t="s">
        <v>2441</v>
      </c>
      <c r="D3004" s="556" t="s">
        <v>4324</v>
      </c>
      <c r="E3004" s="17" t="s">
        <v>6458</v>
      </c>
      <c r="F3004" s="17">
        <v>11</v>
      </c>
      <c r="G3004" s="17">
        <v>3</v>
      </c>
      <c r="H3004" s="17" t="s">
        <v>3368</v>
      </c>
      <c r="I3004" s="17"/>
      <c r="J3004" s="17"/>
      <c r="K3004" s="17"/>
      <c r="L3004" s="17"/>
      <c r="M3004" s="17"/>
      <c r="N3004" s="17"/>
      <c r="O3004" s="17"/>
      <c r="P3004" s="17"/>
      <c r="Q3004" s="17"/>
    </row>
    <row r="3005" spans="1:17">
      <c r="A3005" s="556" t="s">
        <v>3649</v>
      </c>
      <c r="B3005" s="557"/>
      <c r="C3005" s="558" t="s">
        <v>2443</v>
      </c>
      <c r="D3005" s="556" t="s">
        <v>1693</v>
      </c>
      <c r="E3005" s="17" t="s">
        <v>6459</v>
      </c>
      <c r="F3005" s="17">
        <v>13</v>
      </c>
      <c r="G3005" s="17">
        <v>1</v>
      </c>
      <c r="H3005" s="17" t="s">
        <v>3374</v>
      </c>
      <c r="I3005" s="17">
        <v>0</v>
      </c>
      <c r="J3005" s="17"/>
      <c r="K3005" s="17"/>
      <c r="L3005" s="17"/>
      <c r="M3005" s="17"/>
      <c r="N3005" s="17"/>
      <c r="O3005" s="17"/>
      <c r="P3005" s="17"/>
      <c r="Q3005" s="17"/>
    </row>
    <row r="3006" spans="1:17">
      <c r="A3006" s="556" t="s">
        <v>3649</v>
      </c>
      <c r="B3006" s="557"/>
      <c r="C3006" s="558" t="s">
        <v>2443</v>
      </c>
      <c r="D3006" s="556" t="s">
        <v>1694</v>
      </c>
      <c r="E3006" s="17" t="s">
        <v>6460</v>
      </c>
      <c r="F3006" s="17">
        <v>13</v>
      </c>
      <c r="G3006" s="17">
        <v>2</v>
      </c>
      <c r="H3006" s="17" t="s">
        <v>3375</v>
      </c>
      <c r="I3006" s="17">
        <v>0</v>
      </c>
      <c r="J3006" s="17"/>
      <c r="K3006" s="17"/>
      <c r="L3006" s="17"/>
      <c r="M3006" s="17"/>
      <c r="N3006" s="17"/>
      <c r="O3006" s="17"/>
      <c r="P3006" s="17"/>
      <c r="Q3006" s="17"/>
    </row>
    <row r="3007" spans="1:17">
      <c r="A3007" s="556" t="s">
        <v>3649</v>
      </c>
      <c r="B3007" s="557"/>
      <c r="C3007" s="558" t="s">
        <v>9330</v>
      </c>
      <c r="D3007" s="556" t="s">
        <v>1693</v>
      </c>
      <c r="E3007" s="17" t="s">
        <v>6461</v>
      </c>
      <c r="F3007" s="17">
        <v>14</v>
      </c>
      <c r="G3007" s="17">
        <v>1</v>
      </c>
      <c r="H3007" s="17" t="s">
        <v>3378</v>
      </c>
      <c r="I3007" s="17"/>
      <c r="J3007" s="17"/>
      <c r="K3007" s="17"/>
      <c r="L3007" s="17"/>
      <c r="M3007" s="17"/>
      <c r="N3007" s="17"/>
      <c r="O3007" s="17"/>
      <c r="P3007" s="17"/>
      <c r="Q3007" s="17"/>
    </row>
    <row r="3008" spans="1:17">
      <c r="A3008" s="556" t="s">
        <v>3649</v>
      </c>
      <c r="B3008" s="557"/>
      <c r="C3008" s="558" t="s">
        <v>9330</v>
      </c>
      <c r="D3008" s="556" t="s">
        <v>1694</v>
      </c>
      <c r="E3008" s="17" t="s">
        <v>6462</v>
      </c>
      <c r="F3008" s="17">
        <v>14</v>
      </c>
      <c r="G3008" s="17">
        <v>2</v>
      </c>
      <c r="H3008" s="17" t="s">
        <v>3379</v>
      </c>
      <c r="I3008" s="17"/>
      <c r="J3008" s="17"/>
      <c r="K3008" s="17"/>
      <c r="L3008" s="17"/>
      <c r="M3008" s="17"/>
      <c r="N3008" s="17"/>
      <c r="O3008" s="17"/>
      <c r="P3008" s="17"/>
      <c r="Q3008" s="17"/>
    </row>
    <row r="3009" spans="1:17">
      <c r="A3009" s="556" t="s">
        <v>3649</v>
      </c>
      <c r="B3009" s="557"/>
      <c r="C3009" s="558" t="s">
        <v>9331</v>
      </c>
      <c r="D3009" s="556" t="s">
        <v>1693</v>
      </c>
      <c r="E3009" s="17" t="s">
        <v>6463</v>
      </c>
      <c r="F3009" s="17">
        <v>15</v>
      </c>
      <c r="G3009" s="17">
        <v>1</v>
      </c>
      <c r="H3009" s="17" t="s">
        <v>3382</v>
      </c>
      <c r="I3009" s="17"/>
      <c r="J3009" s="17"/>
      <c r="K3009" s="17"/>
      <c r="L3009" s="17"/>
      <c r="M3009" s="17"/>
      <c r="N3009" s="17"/>
      <c r="O3009" s="17"/>
      <c r="P3009" s="17"/>
      <c r="Q3009" s="17"/>
    </row>
    <row r="3010" spans="1:17">
      <c r="A3010" s="556" t="s">
        <v>3649</v>
      </c>
      <c r="B3010" s="557"/>
      <c r="C3010" s="558" t="s">
        <v>9331</v>
      </c>
      <c r="D3010" s="556" t="s">
        <v>1694</v>
      </c>
      <c r="E3010" s="17" t="s">
        <v>6464</v>
      </c>
      <c r="F3010" s="17">
        <v>15</v>
      </c>
      <c r="G3010" s="17">
        <v>2</v>
      </c>
      <c r="H3010" s="17" t="s">
        <v>3383</v>
      </c>
      <c r="I3010" s="17"/>
      <c r="J3010" s="17"/>
      <c r="K3010" s="17"/>
      <c r="L3010" s="17"/>
      <c r="M3010" s="17"/>
      <c r="N3010" s="17"/>
      <c r="O3010" s="17"/>
      <c r="P3010" s="17"/>
      <c r="Q3010" s="17"/>
    </row>
    <row r="3011" spans="1:17">
      <c r="A3011" s="556" t="s">
        <v>3649</v>
      </c>
      <c r="B3011" s="557"/>
      <c r="C3011" s="558" t="s">
        <v>2446</v>
      </c>
      <c r="D3011" s="556" t="s">
        <v>1693</v>
      </c>
      <c r="E3011" s="17" t="s">
        <v>6465</v>
      </c>
      <c r="F3011" s="17">
        <v>16</v>
      </c>
      <c r="G3011" s="17">
        <v>1</v>
      </c>
      <c r="H3011" s="17" t="s">
        <v>3386</v>
      </c>
      <c r="I3011" s="17">
        <v>0</v>
      </c>
      <c r="J3011" s="17"/>
      <c r="K3011" s="17"/>
      <c r="L3011" s="17"/>
      <c r="M3011" s="17"/>
      <c r="N3011" s="17"/>
      <c r="O3011" s="17"/>
      <c r="P3011" s="17"/>
      <c r="Q3011" s="17"/>
    </row>
    <row r="3012" spans="1:17">
      <c r="A3012" s="556" t="s">
        <v>3649</v>
      </c>
      <c r="B3012" s="557"/>
      <c r="C3012" s="558" t="s">
        <v>2446</v>
      </c>
      <c r="D3012" s="556" t="s">
        <v>1694</v>
      </c>
      <c r="E3012" s="17" t="s">
        <v>6466</v>
      </c>
      <c r="F3012" s="17">
        <v>16</v>
      </c>
      <c r="G3012" s="17">
        <v>2</v>
      </c>
      <c r="H3012" s="17" t="s">
        <v>3387</v>
      </c>
      <c r="I3012" s="17">
        <v>0</v>
      </c>
      <c r="J3012" s="17"/>
      <c r="K3012" s="17"/>
      <c r="L3012" s="17"/>
      <c r="M3012" s="17"/>
      <c r="N3012" s="17"/>
      <c r="O3012" s="17"/>
      <c r="P3012" s="17"/>
      <c r="Q3012" s="17"/>
    </row>
    <row r="3013" spans="1:17">
      <c r="A3013" s="556" t="s">
        <v>3649</v>
      </c>
      <c r="B3013" s="557"/>
      <c r="C3013" s="558" t="s">
        <v>2446</v>
      </c>
      <c r="D3013" s="556" t="s">
        <v>4324</v>
      </c>
      <c r="E3013" s="17" t="s">
        <v>6467</v>
      </c>
      <c r="F3013" s="17">
        <v>16</v>
      </c>
      <c r="G3013" s="17">
        <v>3</v>
      </c>
      <c r="H3013" s="17" t="s">
        <v>3388</v>
      </c>
      <c r="I3013" s="17"/>
      <c r="J3013" s="17"/>
      <c r="K3013" s="17"/>
      <c r="L3013" s="17"/>
      <c r="M3013" s="17"/>
      <c r="N3013" s="17"/>
      <c r="O3013" s="17"/>
      <c r="P3013" s="17"/>
      <c r="Q3013" s="17"/>
    </row>
    <row r="3014" spans="1:17">
      <c r="A3014" s="556" t="s">
        <v>3649</v>
      </c>
      <c r="B3014" s="557"/>
      <c r="C3014" s="568" t="s">
        <v>2447</v>
      </c>
      <c r="D3014" s="556" t="s">
        <v>1693</v>
      </c>
      <c r="E3014" s="17" t="s">
        <v>6468</v>
      </c>
      <c r="F3014" s="17">
        <v>17</v>
      </c>
      <c r="G3014" s="17">
        <v>1</v>
      </c>
      <c r="H3014" s="17" t="s">
        <v>3390</v>
      </c>
      <c r="I3014" s="17"/>
      <c r="J3014" s="17"/>
      <c r="K3014" s="17"/>
      <c r="L3014" s="17"/>
      <c r="M3014" s="17"/>
      <c r="N3014" s="17"/>
      <c r="O3014" s="17"/>
      <c r="P3014" s="17"/>
      <c r="Q3014" s="17"/>
    </row>
    <row r="3015" spans="1:17">
      <c r="A3015" s="556" t="s">
        <v>3649</v>
      </c>
      <c r="B3015" s="557"/>
      <c r="C3015" s="568" t="s">
        <v>2447</v>
      </c>
      <c r="D3015" s="556" t="s">
        <v>1694</v>
      </c>
      <c r="E3015" s="17" t="s">
        <v>6469</v>
      </c>
      <c r="F3015" s="17">
        <v>17</v>
      </c>
      <c r="G3015" s="17">
        <v>2</v>
      </c>
      <c r="H3015" s="17" t="s">
        <v>3391</v>
      </c>
      <c r="I3015" s="17"/>
      <c r="J3015" s="17"/>
      <c r="K3015" s="17"/>
      <c r="L3015" s="17"/>
      <c r="M3015" s="17"/>
      <c r="N3015" s="17"/>
      <c r="O3015" s="17"/>
      <c r="P3015" s="17"/>
      <c r="Q3015" s="17"/>
    </row>
    <row r="3016" spans="1:17">
      <c r="A3016" s="556" t="s">
        <v>3649</v>
      </c>
      <c r="B3016" s="557"/>
      <c r="C3016" s="568" t="s">
        <v>2448</v>
      </c>
      <c r="D3016" s="556" t="s">
        <v>1693</v>
      </c>
      <c r="E3016" s="17" t="s">
        <v>6470</v>
      </c>
      <c r="F3016" s="17">
        <v>18</v>
      </c>
      <c r="G3016" s="17">
        <v>1</v>
      </c>
      <c r="H3016" s="17" t="s">
        <v>3394</v>
      </c>
      <c r="I3016" s="17"/>
      <c r="J3016" s="17"/>
      <c r="K3016" s="17"/>
      <c r="L3016" s="17"/>
      <c r="M3016" s="17"/>
      <c r="N3016" s="17"/>
      <c r="O3016" s="17"/>
      <c r="P3016" s="17"/>
      <c r="Q3016" s="17"/>
    </row>
    <row r="3017" spans="1:17">
      <c r="A3017" s="556" t="s">
        <v>3649</v>
      </c>
      <c r="B3017" s="557"/>
      <c r="C3017" s="568" t="s">
        <v>2448</v>
      </c>
      <c r="D3017" s="556" t="s">
        <v>1694</v>
      </c>
      <c r="E3017" s="17" t="s">
        <v>6471</v>
      </c>
      <c r="F3017" s="17">
        <v>18</v>
      </c>
      <c r="G3017" s="17">
        <v>2</v>
      </c>
      <c r="H3017" s="17" t="s">
        <v>3395</v>
      </c>
      <c r="I3017" s="17"/>
      <c r="J3017" s="17"/>
      <c r="K3017" s="17"/>
      <c r="L3017" s="17"/>
      <c r="M3017" s="17"/>
      <c r="N3017" s="17"/>
      <c r="O3017" s="17"/>
      <c r="P3017" s="17"/>
      <c r="Q3017" s="17"/>
    </row>
    <row r="3018" spans="1:17">
      <c r="A3018" s="556" t="s">
        <v>3649</v>
      </c>
      <c r="B3018" s="557"/>
      <c r="C3018" s="568" t="s">
        <v>2449</v>
      </c>
      <c r="D3018" s="556" t="s">
        <v>1693</v>
      </c>
      <c r="E3018" s="17" t="s">
        <v>6472</v>
      </c>
      <c r="F3018" s="17">
        <v>19</v>
      </c>
      <c r="G3018" s="17">
        <v>1</v>
      </c>
      <c r="H3018" s="17" t="s">
        <v>3398</v>
      </c>
      <c r="I3018" s="17"/>
      <c r="J3018" s="17"/>
      <c r="K3018" s="17"/>
      <c r="L3018" s="17"/>
      <c r="M3018" s="17"/>
      <c r="N3018" s="17"/>
      <c r="O3018" s="17"/>
      <c r="P3018" s="17"/>
      <c r="Q3018" s="17"/>
    </row>
    <row r="3019" spans="1:17">
      <c r="A3019" s="556" t="s">
        <v>3649</v>
      </c>
      <c r="B3019" s="557"/>
      <c r="C3019" s="568" t="s">
        <v>2449</v>
      </c>
      <c r="D3019" s="556" t="s">
        <v>1694</v>
      </c>
      <c r="E3019" s="17" t="s">
        <v>6473</v>
      </c>
      <c r="F3019" s="17">
        <v>19</v>
      </c>
      <c r="G3019" s="17">
        <v>2</v>
      </c>
      <c r="H3019" s="17" t="s">
        <v>3399</v>
      </c>
      <c r="I3019" s="17"/>
      <c r="J3019" s="17"/>
      <c r="K3019" s="17"/>
      <c r="L3019" s="17"/>
      <c r="M3019" s="17"/>
      <c r="N3019" s="17"/>
      <c r="O3019" s="17"/>
      <c r="P3019" s="17"/>
      <c r="Q3019" s="17"/>
    </row>
    <row r="3020" spans="1:17">
      <c r="A3020" s="556" t="s">
        <v>3649</v>
      </c>
      <c r="B3020" s="557"/>
      <c r="C3020" s="568" t="s">
        <v>2450</v>
      </c>
      <c r="D3020" s="556" t="s">
        <v>1693</v>
      </c>
      <c r="E3020" s="17" t="s">
        <v>6474</v>
      </c>
      <c r="F3020" s="17">
        <v>20</v>
      </c>
      <c r="G3020" s="17">
        <v>1</v>
      </c>
      <c r="H3020" s="17" t="s">
        <v>3402</v>
      </c>
      <c r="I3020" s="17"/>
      <c r="J3020" s="17"/>
      <c r="K3020" s="17"/>
      <c r="L3020" s="17"/>
      <c r="M3020" s="17"/>
      <c r="N3020" s="17"/>
      <c r="O3020" s="17"/>
      <c r="P3020" s="17"/>
      <c r="Q3020" s="17"/>
    </row>
    <row r="3021" spans="1:17">
      <c r="A3021" s="556" t="s">
        <v>3649</v>
      </c>
      <c r="B3021" s="557"/>
      <c r="C3021" s="568" t="s">
        <v>2450</v>
      </c>
      <c r="D3021" s="556" t="s">
        <v>1694</v>
      </c>
      <c r="E3021" s="17" t="s">
        <v>6475</v>
      </c>
      <c r="F3021" s="17">
        <v>20</v>
      </c>
      <c r="G3021" s="17">
        <v>2</v>
      </c>
      <c r="H3021" s="17" t="s">
        <v>3403</v>
      </c>
      <c r="I3021" s="17"/>
      <c r="J3021" s="17"/>
      <c r="K3021" s="17"/>
      <c r="L3021" s="17"/>
      <c r="M3021" s="17"/>
      <c r="N3021" s="17"/>
      <c r="O3021" s="17"/>
      <c r="P3021" s="17"/>
      <c r="Q3021" s="17"/>
    </row>
    <row r="3022" spans="1:17">
      <c r="A3022" s="556" t="s">
        <v>3649</v>
      </c>
      <c r="B3022" s="557"/>
      <c r="C3022" s="568" t="s">
        <v>2451</v>
      </c>
      <c r="D3022" s="556" t="s">
        <v>1693</v>
      </c>
      <c r="E3022" s="17" t="s">
        <v>6476</v>
      </c>
      <c r="F3022" s="17">
        <v>21</v>
      </c>
      <c r="G3022" s="17">
        <v>1</v>
      </c>
      <c r="H3022" s="17" t="s">
        <v>3406</v>
      </c>
      <c r="I3022" s="17"/>
      <c r="J3022" s="17"/>
      <c r="K3022" s="17"/>
      <c r="L3022" s="17"/>
      <c r="M3022" s="17"/>
      <c r="N3022" s="17"/>
      <c r="O3022" s="17"/>
      <c r="P3022" s="17"/>
      <c r="Q3022" s="17"/>
    </row>
    <row r="3023" spans="1:17">
      <c r="A3023" s="556" t="s">
        <v>3649</v>
      </c>
      <c r="B3023" s="557"/>
      <c r="C3023" s="568" t="s">
        <v>2451</v>
      </c>
      <c r="D3023" s="556" t="s">
        <v>1694</v>
      </c>
      <c r="E3023" s="17" t="s">
        <v>6477</v>
      </c>
      <c r="F3023" s="17">
        <v>21</v>
      </c>
      <c r="G3023" s="17">
        <v>2</v>
      </c>
      <c r="H3023" s="17" t="s">
        <v>3407</v>
      </c>
      <c r="I3023" s="17"/>
      <c r="J3023" s="17"/>
      <c r="K3023" s="17"/>
      <c r="L3023" s="17"/>
      <c r="M3023" s="17"/>
      <c r="N3023" s="17"/>
      <c r="O3023" s="17"/>
      <c r="P3023" s="17"/>
      <c r="Q3023" s="17"/>
    </row>
    <row r="3024" spans="1:17">
      <c r="A3024" s="556" t="s">
        <v>3649</v>
      </c>
      <c r="B3024" s="557"/>
      <c r="C3024" s="558" t="s">
        <v>2452</v>
      </c>
      <c r="D3024" s="556" t="s">
        <v>1693</v>
      </c>
      <c r="E3024" s="17" t="s">
        <v>6478</v>
      </c>
      <c r="F3024" s="17">
        <v>22</v>
      </c>
      <c r="G3024" s="17">
        <v>1</v>
      </c>
      <c r="H3024" s="17" t="s">
        <v>3410</v>
      </c>
      <c r="I3024" s="17"/>
      <c r="J3024" s="17"/>
      <c r="K3024" s="17"/>
      <c r="L3024" s="17"/>
      <c r="M3024" s="17"/>
      <c r="N3024" s="17"/>
      <c r="O3024" s="17"/>
      <c r="P3024" s="17"/>
      <c r="Q3024" s="17"/>
    </row>
    <row r="3025" spans="1:17">
      <c r="A3025" s="556" t="s">
        <v>3649</v>
      </c>
      <c r="B3025" s="557"/>
      <c r="C3025" s="558" t="s">
        <v>2452</v>
      </c>
      <c r="D3025" s="556" t="s">
        <v>1694</v>
      </c>
      <c r="E3025" s="17" t="s">
        <v>6479</v>
      </c>
      <c r="F3025" s="17">
        <v>22</v>
      </c>
      <c r="G3025" s="17">
        <v>2</v>
      </c>
      <c r="H3025" s="17" t="s">
        <v>3411</v>
      </c>
      <c r="I3025" s="17"/>
      <c r="J3025" s="17"/>
      <c r="K3025" s="17"/>
      <c r="L3025" s="17"/>
      <c r="M3025" s="17"/>
      <c r="N3025" s="17"/>
      <c r="O3025" s="17"/>
      <c r="P3025" s="17"/>
      <c r="Q3025" s="17"/>
    </row>
    <row r="3026" spans="1:17">
      <c r="A3026" s="556" t="s">
        <v>3649</v>
      </c>
      <c r="B3026" s="557"/>
      <c r="C3026" s="558" t="s">
        <v>2453</v>
      </c>
      <c r="D3026" s="556" t="s">
        <v>1693</v>
      </c>
      <c r="E3026" s="17" t="s">
        <v>6480</v>
      </c>
      <c r="F3026" s="17">
        <v>23</v>
      </c>
      <c r="G3026" s="17">
        <v>1</v>
      </c>
      <c r="H3026" s="17" t="s">
        <v>3414</v>
      </c>
      <c r="I3026" s="17"/>
      <c r="J3026" s="17"/>
      <c r="K3026" s="17"/>
      <c r="L3026" s="17"/>
      <c r="M3026" s="17"/>
      <c r="N3026" s="17"/>
      <c r="O3026" s="17"/>
      <c r="P3026" s="17"/>
      <c r="Q3026" s="17"/>
    </row>
    <row r="3027" spans="1:17">
      <c r="A3027" s="556" t="s">
        <v>3649</v>
      </c>
      <c r="B3027" s="557"/>
      <c r="C3027" s="558" t="s">
        <v>2453</v>
      </c>
      <c r="D3027" s="556" t="s">
        <v>1694</v>
      </c>
      <c r="E3027" s="17" t="s">
        <v>6481</v>
      </c>
      <c r="F3027" s="17">
        <v>23</v>
      </c>
      <c r="G3027" s="17">
        <v>2</v>
      </c>
      <c r="H3027" s="17" t="s">
        <v>3415</v>
      </c>
      <c r="I3027" s="17"/>
      <c r="J3027" s="17"/>
      <c r="K3027" s="17"/>
      <c r="L3027" s="17"/>
      <c r="M3027" s="17"/>
      <c r="N3027" s="17"/>
      <c r="O3027" s="17"/>
      <c r="P3027" s="17"/>
      <c r="Q3027" s="17"/>
    </row>
    <row r="3028" spans="1:17">
      <c r="A3028" s="556" t="s">
        <v>3649</v>
      </c>
      <c r="B3028" s="557"/>
      <c r="C3028" s="558" t="s">
        <v>2454</v>
      </c>
      <c r="D3028" s="556" t="s">
        <v>1693</v>
      </c>
      <c r="E3028" s="17" t="s">
        <v>6482</v>
      </c>
      <c r="F3028" s="17">
        <v>24</v>
      </c>
      <c r="G3028" s="17">
        <v>1</v>
      </c>
      <c r="H3028" s="17" t="s">
        <v>3418</v>
      </c>
      <c r="I3028" s="17"/>
      <c r="J3028" s="17"/>
      <c r="K3028" s="17"/>
      <c r="L3028" s="17"/>
      <c r="M3028" s="17"/>
      <c r="N3028" s="17"/>
      <c r="O3028" s="17"/>
      <c r="P3028" s="17"/>
      <c r="Q3028" s="17"/>
    </row>
    <row r="3029" spans="1:17">
      <c r="A3029" s="556" t="s">
        <v>3649</v>
      </c>
      <c r="B3029" s="557"/>
      <c r="C3029" s="558" t="s">
        <v>2454</v>
      </c>
      <c r="D3029" s="556" t="s">
        <v>1694</v>
      </c>
      <c r="E3029" s="17" t="s">
        <v>6483</v>
      </c>
      <c r="F3029" s="17">
        <v>24</v>
      </c>
      <c r="G3029" s="17">
        <v>2</v>
      </c>
      <c r="H3029" s="17" t="s">
        <v>3419</v>
      </c>
      <c r="I3029" s="17"/>
      <c r="J3029" s="17"/>
      <c r="K3029" s="17"/>
      <c r="L3029" s="17"/>
      <c r="M3029" s="17"/>
      <c r="N3029" s="17"/>
      <c r="O3029" s="17"/>
      <c r="P3029" s="17"/>
      <c r="Q3029" s="17"/>
    </row>
    <row r="3030" spans="1:17">
      <c r="A3030" s="556" t="s">
        <v>3649</v>
      </c>
      <c r="B3030" s="557"/>
      <c r="C3030" s="558" t="s">
        <v>2455</v>
      </c>
      <c r="D3030" s="556" t="s">
        <v>1693</v>
      </c>
      <c r="E3030" s="17" t="s">
        <v>6484</v>
      </c>
      <c r="F3030" s="17">
        <v>25</v>
      </c>
      <c r="G3030" s="17">
        <v>1</v>
      </c>
      <c r="H3030" s="17" t="s">
        <v>3422</v>
      </c>
      <c r="I3030" s="17"/>
      <c r="J3030" s="17"/>
      <c r="K3030" s="17"/>
      <c r="L3030" s="17"/>
      <c r="M3030" s="17"/>
      <c r="N3030" s="17"/>
      <c r="O3030" s="17"/>
      <c r="P3030" s="17"/>
      <c r="Q3030" s="17"/>
    </row>
    <row r="3031" spans="1:17">
      <c r="A3031" s="556" t="s">
        <v>3649</v>
      </c>
      <c r="B3031" s="557"/>
      <c r="C3031" s="558" t="s">
        <v>2455</v>
      </c>
      <c r="D3031" s="556" t="s">
        <v>1694</v>
      </c>
      <c r="E3031" s="17" t="s">
        <v>6485</v>
      </c>
      <c r="F3031" s="17">
        <v>25</v>
      </c>
      <c r="G3031" s="17">
        <v>2</v>
      </c>
      <c r="H3031" s="17" t="s">
        <v>3423</v>
      </c>
      <c r="I3031" s="17"/>
      <c r="J3031" s="17"/>
      <c r="K3031" s="17"/>
      <c r="L3031" s="17"/>
      <c r="M3031" s="17"/>
      <c r="N3031" s="17"/>
      <c r="O3031" s="17"/>
      <c r="P3031" s="17"/>
      <c r="Q3031" s="17"/>
    </row>
    <row r="3032" spans="1:17">
      <c r="A3032" s="556" t="s">
        <v>3649</v>
      </c>
      <c r="B3032" s="557"/>
      <c r="C3032" s="558" t="s">
        <v>2456</v>
      </c>
      <c r="D3032" s="556" t="s">
        <v>1693</v>
      </c>
      <c r="E3032" s="17" t="s">
        <v>6486</v>
      </c>
      <c r="F3032" s="17">
        <v>26</v>
      </c>
      <c r="G3032" s="17">
        <v>1</v>
      </c>
      <c r="H3032" s="17" t="s">
        <v>3426</v>
      </c>
      <c r="I3032" s="17"/>
      <c r="J3032" s="17"/>
      <c r="K3032" s="17"/>
      <c r="L3032" s="17"/>
      <c r="M3032" s="17"/>
      <c r="N3032" s="17"/>
      <c r="O3032" s="17"/>
      <c r="P3032" s="17"/>
      <c r="Q3032" s="17"/>
    </row>
    <row r="3033" spans="1:17">
      <c r="A3033" s="556" t="s">
        <v>3649</v>
      </c>
      <c r="B3033" s="557"/>
      <c r="C3033" s="558" t="s">
        <v>2456</v>
      </c>
      <c r="D3033" s="556" t="s">
        <v>1694</v>
      </c>
      <c r="E3033" s="17" t="s">
        <v>6487</v>
      </c>
      <c r="F3033" s="17">
        <v>26</v>
      </c>
      <c r="G3033" s="17">
        <v>2</v>
      </c>
      <c r="H3033" s="17" t="s">
        <v>3427</v>
      </c>
      <c r="I3033" s="17"/>
      <c r="J3033" s="17"/>
      <c r="K3033" s="17"/>
      <c r="L3033" s="17"/>
      <c r="M3033" s="17"/>
      <c r="N3033" s="17"/>
      <c r="O3033" s="17"/>
      <c r="P3033" s="17"/>
      <c r="Q3033" s="17"/>
    </row>
    <row r="3034" spans="1:17">
      <c r="A3034" s="556" t="s">
        <v>3649</v>
      </c>
      <c r="B3034" s="557"/>
      <c r="C3034" s="558" t="s">
        <v>2457</v>
      </c>
      <c r="D3034" s="556" t="s">
        <v>1693</v>
      </c>
      <c r="E3034" s="17" t="s">
        <v>6488</v>
      </c>
      <c r="F3034" s="17">
        <v>27</v>
      </c>
      <c r="G3034" s="17">
        <v>1</v>
      </c>
      <c r="H3034" s="17" t="s">
        <v>3430</v>
      </c>
      <c r="I3034" s="17">
        <v>0</v>
      </c>
      <c r="J3034" s="17"/>
      <c r="K3034" s="17"/>
      <c r="L3034" s="17"/>
      <c r="M3034" s="17"/>
      <c r="N3034" s="17"/>
      <c r="O3034" s="17"/>
      <c r="P3034" s="17"/>
      <c r="Q3034" s="17"/>
    </row>
    <row r="3035" spans="1:17">
      <c r="A3035" s="556" t="s">
        <v>3649</v>
      </c>
      <c r="B3035" s="557"/>
      <c r="C3035" s="558" t="s">
        <v>2457</v>
      </c>
      <c r="D3035" s="556" t="s">
        <v>1694</v>
      </c>
      <c r="E3035" s="17" t="s">
        <v>6489</v>
      </c>
      <c r="F3035" s="17">
        <v>27</v>
      </c>
      <c r="G3035" s="17">
        <v>2</v>
      </c>
      <c r="H3035" s="17" t="s">
        <v>3431</v>
      </c>
      <c r="I3035" s="17">
        <v>0</v>
      </c>
      <c r="J3035" s="17"/>
      <c r="K3035" s="17"/>
      <c r="L3035" s="17"/>
      <c r="M3035" s="17"/>
      <c r="N3035" s="17"/>
      <c r="O3035" s="17"/>
      <c r="P3035" s="17"/>
      <c r="Q3035" s="17"/>
    </row>
    <row r="3036" spans="1:17">
      <c r="A3036" s="556" t="s">
        <v>3649</v>
      </c>
      <c r="B3036" s="557"/>
      <c r="C3036" s="558" t="s">
        <v>2457</v>
      </c>
      <c r="D3036" s="556" t="s">
        <v>4324</v>
      </c>
      <c r="E3036" s="17" t="s">
        <v>6490</v>
      </c>
      <c r="F3036" s="17">
        <v>27</v>
      </c>
      <c r="G3036" s="17">
        <v>3</v>
      </c>
      <c r="H3036" s="17" t="s">
        <v>3432</v>
      </c>
      <c r="I3036" s="17"/>
      <c r="J3036" s="17"/>
      <c r="K3036" s="17"/>
      <c r="L3036" s="17"/>
      <c r="M3036" s="17"/>
      <c r="N3036" s="17"/>
      <c r="O3036" s="17"/>
      <c r="P3036" s="17"/>
      <c r="Q3036" s="17"/>
    </row>
    <row r="3037" spans="1:17">
      <c r="A3037" s="556" t="s">
        <v>3649</v>
      </c>
      <c r="B3037" s="557"/>
      <c r="C3037" s="558" t="s">
        <v>9332</v>
      </c>
      <c r="D3037" s="556" t="s">
        <v>1693</v>
      </c>
      <c r="E3037" s="17" t="s">
        <v>6491</v>
      </c>
      <c r="F3037" s="17">
        <v>28</v>
      </c>
      <c r="G3037" s="17">
        <v>1</v>
      </c>
      <c r="H3037" s="17" t="s">
        <v>3434</v>
      </c>
      <c r="I3037" s="17"/>
      <c r="J3037" s="17"/>
      <c r="K3037" s="17"/>
      <c r="L3037" s="17"/>
      <c r="M3037" s="17"/>
      <c r="N3037" s="17"/>
      <c r="O3037" s="17"/>
      <c r="P3037" s="17"/>
      <c r="Q3037" s="17"/>
    </row>
    <row r="3038" spans="1:17">
      <c r="A3038" s="556" t="s">
        <v>3649</v>
      </c>
      <c r="B3038" s="557"/>
      <c r="C3038" s="558" t="s">
        <v>9332</v>
      </c>
      <c r="D3038" s="556" t="s">
        <v>1694</v>
      </c>
      <c r="E3038" s="17" t="s">
        <v>6492</v>
      </c>
      <c r="F3038" s="17">
        <v>28</v>
      </c>
      <c r="G3038" s="17">
        <v>2</v>
      </c>
      <c r="H3038" s="17" t="s">
        <v>3435</v>
      </c>
      <c r="I3038" s="17"/>
      <c r="J3038" s="17"/>
      <c r="K3038" s="17"/>
      <c r="L3038" s="17"/>
      <c r="M3038" s="17"/>
      <c r="N3038" s="17"/>
      <c r="O3038" s="17"/>
      <c r="P3038" s="17"/>
      <c r="Q3038" s="17"/>
    </row>
    <row r="3039" spans="1:17">
      <c r="A3039" s="556" t="s">
        <v>3649</v>
      </c>
      <c r="B3039" s="557"/>
      <c r="C3039" s="558" t="s">
        <v>9332</v>
      </c>
      <c r="D3039" s="556" t="s">
        <v>4324</v>
      </c>
      <c r="E3039" s="17" t="s">
        <v>6493</v>
      </c>
      <c r="F3039" s="17">
        <v>28</v>
      </c>
      <c r="G3039" s="17">
        <v>3</v>
      </c>
      <c r="H3039" s="17" t="s">
        <v>3436</v>
      </c>
      <c r="I3039" s="17"/>
      <c r="J3039" s="17"/>
      <c r="K3039" s="17"/>
      <c r="L3039" s="17"/>
      <c r="M3039" s="17"/>
      <c r="N3039" s="17"/>
      <c r="O3039" s="17"/>
      <c r="P3039" s="17"/>
      <c r="Q3039" s="17"/>
    </row>
    <row r="3040" spans="1:17">
      <c r="A3040" s="556" t="s">
        <v>3649</v>
      </c>
      <c r="B3040" s="557"/>
      <c r="C3040" s="568" t="s">
        <v>2459</v>
      </c>
      <c r="D3040" s="556" t="s">
        <v>1693</v>
      </c>
      <c r="E3040" s="17" t="s">
        <v>6494</v>
      </c>
      <c r="F3040" s="17">
        <v>29</v>
      </c>
      <c r="G3040" s="17">
        <v>1</v>
      </c>
      <c r="H3040" s="17" t="s">
        <v>3438</v>
      </c>
      <c r="I3040" s="17">
        <v>0</v>
      </c>
      <c r="J3040" s="17"/>
      <c r="K3040" s="17"/>
      <c r="L3040" s="17"/>
      <c r="M3040" s="17"/>
      <c r="N3040" s="17"/>
      <c r="O3040" s="17"/>
      <c r="P3040" s="17"/>
      <c r="Q3040" s="17"/>
    </row>
    <row r="3041" spans="1:17">
      <c r="A3041" s="556" t="s">
        <v>3649</v>
      </c>
      <c r="B3041" s="557"/>
      <c r="C3041" s="568" t="s">
        <v>2459</v>
      </c>
      <c r="D3041" s="556" t="s">
        <v>1694</v>
      </c>
      <c r="E3041" s="17" t="s">
        <v>6495</v>
      </c>
      <c r="F3041" s="17">
        <v>29</v>
      </c>
      <c r="G3041" s="17">
        <v>2</v>
      </c>
      <c r="H3041" s="17" t="s">
        <v>3439</v>
      </c>
      <c r="I3041" s="17">
        <v>0</v>
      </c>
      <c r="J3041" s="17"/>
      <c r="K3041" s="17"/>
      <c r="L3041" s="17"/>
      <c r="M3041" s="17"/>
      <c r="N3041" s="17"/>
      <c r="O3041" s="17"/>
      <c r="P3041" s="17"/>
      <c r="Q3041" s="17"/>
    </row>
    <row r="3042" spans="1:17">
      <c r="A3042" s="556" t="s">
        <v>3649</v>
      </c>
      <c r="B3042" s="557"/>
      <c r="C3042" s="568" t="s">
        <v>2459</v>
      </c>
      <c r="D3042" s="556" t="s">
        <v>4324</v>
      </c>
      <c r="E3042" s="17" t="s">
        <v>6496</v>
      </c>
      <c r="F3042" s="17">
        <v>29</v>
      </c>
      <c r="G3042" s="17">
        <v>3</v>
      </c>
      <c r="H3042" s="17" t="s">
        <v>3440</v>
      </c>
      <c r="I3042" s="17"/>
      <c r="J3042" s="17"/>
      <c r="K3042" s="17"/>
      <c r="L3042" s="17"/>
      <c r="M3042" s="17"/>
      <c r="N3042" s="17"/>
      <c r="O3042" s="17"/>
      <c r="P3042" s="17"/>
      <c r="Q3042" s="17"/>
    </row>
    <row r="3043" spans="1:17">
      <c r="A3043" s="556" t="s">
        <v>3649</v>
      </c>
      <c r="B3043" s="557"/>
      <c r="C3043" s="558" t="s">
        <v>9333</v>
      </c>
      <c r="D3043" s="556" t="s">
        <v>1693</v>
      </c>
      <c r="E3043" s="17" t="s">
        <v>6497</v>
      </c>
      <c r="F3043" s="17">
        <v>31</v>
      </c>
      <c r="G3043" s="17">
        <v>1</v>
      </c>
      <c r="H3043" s="17" t="s">
        <v>3446</v>
      </c>
      <c r="I3043" s="17"/>
      <c r="J3043" s="17"/>
      <c r="K3043" s="17"/>
      <c r="L3043" s="17"/>
      <c r="M3043" s="17"/>
      <c r="N3043" s="17"/>
      <c r="O3043" s="17"/>
      <c r="P3043" s="17"/>
      <c r="Q3043" s="17"/>
    </row>
    <row r="3044" spans="1:17">
      <c r="A3044" s="556" t="s">
        <v>3649</v>
      </c>
      <c r="B3044" s="557"/>
      <c r="C3044" s="558" t="s">
        <v>9333</v>
      </c>
      <c r="D3044" s="556" t="s">
        <v>1694</v>
      </c>
      <c r="E3044" s="17" t="s">
        <v>6498</v>
      </c>
      <c r="F3044" s="17">
        <v>31</v>
      </c>
      <c r="G3044" s="17">
        <v>2</v>
      </c>
      <c r="H3044" s="17" t="s">
        <v>3447</v>
      </c>
      <c r="I3044" s="17"/>
      <c r="J3044" s="17"/>
      <c r="K3044" s="17"/>
      <c r="L3044" s="17"/>
      <c r="M3044" s="17"/>
      <c r="N3044" s="17"/>
      <c r="O3044" s="17"/>
      <c r="P3044" s="17"/>
      <c r="Q3044" s="17"/>
    </row>
    <row r="3045" spans="1:17">
      <c r="A3045" s="556" t="s">
        <v>3649</v>
      </c>
      <c r="B3045" s="557"/>
      <c r="C3045" s="558" t="s">
        <v>9333</v>
      </c>
      <c r="D3045" s="556" t="s">
        <v>4324</v>
      </c>
      <c r="E3045" s="17" t="s">
        <v>6499</v>
      </c>
      <c r="F3045" s="17">
        <v>31</v>
      </c>
      <c r="G3045" s="17">
        <v>3</v>
      </c>
      <c r="H3045" s="17" t="s">
        <v>3448</v>
      </c>
      <c r="I3045" s="17" t="s">
        <v>8747</v>
      </c>
      <c r="J3045" s="17"/>
      <c r="K3045" s="17"/>
      <c r="L3045" s="17"/>
      <c r="M3045" s="17"/>
      <c r="N3045" s="17"/>
      <c r="O3045" s="17"/>
      <c r="P3045" s="17"/>
      <c r="Q3045" s="17"/>
    </row>
    <row r="3046" spans="1:17">
      <c r="A3046" s="556" t="s">
        <v>3649</v>
      </c>
      <c r="B3046" s="557"/>
      <c r="C3046" s="558" t="s">
        <v>2462</v>
      </c>
      <c r="D3046" s="556" t="s">
        <v>1693</v>
      </c>
      <c r="E3046" s="17" t="s">
        <v>6500</v>
      </c>
      <c r="F3046" s="17">
        <v>32</v>
      </c>
      <c r="G3046" s="17">
        <v>1</v>
      </c>
      <c r="H3046" s="17" t="s">
        <v>7903</v>
      </c>
      <c r="I3046" s="17"/>
      <c r="J3046" s="17"/>
      <c r="K3046" s="17"/>
      <c r="L3046" s="17"/>
      <c r="M3046" s="17"/>
      <c r="N3046" s="17"/>
      <c r="O3046" s="17"/>
      <c r="P3046" s="17"/>
      <c r="Q3046" s="17"/>
    </row>
    <row r="3047" spans="1:17">
      <c r="A3047" s="556" t="s">
        <v>3649</v>
      </c>
      <c r="B3047" s="557"/>
      <c r="C3047" s="558" t="s">
        <v>2462</v>
      </c>
      <c r="D3047" s="556" t="s">
        <v>1694</v>
      </c>
      <c r="E3047" s="17" t="s">
        <v>6501</v>
      </c>
      <c r="F3047" s="17">
        <v>32</v>
      </c>
      <c r="G3047" s="17">
        <v>2</v>
      </c>
      <c r="H3047" s="17" t="s">
        <v>7759</v>
      </c>
      <c r="I3047" s="17"/>
      <c r="J3047" s="17"/>
      <c r="K3047" s="17"/>
      <c r="L3047" s="17"/>
      <c r="M3047" s="17"/>
      <c r="N3047" s="17"/>
      <c r="O3047" s="17"/>
      <c r="P3047" s="17"/>
      <c r="Q3047" s="17"/>
    </row>
    <row r="3048" spans="1:17">
      <c r="A3048" s="556" t="s">
        <v>3649</v>
      </c>
      <c r="B3048" s="557"/>
      <c r="C3048" s="558" t="s">
        <v>2462</v>
      </c>
      <c r="D3048" s="556" t="s">
        <v>4324</v>
      </c>
      <c r="E3048" s="17" t="s">
        <v>6502</v>
      </c>
      <c r="F3048" s="17">
        <v>32</v>
      </c>
      <c r="G3048" s="17">
        <v>3</v>
      </c>
      <c r="H3048" s="17" t="s">
        <v>7757</v>
      </c>
      <c r="I3048" s="17" t="s">
        <v>8747</v>
      </c>
      <c r="J3048" s="17"/>
      <c r="K3048" s="17"/>
      <c r="L3048" s="17"/>
      <c r="M3048" s="17"/>
      <c r="N3048" s="17"/>
      <c r="O3048" s="17"/>
      <c r="P3048" s="17"/>
      <c r="Q3048" s="17"/>
    </row>
    <row r="3049" spans="1:17">
      <c r="A3049" s="556" t="s">
        <v>3649</v>
      </c>
      <c r="B3049" s="557"/>
      <c r="C3049" s="568" t="s">
        <v>2464</v>
      </c>
      <c r="D3049" s="556" t="s">
        <v>1693</v>
      </c>
      <c r="E3049" s="17" t="s">
        <v>6503</v>
      </c>
      <c r="F3049" s="17">
        <v>34</v>
      </c>
      <c r="G3049" s="17">
        <v>1</v>
      </c>
      <c r="H3049" s="17" t="s">
        <v>7904</v>
      </c>
      <c r="I3049" s="17"/>
      <c r="J3049" s="17"/>
      <c r="K3049" s="17"/>
      <c r="L3049" s="17"/>
      <c r="M3049" s="17"/>
      <c r="N3049" s="17"/>
      <c r="O3049" s="17"/>
      <c r="P3049" s="17"/>
      <c r="Q3049" s="17"/>
    </row>
    <row r="3050" spans="1:17">
      <c r="A3050" s="556" t="s">
        <v>3649</v>
      </c>
      <c r="B3050" s="557"/>
      <c r="C3050" s="568" t="s">
        <v>2464</v>
      </c>
      <c r="D3050" s="556" t="s">
        <v>1694</v>
      </c>
      <c r="E3050" s="17" t="s">
        <v>6504</v>
      </c>
      <c r="F3050" s="17">
        <v>34</v>
      </c>
      <c r="G3050" s="17">
        <v>2</v>
      </c>
      <c r="H3050" s="17" t="s">
        <v>7761</v>
      </c>
      <c r="I3050" s="17"/>
      <c r="J3050" s="17"/>
      <c r="K3050" s="17"/>
      <c r="L3050" s="17"/>
      <c r="M3050" s="17"/>
      <c r="N3050" s="17"/>
      <c r="O3050" s="17"/>
      <c r="P3050" s="17"/>
      <c r="Q3050" s="17"/>
    </row>
    <row r="3051" spans="1:17">
      <c r="A3051" s="556" t="s">
        <v>3649</v>
      </c>
      <c r="B3051" s="557"/>
      <c r="C3051" s="568" t="s">
        <v>2464</v>
      </c>
      <c r="D3051" s="556" t="s">
        <v>4324</v>
      </c>
      <c r="E3051" s="17" t="s">
        <v>6505</v>
      </c>
      <c r="F3051" s="17">
        <v>34</v>
      </c>
      <c r="G3051" s="17">
        <v>3</v>
      </c>
      <c r="H3051" s="17" t="s">
        <v>7762</v>
      </c>
      <c r="I3051" s="17"/>
      <c r="J3051" s="17"/>
      <c r="K3051" s="17"/>
      <c r="L3051" s="17"/>
      <c r="M3051" s="17"/>
      <c r="N3051" s="17"/>
      <c r="O3051" s="17"/>
      <c r="P3051" s="17"/>
      <c r="Q3051" s="17"/>
    </row>
    <row r="3052" spans="1:17">
      <c r="A3052" s="556" t="s">
        <v>3649</v>
      </c>
      <c r="B3052" s="557"/>
      <c r="C3052" s="568" t="s">
        <v>9567</v>
      </c>
      <c r="D3052" s="556" t="s">
        <v>1693</v>
      </c>
      <c r="E3052" s="17" t="s">
        <v>6506</v>
      </c>
      <c r="F3052" s="17">
        <v>35</v>
      </c>
      <c r="G3052" s="17">
        <v>1</v>
      </c>
      <c r="H3052" s="17" t="s">
        <v>7905</v>
      </c>
      <c r="I3052" s="17"/>
      <c r="J3052" s="17"/>
      <c r="K3052" s="17"/>
      <c r="L3052" s="17"/>
      <c r="M3052" s="17"/>
      <c r="N3052" s="17"/>
      <c r="O3052" s="17"/>
      <c r="P3052" s="17"/>
      <c r="Q3052" s="17"/>
    </row>
    <row r="3053" spans="1:17">
      <c r="A3053" s="556" t="s">
        <v>3649</v>
      </c>
      <c r="B3053" s="557"/>
      <c r="C3053" s="558" t="s">
        <v>9568</v>
      </c>
      <c r="D3053" s="556" t="s">
        <v>1694</v>
      </c>
      <c r="E3053" s="17" t="s">
        <v>6507</v>
      </c>
      <c r="F3053" s="17">
        <v>35</v>
      </c>
      <c r="G3053" s="17">
        <v>2</v>
      </c>
      <c r="H3053" s="17" t="s">
        <v>7763</v>
      </c>
      <c r="I3053" s="17"/>
      <c r="J3053" s="17"/>
      <c r="K3053" s="17"/>
      <c r="L3053" s="17"/>
      <c r="M3053" s="17"/>
      <c r="N3053" s="17"/>
      <c r="O3053" s="17"/>
      <c r="P3053" s="17"/>
      <c r="Q3053" s="17"/>
    </row>
    <row r="3054" spans="1:17">
      <c r="A3054" s="556" t="s">
        <v>3649</v>
      </c>
      <c r="B3054" s="557"/>
      <c r="C3054" s="558" t="s">
        <v>9568</v>
      </c>
      <c r="D3054" s="556" t="s">
        <v>4324</v>
      </c>
      <c r="E3054" s="17" t="s">
        <v>6508</v>
      </c>
      <c r="F3054" s="17">
        <v>35</v>
      </c>
      <c r="G3054" s="17">
        <v>3</v>
      </c>
      <c r="H3054" s="17" t="s">
        <v>7764</v>
      </c>
      <c r="I3054" s="17"/>
      <c r="J3054" s="17"/>
      <c r="K3054" s="17"/>
      <c r="L3054" s="17"/>
      <c r="M3054" s="17"/>
      <c r="N3054" s="17"/>
      <c r="O3054" s="17"/>
      <c r="P3054" s="17"/>
      <c r="Q3054" s="17"/>
    </row>
    <row r="3055" spans="1:17">
      <c r="A3055" s="556" t="s">
        <v>3649</v>
      </c>
      <c r="B3055" s="557"/>
      <c r="C3055" s="568" t="s">
        <v>2466</v>
      </c>
      <c r="D3055" s="556" t="s">
        <v>1693</v>
      </c>
      <c r="E3055" s="17" t="s">
        <v>6509</v>
      </c>
      <c r="F3055" s="17">
        <v>36</v>
      </c>
      <c r="G3055" s="17">
        <v>1</v>
      </c>
      <c r="H3055" s="17" t="s">
        <v>7906</v>
      </c>
      <c r="I3055" s="17">
        <v>0</v>
      </c>
      <c r="J3055" s="17"/>
      <c r="K3055" s="17"/>
      <c r="L3055" s="17"/>
      <c r="M3055" s="17"/>
      <c r="N3055" s="17"/>
      <c r="O3055" s="17"/>
      <c r="P3055" s="17"/>
      <c r="Q3055" s="17"/>
    </row>
    <row r="3056" spans="1:17">
      <c r="A3056" s="556" t="s">
        <v>3649</v>
      </c>
      <c r="B3056" s="557"/>
      <c r="C3056" s="568" t="s">
        <v>2466</v>
      </c>
      <c r="D3056" s="556" t="s">
        <v>1694</v>
      </c>
      <c r="E3056" s="17" t="s">
        <v>6510</v>
      </c>
      <c r="F3056" s="17">
        <v>36</v>
      </c>
      <c r="G3056" s="17">
        <v>2</v>
      </c>
      <c r="H3056" s="17" t="s">
        <v>7765</v>
      </c>
      <c r="I3056" s="17">
        <v>0</v>
      </c>
      <c r="J3056" s="17"/>
      <c r="K3056" s="17"/>
      <c r="L3056" s="17"/>
      <c r="M3056" s="17"/>
      <c r="N3056" s="17"/>
      <c r="O3056" s="17"/>
      <c r="P3056" s="17"/>
      <c r="Q3056" s="17"/>
    </row>
    <row r="3057" spans="1:17">
      <c r="A3057" s="556" t="s">
        <v>3649</v>
      </c>
      <c r="B3057" s="557"/>
      <c r="C3057" s="568" t="s">
        <v>2466</v>
      </c>
      <c r="D3057" s="556" t="s">
        <v>4324</v>
      </c>
      <c r="E3057" s="17" t="s">
        <v>6511</v>
      </c>
      <c r="F3057" s="17">
        <v>36</v>
      </c>
      <c r="G3057" s="17">
        <v>3</v>
      </c>
      <c r="H3057" s="17" t="s">
        <v>7766</v>
      </c>
      <c r="I3057" s="17"/>
      <c r="J3057" s="17"/>
      <c r="K3057" s="17"/>
      <c r="L3057" s="17"/>
      <c r="M3057" s="17"/>
      <c r="N3057" s="17"/>
      <c r="O3057" s="17"/>
      <c r="P3057" s="17"/>
      <c r="Q3057" s="17"/>
    </row>
    <row r="3058" spans="1:17">
      <c r="A3058" s="556" t="s">
        <v>3649</v>
      </c>
      <c r="B3058" s="557"/>
      <c r="C3058" s="568" t="s">
        <v>2467</v>
      </c>
      <c r="D3058" s="556" t="s">
        <v>1693</v>
      </c>
      <c r="E3058" s="17" t="s">
        <v>6512</v>
      </c>
      <c r="F3058" s="17">
        <v>37</v>
      </c>
      <c r="G3058" s="17">
        <v>1</v>
      </c>
      <c r="H3058" s="17" t="s">
        <v>7907</v>
      </c>
      <c r="I3058" s="17"/>
      <c r="J3058" s="17"/>
      <c r="K3058" s="17"/>
      <c r="L3058" s="17"/>
      <c r="M3058" s="17"/>
      <c r="N3058" s="17"/>
      <c r="O3058" s="17"/>
      <c r="P3058" s="17"/>
      <c r="Q3058" s="17"/>
    </row>
    <row r="3059" spans="1:17">
      <c r="A3059" s="556" t="s">
        <v>3649</v>
      </c>
      <c r="B3059" s="557"/>
      <c r="C3059" s="568" t="s">
        <v>2467</v>
      </c>
      <c r="D3059" s="556" t="s">
        <v>1694</v>
      </c>
      <c r="E3059" s="17" t="s">
        <v>6513</v>
      </c>
      <c r="F3059" s="17">
        <v>37</v>
      </c>
      <c r="G3059" s="17">
        <v>2</v>
      </c>
      <c r="H3059" s="17" t="s">
        <v>7767</v>
      </c>
      <c r="I3059" s="17"/>
      <c r="J3059" s="17"/>
      <c r="K3059" s="17"/>
      <c r="L3059" s="17"/>
      <c r="M3059" s="17"/>
      <c r="N3059" s="17"/>
      <c r="O3059" s="17"/>
      <c r="P3059" s="17"/>
      <c r="Q3059" s="17"/>
    </row>
    <row r="3060" spans="1:17">
      <c r="A3060" s="556" t="s">
        <v>3649</v>
      </c>
      <c r="B3060" s="557"/>
      <c r="C3060" s="568" t="s">
        <v>2467</v>
      </c>
      <c r="D3060" s="556" t="s">
        <v>4324</v>
      </c>
      <c r="E3060" s="17" t="s">
        <v>6514</v>
      </c>
      <c r="F3060" s="17">
        <v>37</v>
      </c>
      <c r="G3060" s="17">
        <v>3</v>
      </c>
      <c r="H3060" s="17" t="s">
        <v>7768</v>
      </c>
      <c r="I3060" s="17"/>
      <c r="J3060" s="17"/>
      <c r="K3060" s="17"/>
      <c r="L3060" s="17"/>
      <c r="M3060" s="17"/>
      <c r="N3060" s="17"/>
      <c r="O3060" s="17"/>
      <c r="P3060" s="17"/>
      <c r="Q3060" s="17"/>
    </row>
    <row r="3061" spans="1:17">
      <c r="A3061" s="556" t="s">
        <v>3649</v>
      </c>
      <c r="B3061" s="557"/>
      <c r="C3061" s="558" t="s">
        <v>2468</v>
      </c>
      <c r="D3061" s="556" t="s">
        <v>1693</v>
      </c>
      <c r="E3061" s="17" t="s">
        <v>6515</v>
      </c>
      <c r="F3061" s="17">
        <v>38</v>
      </c>
      <c r="G3061" s="17">
        <v>1</v>
      </c>
      <c r="H3061" s="17" t="s">
        <v>7908</v>
      </c>
      <c r="I3061" s="17">
        <v>0</v>
      </c>
      <c r="J3061" s="17"/>
      <c r="K3061" s="17"/>
      <c r="L3061" s="17"/>
      <c r="M3061" s="17"/>
      <c r="N3061" s="17"/>
      <c r="O3061" s="17"/>
      <c r="P3061" s="17"/>
      <c r="Q3061" s="17"/>
    </row>
    <row r="3062" spans="1:17">
      <c r="A3062" s="556" t="s">
        <v>3649</v>
      </c>
      <c r="B3062" s="557"/>
      <c r="C3062" s="558" t="s">
        <v>2468</v>
      </c>
      <c r="D3062" s="556" t="s">
        <v>1694</v>
      </c>
      <c r="E3062" s="17" t="s">
        <v>6516</v>
      </c>
      <c r="F3062" s="17">
        <v>38</v>
      </c>
      <c r="G3062" s="17">
        <v>2</v>
      </c>
      <c r="H3062" s="17" t="s">
        <v>7927</v>
      </c>
      <c r="I3062" s="17">
        <v>0</v>
      </c>
      <c r="J3062" s="17"/>
      <c r="K3062" s="17"/>
      <c r="L3062" s="17"/>
      <c r="M3062" s="17"/>
      <c r="N3062" s="17"/>
      <c r="O3062" s="17"/>
      <c r="P3062" s="17"/>
      <c r="Q3062" s="17"/>
    </row>
    <row r="3063" spans="1:17">
      <c r="A3063" s="556" t="s">
        <v>3649</v>
      </c>
      <c r="B3063" s="557"/>
      <c r="C3063" s="558" t="s">
        <v>2468</v>
      </c>
      <c r="D3063" s="556" t="s">
        <v>4324</v>
      </c>
      <c r="E3063" s="17" t="s">
        <v>6517</v>
      </c>
      <c r="F3063" s="17">
        <v>38</v>
      </c>
      <c r="G3063" s="17">
        <v>3</v>
      </c>
      <c r="H3063" s="17" t="s">
        <v>7928</v>
      </c>
      <c r="I3063" s="17"/>
      <c r="J3063" s="17"/>
      <c r="K3063" s="17"/>
      <c r="L3063" s="17"/>
      <c r="M3063" s="17"/>
      <c r="N3063" s="17"/>
      <c r="O3063" s="17"/>
      <c r="P3063" s="17"/>
      <c r="Q3063" s="17"/>
    </row>
    <row r="3064" spans="1:17">
      <c r="A3064" s="556" t="s">
        <v>3649</v>
      </c>
      <c r="B3064" s="557"/>
      <c r="C3064" s="558" t="s">
        <v>2469</v>
      </c>
      <c r="D3064" s="556" t="s">
        <v>1693</v>
      </c>
      <c r="E3064" s="17" t="s">
        <v>6518</v>
      </c>
      <c r="F3064" s="17">
        <v>39</v>
      </c>
      <c r="G3064" s="17">
        <v>1</v>
      </c>
      <c r="H3064" s="17" t="s">
        <v>7909</v>
      </c>
      <c r="I3064" s="17"/>
      <c r="J3064" s="17"/>
      <c r="K3064" s="17"/>
      <c r="L3064" s="17"/>
      <c r="M3064" s="17"/>
      <c r="N3064" s="17"/>
      <c r="O3064" s="17"/>
      <c r="P3064" s="17"/>
      <c r="Q3064" s="17"/>
    </row>
    <row r="3065" spans="1:17">
      <c r="A3065" s="556" t="s">
        <v>3649</v>
      </c>
      <c r="B3065" s="557"/>
      <c r="C3065" s="558" t="s">
        <v>2469</v>
      </c>
      <c r="D3065" s="556" t="s">
        <v>1694</v>
      </c>
      <c r="E3065" s="17" t="s">
        <v>6519</v>
      </c>
      <c r="F3065" s="17">
        <v>39</v>
      </c>
      <c r="G3065" s="17">
        <v>2</v>
      </c>
      <c r="H3065" s="17" t="s">
        <v>7929</v>
      </c>
      <c r="I3065" s="17"/>
      <c r="J3065" s="17"/>
      <c r="K3065" s="17"/>
      <c r="L3065" s="17"/>
      <c r="M3065" s="17"/>
      <c r="N3065" s="17"/>
      <c r="O3065" s="17"/>
      <c r="P3065" s="17"/>
      <c r="Q3065" s="17"/>
    </row>
    <row r="3066" spans="1:17">
      <c r="A3066" s="556" t="s">
        <v>3649</v>
      </c>
      <c r="B3066" s="557"/>
      <c r="C3066" s="558" t="s">
        <v>2469</v>
      </c>
      <c r="D3066" s="556" t="s">
        <v>4324</v>
      </c>
      <c r="E3066" s="17" t="s">
        <v>6520</v>
      </c>
      <c r="F3066" s="17">
        <v>39</v>
      </c>
      <c r="G3066" s="17">
        <v>3</v>
      </c>
      <c r="H3066" s="17" t="s">
        <v>7930</v>
      </c>
      <c r="I3066" s="17"/>
      <c r="J3066" s="17"/>
      <c r="K3066" s="17"/>
      <c r="L3066" s="17"/>
      <c r="M3066" s="17"/>
      <c r="N3066" s="17"/>
      <c r="O3066" s="17"/>
      <c r="P3066" s="17"/>
      <c r="Q3066" s="17"/>
    </row>
    <row r="3067" spans="1:17">
      <c r="A3067" s="556" t="s">
        <v>3649</v>
      </c>
      <c r="B3067" s="557"/>
      <c r="C3067" s="558" t="s">
        <v>2470</v>
      </c>
      <c r="D3067" s="556" t="s">
        <v>1693</v>
      </c>
      <c r="E3067" s="17" t="s">
        <v>6521</v>
      </c>
      <c r="F3067" s="17">
        <v>40</v>
      </c>
      <c r="G3067" s="17">
        <v>1</v>
      </c>
      <c r="H3067" s="17" t="s">
        <v>7910</v>
      </c>
      <c r="I3067" s="17"/>
      <c r="J3067" s="17"/>
      <c r="K3067" s="17"/>
      <c r="L3067" s="17"/>
      <c r="M3067" s="17"/>
      <c r="N3067" s="17"/>
      <c r="O3067" s="17"/>
      <c r="P3067" s="17"/>
      <c r="Q3067" s="17"/>
    </row>
    <row r="3068" spans="1:17">
      <c r="A3068" s="556" t="s">
        <v>3649</v>
      </c>
      <c r="B3068" s="557"/>
      <c r="C3068" s="558" t="s">
        <v>2470</v>
      </c>
      <c r="D3068" s="556" t="s">
        <v>1694</v>
      </c>
      <c r="E3068" s="17" t="s">
        <v>6522</v>
      </c>
      <c r="F3068" s="17">
        <v>40</v>
      </c>
      <c r="G3068" s="17">
        <v>2</v>
      </c>
      <c r="H3068" s="17" t="s">
        <v>7931</v>
      </c>
      <c r="I3068" s="17"/>
      <c r="J3068" s="17"/>
      <c r="K3068" s="17"/>
      <c r="L3068" s="17"/>
      <c r="M3068" s="17"/>
      <c r="N3068" s="17"/>
      <c r="O3068" s="17"/>
      <c r="P3068" s="17"/>
      <c r="Q3068" s="17"/>
    </row>
    <row r="3069" spans="1:17">
      <c r="A3069" s="556" t="s">
        <v>3649</v>
      </c>
      <c r="B3069" s="557"/>
      <c r="C3069" s="558" t="s">
        <v>2470</v>
      </c>
      <c r="D3069" s="556" t="s">
        <v>4324</v>
      </c>
      <c r="E3069" s="17" t="s">
        <v>6523</v>
      </c>
      <c r="F3069" s="17">
        <v>40</v>
      </c>
      <c r="G3069" s="17">
        <v>3</v>
      </c>
      <c r="H3069" s="17" t="s">
        <v>7932</v>
      </c>
      <c r="I3069" s="17"/>
      <c r="J3069" s="17"/>
      <c r="K3069" s="17"/>
      <c r="L3069" s="17"/>
      <c r="M3069" s="17"/>
      <c r="N3069" s="17"/>
      <c r="O3069" s="17"/>
      <c r="P3069" s="17"/>
      <c r="Q3069" s="17"/>
    </row>
    <row r="3070" spans="1:17">
      <c r="A3070" s="556" t="s">
        <v>3649</v>
      </c>
      <c r="B3070" s="557"/>
      <c r="C3070" s="558" t="s">
        <v>2471</v>
      </c>
      <c r="D3070" s="556" t="s">
        <v>1693</v>
      </c>
      <c r="E3070" s="17" t="s">
        <v>6524</v>
      </c>
      <c r="F3070" s="17">
        <v>41</v>
      </c>
      <c r="G3070" s="17">
        <v>1</v>
      </c>
      <c r="H3070" s="17" t="s">
        <v>7911</v>
      </c>
      <c r="I3070" s="17">
        <v>0</v>
      </c>
      <c r="J3070" s="17"/>
      <c r="K3070" s="17"/>
      <c r="L3070" s="17"/>
      <c r="M3070" s="17"/>
      <c r="N3070" s="17"/>
      <c r="O3070" s="17"/>
      <c r="P3070" s="17"/>
      <c r="Q3070" s="17"/>
    </row>
    <row r="3071" spans="1:17">
      <c r="A3071" s="556" t="s">
        <v>3649</v>
      </c>
      <c r="B3071" s="557"/>
      <c r="C3071" s="558" t="s">
        <v>2471</v>
      </c>
      <c r="D3071" s="556" t="s">
        <v>1694</v>
      </c>
      <c r="E3071" s="17" t="s">
        <v>6525</v>
      </c>
      <c r="F3071" s="17">
        <v>41</v>
      </c>
      <c r="G3071" s="17">
        <v>2</v>
      </c>
      <c r="H3071" s="17" t="s">
        <v>7933</v>
      </c>
      <c r="I3071" s="17">
        <v>0</v>
      </c>
      <c r="J3071" s="17"/>
      <c r="K3071" s="17"/>
      <c r="L3071" s="17"/>
      <c r="M3071" s="17"/>
      <c r="N3071" s="17"/>
      <c r="O3071" s="17"/>
      <c r="P3071" s="17"/>
      <c r="Q3071" s="17"/>
    </row>
    <row r="3072" spans="1:17">
      <c r="A3072" s="556" t="s">
        <v>3649</v>
      </c>
      <c r="B3072" s="557"/>
      <c r="C3072" s="558" t="s">
        <v>2471</v>
      </c>
      <c r="D3072" s="556" t="s">
        <v>4324</v>
      </c>
      <c r="E3072" s="17" t="s">
        <v>6526</v>
      </c>
      <c r="F3072" s="17">
        <v>41</v>
      </c>
      <c r="G3072" s="17">
        <v>3</v>
      </c>
      <c r="H3072" s="17" t="s">
        <v>7934</v>
      </c>
      <c r="I3072" s="17"/>
      <c r="J3072" s="17"/>
      <c r="K3072" s="17"/>
      <c r="L3072" s="17"/>
      <c r="M3072" s="17"/>
      <c r="N3072" s="17"/>
      <c r="O3072" s="17"/>
      <c r="P3072" s="17"/>
      <c r="Q3072" s="17"/>
    </row>
    <row r="3073" spans="1:17">
      <c r="A3073" s="556" t="s">
        <v>3649</v>
      </c>
      <c r="B3073" s="557"/>
      <c r="C3073" s="568" t="s">
        <v>2472</v>
      </c>
      <c r="D3073" s="556" t="s">
        <v>1693</v>
      </c>
      <c r="E3073" s="17" t="s">
        <v>6527</v>
      </c>
      <c r="F3073" s="17">
        <v>42</v>
      </c>
      <c r="G3073" s="17">
        <v>1</v>
      </c>
      <c r="H3073" s="17" t="s">
        <v>7912</v>
      </c>
      <c r="I3073" s="17"/>
      <c r="J3073" s="17"/>
      <c r="K3073" s="17"/>
      <c r="L3073" s="17"/>
      <c r="M3073" s="17"/>
      <c r="N3073" s="17"/>
      <c r="O3073" s="17"/>
      <c r="P3073" s="17"/>
      <c r="Q3073" s="17"/>
    </row>
    <row r="3074" spans="1:17">
      <c r="A3074" s="556" t="s">
        <v>3649</v>
      </c>
      <c r="B3074" s="557"/>
      <c r="C3074" s="568" t="s">
        <v>2472</v>
      </c>
      <c r="D3074" s="556" t="s">
        <v>1694</v>
      </c>
      <c r="E3074" s="17" t="s">
        <v>6528</v>
      </c>
      <c r="F3074" s="17">
        <v>42</v>
      </c>
      <c r="G3074" s="17">
        <v>2</v>
      </c>
      <c r="H3074" s="17" t="s">
        <v>7935</v>
      </c>
      <c r="I3074" s="17"/>
      <c r="J3074" s="17"/>
      <c r="K3074" s="17"/>
      <c r="L3074" s="17"/>
      <c r="M3074" s="17"/>
      <c r="N3074" s="17"/>
      <c r="O3074" s="17"/>
      <c r="P3074" s="17"/>
      <c r="Q3074" s="17"/>
    </row>
    <row r="3075" spans="1:17">
      <c r="A3075" s="556" t="s">
        <v>3649</v>
      </c>
      <c r="B3075" s="557"/>
      <c r="C3075" s="568" t="s">
        <v>2472</v>
      </c>
      <c r="D3075" s="556" t="s">
        <v>4324</v>
      </c>
      <c r="E3075" s="17" t="s">
        <v>6529</v>
      </c>
      <c r="F3075" s="17">
        <v>42</v>
      </c>
      <c r="G3075" s="17">
        <v>3</v>
      </c>
      <c r="H3075" s="17" t="s">
        <v>352</v>
      </c>
      <c r="I3075" s="17"/>
      <c r="J3075" s="17"/>
      <c r="K3075" s="17"/>
      <c r="L3075" s="17"/>
      <c r="M3075" s="17"/>
      <c r="N3075" s="17"/>
      <c r="O3075" s="17"/>
      <c r="P3075" s="17"/>
      <c r="Q3075" s="17"/>
    </row>
    <row r="3076" spans="1:17">
      <c r="A3076" s="556" t="s">
        <v>3649</v>
      </c>
      <c r="B3076" s="557"/>
      <c r="C3076" s="558" t="s">
        <v>2473</v>
      </c>
      <c r="D3076" s="556" t="s">
        <v>1693</v>
      </c>
      <c r="E3076" s="17" t="s">
        <v>6530</v>
      </c>
      <c r="F3076" s="17">
        <v>43</v>
      </c>
      <c r="G3076" s="17">
        <v>1</v>
      </c>
      <c r="H3076" s="17" t="s">
        <v>7913</v>
      </c>
      <c r="I3076" s="17"/>
      <c r="J3076" s="17"/>
      <c r="K3076" s="17"/>
      <c r="L3076" s="17"/>
      <c r="M3076" s="17"/>
      <c r="N3076" s="17"/>
      <c r="O3076" s="17"/>
      <c r="P3076" s="17"/>
      <c r="Q3076" s="17"/>
    </row>
    <row r="3077" spans="1:17">
      <c r="A3077" s="556" t="s">
        <v>3649</v>
      </c>
      <c r="B3077" s="557"/>
      <c r="C3077" s="558" t="s">
        <v>2473</v>
      </c>
      <c r="D3077" s="556" t="s">
        <v>1694</v>
      </c>
      <c r="E3077" s="17" t="s">
        <v>6531</v>
      </c>
      <c r="F3077" s="17">
        <v>43</v>
      </c>
      <c r="G3077" s="17">
        <v>2</v>
      </c>
      <c r="H3077" s="17" t="s">
        <v>7936</v>
      </c>
      <c r="I3077" s="17"/>
      <c r="J3077" s="17"/>
      <c r="K3077" s="17"/>
      <c r="L3077" s="17"/>
      <c r="M3077" s="17"/>
      <c r="N3077" s="17"/>
      <c r="O3077" s="17"/>
      <c r="P3077" s="17"/>
      <c r="Q3077" s="17"/>
    </row>
    <row r="3078" spans="1:17">
      <c r="A3078" s="556" t="s">
        <v>3649</v>
      </c>
      <c r="B3078" s="557"/>
      <c r="C3078" s="558" t="s">
        <v>2473</v>
      </c>
      <c r="D3078" s="556" t="s">
        <v>4324</v>
      </c>
      <c r="E3078" s="17" t="s">
        <v>6532</v>
      </c>
      <c r="F3078" s="17">
        <v>43</v>
      </c>
      <c r="G3078" s="17">
        <v>3</v>
      </c>
      <c r="H3078" s="17" t="s">
        <v>372</v>
      </c>
      <c r="I3078" s="17"/>
      <c r="J3078" s="17"/>
      <c r="K3078" s="17"/>
      <c r="L3078" s="17"/>
      <c r="M3078" s="17"/>
      <c r="N3078" s="17"/>
      <c r="O3078" s="17"/>
      <c r="P3078" s="17"/>
      <c r="Q3078" s="17"/>
    </row>
    <row r="3079" spans="1:17">
      <c r="A3079" s="556" t="s">
        <v>3649</v>
      </c>
      <c r="B3079" s="557"/>
      <c r="C3079" s="558" t="s">
        <v>2474</v>
      </c>
      <c r="D3079" s="556" t="s">
        <v>1693</v>
      </c>
      <c r="E3079" s="17" t="s">
        <v>6533</v>
      </c>
      <c r="F3079" s="17">
        <v>44</v>
      </c>
      <c r="G3079" s="17">
        <v>1</v>
      </c>
      <c r="H3079" s="17" t="s">
        <v>7914</v>
      </c>
      <c r="I3079" s="17">
        <v>0</v>
      </c>
      <c r="J3079" s="17"/>
      <c r="K3079" s="17"/>
      <c r="L3079" s="17"/>
      <c r="M3079" s="17"/>
      <c r="N3079" s="17"/>
      <c r="O3079" s="17"/>
      <c r="P3079" s="17"/>
      <c r="Q3079" s="17"/>
    </row>
    <row r="3080" spans="1:17">
      <c r="A3080" s="556" t="s">
        <v>3649</v>
      </c>
      <c r="B3080" s="557"/>
      <c r="C3080" s="558" t="s">
        <v>2474</v>
      </c>
      <c r="D3080" s="556" t="s">
        <v>1694</v>
      </c>
      <c r="E3080" s="17" t="s">
        <v>6534</v>
      </c>
      <c r="F3080" s="17">
        <v>44</v>
      </c>
      <c r="G3080" s="17">
        <v>2</v>
      </c>
      <c r="H3080" s="17" t="s">
        <v>7937</v>
      </c>
      <c r="I3080" s="17">
        <v>0</v>
      </c>
      <c r="J3080" s="17"/>
      <c r="K3080" s="17"/>
      <c r="L3080" s="17"/>
      <c r="M3080" s="17"/>
      <c r="N3080" s="17"/>
      <c r="O3080" s="17"/>
      <c r="P3080" s="17"/>
      <c r="Q3080" s="17"/>
    </row>
    <row r="3081" spans="1:17">
      <c r="A3081" s="556" t="s">
        <v>3649</v>
      </c>
      <c r="B3081" s="557"/>
      <c r="C3081" s="558" t="s">
        <v>2474</v>
      </c>
      <c r="D3081" s="556" t="s">
        <v>4324</v>
      </c>
      <c r="E3081" s="17" t="s">
        <v>6535</v>
      </c>
      <c r="F3081" s="17">
        <v>44</v>
      </c>
      <c r="G3081" s="17">
        <v>3</v>
      </c>
      <c r="H3081" s="17" t="s">
        <v>7938</v>
      </c>
      <c r="I3081" s="17"/>
      <c r="J3081" s="17"/>
      <c r="K3081" s="17"/>
      <c r="L3081" s="17"/>
      <c r="M3081" s="17"/>
      <c r="N3081" s="17"/>
      <c r="O3081" s="17"/>
      <c r="P3081" s="17"/>
      <c r="Q3081" s="17"/>
    </row>
    <row r="3082" spans="1:17">
      <c r="A3082" s="556" t="s">
        <v>3649</v>
      </c>
      <c r="B3082" s="557"/>
      <c r="C3082" s="558" t="s">
        <v>2475</v>
      </c>
      <c r="D3082" s="556" t="s">
        <v>1693</v>
      </c>
      <c r="E3082" s="17" t="s">
        <v>6536</v>
      </c>
      <c r="F3082" s="17">
        <v>45</v>
      </c>
      <c r="G3082" s="17">
        <v>1</v>
      </c>
      <c r="H3082" s="17" t="s">
        <v>7915</v>
      </c>
      <c r="I3082" s="17">
        <v>0</v>
      </c>
      <c r="J3082" s="17"/>
      <c r="K3082" s="17"/>
      <c r="L3082" s="17"/>
      <c r="M3082" s="17"/>
      <c r="N3082" s="17"/>
      <c r="O3082" s="17"/>
      <c r="P3082" s="17"/>
      <c r="Q3082" s="17"/>
    </row>
    <row r="3083" spans="1:17">
      <c r="A3083" s="556" t="s">
        <v>3649</v>
      </c>
      <c r="B3083" s="557"/>
      <c r="C3083" s="558" t="s">
        <v>2475</v>
      </c>
      <c r="D3083" s="556" t="s">
        <v>1694</v>
      </c>
      <c r="E3083" s="17" t="s">
        <v>6537</v>
      </c>
      <c r="F3083" s="17">
        <v>45</v>
      </c>
      <c r="G3083" s="17">
        <v>2</v>
      </c>
      <c r="H3083" s="17" t="s">
        <v>7939</v>
      </c>
      <c r="I3083" s="17">
        <v>0</v>
      </c>
      <c r="J3083" s="17"/>
      <c r="K3083" s="17"/>
      <c r="L3083" s="17"/>
      <c r="M3083" s="17"/>
      <c r="N3083" s="17"/>
      <c r="O3083" s="17"/>
      <c r="P3083" s="17"/>
      <c r="Q3083" s="17"/>
    </row>
    <row r="3084" spans="1:17">
      <c r="A3084" s="556" t="s">
        <v>3649</v>
      </c>
      <c r="B3084" s="557"/>
      <c r="C3084" s="558" t="s">
        <v>2475</v>
      </c>
      <c r="D3084" s="556" t="s">
        <v>4324</v>
      </c>
      <c r="E3084" s="17" t="s">
        <v>6538</v>
      </c>
      <c r="F3084" s="17">
        <v>45</v>
      </c>
      <c r="G3084" s="17">
        <v>3</v>
      </c>
      <c r="H3084" s="17" t="s">
        <v>7940</v>
      </c>
      <c r="I3084" s="17"/>
      <c r="J3084" s="17"/>
      <c r="K3084" s="17"/>
      <c r="L3084" s="17"/>
      <c r="M3084" s="17"/>
      <c r="N3084" s="17"/>
      <c r="O3084" s="17"/>
      <c r="P3084" s="17"/>
      <c r="Q3084" s="17"/>
    </row>
    <row r="3085" spans="1:17">
      <c r="A3085" s="556" t="s">
        <v>3649</v>
      </c>
      <c r="B3085" s="557"/>
      <c r="C3085" s="558" t="s">
        <v>2476</v>
      </c>
      <c r="D3085" s="556" t="s">
        <v>1693</v>
      </c>
      <c r="E3085" s="17" t="s">
        <v>6539</v>
      </c>
      <c r="F3085" s="17">
        <v>46</v>
      </c>
      <c r="G3085" s="17">
        <v>1</v>
      </c>
      <c r="H3085" s="17" t="s">
        <v>7917</v>
      </c>
      <c r="I3085" s="17">
        <v>0</v>
      </c>
      <c r="J3085" s="17"/>
      <c r="K3085" s="17"/>
      <c r="L3085" s="17"/>
      <c r="M3085" s="17"/>
      <c r="N3085" s="17"/>
      <c r="O3085" s="17"/>
      <c r="P3085" s="17"/>
      <c r="Q3085" s="17"/>
    </row>
    <row r="3086" spans="1:17">
      <c r="A3086" s="556" t="s">
        <v>3649</v>
      </c>
      <c r="B3086" s="557"/>
      <c r="C3086" s="558" t="s">
        <v>2476</v>
      </c>
      <c r="D3086" s="556" t="s">
        <v>1694</v>
      </c>
      <c r="E3086" s="17" t="s">
        <v>6540</v>
      </c>
      <c r="F3086" s="17">
        <v>46</v>
      </c>
      <c r="G3086" s="17">
        <v>2</v>
      </c>
      <c r="H3086" s="17" t="s">
        <v>7942</v>
      </c>
      <c r="I3086" s="17">
        <v>0</v>
      </c>
      <c r="J3086" s="17"/>
      <c r="K3086" s="17"/>
      <c r="L3086" s="17"/>
      <c r="M3086" s="17"/>
      <c r="N3086" s="17"/>
      <c r="O3086" s="17"/>
      <c r="P3086" s="17"/>
      <c r="Q3086" s="17"/>
    </row>
    <row r="3087" spans="1:17">
      <c r="A3087" s="556" t="s">
        <v>3649</v>
      </c>
      <c r="B3087" s="557"/>
      <c r="C3087" s="558" t="s">
        <v>2476</v>
      </c>
      <c r="D3087" s="556" t="s">
        <v>4324</v>
      </c>
      <c r="E3087" s="17" t="s">
        <v>6541</v>
      </c>
      <c r="F3087" s="17">
        <v>46</v>
      </c>
      <c r="G3087" s="17">
        <v>3</v>
      </c>
      <c r="H3087" s="17" t="s">
        <v>7943</v>
      </c>
      <c r="I3087" s="17"/>
      <c r="J3087" s="17"/>
      <c r="K3087" s="17"/>
      <c r="L3087" s="17"/>
      <c r="M3087" s="17"/>
      <c r="N3087" s="17"/>
      <c r="O3087" s="17"/>
      <c r="P3087" s="17"/>
      <c r="Q3087" s="17"/>
    </row>
    <row r="3088" spans="1:17">
      <c r="A3088" s="556" t="s">
        <v>3649</v>
      </c>
      <c r="B3088" s="557"/>
      <c r="C3088" s="558" t="s">
        <v>2477</v>
      </c>
      <c r="D3088" s="556" t="s">
        <v>1693</v>
      </c>
      <c r="E3088" s="17" t="s">
        <v>6542</v>
      </c>
      <c r="F3088" s="17">
        <v>47</v>
      </c>
      <c r="G3088" s="17">
        <v>1</v>
      </c>
      <c r="H3088" s="17" t="s">
        <v>7919</v>
      </c>
      <c r="I3088" s="17"/>
      <c r="J3088" s="17"/>
      <c r="K3088" s="17"/>
      <c r="L3088" s="17"/>
      <c r="M3088" s="17"/>
      <c r="N3088" s="17"/>
      <c r="O3088" s="17"/>
      <c r="P3088" s="17"/>
      <c r="Q3088" s="17"/>
    </row>
    <row r="3089" spans="1:17">
      <c r="A3089" s="556" t="s">
        <v>3649</v>
      </c>
      <c r="B3089" s="557"/>
      <c r="C3089" s="558" t="s">
        <v>2477</v>
      </c>
      <c r="D3089" s="556" t="s">
        <v>1694</v>
      </c>
      <c r="E3089" s="17" t="s">
        <v>6543</v>
      </c>
      <c r="F3089" s="17">
        <v>47</v>
      </c>
      <c r="G3089" s="17">
        <v>2</v>
      </c>
      <c r="H3089" s="17" t="s">
        <v>7945</v>
      </c>
      <c r="I3089" s="17"/>
      <c r="J3089" s="17"/>
      <c r="K3089" s="17"/>
      <c r="L3089" s="17"/>
      <c r="M3089" s="17"/>
      <c r="N3089" s="17"/>
      <c r="O3089" s="17"/>
      <c r="P3089" s="17"/>
      <c r="Q3089" s="17"/>
    </row>
    <row r="3090" spans="1:17">
      <c r="A3090" s="556" t="s">
        <v>3649</v>
      </c>
      <c r="B3090" s="557"/>
      <c r="C3090" s="558" t="s">
        <v>2477</v>
      </c>
      <c r="D3090" s="556" t="s">
        <v>4324</v>
      </c>
      <c r="E3090" s="17" t="s">
        <v>6544</v>
      </c>
      <c r="F3090" s="17">
        <v>47</v>
      </c>
      <c r="G3090" s="17">
        <v>3</v>
      </c>
      <c r="H3090" s="17" t="s">
        <v>7946</v>
      </c>
      <c r="I3090" s="17"/>
      <c r="J3090" s="17"/>
      <c r="K3090" s="17"/>
      <c r="L3090" s="17"/>
      <c r="M3090" s="17"/>
      <c r="N3090" s="17"/>
      <c r="O3090" s="17"/>
      <c r="P3090" s="17"/>
      <c r="Q3090" s="17"/>
    </row>
    <row r="3091" spans="1:17">
      <c r="A3091" s="556" t="s">
        <v>3649</v>
      </c>
      <c r="B3091" s="557"/>
      <c r="C3091" s="568" t="s">
        <v>2479</v>
      </c>
      <c r="D3091" s="556" t="s">
        <v>1693</v>
      </c>
      <c r="E3091" s="17" t="s">
        <v>6545</v>
      </c>
      <c r="F3091" s="17">
        <v>49</v>
      </c>
      <c r="G3091" s="17">
        <v>1</v>
      </c>
      <c r="H3091" s="17" t="s">
        <v>7922</v>
      </c>
      <c r="I3091" s="17"/>
      <c r="J3091" s="17"/>
      <c r="K3091" s="17"/>
      <c r="L3091" s="17"/>
      <c r="M3091" s="17"/>
      <c r="N3091" s="17"/>
      <c r="O3091" s="17"/>
      <c r="P3091" s="17"/>
      <c r="Q3091" s="17"/>
    </row>
    <row r="3092" spans="1:17">
      <c r="A3092" s="556" t="s">
        <v>3649</v>
      </c>
      <c r="B3092" s="557"/>
      <c r="C3092" s="568" t="s">
        <v>2479</v>
      </c>
      <c r="D3092" s="556" t="s">
        <v>1694</v>
      </c>
      <c r="E3092" s="17" t="s">
        <v>6546</v>
      </c>
      <c r="F3092" s="17">
        <v>49</v>
      </c>
      <c r="G3092" s="17">
        <v>2</v>
      </c>
      <c r="H3092" s="17" t="s">
        <v>7951</v>
      </c>
      <c r="I3092" s="17"/>
      <c r="J3092" s="17"/>
      <c r="K3092" s="17"/>
      <c r="L3092" s="17"/>
      <c r="M3092" s="17"/>
      <c r="N3092" s="17"/>
      <c r="O3092" s="17"/>
      <c r="P3092" s="17"/>
      <c r="Q3092" s="17"/>
    </row>
    <row r="3093" spans="1:17">
      <c r="A3093" s="556" t="s">
        <v>3649</v>
      </c>
      <c r="B3093" s="557"/>
      <c r="C3093" s="568" t="s">
        <v>2479</v>
      </c>
      <c r="D3093" s="556" t="s">
        <v>4324</v>
      </c>
      <c r="E3093" s="17" t="s">
        <v>6547</v>
      </c>
      <c r="F3093" s="17">
        <v>49</v>
      </c>
      <c r="G3093" s="17">
        <v>3</v>
      </c>
      <c r="H3093" s="17" t="s">
        <v>7952</v>
      </c>
      <c r="I3093" s="17"/>
      <c r="J3093" s="17"/>
      <c r="K3093" s="17"/>
      <c r="L3093" s="17"/>
      <c r="M3093" s="17"/>
      <c r="N3093" s="17"/>
      <c r="O3093" s="17"/>
      <c r="P3093" s="17"/>
      <c r="Q3093" s="17"/>
    </row>
    <row r="3094" spans="1:17">
      <c r="A3094" s="556" t="s">
        <v>3649</v>
      </c>
      <c r="B3094" s="557"/>
      <c r="C3094" s="558" t="s">
        <v>2480</v>
      </c>
      <c r="D3094" s="556" t="s">
        <v>1693</v>
      </c>
      <c r="E3094" s="17" t="s">
        <v>6548</v>
      </c>
      <c r="F3094" s="17">
        <v>50</v>
      </c>
      <c r="G3094" s="17">
        <v>1</v>
      </c>
      <c r="H3094" s="17" t="s">
        <v>7924</v>
      </c>
      <c r="I3094" s="17"/>
      <c r="J3094" s="17"/>
      <c r="K3094" s="17"/>
      <c r="L3094" s="17"/>
      <c r="M3094" s="17"/>
      <c r="N3094" s="17"/>
      <c r="O3094" s="17"/>
      <c r="P3094" s="17"/>
      <c r="Q3094" s="17"/>
    </row>
    <row r="3095" spans="1:17">
      <c r="A3095" s="556" t="s">
        <v>3649</v>
      </c>
      <c r="B3095" s="557"/>
      <c r="C3095" s="558" t="s">
        <v>2480</v>
      </c>
      <c r="D3095" s="556" t="s">
        <v>1694</v>
      </c>
      <c r="E3095" s="17" t="s">
        <v>6549</v>
      </c>
      <c r="F3095" s="17">
        <v>50</v>
      </c>
      <c r="G3095" s="17">
        <v>2</v>
      </c>
      <c r="H3095" s="17" t="s">
        <v>7954</v>
      </c>
      <c r="I3095" s="17"/>
      <c r="J3095" s="17"/>
      <c r="K3095" s="17"/>
      <c r="L3095" s="17"/>
      <c r="M3095" s="17"/>
      <c r="N3095" s="17"/>
      <c r="O3095" s="17"/>
      <c r="P3095" s="17"/>
      <c r="Q3095" s="17"/>
    </row>
    <row r="3096" spans="1:17">
      <c r="A3096" s="556" t="s">
        <v>3649</v>
      </c>
      <c r="B3096" s="557"/>
      <c r="C3096" s="558" t="s">
        <v>2480</v>
      </c>
      <c r="D3096" s="556" t="s">
        <v>4324</v>
      </c>
      <c r="E3096" s="17" t="s">
        <v>6550</v>
      </c>
      <c r="F3096" s="17">
        <v>50</v>
      </c>
      <c r="G3096" s="17">
        <v>3</v>
      </c>
      <c r="H3096" s="17" t="s">
        <v>7955</v>
      </c>
      <c r="I3096" s="17"/>
      <c r="J3096" s="17"/>
      <c r="K3096" s="17"/>
      <c r="L3096" s="17"/>
      <c r="M3096" s="17"/>
      <c r="N3096" s="17"/>
      <c r="O3096" s="17"/>
      <c r="P3096" s="17"/>
      <c r="Q3096" s="17"/>
    </row>
    <row r="3097" spans="1:17">
      <c r="A3097" s="556" t="s">
        <v>3649</v>
      </c>
      <c r="B3097" s="557"/>
      <c r="C3097" s="568" t="s">
        <v>9570</v>
      </c>
      <c r="D3097" s="556" t="s">
        <v>1693</v>
      </c>
      <c r="E3097" s="17" t="s">
        <v>6551</v>
      </c>
      <c r="F3097" s="17">
        <v>51</v>
      </c>
      <c r="G3097" s="17">
        <v>1</v>
      </c>
      <c r="H3097" s="17" t="s">
        <v>8761</v>
      </c>
      <c r="I3097" s="17"/>
      <c r="J3097" s="17"/>
      <c r="K3097" s="17"/>
      <c r="L3097" s="17"/>
      <c r="M3097" s="17"/>
      <c r="N3097" s="17"/>
      <c r="O3097" s="17"/>
      <c r="P3097" s="17"/>
      <c r="Q3097" s="17"/>
    </row>
    <row r="3098" spans="1:17">
      <c r="A3098" s="556" t="s">
        <v>3649</v>
      </c>
      <c r="B3098" s="557"/>
      <c r="C3098" s="568" t="s">
        <v>9570</v>
      </c>
      <c r="D3098" s="556" t="s">
        <v>1694</v>
      </c>
      <c r="E3098" s="17" t="s">
        <v>6552</v>
      </c>
      <c r="F3098" s="17">
        <v>51</v>
      </c>
      <c r="G3098" s="17">
        <v>2</v>
      </c>
      <c r="H3098" s="17" t="s">
        <v>7957</v>
      </c>
      <c r="I3098" s="17"/>
      <c r="J3098" s="17"/>
      <c r="K3098" s="17"/>
      <c r="L3098" s="17"/>
      <c r="M3098" s="17"/>
      <c r="N3098" s="17"/>
      <c r="O3098" s="17"/>
      <c r="P3098" s="17"/>
      <c r="Q3098" s="17"/>
    </row>
    <row r="3099" spans="1:17">
      <c r="A3099" s="556" t="s">
        <v>3649</v>
      </c>
      <c r="B3099" s="557"/>
      <c r="C3099" s="568" t="s">
        <v>9570</v>
      </c>
      <c r="D3099" s="556" t="s">
        <v>4324</v>
      </c>
      <c r="E3099" s="17" t="s">
        <v>6553</v>
      </c>
      <c r="F3099" s="17">
        <v>51</v>
      </c>
      <c r="G3099" s="17">
        <v>3</v>
      </c>
      <c r="H3099" s="17" t="s">
        <v>7958</v>
      </c>
      <c r="I3099" s="17"/>
      <c r="J3099" s="17"/>
      <c r="K3099" s="17"/>
      <c r="L3099" s="17"/>
      <c r="M3099" s="17"/>
      <c r="N3099" s="17"/>
      <c r="O3099" s="17"/>
      <c r="P3099" s="17"/>
      <c r="Q3099" s="17"/>
    </row>
    <row r="3100" spans="1:17">
      <c r="A3100" s="556" t="s">
        <v>3649</v>
      </c>
      <c r="B3100" s="557"/>
      <c r="C3100" s="568" t="s">
        <v>9571</v>
      </c>
      <c r="D3100" s="556" t="s">
        <v>1693</v>
      </c>
      <c r="E3100" s="17" t="s">
        <v>6554</v>
      </c>
      <c r="F3100" s="17">
        <v>52</v>
      </c>
      <c r="G3100" s="17">
        <v>1</v>
      </c>
      <c r="H3100" s="17" t="s">
        <v>8762</v>
      </c>
      <c r="I3100" s="17">
        <v>0</v>
      </c>
      <c r="J3100" s="17"/>
      <c r="K3100" s="17"/>
      <c r="L3100" s="17"/>
      <c r="M3100" s="17"/>
      <c r="N3100" s="17"/>
      <c r="O3100" s="17"/>
      <c r="P3100" s="17"/>
      <c r="Q3100" s="17"/>
    </row>
    <row r="3101" spans="1:17">
      <c r="A3101" s="556" t="s">
        <v>3649</v>
      </c>
      <c r="B3101" s="557"/>
      <c r="C3101" s="568" t="s">
        <v>9571</v>
      </c>
      <c r="D3101" s="556" t="s">
        <v>1694</v>
      </c>
      <c r="E3101" s="17" t="s">
        <v>6555</v>
      </c>
      <c r="F3101" s="17">
        <v>52</v>
      </c>
      <c r="G3101" s="17">
        <v>2</v>
      </c>
      <c r="H3101" s="17" t="s">
        <v>7961</v>
      </c>
      <c r="I3101" s="17">
        <v>0</v>
      </c>
      <c r="J3101" s="17"/>
      <c r="K3101" s="17"/>
      <c r="L3101" s="17"/>
      <c r="M3101" s="17"/>
      <c r="N3101" s="17"/>
      <c r="O3101" s="17"/>
      <c r="P3101" s="17"/>
      <c r="Q3101" s="17"/>
    </row>
    <row r="3102" spans="1:17">
      <c r="A3102" s="556" t="s">
        <v>3649</v>
      </c>
      <c r="B3102" s="557"/>
      <c r="C3102" s="568" t="s">
        <v>9571</v>
      </c>
      <c r="D3102" s="556" t="s">
        <v>4324</v>
      </c>
      <c r="E3102" s="17" t="s">
        <v>6556</v>
      </c>
      <c r="F3102" s="17">
        <v>52</v>
      </c>
      <c r="G3102" s="17">
        <v>3</v>
      </c>
      <c r="H3102" s="17" t="s">
        <v>7962</v>
      </c>
      <c r="I3102" s="17"/>
      <c r="J3102" s="17"/>
      <c r="K3102" s="17"/>
      <c r="L3102" s="17"/>
      <c r="M3102" s="17"/>
      <c r="N3102" s="17"/>
      <c r="O3102" s="17"/>
      <c r="P3102" s="17"/>
      <c r="Q3102" s="17"/>
    </row>
    <row r="3103" spans="1:17">
      <c r="A3103" s="556" t="s">
        <v>3649</v>
      </c>
      <c r="B3103" s="557"/>
      <c r="C3103" s="558" t="s">
        <v>9334</v>
      </c>
      <c r="D3103" s="556" t="s">
        <v>1693</v>
      </c>
      <c r="E3103" s="17" t="s">
        <v>6557</v>
      </c>
      <c r="F3103" s="17">
        <v>54</v>
      </c>
      <c r="G3103" s="17">
        <v>1</v>
      </c>
      <c r="H3103" s="17" t="s">
        <v>8763</v>
      </c>
      <c r="I3103" s="17"/>
      <c r="J3103" s="17"/>
      <c r="K3103" s="17"/>
      <c r="L3103" s="17"/>
      <c r="M3103" s="17"/>
      <c r="N3103" s="17"/>
      <c r="O3103" s="17"/>
      <c r="P3103" s="17"/>
      <c r="Q3103" s="17"/>
    </row>
    <row r="3104" spans="1:17">
      <c r="A3104" s="556" t="s">
        <v>3649</v>
      </c>
      <c r="B3104" s="557"/>
      <c r="C3104" s="558" t="s">
        <v>9334</v>
      </c>
      <c r="D3104" s="556" t="s">
        <v>1694</v>
      </c>
      <c r="E3104" s="17" t="s">
        <v>6558</v>
      </c>
      <c r="F3104" s="17">
        <v>54</v>
      </c>
      <c r="G3104" s="17">
        <v>2</v>
      </c>
      <c r="H3104" s="17" t="s">
        <v>7969</v>
      </c>
      <c r="I3104" s="17"/>
      <c r="J3104" s="17"/>
      <c r="K3104" s="17"/>
      <c r="L3104" s="17"/>
      <c r="M3104" s="17"/>
      <c r="N3104" s="17"/>
      <c r="O3104" s="17"/>
      <c r="P3104" s="17"/>
      <c r="Q3104" s="17"/>
    </row>
    <row r="3105" spans="1:17">
      <c r="A3105" s="556" t="s">
        <v>3649</v>
      </c>
      <c r="B3105" s="557"/>
      <c r="C3105" s="558" t="s">
        <v>9334</v>
      </c>
      <c r="D3105" s="556" t="s">
        <v>4324</v>
      </c>
      <c r="E3105" s="17" t="s">
        <v>6559</v>
      </c>
      <c r="F3105" s="17">
        <v>54</v>
      </c>
      <c r="G3105" s="17">
        <v>3</v>
      </c>
      <c r="H3105" s="17" t="s">
        <v>7970</v>
      </c>
      <c r="I3105" s="17"/>
      <c r="J3105" s="17"/>
      <c r="K3105" s="17"/>
      <c r="L3105" s="17"/>
      <c r="M3105" s="17"/>
      <c r="N3105" s="17"/>
      <c r="O3105" s="17"/>
      <c r="P3105" s="17"/>
      <c r="Q3105" s="17"/>
    </row>
    <row r="3106" spans="1:17">
      <c r="A3106" s="556" t="s">
        <v>3649</v>
      </c>
      <c r="B3106" s="557"/>
      <c r="C3106" s="568" t="s">
        <v>9572</v>
      </c>
      <c r="D3106" s="556" t="s">
        <v>1693</v>
      </c>
      <c r="E3106" s="17" t="s">
        <v>6560</v>
      </c>
      <c r="F3106" s="17">
        <v>55</v>
      </c>
      <c r="G3106" s="17">
        <v>1</v>
      </c>
      <c r="H3106" s="17" t="s">
        <v>8764</v>
      </c>
      <c r="I3106" s="17"/>
      <c r="J3106" s="17"/>
      <c r="K3106" s="17"/>
      <c r="L3106" s="17"/>
      <c r="M3106" s="17"/>
      <c r="N3106" s="17"/>
      <c r="O3106" s="17"/>
      <c r="P3106" s="17"/>
      <c r="Q3106" s="17"/>
    </row>
    <row r="3107" spans="1:17">
      <c r="A3107" s="556" t="s">
        <v>3649</v>
      </c>
      <c r="B3107" s="557"/>
      <c r="C3107" s="568" t="s">
        <v>9572</v>
      </c>
      <c r="D3107" s="556" t="s">
        <v>1694</v>
      </c>
      <c r="E3107" s="17" t="s">
        <v>6561</v>
      </c>
      <c r="F3107" s="17">
        <v>55</v>
      </c>
      <c r="G3107" s="17">
        <v>2</v>
      </c>
      <c r="H3107" s="17" t="s">
        <v>7973</v>
      </c>
      <c r="I3107" s="17"/>
      <c r="J3107" s="17"/>
      <c r="K3107" s="17"/>
      <c r="L3107" s="17"/>
      <c r="M3107" s="17"/>
      <c r="N3107" s="17"/>
      <c r="O3107" s="17"/>
      <c r="P3107" s="17"/>
      <c r="Q3107" s="17"/>
    </row>
    <row r="3108" spans="1:17">
      <c r="A3108" s="556" t="s">
        <v>3649</v>
      </c>
      <c r="B3108" s="557"/>
      <c r="C3108" s="568" t="s">
        <v>9572</v>
      </c>
      <c r="D3108" s="556" t="s">
        <v>4324</v>
      </c>
      <c r="E3108" s="17" t="s">
        <v>6562</v>
      </c>
      <c r="F3108" s="17">
        <v>55</v>
      </c>
      <c r="G3108" s="17">
        <v>3</v>
      </c>
      <c r="H3108" s="17" t="s">
        <v>7974</v>
      </c>
      <c r="I3108" s="17"/>
      <c r="J3108" s="17"/>
      <c r="K3108" s="17"/>
      <c r="L3108" s="17"/>
      <c r="M3108" s="17"/>
      <c r="N3108" s="17"/>
      <c r="O3108" s="17"/>
      <c r="P3108" s="17"/>
      <c r="Q3108" s="17"/>
    </row>
    <row r="3109" spans="1:17">
      <c r="A3109" s="556" t="s">
        <v>3649</v>
      </c>
      <c r="B3109" s="557"/>
      <c r="C3109" s="568" t="s">
        <v>9573</v>
      </c>
      <c r="D3109" s="556" t="s">
        <v>1693</v>
      </c>
      <c r="E3109" s="17" t="s">
        <v>6563</v>
      </c>
      <c r="F3109" s="17">
        <v>56</v>
      </c>
      <c r="G3109" s="17">
        <v>1</v>
      </c>
      <c r="H3109" s="17" t="s">
        <v>8765</v>
      </c>
      <c r="I3109" s="17">
        <v>0</v>
      </c>
      <c r="J3109" s="17"/>
      <c r="K3109" s="17"/>
      <c r="L3109" s="17"/>
      <c r="M3109" s="17"/>
      <c r="N3109" s="17"/>
      <c r="O3109" s="17"/>
      <c r="P3109" s="17"/>
      <c r="Q3109" s="17"/>
    </row>
    <row r="3110" spans="1:17">
      <c r="A3110" s="556" t="s">
        <v>3649</v>
      </c>
      <c r="B3110" s="557"/>
      <c r="C3110" s="568" t="s">
        <v>9573</v>
      </c>
      <c r="D3110" s="556" t="s">
        <v>1694</v>
      </c>
      <c r="E3110" s="17" t="s">
        <v>6564</v>
      </c>
      <c r="F3110" s="17">
        <v>56</v>
      </c>
      <c r="G3110" s="17">
        <v>2</v>
      </c>
      <c r="H3110" s="17" t="s">
        <v>7977</v>
      </c>
      <c r="I3110" s="17">
        <v>0</v>
      </c>
      <c r="J3110" s="17"/>
      <c r="K3110" s="17"/>
      <c r="L3110" s="17"/>
      <c r="M3110" s="17"/>
      <c r="N3110" s="17"/>
      <c r="O3110" s="17"/>
      <c r="P3110" s="17"/>
      <c r="Q3110" s="17"/>
    </row>
    <row r="3111" spans="1:17">
      <c r="A3111" s="556" t="s">
        <v>3649</v>
      </c>
      <c r="B3111" s="557"/>
      <c r="C3111" s="568" t="s">
        <v>9573</v>
      </c>
      <c r="D3111" s="556" t="s">
        <v>4324</v>
      </c>
      <c r="E3111" s="17" t="s">
        <v>6565</v>
      </c>
      <c r="F3111" s="17">
        <v>56</v>
      </c>
      <c r="G3111" s="17">
        <v>3</v>
      </c>
      <c r="H3111" s="17" t="s">
        <v>7978</v>
      </c>
      <c r="I3111" s="17"/>
      <c r="J3111" s="17"/>
      <c r="K3111" s="17"/>
      <c r="L3111" s="17"/>
      <c r="M3111" s="17"/>
      <c r="N3111" s="17"/>
      <c r="O3111" s="17"/>
      <c r="P3111" s="17"/>
      <c r="Q3111" s="17"/>
    </row>
    <row r="3112" spans="1:17">
      <c r="A3112" s="556" t="s">
        <v>3710</v>
      </c>
      <c r="B3112" s="557"/>
      <c r="C3112" s="558" t="s">
        <v>2493</v>
      </c>
      <c r="D3112" s="556" t="s">
        <v>6573</v>
      </c>
      <c r="E3112" s="559" t="s">
        <v>8969</v>
      </c>
      <c r="F3112" s="17">
        <v>1</v>
      </c>
      <c r="G3112" s="17">
        <v>1</v>
      </c>
      <c r="H3112" s="564" t="s">
        <v>7811</v>
      </c>
      <c r="I3112" s="567"/>
      <c r="J3112" s="17"/>
      <c r="K3112" s="17"/>
      <c r="L3112" s="17"/>
      <c r="M3112" s="17"/>
      <c r="N3112" s="17"/>
      <c r="O3112" s="17"/>
      <c r="P3112" s="17"/>
      <c r="Q3112" s="17"/>
    </row>
    <row r="3113" spans="1:17">
      <c r="A3113" s="556" t="s">
        <v>3710</v>
      </c>
      <c r="B3113" s="557"/>
      <c r="C3113" s="558" t="s">
        <v>2497</v>
      </c>
      <c r="D3113" s="556" t="s">
        <v>6573</v>
      </c>
      <c r="E3113" s="559" t="s">
        <v>8970</v>
      </c>
      <c r="F3113" s="17">
        <v>5</v>
      </c>
      <c r="G3113" s="17">
        <v>1</v>
      </c>
      <c r="H3113" s="564" t="s">
        <v>8984</v>
      </c>
      <c r="I3113" s="567"/>
      <c r="J3113" s="17"/>
      <c r="K3113" s="17"/>
      <c r="L3113" s="17"/>
      <c r="M3113" s="17"/>
      <c r="N3113" s="17"/>
      <c r="O3113" s="17"/>
      <c r="P3113" s="17"/>
      <c r="Q3113" s="17"/>
    </row>
    <row r="3114" spans="1:17">
      <c r="A3114" s="556" t="s">
        <v>3710</v>
      </c>
      <c r="B3114" s="557"/>
      <c r="C3114" s="558" t="s">
        <v>2500</v>
      </c>
      <c r="D3114" s="556" t="s">
        <v>6573</v>
      </c>
      <c r="E3114" s="559" t="s">
        <v>8971</v>
      </c>
      <c r="F3114" s="17">
        <v>9</v>
      </c>
      <c r="G3114" s="17">
        <v>1</v>
      </c>
      <c r="H3114" s="564" t="s">
        <v>3718</v>
      </c>
      <c r="I3114" s="567"/>
      <c r="J3114" s="17"/>
      <c r="K3114" s="17"/>
      <c r="L3114" s="17"/>
      <c r="M3114" s="17"/>
      <c r="N3114" s="17"/>
      <c r="O3114" s="17"/>
      <c r="P3114" s="17"/>
      <c r="Q3114" s="17"/>
    </row>
    <row r="3115" spans="1:17">
      <c r="A3115" s="556" t="s">
        <v>3710</v>
      </c>
      <c r="B3115" s="557"/>
      <c r="C3115" s="558" t="s">
        <v>2503</v>
      </c>
      <c r="D3115" s="556" t="s">
        <v>6573</v>
      </c>
      <c r="E3115" s="559" t="s">
        <v>8972</v>
      </c>
      <c r="F3115" s="17">
        <v>13</v>
      </c>
      <c r="G3115" s="17">
        <v>1</v>
      </c>
      <c r="H3115" s="564" t="s">
        <v>8557</v>
      </c>
      <c r="I3115" s="567"/>
      <c r="J3115" s="17"/>
      <c r="K3115" s="17"/>
      <c r="L3115" s="17"/>
      <c r="M3115" s="17"/>
      <c r="N3115" s="17"/>
      <c r="O3115" s="17"/>
      <c r="P3115" s="17"/>
      <c r="Q3115" s="17"/>
    </row>
    <row r="3116" spans="1:17">
      <c r="A3116" s="556" t="s">
        <v>3710</v>
      </c>
      <c r="B3116" s="557"/>
      <c r="C3116" s="558" t="s">
        <v>8973</v>
      </c>
      <c r="D3116" s="556" t="s">
        <v>6573</v>
      </c>
      <c r="E3116" s="559" t="s">
        <v>8974</v>
      </c>
      <c r="F3116" s="17">
        <v>17</v>
      </c>
      <c r="G3116" s="17">
        <v>1</v>
      </c>
      <c r="H3116" s="564" t="s">
        <v>8559</v>
      </c>
      <c r="I3116" s="567"/>
      <c r="J3116" s="17"/>
      <c r="K3116" s="17"/>
      <c r="L3116" s="17"/>
      <c r="M3116" s="17"/>
      <c r="N3116" s="17"/>
      <c r="O3116" s="17"/>
      <c r="P3116" s="17"/>
      <c r="Q3116" s="17"/>
    </row>
    <row r="3117" spans="1:17">
      <c r="A3117" s="556" t="s">
        <v>3710</v>
      </c>
      <c r="B3117" s="557"/>
      <c r="C3117" s="558" t="s">
        <v>2509</v>
      </c>
      <c r="D3117" s="556" t="s">
        <v>6573</v>
      </c>
      <c r="E3117" s="559" t="s">
        <v>8975</v>
      </c>
      <c r="F3117" s="17">
        <v>23</v>
      </c>
      <c r="G3117" s="17">
        <v>1</v>
      </c>
      <c r="H3117" s="564" t="s">
        <v>8985</v>
      </c>
      <c r="I3117" s="567"/>
      <c r="J3117" s="17"/>
      <c r="K3117" s="17"/>
      <c r="L3117" s="17"/>
      <c r="M3117" s="17"/>
      <c r="N3117" s="17"/>
      <c r="O3117" s="17"/>
      <c r="P3117" s="17"/>
      <c r="Q3117" s="17"/>
    </row>
    <row r="3118" spans="1:17">
      <c r="A3118" s="556" t="s">
        <v>3710</v>
      </c>
      <c r="B3118" s="557"/>
      <c r="C3118" s="558" t="s">
        <v>2513</v>
      </c>
      <c r="D3118" s="556" t="s">
        <v>6573</v>
      </c>
      <c r="E3118" s="559" t="s">
        <v>8976</v>
      </c>
      <c r="F3118" s="17">
        <v>28</v>
      </c>
      <c r="G3118" s="17">
        <v>1</v>
      </c>
      <c r="H3118" s="564" t="s">
        <v>8562</v>
      </c>
      <c r="I3118" s="567"/>
      <c r="J3118" s="17"/>
      <c r="K3118" s="17"/>
      <c r="L3118" s="17"/>
      <c r="M3118" s="17"/>
      <c r="N3118" s="17"/>
      <c r="O3118" s="17"/>
      <c r="P3118" s="17"/>
      <c r="Q3118" s="17"/>
    </row>
    <row r="3119" spans="1:17">
      <c r="A3119" s="556" t="s">
        <v>3710</v>
      </c>
      <c r="B3119" s="557"/>
      <c r="C3119" s="558" t="s">
        <v>2517</v>
      </c>
      <c r="D3119" s="556" t="s">
        <v>6573</v>
      </c>
      <c r="E3119" s="559" t="s">
        <v>8977</v>
      </c>
      <c r="F3119" s="17">
        <v>33</v>
      </c>
      <c r="G3119" s="17">
        <v>1</v>
      </c>
      <c r="H3119" s="564" t="s">
        <v>8986</v>
      </c>
      <c r="I3119" s="567"/>
      <c r="J3119" s="17"/>
      <c r="K3119" s="17"/>
      <c r="L3119" s="17"/>
      <c r="M3119" s="17"/>
      <c r="N3119" s="17"/>
      <c r="O3119" s="17"/>
      <c r="P3119" s="17"/>
      <c r="Q3119" s="17"/>
    </row>
    <row r="3120" spans="1:17">
      <c r="A3120" s="556" t="s">
        <v>3710</v>
      </c>
      <c r="B3120" s="557"/>
      <c r="C3120" s="558" t="s">
        <v>2521</v>
      </c>
      <c r="D3120" s="556" t="s">
        <v>6573</v>
      </c>
      <c r="E3120" s="559" t="s">
        <v>8978</v>
      </c>
      <c r="F3120" s="17">
        <v>36</v>
      </c>
      <c r="G3120" s="17">
        <v>1</v>
      </c>
      <c r="H3120" s="564" t="s">
        <v>8987</v>
      </c>
      <c r="I3120" s="567"/>
      <c r="J3120" s="17"/>
      <c r="K3120" s="17"/>
      <c r="L3120" s="17"/>
      <c r="M3120" s="17"/>
      <c r="N3120" s="17"/>
      <c r="O3120" s="17"/>
      <c r="P3120" s="17"/>
      <c r="Q3120" s="17"/>
    </row>
    <row r="3121" spans="1:17">
      <c r="A3121" s="556" t="s">
        <v>3710</v>
      </c>
      <c r="B3121" s="557"/>
      <c r="C3121" s="558" t="s">
        <v>2523</v>
      </c>
      <c r="D3121" s="556" t="s">
        <v>6573</v>
      </c>
      <c r="E3121" s="559" t="s">
        <v>8979</v>
      </c>
      <c r="F3121" s="17">
        <v>39</v>
      </c>
      <c r="G3121" s="17">
        <v>1</v>
      </c>
      <c r="H3121" s="564" t="s">
        <v>8988</v>
      </c>
      <c r="I3121" s="567"/>
      <c r="J3121" s="17"/>
      <c r="K3121" s="17"/>
      <c r="L3121" s="17"/>
      <c r="M3121" s="17"/>
      <c r="N3121" s="17"/>
      <c r="O3121" s="17"/>
      <c r="P3121" s="17"/>
      <c r="Q3121" s="17"/>
    </row>
    <row r="3122" spans="1:17">
      <c r="A3122" s="556" t="s">
        <v>3710</v>
      </c>
      <c r="B3122" s="557"/>
      <c r="C3122" s="558" t="s">
        <v>2526</v>
      </c>
      <c r="D3122" s="556" t="s">
        <v>6573</v>
      </c>
      <c r="E3122" s="559" t="s">
        <v>8980</v>
      </c>
      <c r="F3122" s="17">
        <v>44</v>
      </c>
      <c r="G3122" s="17">
        <v>1</v>
      </c>
      <c r="H3122" s="564" t="s">
        <v>8566</v>
      </c>
      <c r="I3122" s="567"/>
      <c r="J3122" s="17"/>
      <c r="K3122" s="17"/>
      <c r="L3122" s="17"/>
      <c r="M3122" s="17"/>
      <c r="N3122" s="17"/>
      <c r="O3122" s="17"/>
      <c r="P3122" s="17"/>
      <c r="Q3122" s="17"/>
    </row>
    <row r="3123" spans="1:17">
      <c r="A3123" s="556" t="s">
        <v>3710</v>
      </c>
      <c r="B3123" s="557"/>
      <c r="C3123" s="558" t="s">
        <v>8981</v>
      </c>
      <c r="D3123" s="556" t="s">
        <v>6573</v>
      </c>
      <c r="E3123" s="559" t="s">
        <v>8982</v>
      </c>
      <c r="F3123" s="17">
        <v>48</v>
      </c>
      <c r="G3123" s="17">
        <v>1</v>
      </c>
      <c r="H3123" s="564" t="s">
        <v>8989</v>
      </c>
      <c r="I3123" s="567"/>
      <c r="J3123" s="17"/>
      <c r="K3123" s="17"/>
      <c r="L3123" s="17"/>
      <c r="M3123" s="17"/>
      <c r="N3123" s="17"/>
      <c r="O3123" s="17"/>
      <c r="P3123" s="17"/>
      <c r="Q3123" s="17"/>
    </row>
    <row r="3124" spans="1:17">
      <c r="A3124" s="556" t="s">
        <v>3710</v>
      </c>
      <c r="B3124" s="557"/>
      <c r="C3124" s="558" t="s">
        <v>2531</v>
      </c>
      <c r="D3124" s="556" t="s">
        <v>6573</v>
      </c>
      <c r="E3124" s="559" t="s">
        <v>8983</v>
      </c>
      <c r="F3124" s="17">
        <v>51</v>
      </c>
      <c r="G3124" s="17">
        <v>1</v>
      </c>
      <c r="H3124" s="564" t="s">
        <v>8990</v>
      </c>
      <c r="I3124" s="567"/>
      <c r="J3124" s="17"/>
      <c r="K3124" s="17"/>
      <c r="L3124" s="17"/>
      <c r="M3124" s="17"/>
      <c r="N3124" s="17"/>
      <c r="O3124" s="17"/>
      <c r="P3124" s="17"/>
      <c r="Q3124" s="17"/>
    </row>
    <row r="3125" spans="1:17">
      <c r="A3125" s="17" t="s">
        <v>9183</v>
      </c>
      <c r="B3125" s="17"/>
      <c r="C3125" s="17" t="s">
        <v>6566</v>
      </c>
      <c r="D3125" s="17" t="s">
        <v>2535</v>
      </c>
      <c r="E3125" s="17" t="s">
        <v>9184</v>
      </c>
      <c r="F3125" s="556">
        <v>1</v>
      </c>
      <c r="G3125" s="556">
        <v>5</v>
      </c>
      <c r="H3125" s="17" t="s">
        <v>3714</v>
      </c>
      <c r="I3125" s="17"/>
      <c r="J3125" s="17"/>
      <c r="K3125" s="17"/>
      <c r="L3125" s="17"/>
      <c r="M3125" s="17"/>
      <c r="N3125" s="17"/>
      <c r="O3125" s="17"/>
      <c r="P3125" s="17"/>
      <c r="Q3125" s="17"/>
    </row>
    <row r="3126" spans="1:17">
      <c r="A3126" s="17" t="s">
        <v>9183</v>
      </c>
      <c r="B3126" s="17"/>
      <c r="C3126" s="17" t="s">
        <v>9164</v>
      </c>
      <c r="D3126" s="17" t="s">
        <v>2535</v>
      </c>
      <c r="E3126" s="17" t="s">
        <v>9185</v>
      </c>
      <c r="F3126" s="17">
        <v>3</v>
      </c>
      <c r="G3126" s="556">
        <v>5</v>
      </c>
      <c r="H3126" s="17" t="s">
        <v>2991</v>
      </c>
      <c r="I3126" s="17"/>
      <c r="J3126" s="17"/>
      <c r="K3126" s="17"/>
      <c r="L3126" s="17"/>
      <c r="M3126" s="17"/>
      <c r="N3126" s="17"/>
      <c r="O3126" s="17"/>
      <c r="P3126" s="17"/>
      <c r="Q3126" s="17"/>
    </row>
    <row r="3127" spans="1:17">
      <c r="A3127" s="17" t="s">
        <v>9183</v>
      </c>
      <c r="B3127" s="17"/>
      <c r="C3127" s="17" t="s">
        <v>9165</v>
      </c>
      <c r="D3127" s="17" t="s">
        <v>2535</v>
      </c>
      <c r="E3127" s="17" t="s">
        <v>9186</v>
      </c>
      <c r="F3127" s="17">
        <v>4</v>
      </c>
      <c r="G3127" s="556">
        <v>5</v>
      </c>
      <c r="H3127" s="17" t="s">
        <v>3341</v>
      </c>
      <c r="I3127" s="17"/>
      <c r="J3127" s="17"/>
      <c r="K3127" s="17"/>
      <c r="L3127" s="17"/>
      <c r="M3127" s="17"/>
      <c r="N3127" s="17"/>
      <c r="O3127" s="17"/>
      <c r="P3127" s="17"/>
      <c r="Q3127" s="17"/>
    </row>
    <row r="3128" spans="1:17">
      <c r="A3128" s="17" t="s">
        <v>9183</v>
      </c>
      <c r="B3128" s="17"/>
      <c r="C3128" s="17" t="s">
        <v>9166</v>
      </c>
      <c r="D3128" s="17" t="s">
        <v>2535</v>
      </c>
      <c r="E3128" s="17" t="s">
        <v>9187</v>
      </c>
      <c r="F3128" s="17">
        <v>5</v>
      </c>
      <c r="G3128" s="556">
        <v>5</v>
      </c>
      <c r="H3128" s="17" t="s">
        <v>3345</v>
      </c>
      <c r="I3128" s="17"/>
      <c r="J3128" s="17"/>
      <c r="K3128" s="17"/>
      <c r="L3128" s="17"/>
      <c r="M3128" s="17"/>
      <c r="N3128" s="17"/>
      <c r="O3128" s="17"/>
      <c r="P3128" s="17"/>
      <c r="Q3128" s="17"/>
    </row>
    <row r="3129" spans="1:17">
      <c r="A3129" s="17" t="s">
        <v>9183</v>
      </c>
      <c r="B3129" s="17"/>
      <c r="C3129" s="17" t="s">
        <v>9167</v>
      </c>
      <c r="D3129" s="17" t="s">
        <v>2535</v>
      </c>
      <c r="E3129" s="17" t="s">
        <v>9188</v>
      </c>
      <c r="F3129" s="17">
        <v>6</v>
      </c>
      <c r="G3129" s="556">
        <v>5</v>
      </c>
      <c r="H3129" s="17" t="s">
        <v>3349</v>
      </c>
      <c r="I3129" s="17"/>
      <c r="J3129" s="17"/>
      <c r="K3129" s="17"/>
      <c r="L3129" s="17"/>
      <c r="M3129" s="17"/>
      <c r="N3129" s="17"/>
      <c r="O3129" s="17"/>
      <c r="P3129" s="17"/>
      <c r="Q3129" s="17"/>
    </row>
    <row r="3130" spans="1:17">
      <c r="A3130" s="17" t="s">
        <v>9183</v>
      </c>
      <c r="B3130" s="17"/>
      <c r="C3130" s="17" t="s">
        <v>9168</v>
      </c>
      <c r="D3130" s="17" t="s">
        <v>2535</v>
      </c>
      <c r="E3130" s="17" t="s">
        <v>9189</v>
      </c>
      <c r="F3130" s="17">
        <v>7</v>
      </c>
      <c r="G3130" s="556">
        <v>5</v>
      </c>
      <c r="H3130" s="17" t="s">
        <v>3353</v>
      </c>
      <c r="I3130" s="17"/>
      <c r="J3130" s="17"/>
      <c r="K3130" s="17"/>
      <c r="L3130" s="17"/>
      <c r="M3130" s="17"/>
      <c r="N3130" s="17"/>
      <c r="O3130" s="17"/>
      <c r="P3130" s="17"/>
      <c r="Q3130" s="17"/>
    </row>
    <row r="3131" spans="1:17">
      <c r="A3131" s="17" t="s">
        <v>9183</v>
      </c>
      <c r="B3131" s="17"/>
      <c r="C3131" s="17" t="s">
        <v>9169</v>
      </c>
      <c r="D3131" s="17" t="s">
        <v>2535</v>
      </c>
      <c r="E3131" s="17" t="s">
        <v>9190</v>
      </c>
      <c r="F3131" s="17">
        <v>8</v>
      </c>
      <c r="G3131" s="556">
        <v>5</v>
      </c>
      <c r="H3131" s="17" t="s">
        <v>3357</v>
      </c>
      <c r="I3131" s="17"/>
      <c r="J3131" s="17"/>
      <c r="K3131" s="17"/>
      <c r="L3131" s="17"/>
      <c r="M3131" s="17"/>
      <c r="N3131" s="17"/>
      <c r="O3131" s="17"/>
      <c r="P3131" s="17"/>
      <c r="Q3131" s="17"/>
    </row>
    <row r="3132" spans="1:17">
      <c r="A3132" s="17" t="s">
        <v>9183</v>
      </c>
      <c r="B3132" s="17"/>
      <c r="C3132" s="17" t="s">
        <v>9170</v>
      </c>
      <c r="D3132" s="17" t="s">
        <v>2535</v>
      </c>
      <c r="E3132" s="17" t="s">
        <v>9191</v>
      </c>
      <c r="F3132" s="17">
        <v>9</v>
      </c>
      <c r="G3132" s="556">
        <v>5</v>
      </c>
      <c r="H3132" s="17" t="s">
        <v>3327</v>
      </c>
      <c r="I3132" s="17"/>
      <c r="J3132" s="17"/>
      <c r="K3132" s="17"/>
      <c r="L3132" s="17"/>
      <c r="M3132" s="17"/>
      <c r="N3132" s="17"/>
      <c r="O3132" s="17"/>
      <c r="P3132" s="17"/>
      <c r="Q3132" s="17"/>
    </row>
    <row r="3133" spans="1:17">
      <c r="A3133" s="17" t="s">
        <v>9183</v>
      </c>
      <c r="B3133" s="17"/>
      <c r="C3133" s="17" t="s">
        <v>9171</v>
      </c>
      <c r="D3133" s="17" t="s">
        <v>2535</v>
      </c>
      <c r="E3133" s="17" t="s">
        <v>9192</v>
      </c>
      <c r="F3133" s="17">
        <v>10</v>
      </c>
      <c r="G3133" s="556">
        <v>5</v>
      </c>
      <c r="H3133" s="17" t="s">
        <v>3364</v>
      </c>
      <c r="I3133" s="571"/>
      <c r="J3133" s="17"/>
      <c r="K3133" s="17"/>
      <c r="L3133" s="17"/>
      <c r="M3133" s="17"/>
      <c r="N3133" s="17"/>
      <c r="O3133" s="17"/>
      <c r="P3133" s="17"/>
      <c r="Q3133" s="17"/>
    </row>
    <row r="3134" spans="1:17">
      <c r="A3134" s="17" t="s">
        <v>9183</v>
      </c>
      <c r="B3134" s="17"/>
      <c r="C3134" s="17" t="s">
        <v>9172</v>
      </c>
      <c r="D3134" s="17" t="s">
        <v>2535</v>
      </c>
      <c r="E3134" s="17" t="s">
        <v>9193</v>
      </c>
      <c r="F3134" s="17">
        <v>11</v>
      </c>
      <c r="G3134" s="556">
        <v>5</v>
      </c>
      <c r="H3134" s="17" t="s">
        <v>3368</v>
      </c>
      <c r="I3134" s="17"/>
      <c r="J3134" s="17"/>
      <c r="K3134" s="17"/>
      <c r="L3134" s="17"/>
      <c r="M3134" s="17"/>
      <c r="N3134" s="17"/>
      <c r="O3134" s="17"/>
      <c r="P3134" s="17"/>
      <c r="Q3134" s="17"/>
    </row>
    <row r="3135" spans="1:17">
      <c r="A3135" s="17" t="s">
        <v>9183</v>
      </c>
      <c r="B3135" s="17"/>
      <c r="C3135" s="17" t="s">
        <v>9173</v>
      </c>
      <c r="D3135" s="17" t="s">
        <v>2535</v>
      </c>
      <c r="E3135" s="17" t="s">
        <v>9194</v>
      </c>
      <c r="F3135" s="17">
        <v>12</v>
      </c>
      <c r="G3135" s="556">
        <v>5</v>
      </c>
      <c r="H3135" s="564" t="s">
        <v>3372</v>
      </c>
      <c r="I3135" s="567"/>
      <c r="J3135" s="17"/>
      <c r="K3135" s="17"/>
      <c r="L3135" s="17"/>
      <c r="M3135" s="17"/>
      <c r="N3135" s="17"/>
      <c r="O3135" s="17"/>
      <c r="P3135" s="17"/>
      <c r="Q3135" s="17"/>
    </row>
    <row r="3136" spans="1:17">
      <c r="A3136" s="17" t="s">
        <v>9183</v>
      </c>
      <c r="B3136" s="17"/>
      <c r="C3136" s="17" t="s">
        <v>9174</v>
      </c>
      <c r="D3136" s="17" t="s">
        <v>2535</v>
      </c>
      <c r="E3136" s="17" t="s">
        <v>9195</v>
      </c>
      <c r="F3136" s="17">
        <v>13</v>
      </c>
      <c r="G3136" s="556">
        <v>5</v>
      </c>
      <c r="H3136" s="564" t="s">
        <v>3376</v>
      </c>
      <c r="I3136" s="567"/>
      <c r="J3136" s="17"/>
      <c r="K3136" s="17"/>
      <c r="L3136" s="17"/>
      <c r="M3136" s="17"/>
      <c r="N3136" s="17"/>
      <c r="O3136" s="17"/>
      <c r="P3136" s="17"/>
      <c r="Q3136" s="17"/>
    </row>
    <row r="3137" spans="1:17">
      <c r="A3137" s="17" t="s">
        <v>9183</v>
      </c>
      <c r="B3137" s="17"/>
      <c r="C3137" s="17" t="s">
        <v>9175</v>
      </c>
      <c r="D3137" s="17" t="s">
        <v>2535</v>
      </c>
      <c r="E3137" s="17" t="s">
        <v>9196</v>
      </c>
      <c r="F3137" s="17">
        <v>14</v>
      </c>
      <c r="G3137" s="556">
        <v>5</v>
      </c>
      <c r="H3137" s="564" t="s">
        <v>3380</v>
      </c>
      <c r="I3137" s="567"/>
      <c r="J3137" s="17"/>
      <c r="K3137" s="17"/>
      <c r="L3137" s="17"/>
      <c r="M3137" s="17"/>
      <c r="N3137" s="17"/>
      <c r="O3137" s="17"/>
      <c r="P3137" s="17"/>
      <c r="Q3137" s="17"/>
    </row>
    <row r="3138" spans="1:17">
      <c r="A3138" s="17" t="s">
        <v>9183</v>
      </c>
      <c r="B3138" s="17"/>
      <c r="C3138" s="17" t="s">
        <v>9176</v>
      </c>
      <c r="D3138" s="17" t="s">
        <v>2535</v>
      </c>
      <c r="E3138" s="17" t="s">
        <v>9197</v>
      </c>
      <c r="F3138" s="17">
        <v>15</v>
      </c>
      <c r="G3138" s="556">
        <v>5</v>
      </c>
      <c r="H3138" s="564" t="s">
        <v>3384</v>
      </c>
      <c r="I3138" s="567">
        <v>0</v>
      </c>
      <c r="J3138" s="17"/>
      <c r="K3138" s="17"/>
      <c r="L3138" s="17"/>
      <c r="M3138" s="17"/>
      <c r="N3138" s="17"/>
      <c r="O3138" s="17"/>
      <c r="P3138" s="17"/>
      <c r="Q3138" s="17"/>
    </row>
    <row r="3139" spans="1:17">
      <c r="A3139" s="17" t="s">
        <v>9183</v>
      </c>
      <c r="B3139" s="17"/>
      <c r="C3139" s="17" t="s">
        <v>9177</v>
      </c>
      <c r="D3139" s="17" t="s">
        <v>2535</v>
      </c>
      <c r="E3139" s="17" t="s">
        <v>9198</v>
      </c>
      <c r="F3139" s="17">
        <v>17</v>
      </c>
      <c r="G3139" s="556">
        <v>5</v>
      </c>
      <c r="H3139" s="564" t="s">
        <v>3392</v>
      </c>
      <c r="I3139" s="567"/>
      <c r="J3139" s="17"/>
      <c r="K3139" s="17"/>
      <c r="L3139" s="17"/>
      <c r="M3139" s="17"/>
      <c r="N3139" s="17"/>
      <c r="O3139" s="17"/>
      <c r="P3139" s="17"/>
      <c r="Q3139" s="17"/>
    </row>
    <row r="3140" spans="1:17">
      <c r="A3140" s="17" t="s">
        <v>9183</v>
      </c>
      <c r="B3140" s="17"/>
      <c r="C3140" s="17" t="s">
        <v>9178</v>
      </c>
      <c r="D3140" s="17" t="s">
        <v>2535</v>
      </c>
      <c r="E3140" s="17" t="s">
        <v>9199</v>
      </c>
      <c r="F3140" s="17">
        <v>18</v>
      </c>
      <c r="G3140" s="17">
        <v>5</v>
      </c>
      <c r="H3140" s="564" t="s">
        <v>3396</v>
      </c>
      <c r="I3140" s="567"/>
      <c r="J3140" s="17"/>
      <c r="K3140" s="17"/>
      <c r="L3140" s="17"/>
      <c r="M3140" s="17"/>
      <c r="N3140" s="17"/>
      <c r="O3140" s="17"/>
      <c r="P3140" s="17"/>
      <c r="Q3140" s="17"/>
    </row>
    <row r="3141" spans="1:17">
      <c r="A3141" s="17" t="s">
        <v>9183</v>
      </c>
      <c r="B3141" s="17"/>
      <c r="C3141" s="17" t="s">
        <v>9179</v>
      </c>
      <c r="D3141" s="17" t="s">
        <v>2535</v>
      </c>
      <c r="E3141" s="17" t="s">
        <v>9200</v>
      </c>
      <c r="F3141" s="17">
        <v>19</v>
      </c>
      <c r="G3141" s="17">
        <v>5</v>
      </c>
      <c r="H3141" s="564" t="s">
        <v>3400</v>
      </c>
      <c r="I3141" s="567"/>
      <c r="J3141" s="17"/>
      <c r="K3141" s="17"/>
      <c r="L3141" s="17"/>
      <c r="M3141" s="17"/>
      <c r="N3141" s="17"/>
      <c r="O3141" s="17"/>
      <c r="P3141" s="17"/>
      <c r="Q3141" s="17"/>
    </row>
    <row r="3142" spans="1:17">
      <c r="A3142" s="17" t="s">
        <v>9183</v>
      </c>
      <c r="B3142" s="17"/>
      <c r="C3142" s="17" t="s">
        <v>9180</v>
      </c>
      <c r="D3142" s="17" t="s">
        <v>2535</v>
      </c>
      <c r="E3142" s="17" t="s">
        <v>9201</v>
      </c>
      <c r="F3142" s="17">
        <v>20</v>
      </c>
      <c r="G3142" s="17">
        <v>5</v>
      </c>
      <c r="H3142" s="564" t="s">
        <v>3404</v>
      </c>
      <c r="I3142" s="567"/>
      <c r="J3142" s="17"/>
      <c r="K3142" s="17"/>
      <c r="L3142" s="17"/>
      <c r="M3142" s="17"/>
      <c r="N3142" s="17"/>
      <c r="O3142" s="17"/>
      <c r="P3142" s="17"/>
      <c r="Q3142" s="17"/>
    </row>
    <row r="3143" spans="1:17">
      <c r="A3143" s="17" t="s">
        <v>9183</v>
      </c>
      <c r="B3143" s="17"/>
      <c r="C3143" s="17" t="s">
        <v>9181</v>
      </c>
      <c r="D3143" s="17" t="s">
        <v>2535</v>
      </c>
      <c r="E3143" s="17" t="s">
        <v>9202</v>
      </c>
      <c r="F3143" s="17">
        <v>21</v>
      </c>
      <c r="G3143" s="17">
        <v>5</v>
      </c>
      <c r="H3143" s="564" t="s">
        <v>3408</v>
      </c>
      <c r="I3143" s="567"/>
      <c r="J3143" s="17"/>
      <c r="K3143" s="17"/>
      <c r="L3143" s="17"/>
      <c r="M3143" s="17"/>
      <c r="N3143" s="17"/>
      <c r="O3143" s="17"/>
      <c r="P3143" s="17"/>
      <c r="Q3143" s="17"/>
    </row>
    <row r="3144" spans="1:17">
      <c r="A3144" s="17" t="s">
        <v>9183</v>
      </c>
      <c r="B3144" s="17"/>
      <c r="C3144" s="17" t="s">
        <v>9182</v>
      </c>
      <c r="D3144" s="17" t="s">
        <v>2535</v>
      </c>
      <c r="E3144" s="17" t="s">
        <v>9203</v>
      </c>
      <c r="F3144" s="17">
        <v>22</v>
      </c>
      <c r="G3144" s="17">
        <v>5</v>
      </c>
      <c r="H3144" s="564" t="s">
        <v>3412</v>
      </c>
      <c r="I3144" s="567">
        <v>0</v>
      </c>
      <c r="J3144" s="17"/>
      <c r="K3144" s="17"/>
      <c r="L3144" s="17"/>
      <c r="M3144" s="17"/>
      <c r="N3144" s="17"/>
      <c r="O3144" s="17"/>
      <c r="P3144" s="17"/>
      <c r="Q3144" s="17"/>
    </row>
    <row r="3145" spans="1:17">
      <c r="A3145" s="17" t="s">
        <v>9183</v>
      </c>
      <c r="B3145" s="17"/>
      <c r="C3145" s="17" t="s">
        <v>6567</v>
      </c>
      <c r="D3145" s="17" t="s">
        <v>2535</v>
      </c>
      <c r="E3145" s="17" t="s">
        <v>9204</v>
      </c>
      <c r="F3145" s="17">
        <v>23</v>
      </c>
      <c r="G3145" s="17">
        <v>5</v>
      </c>
      <c r="H3145" s="564" t="s">
        <v>3416</v>
      </c>
      <c r="I3145" s="567">
        <v>0</v>
      </c>
      <c r="J3145" s="17"/>
      <c r="K3145" s="17"/>
      <c r="L3145" s="17"/>
      <c r="M3145" s="17"/>
      <c r="N3145" s="17"/>
      <c r="O3145" s="17"/>
      <c r="P3145" s="17"/>
      <c r="Q3145" s="17"/>
    </row>
    <row r="3146" spans="1:17">
      <c r="A3146" s="17" t="s">
        <v>9183</v>
      </c>
      <c r="B3146" s="17"/>
      <c r="C3146" s="17" t="s">
        <v>6568</v>
      </c>
      <c r="D3146" s="17" t="s">
        <v>2535</v>
      </c>
      <c r="E3146" s="17" t="s">
        <v>9205</v>
      </c>
      <c r="F3146" s="17">
        <v>24</v>
      </c>
      <c r="G3146" s="17">
        <v>5</v>
      </c>
      <c r="H3146" s="564" t="s">
        <v>3420</v>
      </c>
      <c r="I3146" s="567"/>
      <c r="J3146" s="17"/>
      <c r="K3146" s="17"/>
      <c r="L3146" s="17"/>
      <c r="M3146" s="17"/>
      <c r="N3146" s="17"/>
      <c r="O3146" s="17"/>
      <c r="P3146" s="17"/>
      <c r="Q3146" s="17"/>
    </row>
    <row r="3147" spans="1:17">
      <c r="A3147" s="17" t="s">
        <v>9183</v>
      </c>
      <c r="B3147" s="17"/>
      <c r="C3147" s="17" t="s">
        <v>6569</v>
      </c>
      <c r="D3147" s="17" t="s">
        <v>2535</v>
      </c>
      <c r="E3147" s="17" t="s">
        <v>9206</v>
      </c>
      <c r="F3147" s="17">
        <v>25</v>
      </c>
      <c r="G3147" s="17">
        <v>5</v>
      </c>
      <c r="H3147" s="564" t="s">
        <v>3424</v>
      </c>
      <c r="I3147" s="567"/>
      <c r="J3147" s="17"/>
      <c r="K3147" s="17"/>
      <c r="L3147" s="17"/>
      <c r="M3147" s="17"/>
      <c r="N3147" s="17"/>
      <c r="O3147" s="17"/>
      <c r="P3147" s="17"/>
      <c r="Q3147" s="17"/>
    </row>
    <row r="3148" spans="1:17">
      <c r="A3148" s="17" t="s">
        <v>9183</v>
      </c>
      <c r="B3148" s="17"/>
      <c r="C3148" s="17" t="s">
        <v>6570</v>
      </c>
      <c r="D3148" s="17" t="s">
        <v>2535</v>
      </c>
      <c r="E3148" s="17" t="s">
        <v>9207</v>
      </c>
      <c r="F3148" s="17">
        <v>26</v>
      </c>
      <c r="G3148" s="17">
        <v>5</v>
      </c>
      <c r="H3148" s="564" t="s">
        <v>3428</v>
      </c>
      <c r="I3148" s="567"/>
      <c r="J3148" s="17"/>
      <c r="K3148" s="17"/>
      <c r="L3148" s="17"/>
      <c r="M3148" s="17"/>
      <c r="N3148" s="17"/>
      <c r="O3148" s="17"/>
      <c r="P3148" s="17"/>
      <c r="Q3148" s="17"/>
    </row>
    <row r="3149" spans="1:17">
      <c r="A3149" s="17" t="s">
        <v>9183</v>
      </c>
      <c r="B3149" s="17"/>
      <c r="C3149" s="17" t="s">
        <v>6571</v>
      </c>
      <c r="D3149" s="17" t="s">
        <v>2535</v>
      </c>
      <c r="E3149" s="17" t="s">
        <v>9208</v>
      </c>
      <c r="F3149" s="17">
        <v>27</v>
      </c>
      <c r="G3149" s="17">
        <v>5</v>
      </c>
      <c r="H3149" s="564" t="s">
        <v>3432</v>
      </c>
      <c r="I3149" s="567">
        <v>0</v>
      </c>
      <c r="J3149" s="17"/>
      <c r="K3149" s="17"/>
      <c r="L3149" s="17"/>
      <c r="M3149" s="17"/>
      <c r="N3149" s="17"/>
      <c r="O3149" s="17"/>
      <c r="P3149" s="17"/>
      <c r="Q3149" s="17"/>
    </row>
    <row r="3150" spans="1:17">
      <c r="A3150" s="17" t="s">
        <v>9183</v>
      </c>
      <c r="B3150" s="17"/>
      <c r="C3150" s="17" t="s">
        <v>6572</v>
      </c>
      <c r="D3150" s="17" t="s">
        <v>9335</v>
      </c>
      <c r="E3150" s="17" t="s">
        <v>9209</v>
      </c>
      <c r="F3150" s="17">
        <v>28</v>
      </c>
      <c r="G3150" s="17">
        <v>1</v>
      </c>
      <c r="H3150" s="564" t="s">
        <v>9211</v>
      </c>
      <c r="I3150" s="567" t="s">
        <v>9937</v>
      </c>
      <c r="J3150" s="17"/>
      <c r="K3150" s="17"/>
      <c r="L3150" s="17"/>
      <c r="M3150" s="17"/>
      <c r="N3150" s="17"/>
      <c r="O3150" s="17"/>
      <c r="P3150" s="17"/>
      <c r="Q3150" s="17"/>
    </row>
    <row r="3151" spans="1:17">
      <c r="A3151" s="17" t="s">
        <v>9183</v>
      </c>
      <c r="B3151" s="17"/>
      <c r="C3151" s="17" t="s">
        <v>6572</v>
      </c>
      <c r="D3151" s="17" t="s">
        <v>2535</v>
      </c>
      <c r="E3151" s="17" t="s">
        <v>9210</v>
      </c>
      <c r="F3151" s="17">
        <v>28</v>
      </c>
      <c r="G3151" s="17">
        <v>5</v>
      </c>
      <c r="H3151" s="564" t="s">
        <v>3436</v>
      </c>
      <c r="I3151" s="567">
        <v>0</v>
      </c>
      <c r="J3151" s="17"/>
      <c r="K3151" s="17"/>
      <c r="L3151" s="17"/>
      <c r="M3151" s="17"/>
      <c r="N3151" s="17"/>
      <c r="O3151" s="17"/>
      <c r="P3151" s="17"/>
      <c r="Q3151" s="17"/>
    </row>
    <row r="3152" spans="1:17">
      <c r="A3152" s="17" t="s">
        <v>9155</v>
      </c>
      <c r="B3152" s="17"/>
      <c r="C3152" s="17" t="s">
        <v>2547</v>
      </c>
      <c r="D3152" s="17" t="s">
        <v>6573</v>
      </c>
      <c r="E3152" s="17" t="s">
        <v>9156</v>
      </c>
      <c r="F3152" s="17">
        <v>1</v>
      </c>
      <c r="G3152" s="17">
        <v>1</v>
      </c>
      <c r="H3152" s="17" t="s">
        <v>3716</v>
      </c>
      <c r="I3152" s="17"/>
      <c r="J3152" s="17"/>
      <c r="K3152" s="17"/>
      <c r="L3152" s="17"/>
      <c r="M3152" s="17"/>
      <c r="N3152" s="17"/>
      <c r="O3152" s="17"/>
      <c r="P3152" s="17"/>
      <c r="Q3152" s="17"/>
    </row>
    <row r="3153" spans="1:17">
      <c r="A3153" s="17" t="s">
        <v>9155</v>
      </c>
      <c r="B3153" s="17"/>
      <c r="C3153" s="17" t="s">
        <v>2548</v>
      </c>
      <c r="D3153" s="17" t="s">
        <v>6573</v>
      </c>
      <c r="E3153" s="17" t="s">
        <v>9157</v>
      </c>
      <c r="F3153" s="17">
        <v>3</v>
      </c>
      <c r="G3153" s="17">
        <v>2</v>
      </c>
      <c r="H3153" s="17" t="s">
        <v>3690</v>
      </c>
      <c r="I3153" s="17"/>
      <c r="J3153" s="17"/>
      <c r="K3153" s="17"/>
      <c r="L3153" s="17"/>
      <c r="M3153" s="17"/>
      <c r="N3153" s="17"/>
      <c r="O3153" s="17"/>
      <c r="P3153" s="17"/>
      <c r="Q3153" s="17"/>
    </row>
    <row r="3154" spans="1:17">
      <c r="A3154" s="17" t="s">
        <v>9158</v>
      </c>
      <c r="B3154" s="17"/>
      <c r="C3154" s="17" t="s">
        <v>2549</v>
      </c>
      <c r="D3154" s="17" t="s">
        <v>6573</v>
      </c>
      <c r="E3154" s="17" t="s">
        <v>9159</v>
      </c>
      <c r="F3154" s="17">
        <v>1</v>
      </c>
      <c r="G3154" s="17">
        <v>1</v>
      </c>
      <c r="H3154" s="17" t="s">
        <v>7812</v>
      </c>
      <c r="I3154" s="17"/>
      <c r="J3154" s="17"/>
      <c r="K3154" s="17"/>
      <c r="L3154" s="17"/>
      <c r="M3154" s="17"/>
      <c r="N3154" s="17"/>
      <c r="O3154" s="17"/>
      <c r="P3154" s="17"/>
      <c r="Q3154" s="17"/>
    </row>
    <row r="3155" spans="1:17">
      <c r="A3155" s="17" t="s">
        <v>9158</v>
      </c>
      <c r="B3155" s="17"/>
      <c r="C3155" s="17" t="s">
        <v>6574</v>
      </c>
      <c r="D3155" s="17" t="s">
        <v>6573</v>
      </c>
      <c r="E3155" s="17" t="s">
        <v>9160</v>
      </c>
      <c r="F3155" s="17">
        <v>5</v>
      </c>
      <c r="G3155" s="17">
        <v>1</v>
      </c>
      <c r="H3155" s="17" t="s">
        <v>3700</v>
      </c>
      <c r="I3155" s="17"/>
      <c r="J3155" s="17"/>
      <c r="K3155" s="17"/>
      <c r="L3155" s="17"/>
      <c r="M3155" s="17"/>
      <c r="N3155" s="17"/>
      <c r="O3155" s="17"/>
      <c r="P3155" s="17"/>
      <c r="Q3155" s="17"/>
    </row>
    <row r="3156" spans="1:17">
      <c r="A3156" s="17" t="s">
        <v>9158</v>
      </c>
      <c r="B3156" s="17"/>
      <c r="C3156" s="17" t="s">
        <v>2555</v>
      </c>
      <c r="D3156" s="17" t="s">
        <v>6573</v>
      </c>
      <c r="E3156" s="17" t="s">
        <v>9161</v>
      </c>
      <c r="F3156" s="17">
        <v>10</v>
      </c>
      <c r="G3156" s="17">
        <v>1</v>
      </c>
      <c r="H3156" s="17" t="s">
        <v>3693</v>
      </c>
      <c r="I3156" s="17"/>
      <c r="J3156" s="17"/>
      <c r="K3156" s="17"/>
      <c r="L3156" s="17"/>
      <c r="M3156" s="17"/>
      <c r="N3156" s="17"/>
      <c r="O3156" s="17"/>
      <c r="P3156" s="17"/>
      <c r="Q3156" s="17"/>
    </row>
    <row r="3157" spans="1:17">
      <c r="A3157" s="556" t="s">
        <v>3712</v>
      </c>
      <c r="B3157" s="557"/>
      <c r="C3157" s="558" t="s">
        <v>9087</v>
      </c>
      <c r="D3157" s="556" t="s">
        <v>6573</v>
      </c>
      <c r="E3157" s="559" t="s">
        <v>9088</v>
      </c>
      <c r="F3157" s="17">
        <v>1</v>
      </c>
      <c r="G3157" s="17">
        <v>1</v>
      </c>
      <c r="H3157" s="564" t="s">
        <v>3703</v>
      </c>
      <c r="I3157" s="567"/>
      <c r="J3157" s="17"/>
      <c r="K3157" s="17"/>
      <c r="L3157" s="17"/>
      <c r="M3157" s="17"/>
      <c r="N3157" s="17"/>
      <c r="O3157" s="17"/>
      <c r="P3157" s="17"/>
      <c r="Q3157" s="17"/>
    </row>
    <row r="3158" spans="1:17">
      <c r="A3158" s="556" t="s">
        <v>3712</v>
      </c>
      <c r="B3158" s="557"/>
      <c r="C3158" s="558" t="s">
        <v>9089</v>
      </c>
      <c r="D3158" s="556" t="s">
        <v>6573</v>
      </c>
      <c r="E3158" s="559" t="s">
        <v>9090</v>
      </c>
      <c r="F3158" s="17">
        <v>4</v>
      </c>
      <c r="G3158" s="17">
        <v>1</v>
      </c>
      <c r="H3158" s="564" t="s">
        <v>8559</v>
      </c>
      <c r="I3158" s="567"/>
      <c r="J3158" s="17"/>
      <c r="K3158" s="17"/>
      <c r="L3158" s="17"/>
      <c r="M3158" s="17"/>
      <c r="N3158" s="17"/>
      <c r="O3158" s="17"/>
      <c r="P3158" s="17"/>
      <c r="Q3158" s="17"/>
    </row>
    <row r="3159" spans="1:17">
      <c r="A3159" s="556" t="s">
        <v>3712</v>
      </c>
      <c r="B3159" s="557"/>
      <c r="C3159" s="558" t="s">
        <v>9091</v>
      </c>
      <c r="D3159" s="556" t="s">
        <v>6573</v>
      </c>
      <c r="E3159" s="559" t="s">
        <v>9092</v>
      </c>
      <c r="F3159" s="17">
        <v>11</v>
      </c>
      <c r="G3159" s="17">
        <v>1</v>
      </c>
      <c r="H3159" s="564" t="s">
        <v>8560</v>
      </c>
      <c r="I3159" s="567"/>
      <c r="J3159" s="17"/>
      <c r="K3159" s="17"/>
      <c r="L3159" s="17"/>
      <c r="M3159" s="17"/>
      <c r="N3159" s="17"/>
      <c r="O3159" s="17"/>
      <c r="P3159" s="17"/>
      <c r="Q3159" s="17"/>
    </row>
    <row r="3160" spans="1:17">
      <c r="A3160" s="556" t="s">
        <v>3652</v>
      </c>
      <c r="B3160" s="557" t="s">
        <v>9574</v>
      </c>
      <c r="C3160" s="558" t="s">
        <v>2628</v>
      </c>
      <c r="D3160" s="556" t="s">
        <v>2623</v>
      </c>
      <c r="E3160" s="17" t="s">
        <v>6575</v>
      </c>
      <c r="F3160" s="17">
        <v>1</v>
      </c>
      <c r="G3160" s="17">
        <v>1</v>
      </c>
      <c r="H3160" s="17" t="s">
        <v>3338</v>
      </c>
      <c r="I3160" s="17"/>
      <c r="J3160" s="17"/>
      <c r="K3160" s="17"/>
      <c r="L3160" s="17"/>
      <c r="M3160" s="17"/>
      <c r="N3160" s="17"/>
      <c r="O3160" s="17"/>
      <c r="P3160" s="17"/>
      <c r="Q3160" s="17"/>
    </row>
    <row r="3161" spans="1:17">
      <c r="A3161" s="556" t="s">
        <v>3652</v>
      </c>
      <c r="B3161" s="557" t="s">
        <v>9574</v>
      </c>
      <c r="C3161" s="558" t="s">
        <v>2628</v>
      </c>
      <c r="D3161" s="556" t="s">
        <v>2624</v>
      </c>
      <c r="E3161" s="17" t="s">
        <v>6576</v>
      </c>
      <c r="F3161" s="17">
        <v>1</v>
      </c>
      <c r="G3161" s="17">
        <v>2</v>
      </c>
      <c r="H3161" s="17" t="s">
        <v>2991</v>
      </c>
      <c r="I3161" s="17"/>
      <c r="J3161" s="17"/>
      <c r="K3161" s="17"/>
      <c r="L3161" s="17"/>
      <c r="M3161" s="17"/>
      <c r="N3161" s="17"/>
      <c r="O3161" s="17"/>
      <c r="P3161" s="17"/>
      <c r="Q3161" s="17"/>
    </row>
    <row r="3162" spans="1:17">
      <c r="A3162" s="556" t="s">
        <v>3652</v>
      </c>
      <c r="B3162" s="557" t="s">
        <v>9574</v>
      </c>
      <c r="C3162" s="558" t="s">
        <v>2628</v>
      </c>
      <c r="D3162" s="556" t="s">
        <v>4426</v>
      </c>
      <c r="E3162" s="17" t="s">
        <v>6577</v>
      </c>
      <c r="F3162" s="17">
        <v>1</v>
      </c>
      <c r="G3162" s="17">
        <v>3</v>
      </c>
      <c r="H3162" s="17" t="s">
        <v>2992</v>
      </c>
      <c r="I3162" s="17">
        <v>0</v>
      </c>
      <c r="J3162" s="17"/>
      <c r="K3162" s="17"/>
      <c r="L3162" s="17"/>
      <c r="M3162" s="17"/>
      <c r="N3162" s="17"/>
      <c r="O3162" s="17"/>
      <c r="P3162" s="17"/>
      <c r="Q3162" s="17"/>
    </row>
    <row r="3163" spans="1:17">
      <c r="A3163" s="556" t="s">
        <v>3652</v>
      </c>
      <c r="B3163" s="557" t="s">
        <v>9574</v>
      </c>
      <c r="C3163" s="558" t="s">
        <v>2628</v>
      </c>
      <c r="D3163" s="556" t="s">
        <v>4324</v>
      </c>
      <c r="E3163" s="17" t="s">
        <v>6578</v>
      </c>
      <c r="F3163" s="17">
        <v>1</v>
      </c>
      <c r="G3163" s="17">
        <v>4</v>
      </c>
      <c r="H3163" s="17" t="s">
        <v>3450</v>
      </c>
      <c r="I3163" s="17"/>
      <c r="J3163" s="17"/>
      <c r="K3163" s="17"/>
      <c r="L3163" s="17"/>
      <c r="M3163" s="17"/>
      <c r="N3163" s="17"/>
      <c r="O3163" s="17"/>
      <c r="P3163" s="17"/>
      <c r="Q3163" s="17"/>
    </row>
    <row r="3164" spans="1:17">
      <c r="A3164" s="556" t="s">
        <v>3652</v>
      </c>
      <c r="B3164" s="557" t="s">
        <v>9575</v>
      </c>
      <c r="C3164" s="558" t="s">
        <v>2629</v>
      </c>
      <c r="D3164" s="556" t="s">
        <v>2623</v>
      </c>
      <c r="E3164" s="17" t="s">
        <v>6579</v>
      </c>
      <c r="F3164" s="17">
        <v>2</v>
      </c>
      <c r="G3164" s="17">
        <v>1</v>
      </c>
      <c r="H3164" s="17" t="s">
        <v>3340</v>
      </c>
      <c r="I3164" s="17"/>
      <c r="J3164" s="17"/>
      <c r="K3164" s="17"/>
      <c r="L3164" s="17"/>
      <c r="M3164" s="17"/>
      <c r="N3164" s="17"/>
      <c r="O3164" s="17"/>
      <c r="P3164" s="17"/>
      <c r="Q3164" s="17"/>
    </row>
    <row r="3165" spans="1:17">
      <c r="A3165" s="556" t="s">
        <v>3652</v>
      </c>
      <c r="B3165" s="557" t="s">
        <v>9575</v>
      </c>
      <c r="C3165" s="558" t="s">
        <v>2629</v>
      </c>
      <c r="D3165" s="556" t="s">
        <v>2624</v>
      </c>
      <c r="E3165" s="17" t="s">
        <v>6580</v>
      </c>
      <c r="F3165" s="17">
        <v>2</v>
      </c>
      <c r="G3165" s="17">
        <v>2</v>
      </c>
      <c r="H3165" s="17" t="s">
        <v>3341</v>
      </c>
      <c r="I3165" s="17"/>
      <c r="J3165" s="17"/>
      <c r="K3165" s="17"/>
      <c r="L3165" s="17"/>
      <c r="M3165" s="17"/>
      <c r="N3165" s="17"/>
      <c r="O3165" s="17"/>
      <c r="P3165" s="17"/>
      <c r="Q3165" s="17"/>
    </row>
    <row r="3166" spans="1:17">
      <c r="A3166" s="556" t="s">
        <v>3652</v>
      </c>
      <c r="B3166" s="557" t="s">
        <v>9575</v>
      </c>
      <c r="C3166" s="558" t="s">
        <v>2629</v>
      </c>
      <c r="D3166" s="556" t="s">
        <v>4426</v>
      </c>
      <c r="E3166" s="17" t="s">
        <v>6581</v>
      </c>
      <c r="F3166" s="17">
        <v>2</v>
      </c>
      <c r="G3166" s="17">
        <v>3</v>
      </c>
      <c r="H3166" s="17" t="s">
        <v>3342</v>
      </c>
      <c r="I3166" s="17">
        <v>0</v>
      </c>
      <c r="J3166" s="17"/>
      <c r="K3166" s="17"/>
      <c r="L3166" s="17"/>
      <c r="M3166" s="17"/>
      <c r="N3166" s="17"/>
      <c r="O3166" s="17"/>
      <c r="P3166" s="17"/>
      <c r="Q3166" s="17"/>
    </row>
    <row r="3167" spans="1:17">
      <c r="A3167" s="556" t="s">
        <v>3652</v>
      </c>
      <c r="B3167" s="557" t="s">
        <v>9575</v>
      </c>
      <c r="C3167" s="558" t="s">
        <v>2629</v>
      </c>
      <c r="D3167" s="556" t="s">
        <v>4324</v>
      </c>
      <c r="E3167" s="17" t="s">
        <v>6582</v>
      </c>
      <c r="F3167" s="17">
        <v>2</v>
      </c>
      <c r="G3167" s="17">
        <v>4</v>
      </c>
      <c r="H3167" s="17" t="s">
        <v>3451</v>
      </c>
      <c r="I3167" s="17"/>
      <c r="J3167" s="17"/>
      <c r="K3167" s="17"/>
      <c r="L3167" s="17"/>
      <c r="M3167" s="17"/>
      <c r="N3167" s="17"/>
      <c r="O3167" s="17"/>
      <c r="P3167" s="17"/>
      <c r="Q3167" s="17"/>
    </row>
    <row r="3168" spans="1:17">
      <c r="A3168" s="556" t="s">
        <v>3652</v>
      </c>
      <c r="B3168" s="557" t="s">
        <v>9336</v>
      </c>
      <c r="C3168" s="558" t="s">
        <v>2630</v>
      </c>
      <c r="D3168" s="556" t="s">
        <v>2623</v>
      </c>
      <c r="E3168" s="17" t="s">
        <v>6583</v>
      </c>
      <c r="F3168" s="17">
        <v>3</v>
      </c>
      <c r="G3168" s="17">
        <v>1</v>
      </c>
      <c r="H3168" s="17" t="s">
        <v>3344</v>
      </c>
      <c r="I3168" s="17"/>
      <c r="J3168" s="17"/>
      <c r="K3168" s="17"/>
      <c r="L3168" s="17"/>
      <c r="M3168" s="17"/>
      <c r="N3168" s="17"/>
      <c r="O3168" s="17"/>
      <c r="P3168" s="17"/>
      <c r="Q3168" s="17"/>
    </row>
    <row r="3169" spans="1:17">
      <c r="A3169" s="556" t="s">
        <v>3652</v>
      </c>
      <c r="B3169" s="557" t="s">
        <v>9336</v>
      </c>
      <c r="C3169" s="558" t="s">
        <v>2630</v>
      </c>
      <c r="D3169" s="556" t="s">
        <v>2624</v>
      </c>
      <c r="E3169" s="17" t="s">
        <v>6584</v>
      </c>
      <c r="F3169" s="17">
        <v>3</v>
      </c>
      <c r="G3169" s="17">
        <v>2</v>
      </c>
      <c r="H3169" s="17" t="s">
        <v>3345</v>
      </c>
      <c r="I3169" s="17"/>
      <c r="J3169" s="17"/>
      <c r="K3169" s="17"/>
      <c r="L3169" s="17"/>
      <c r="M3169" s="17"/>
      <c r="N3169" s="17"/>
      <c r="O3169" s="17"/>
      <c r="P3169" s="17"/>
      <c r="Q3169" s="17"/>
    </row>
    <row r="3170" spans="1:17">
      <c r="A3170" s="556" t="s">
        <v>3652</v>
      </c>
      <c r="B3170" s="557" t="s">
        <v>9336</v>
      </c>
      <c r="C3170" s="558" t="s">
        <v>2630</v>
      </c>
      <c r="D3170" s="556" t="s">
        <v>4426</v>
      </c>
      <c r="E3170" s="17" t="s">
        <v>6585</v>
      </c>
      <c r="F3170" s="17">
        <v>3</v>
      </c>
      <c r="G3170" s="17">
        <v>3</v>
      </c>
      <c r="H3170" s="17" t="s">
        <v>3346</v>
      </c>
      <c r="I3170" s="17">
        <v>0</v>
      </c>
      <c r="J3170" s="17"/>
      <c r="K3170" s="17"/>
      <c r="L3170" s="17"/>
      <c r="M3170" s="17"/>
      <c r="N3170" s="17"/>
      <c r="O3170" s="17"/>
      <c r="P3170" s="17"/>
      <c r="Q3170" s="17"/>
    </row>
    <row r="3171" spans="1:17">
      <c r="A3171" s="556" t="s">
        <v>3652</v>
      </c>
      <c r="B3171" s="557" t="s">
        <v>9336</v>
      </c>
      <c r="C3171" s="558" t="s">
        <v>2630</v>
      </c>
      <c r="D3171" s="556" t="s">
        <v>4324</v>
      </c>
      <c r="E3171" s="17" t="s">
        <v>6586</v>
      </c>
      <c r="F3171" s="17">
        <v>3</v>
      </c>
      <c r="G3171" s="17">
        <v>4</v>
      </c>
      <c r="H3171" s="17" t="s">
        <v>3452</v>
      </c>
      <c r="I3171" s="17"/>
      <c r="J3171" s="17"/>
      <c r="K3171" s="17"/>
      <c r="L3171" s="17"/>
      <c r="M3171" s="17"/>
      <c r="N3171" s="17"/>
      <c r="O3171" s="17"/>
      <c r="P3171" s="17"/>
      <c r="Q3171" s="17"/>
    </row>
    <row r="3172" spans="1:17">
      <c r="A3172" s="556" t="s">
        <v>3652</v>
      </c>
      <c r="B3172" s="557" t="s">
        <v>9337</v>
      </c>
      <c r="C3172" s="558" t="s">
        <v>2631</v>
      </c>
      <c r="D3172" s="556" t="s">
        <v>2623</v>
      </c>
      <c r="E3172" s="17" t="s">
        <v>6587</v>
      </c>
      <c r="F3172" s="17">
        <v>4</v>
      </c>
      <c r="G3172" s="17">
        <v>1</v>
      </c>
      <c r="H3172" s="17" t="s">
        <v>3348</v>
      </c>
      <c r="I3172" s="17"/>
      <c r="J3172" s="17"/>
      <c r="K3172" s="17"/>
      <c r="L3172" s="17"/>
      <c r="M3172" s="17"/>
      <c r="N3172" s="17"/>
      <c r="O3172" s="17"/>
      <c r="P3172" s="17"/>
      <c r="Q3172" s="17"/>
    </row>
    <row r="3173" spans="1:17">
      <c r="A3173" s="556" t="s">
        <v>3652</v>
      </c>
      <c r="B3173" s="557" t="s">
        <v>9337</v>
      </c>
      <c r="C3173" s="558" t="s">
        <v>2631</v>
      </c>
      <c r="D3173" s="556" t="s">
        <v>2624</v>
      </c>
      <c r="E3173" s="17" t="s">
        <v>6588</v>
      </c>
      <c r="F3173" s="17">
        <v>4</v>
      </c>
      <c r="G3173" s="17">
        <v>2</v>
      </c>
      <c r="H3173" s="17" t="s">
        <v>3349</v>
      </c>
      <c r="I3173" s="17"/>
      <c r="J3173" s="17"/>
      <c r="K3173" s="17"/>
      <c r="L3173" s="17"/>
      <c r="M3173" s="17"/>
      <c r="N3173" s="17"/>
      <c r="O3173" s="17"/>
      <c r="P3173" s="17"/>
      <c r="Q3173" s="17"/>
    </row>
    <row r="3174" spans="1:17">
      <c r="A3174" s="556" t="s">
        <v>3652</v>
      </c>
      <c r="B3174" s="557" t="s">
        <v>9337</v>
      </c>
      <c r="C3174" s="558" t="s">
        <v>2631</v>
      </c>
      <c r="D3174" s="556" t="s">
        <v>4426</v>
      </c>
      <c r="E3174" s="17" t="s">
        <v>6589</v>
      </c>
      <c r="F3174" s="17">
        <v>4</v>
      </c>
      <c r="G3174" s="17">
        <v>3</v>
      </c>
      <c r="H3174" s="17" t="s">
        <v>3350</v>
      </c>
      <c r="I3174" s="17">
        <v>0</v>
      </c>
      <c r="J3174" s="17"/>
      <c r="K3174" s="17"/>
      <c r="L3174" s="17"/>
      <c r="M3174" s="17"/>
      <c r="N3174" s="17"/>
      <c r="O3174" s="17"/>
      <c r="P3174" s="17"/>
      <c r="Q3174" s="17"/>
    </row>
    <row r="3175" spans="1:17">
      <c r="A3175" s="556" t="s">
        <v>3652</v>
      </c>
      <c r="B3175" s="557" t="s">
        <v>9337</v>
      </c>
      <c r="C3175" s="558" t="s">
        <v>2631</v>
      </c>
      <c r="D3175" s="556" t="s">
        <v>4324</v>
      </c>
      <c r="E3175" s="17" t="s">
        <v>6590</v>
      </c>
      <c r="F3175" s="17">
        <v>4</v>
      </c>
      <c r="G3175" s="17">
        <v>4</v>
      </c>
      <c r="H3175" s="17" t="s">
        <v>3453</v>
      </c>
      <c r="I3175" s="17"/>
      <c r="J3175" s="17"/>
      <c r="K3175" s="17"/>
      <c r="L3175" s="17"/>
      <c r="M3175" s="17"/>
      <c r="N3175" s="17"/>
      <c r="O3175" s="17"/>
      <c r="P3175" s="17"/>
      <c r="Q3175" s="17"/>
    </row>
    <row r="3176" spans="1:17">
      <c r="A3176" s="556" t="s">
        <v>3652</v>
      </c>
      <c r="B3176" s="557" t="s">
        <v>9338</v>
      </c>
      <c r="C3176" s="558" t="s">
        <v>2632</v>
      </c>
      <c r="D3176" s="556" t="s">
        <v>2623</v>
      </c>
      <c r="E3176" s="17" t="s">
        <v>6591</v>
      </c>
      <c r="F3176" s="17">
        <v>5</v>
      </c>
      <c r="G3176" s="17">
        <v>1</v>
      </c>
      <c r="H3176" s="17" t="s">
        <v>3352</v>
      </c>
      <c r="I3176" s="17"/>
      <c r="J3176" s="17"/>
      <c r="K3176" s="17"/>
      <c r="L3176" s="17"/>
      <c r="M3176" s="17"/>
      <c r="N3176" s="17"/>
      <c r="O3176" s="17"/>
      <c r="P3176" s="17"/>
      <c r="Q3176" s="17"/>
    </row>
    <row r="3177" spans="1:17">
      <c r="A3177" s="556" t="s">
        <v>3652</v>
      </c>
      <c r="B3177" s="557" t="s">
        <v>9338</v>
      </c>
      <c r="C3177" s="558" t="s">
        <v>2632</v>
      </c>
      <c r="D3177" s="556" t="s">
        <v>2624</v>
      </c>
      <c r="E3177" s="17" t="s">
        <v>6592</v>
      </c>
      <c r="F3177" s="17">
        <v>5</v>
      </c>
      <c r="G3177" s="17">
        <v>2</v>
      </c>
      <c r="H3177" s="17" t="s">
        <v>3353</v>
      </c>
      <c r="I3177" s="17"/>
      <c r="J3177" s="17"/>
      <c r="K3177" s="17"/>
      <c r="L3177" s="17"/>
      <c r="M3177" s="17"/>
      <c r="N3177" s="17"/>
      <c r="O3177" s="17"/>
      <c r="P3177" s="17"/>
      <c r="Q3177" s="17"/>
    </row>
    <row r="3178" spans="1:17">
      <c r="A3178" s="556" t="s">
        <v>3652</v>
      </c>
      <c r="B3178" s="557" t="s">
        <v>9338</v>
      </c>
      <c r="C3178" s="558" t="s">
        <v>2632</v>
      </c>
      <c r="D3178" s="556" t="s">
        <v>4426</v>
      </c>
      <c r="E3178" s="17" t="s">
        <v>6593</v>
      </c>
      <c r="F3178" s="17">
        <v>5</v>
      </c>
      <c r="G3178" s="17">
        <v>3</v>
      </c>
      <c r="H3178" s="17" t="s">
        <v>3354</v>
      </c>
      <c r="I3178" s="17">
        <v>0</v>
      </c>
      <c r="J3178" s="17"/>
      <c r="K3178" s="17"/>
      <c r="L3178" s="17"/>
      <c r="M3178" s="17"/>
      <c r="N3178" s="17"/>
      <c r="O3178" s="17"/>
      <c r="P3178" s="17"/>
      <c r="Q3178" s="17"/>
    </row>
    <row r="3179" spans="1:17">
      <c r="A3179" s="556" t="s">
        <v>3652</v>
      </c>
      <c r="B3179" s="557" t="s">
        <v>9338</v>
      </c>
      <c r="C3179" s="558" t="s">
        <v>2632</v>
      </c>
      <c r="D3179" s="556" t="s">
        <v>4324</v>
      </c>
      <c r="E3179" s="17" t="s">
        <v>6594</v>
      </c>
      <c r="F3179" s="17">
        <v>5</v>
      </c>
      <c r="G3179" s="17">
        <v>4</v>
      </c>
      <c r="H3179" s="17" t="s">
        <v>3454</v>
      </c>
      <c r="I3179" s="17"/>
      <c r="J3179" s="17"/>
      <c r="K3179" s="17"/>
      <c r="L3179" s="17"/>
      <c r="M3179" s="17"/>
      <c r="N3179" s="17"/>
      <c r="O3179" s="17"/>
      <c r="P3179" s="17"/>
      <c r="Q3179" s="17"/>
    </row>
    <row r="3180" spans="1:17">
      <c r="A3180" s="556" t="s">
        <v>3652</v>
      </c>
      <c r="B3180" s="557" t="s">
        <v>9339</v>
      </c>
      <c r="C3180" s="558" t="s">
        <v>2633</v>
      </c>
      <c r="D3180" s="556" t="s">
        <v>2623</v>
      </c>
      <c r="E3180" s="17" t="s">
        <v>6595</v>
      </c>
      <c r="F3180" s="17">
        <v>6</v>
      </c>
      <c r="G3180" s="17">
        <v>1</v>
      </c>
      <c r="H3180" s="17" t="s">
        <v>3356</v>
      </c>
      <c r="I3180" s="17"/>
      <c r="J3180" s="17"/>
      <c r="K3180" s="17"/>
      <c r="L3180" s="17"/>
      <c r="M3180" s="17"/>
      <c r="N3180" s="17"/>
      <c r="O3180" s="17"/>
      <c r="P3180" s="17"/>
      <c r="Q3180" s="17"/>
    </row>
    <row r="3181" spans="1:17">
      <c r="A3181" s="556" t="s">
        <v>3652</v>
      </c>
      <c r="B3181" s="557" t="s">
        <v>9339</v>
      </c>
      <c r="C3181" s="558" t="s">
        <v>2633</v>
      </c>
      <c r="D3181" s="556" t="s">
        <v>2624</v>
      </c>
      <c r="E3181" s="17" t="s">
        <v>6596</v>
      </c>
      <c r="F3181" s="17">
        <v>6</v>
      </c>
      <c r="G3181" s="17">
        <v>2</v>
      </c>
      <c r="H3181" s="17" t="s">
        <v>3357</v>
      </c>
      <c r="I3181" s="17"/>
      <c r="J3181" s="17"/>
      <c r="K3181" s="17"/>
      <c r="L3181" s="17"/>
      <c r="M3181" s="17"/>
      <c r="N3181" s="17"/>
      <c r="O3181" s="17"/>
      <c r="P3181" s="17"/>
      <c r="Q3181" s="17"/>
    </row>
    <row r="3182" spans="1:17">
      <c r="A3182" s="556" t="s">
        <v>3652</v>
      </c>
      <c r="B3182" s="557" t="s">
        <v>9339</v>
      </c>
      <c r="C3182" s="558" t="s">
        <v>2633</v>
      </c>
      <c r="D3182" s="556" t="s">
        <v>4426</v>
      </c>
      <c r="E3182" s="17" t="s">
        <v>6597</v>
      </c>
      <c r="F3182" s="17">
        <v>6</v>
      </c>
      <c r="G3182" s="17">
        <v>3</v>
      </c>
      <c r="H3182" s="17" t="s">
        <v>3358</v>
      </c>
      <c r="I3182" s="17">
        <v>0</v>
      </c>
      <c r="J3182" s="17"/>
      <c r="K3182" s="17"/>
      <c r="L3182" s="17"/>
      <c r="M3182" s="17"/>
      <c r="N3182" s="17"/>
      <c r="O3182" s="17"/>
      <c r="P3182" s="17"/>
      <c r="Q3182" s="17"/>
    </row>
    <row r="3183" spans="1:17">
      <c r="A3183" s="556" t="s">
        <v>3652</v>
      </c>
      <c r="B3183" s="557" t="s">
        <v>9339</v>
      </c>
      <c r="C3183" s="558" t="s">
        <v>2633</v>
      </c>
      <c r="D3183" s="556" t="s">
        <v>4324</v>
      </c>
      <c r="E3183" s="17" t="s">
        <v>6598</v>
      </c>
      <c r="F3183" s="17">
        <v>6</v>
      </c>
      <c r="G3183" s="17">
        <v>4</v>
      </c>
      <c r="H3183" s="17" t="s">
        <v>3455</v>
      </c>
      <c r="I3183" s="17"/>
      <c r="J3183" s="17"/>
      <c r="K3183" s="17"/>
      <c r="L3183" s="17"/>
      <c r="M3183" s="17"/>
      <c r="N3183" s="17"/>
      <c r="O3183" s="17"/>
      <c r="P3183" s="17"/>
      <c r="Q3183" s="17"/>
    </row>
    <row r="3184" spans="1:17">
      <c r="A3184" s="556" t="s">
        <v>3652</v>
      </c>
      <c r="B3184" s="557" t="s">
        <v>1263</v>
      </c>
      <c r="C3184" s="558" t="s">
        <v>1264</v>
      </c>
      <c r="D3184" s="556" t="s">
        <v>2623</v>
      </c>
      <c r="E3184" s="17" t="s">
        <v>6599</v>
      </c>
      <c r="F3184" s="17">
        <v>7</v>
      </c>
      <c r="G3184" s="17">
        <v>1</v>
      </c>
      <c r="H3184" s="17" t="s">
        <v>3360</v>
      </c>
      <c r="I3184" s="17">
        <v>0</v>
      </c>
      <c r="J3184" s="17"/>
      <c r="K3184" s="17"/>
      <c r="L3184" s="17"/>
      <c r="M3184" s="17"/>
      <c r="N3184" s="17"/>
      <c r="O3184" s="17"/>
      <c r="P3184" s="17"/>
      <c r="Q3184" s="17"/>
    </row>
    <row r="3185" spans="1:17">
      <c r="A3185" s="556" t="s">
        <v>3652</v>
      </c>
      <c r="B3185" s="557" t="s">
        <v>1263</v>
      </c>
      <c r="C3185" s="558" t="s">
        <v>1264</v>
      </c>
      <c r="D3185" s="556" t="s">
        <v>2624</v>
      </c>
      <c r="E3185" s="17" t="s">
        <v>6600</v>
      </c>
      <c r="F3185" s="17">
        <v>7</v>
      </c>
      <c r="G3185" s="17">
        <v>2</v>
      </c>
      <c r="H3185" s="17" t="s">
        <v>3327</v>
      </c>
      <c r="I3185" s="17">
        <v>0</v>
      </c>
      <c r="J3185" s="17"/>
      <c r="K3185" s="17"/>
      <c r="L3185" s="17"/>
      <c r="M3185" s="17"/>
      <c r="N3185" s="17"/>
      <c r="O3185" s="17"/>
      <c r="P3185" s="17"/>
      <c r="Q3185" s="17"/>
    </row>
    <row r="3186" spans="1:17">
      <c r="A3186" s="556" t="s">
        <v>3652</v>
      </c>
      <c r="B3186" s="557" t="s">
        <v>1263</v>
      </c>
      <c r="C3186" s="558" t="s">
        <v>1264</v>
      </c>
      <c r="D3186" s="556" t="s">
        <v>4426</v>
      </c>
      <c r="E3186" s="17" t="s">
        <v>6601</v>
      </c>
      <c r="F3186" s="17">
        <v>7</v>
      </c>
      <c r="G3186" s="17">
        <v>3</v>
      </c>
      <c r="H3186" s="17" t="s">
        <v>3361</v>
      </c>
      <c r="I3186" s="17">
        <v>0</v>
      </c>
      <c r="J3186" s="17"/>
      <c r="K3186" s="17"/>
      <c r="L3186" s="17"/>
      <c r="M3186" s="17"/>
      <c r="N3186" s="17"/>
      <c r="O3186" s="17"/>
      <c r="P3186" s="17"/>
      <c r="Q3186" s="17"/>
    </row>
    <row r="3187" spans="1:17">
      <c r="A3187" s="556" t="s">
        <v>3652</v>
      </c>
      <c r="B3187" s="557" t="s">
        <v>1263</v>
      </c>
      <c r="C3187" s="558" t="s">
        <v>1264</v>
      </c>
      <c r="D3187" s="556" t="s">
        <v>4324</v>
      </c>
      <c r="E3187" s="17" t="s">
        <v>6602</v>
      </c>
      <c r="F3187" s="17">
        <v>7</v>
      </c>
      <c r="G3187" s="17">
        <v>4</v>
      </c>
      <c r="H3187" s="17" t="s">
        <v>3456</v>
      </c>
      <c r="I3187" s="17"/>
      <c r="J3187" s="17"/>
      <c r="K3187" s="17"/>
      <c r="L3187" s="17"/>
      <c r="M3187" s="17"/>
      <c r="N3187" s="17"/>
      <c r="O3187" s="17"/>
      <c r="P3187" s="17"/>
      <c r="Q3187" s="17"/>
    </row>
    <row r="3188" spans="1:17">
      <c r="A3188" s="556" t="s">
        <v>3652</v>
      </c>
      <c r="B3188" s="557" t="s">
        <v>9340</v>
      </c>
      <c r="C3188" s="558" t="s">
        <v>2634</v>
      </c>
      <c r="D3188" s="556" t="s">
        <v>2623</v>
      </c>
      <c r="E3188" s="17" t="s">
        <v>6603</v>
      </c>
      <c r="F3188" s="17">
        <v>8</v>
      </c>
      <c r="G3188" s="17">
        <v>1</v>
      </c>
      <c r="H3188" s="17" t="s">
        <v>3363</v>
      </c>
      <c r="I3188" s="17"/>
      <c r="J3188" s="17"/>
      <c r="K3188" s="17"/>
      <c r="L3188" s="17"/>
      <c r="M3188" s="17"/>
      <c r="N3188" s="17"/>
      <c r="O3188" s="17"/>
      <c r="P3188" s="17"/>
      <c r="Q3188" s="17"/>
    </row>
    <row r="3189" spans="1:17">
      <c r="A3189" s="556" t="s">
        <v>3652</v>
      </c>
      <c r="B3189" s="557" t="s">
        <v>9340</v>
      </c>
      <c r="C3189" s="558" t="s">
        <v>2634</v>
      </c>
      <c r="D3189" s="556" t="s">
        <v>2624</v>
      </c>
      <c r="E3189" s="17" t="s">
        <v>6604</v>
      </c>
      <c r="F3189" s="17">
        <v>8</v>
      </c>
      <c r="G3189" s="17">
        <v>2</v>
      </c>
      <c r="H3189" s="17" t="s">
        <v>3364</v>
      </c>
      <c r="I3189" s="17"/>
      <c r="J3189" s="17"/>
      <c r="K3189" s="17"/>
      <c r="L3189" s="17"/>
      <c r="M3189" s="17"/>
      <c r="N3189" s="17"/>
      <c r="O3189" s="17"/>
      <c r="P3189" s="17"/>
      <c r="Q3189" s="17"/>
    </row>
    <row r="3190" spans="1:17">
      <c r="A3190" s="556" t="s">
        <v>3652</v>
      </c>
      <c r="B3190" s="557" t="s">
        <v>9340</v>
      </c>
      <c r="C3190" s="558" t="s">
        <v>2634</v>
      </c>
      <c r="D3190" s="556" t="s">
        <v>4426</v>
      </c>
      <c r="E3190" s="17" t="s">
        <v>6605</v>
      </c>
      <c r="F3190" s="17">
        <v>8</v>
      </c>
      <c r="G3190" s="17">
        <v>3</v>
      </c>
      <c r="H3190" s="17" t="s">
        <v>3365</v>
      </c>
      <c r="I3190" s="17">
        <v>0</v>
      </c>
      <c r="J3190" s="17"/>
      <c r="K3190" s="17"/>
      <c r="L3190" s="17"/>
      <c r="M3190" s="17"/>
      <c r="N3190" s="17"/>
      <c r="O3190" s="17"/>
      <c r="P3190" s="17"/>
      <c r="Q3190" s="17"/>
    </row>
    <row r="3191" spans="1:17">
      <c r="A3191" s="556" t="s">
        <v>3652</v>
      </c>
      <c r="B3191" s="557" t="s">
        <v>9340</v>
      </c>
      <c r="C3191" s="558" t="s">
        <v>2634</v>
      </c>
      <c r="D3191" s="556" t="s">
        <v>4324</v>
      </c>
      <c r="E3191" s="17" t="s">
        <v>6606</v>
      </c>
      <c r="F3191" s="17">
        <v>8</v>
      </c>
      <c r="G3191" s="17">
        <v>4</v>
      </c>
      <c r="H3191" s="17" t="s">
        <v>3457</v>
      </c>
      <c r="I3191" s="17"/>
      <c r="J3191" s="17"/>
      <c r="K3191" s="17"/>
      <c r="L3191" s="17"/>
      <c r="M3191" s="17"/>
      <c r="N3191" s="17"/>
      <c r="O3191" s="17"/>
      <c r="P3191" s="17"/>
      <c r="Q3191" s="17"/>
    </row>
    <row r="3192" spans="1:17">
      <c r="A3192" s="556" t="s">
        <v>3652</v>
      </c>
      <c r="B3192" s="557" t="s">
        <v>1266</v>
      </c>
      <c r="C3192" s="558" t="s">
        <v>2635</v>
      </c>
      <c r="D3192" s="556" t="s">
        <v>2623</v>
      </c>
      <c r="E3192" s="17" t="s">
        <v>6607</v>
      </c>
      <c r="F3192" s="17">
        <v>9</v>
      </c>
      <c r="G3192" s="17">
        <v>1</v>
      </c>
      <c r="H3192" s="17" t="s">
        <v>3367</v>
      </c>
      <c r="I3192" s="17">
        <v>0</v>
      </c>
      <c r="J3192" s="17"/>
      <c r="K3192" s="17"/>
      <c r="L3192" s="17"/>
      <c r="M3192" s="17"/>
      <c r="N3192" s="17"/>
      <c r="O3192" s="17"/>
      <c r="P3192" s="17"/>
      <c r="Q3192" s="17"/>
    </row>
    <row r="3193" spans="1:17">
      <c r="A3193" s="556" t="s">
        <v>3652</v>
      </c>
      <c r="B3193" s="557" t="s">
        <v>1266</v>
      </c>
      <c r="C3193" s="558" t="s">
        <v>2635</v>
      </c>
      <c r="D3193" s="556" t="s">
        <v>2624</v>
      </c>
      <c r="E3193" s="17" t="s">
        <v>6608</v>
      </c>
      <c r="F3193" s="17">
        <v>9</v>
      </c>
      <c r="G3193" s="17">
        <v>2</v>
      </c>
      <c r="H3193" s="17" t="s">
        <v>3368</v>
      </c>
      <c r="I3193" s="17">
        <v>0</v>
      </c>
      <c r="J3193" s="17"/>
      <c r="K3193" s="17"/>
      <c r="L3193" s="17"/>
      <c r="M3193" s="17"/>
      <c r="N3193" s="17"/>
      <c r="O3193" s="17"/>
      <c r="P3193" s="17"/>
      <c r="Q3193" s="17"/>
    </row>
    <row r="3194" spans="1:17">
      <c r="A3194" s="556" t="s">
        <v>3652</v>
      </c>
      <c r="B3194" s="557" t="s">
        <v>1266</v>
      </c>
      <c r="C3194" s="558" t="s">
        <v>2635</v>
      </c>
      <c r="D3194" s="556" t="s">
        <v>4426</v>
      </c>
      <c r="E3194" s="17" t="s">
        <v>6609</v>
      </c>
      <c r="F3194" s="17">
        <v>9</v>
      </c>
      <c r="G3194" s="17">
        <v>3</v>
      </c>
      <c r="H3194" s="17" t="s">
        <v>3369</v>
      </c>
      <c r="I3194" s="17">
        <v>0</v>
      </c>
      <c r="J3194" s="17"/>
      <c r="K3194" s="17"/>
      <c r="L3194" s="17"/>
      <c r="M3194" s="17"/>
      <c r="N3194" s="17"/>
      <c r="O3194" s="17"/>
      <c r="P3194" s="17"/>
      <c r="Q3194" s="17"/>
    </row>
    <row r="3195" spans="1:17">
      <c r="A3195" s="556" t="s">
        <v>3652</v>
      </c>
      <c r="B3195" s="557" t="s">
        <v>1266</v>
      </c>
      <c r="C3195" s="558" t="s">
        <v>2635</v>
      </c>
      <c r="D3195" s="556" t="s">
        <v>4324</v>
      </c>
      <c r="E3195" s="17" t="s">
        <v>6610</v>
      </c>
      <c r="F3195" s="17">
        <v>9</v>
      </c>
      <c r="G3195" s="17">
        <v>4</v>
      </c>
      <c r="H3195" s="17" t="s">
        <v>3458</v>
      </c>
      <c r="I3195" s="17"/>
      <c r="J3195" s="17"/>
      <c r="K3195" s="17"/>
      <c r="L3195" s="17"/>
      <c r="M3195" s="17"/>
      <c r="N3195" s="17"/>
      <c r="O3195" s="17"/>
      <c r="P3195" s="17"/>
      <c r="Q3195" s="17"/>
    </row>
    <row r="3196" spans="1:17">
      <c r="A3196" s="556" t="s">
        <v>3652</v>
      </c>
      <c r="B3196" s="557" t="s">
        <v>9341</v>
      </c>
      <c r="C3196" s="558" t="s">
        <v>2636</v>
      </c>
      <c r="D3196" s="556" t="s">
        <v>2623</v>
      </c>
      <c r="E3196" s="17" t="s">
        <v>6611</v>
      </c>
      <c r="F3196" s="17">
        <v>10</v>
      </c>
      <c r="G3196" s="17">
        <v>1</v>
      </c>
      <c r="H3196" s="17" t="s">
        <v>3371</v>
      </c>
      <c r="I3196" s="17"/>
      <c r="J3196" s="17"/>
      <c r="K3196" s="17"/>
      <c r="L3196" s="17"/>
      <c r="M3196" s="17"/>
      <c r="N3196" s="17"/>
      <c r="O3196" s="17"/>
      <c r="P3196" s="17"/>
      <c r="Q3196" s="17"/>
    </row>
    <row r="3197" spans="1:17">
      <c r="A3197" s="556" t="s">
        <v>3652</v>
      </c>
      <c r="B3197" s="557" t="s">
        <v>9341</v>
      </c>
      <c r="C3197" s="558" t="s">
        <v>2636</v>
      </c>
      <c r="D3197" s="556" t="s">
        <v>2624</v>
      </c>
      <c r="E3197" s="17" t="s">
        <v>6612</v>
      </c>
      <c r="F3197" s="17">
        <v>10</v>
      </c>
      <c r="G3197" s="17">
        <v>2</v>
      </c>
      <c r="H3197" s="17" t="s">
        <v>3372</v>
      </c>
      <c r="I3197" s="17"/>
      <c r="J3197" s="17"/>
      <c r="K3197" s="17"/>
      <c r="L3197" s="17"/>
      <c r="M3197" s="17"/>
      <c r="N3197" s="17"/>
      <c r="O3197" s="17"/>
      <c r="P3197" s="17"/>
      <c r="Q3197" s="17"/>
    </row>
    <row r="3198" spans="1:17">
      <c r="A3198" s="556" t="s">
        <v>3652</v>
      </c>
      <c r="B3198" s="557" t="s">
        <v>9341</v>
      </c>
      <c r="C3198" s="558" t="s">
        <v>2636</v>
      </c>
      <c r="D3198" s="556" t="s">
        <v>4426</v>
      </c>
      <c r="E3198" s="17" t="s">
        <v>6613</v>
      </c>
      <c r="F3198" s="17">
        <v>10</v>
      </c>
      <c r="G3198" s="17">
        <v>3</v>
      </c>
      <c r="H3198" s="17" t="s">
        <v>3373</v>
      </c>
      <c r="I3198" s="17">
        <v>0</v>
      </c>
      <c r="J3198" s="17"/>
      <c r="K3198" s="17"/>
      <c r="L3198" s="17"/>
      <c r="M3198" s="17"/>
      <c r="N3198" s="17"/>
      <c r="O3198" s="17"/>
      <c r="P3198" s="17"/>
      <c r="Q3198" s="17"/>
    </row>
    <row r="3199" spans="1:17">
      <c r="A3199" s="556" t="s">
        <v>3652</v>
      </c>
      <c r="B3199" s="557" t="s">
        <v>9341</v>
      </c>
      <c r="C3199" s="558" t="s">
        <v>2636</v>
      </c>
      <c r="D3199" s="556" t="s">
        <v>4324</v>
      </c>
      <c r="E3199" s="17" t="s">
        <v>6614</v>
      </c>
      <c r="F3199" s="17">
        <v>10</v>
      </c>
      <c r="G3199" s="17">
        <v>4</v>
      </c>
      <c r="H3199" s="17" t="s">
        <v>3459</v>
      </c>
      <c r="I3199" s="17"/>
      <c r="J3199" s="17"/>
      <c r="K3199" s="17"/>
      <c r="L3199" s="17"/>
      <c r="M3199" s="17"/>
      <c r="N3199" s="17"/>
      <c r="O3199" s="17"/>
      <c r="P3199" s="17"/>
      <c r="Q3199" s="17"/>
    </row>
    <row r="3200" spans="1:17">
      <c r="A3200" s="556" t="s">
        <v>3652</v>
      </c>
      <c r="B3200" s="557" t="s">
        <v>9342</v>
      </c>
      <c r="C3200" s="558" t="s">
        <v>2637</v>
      </c>
      <c r="D3200" s="556" t="s">
        <v>2623</v>
      </c>
      <c r="E3200" s="17" t="s">
        <v>6615</v>
      </c>
      <c r="F3200" s="17">
        <v>11</v>
      </c>
      <c r="G3200" s="17">
        <v>1</v>
      </c>
      <c r="H3200" s="17" t="s">
        <v>3375</v>
      </c>
      <c r="I3200" s="17"/>
      <c r="J3200" s="17"/>
      <c r="K3200" s="17"/>
      <c r="L3200" s="17"/>
      <c r="M3200" s="17"/>
      <c r="N3200" s="17"/>
      <c r="O3200" s="17"/>
      <c r="P3200" s="17"/>
      <c r="Q3200" s="17"/>
    </row>
    <row r="3201" spans="1:17">
      <c r="A3201" s="556" t="s">
        <v>3652</v>
      </c>
      <c r="B3201" s="557" t="s">
        <v>9342</v>
      </c>
      <c r="C3201" s="558" t="s">
        <v>2637</v>
      </c>
      <c r="D3201" s="556" t="s">
        <v>2624</v>
      </c>
      <c r="E3201" s="17" t="s">
        <v>6616</v>
      </c>
      <c r="F3201" s="17">
        <v>11</v>
      </c>
      <c r="G3201" s="17">
        <v>2</v>
      </c>
      <c r="H3201" s="17" t="s">
        <v>3376</v>
      </c>
      <c r="I3201" s="17"/>
      <c r="J3201" s="17"/>
      <c r="K3201" s="17"/>
      <c r="L3201" s="17"/>
      <c r="M3201" s="17"/>
      <c r="N3201" s="17"/>
      <c r="O3201" s="17"/>
      <c r="P3201" s="17"/>
      <c r="Q3201" s="17"/>
    </row>
    <row r="3202" spans="1:17">
      <c r="A3202" s="556" t="s">
        <v>3652</v>
      </c>
      <c r="B3202" s="557" t="s">
        <v>9342</v>
      </c>
      <c r="C3202" s="558" t="s">
        <v>2637</v>
      </c>
      <c r="D3202" s="556" t="s">
        <v>4426</v>
      </c>
      <c r="E3202" s="17" t="s">
        <v>6617</v>
      </c>
      <c r="F3202" s="17">
        <v>11</v>
      </c>
      <c r="G3202" s="17">
        <v>3</v>
      </c>
      <c r="H3202" s="17" t="s">
        <v>3377</v>
      </c>
      <c r="I3202" s="17">
        <v>0</v>
      </c>
      <c r="J3202" s="17"/>
      <c r="K3202" s="17"/>
      <c r="L3202" s="17"/>
      <c r="M3202" s="17"/>
      <c r="N3202" s="17"/>
      <c r="O3202" s="17"/>
      <c r="P3202" s="17"/>
      <c r="Q3202" s="17"/>
    </row>
    <row r="3203" spans="1:17">
      <c r="A3203" s="556" t="s">
        <v>3652</v>
      </c>
      <c r="B3203" s="557" t="s">
        <v>9342</v>
      </c>
      <c r="C3203" s="558" t="s">
        <v>2637</v>
      </c>
      <c r="D3203" s="556" t="s">
        <v>4324</v>
      </c>
      <c r="E3203" s="17" t="s">
        <v>6618</v>
      </c>
      <c r="F3203" s="17">
        <v>11</v>
      </c>
      <c r="G3203" s="17">
        <v>4</v>
      </c>
      <c r="H3203" s="17" t="s">
        <v>3460</v>
      </c>
      <c r="I3203" s="17"/>
      <c r="J3203" s="17"/>
      <c r="K3203" s="17"/>
      <c r="L3203" s="17"/>
      <c r="M3203" s="17"/>
      <c r="N3203" s="17"/>
      <c r="O3203" s="17"/>
      <c r="P3203" s="17"/>
      <c r="Q3203" s="17"/>
    </row>
    <row r="3204" spans="1:17">
      <c r="A3204" s="556" t="s">
        <v>3652</v>
      </c>
      <c r="B3204" s="557" t="s">
        <v>9343</v>
      </c>
      <c r="C3204" s="558" t="s">
        <v>2638</v>
      </c>
      <c r="D3204" s="556" t="s">
        <v>2623</v>
      </c>
      <c r="E3204" s="17" t="s">
        <v>6619</v>
      </c>
      <c r="F3204" s="17">
        <v>12</v>
      </c>
      <c r="G3204" s="17">
        <v>1</v>
      </c>
      <c r="H3204" s="17" t="s">
        <v>3379</v>
      </c>
      <c r="I3204" s="17"/>
      <c r="J3204" s="17"/>
      <c r="K3204" s="17"/>
      <c r="L3204" s="17"/>
      <c r="M3204" s="17"/>
      <c r="N3204" s="17"/>
      <c r="O3204" s="17"/>
      <c r="P3204" s="17"/>
      <c r="Q3204" s="17"/>
    </row>
    <row r="3205" spans="1:17">
      <c r="A3205" s="556" t="s">
        <v>3652</v>
      </c>
      <c r="B3205" s="557" t="s">
        <v>9343</v>
      </c>
      <c r="C3205" s="558" t="s">
        <v>2638</v>
      </c>
      <c r="D3205" s="556" t="s">
        <v>2624</v>
      </c>
      <c r="E3205" s="17" t="s">
        <v>6620</v>
      </c>
      <c r="F3205" s="17">
        <v>12</v>
      </c>
      <c r="G3205" s="17">
        <v>2</v>
      </c>
      <c r="H3205" s="17" t="s">
        <v>3380</v>
      </c>
      <c r="I3205" s="17"/>
      <c r="J3205" s="17"/>
      <c r="K3205" s="17"/>
      <c r="L3205" s="17"/>
      <c r="M3205" s="17"/>
      <c r="N3205" s="17"/>
      <c r="O3205" s="17"/>
      <c r="P3205" s="17"/>
      <c r="Q3205" s="17"/>
    </row>
    <row r="3206" spans="1:17">
      <c r="A3206" s="556" t="s">
        <v>3652</v>
      </c>
      <c r="B3206" s="557" t="s">
        <v>9343</v>
      </c>
      <c r="C3206" s="558" t="s">
        <v>2638</v>
      </c>
      <c r="D3206" s="556" t="s">
        <v>4426</v>
      </c>
      <c r="E3206" s="17" t="s">
        <v>6621</v>
      </c>
      <c r="F3206" s="17">
        <v>12</v>
      </c>
      <c r="G3206" s="17">
        <v>3</v>
      </c>
      <c r="H3206" s="17" t="s">
        <v>3381</v>
      </c>
      <c r="I3206" s="17">
        <v>0</v>
      </c>
      <c r="J3206" s="17"/>
      <c r="K3206" s="17"/>
      <c r="L3206" s="17"/>
      <c r="M3206" s="17"/>
      <c r="N3206" s="17"/>
      <c r="O3206" s="17"/>
      <c r="P3206" s="17"/>
      <c r="Q3206" s="17"/>
    </row>
    <row r="3207" spans="1:17">
      <c r="A3207" s="556" t="s">
        <v>3652</v>
      </c>
      <c r="B3207" s="557" t="s">
        <v>9343</v>
      </c>
      <c r="C3207" s="558" t="s">
        <v>2638</v>
      </c>
      <c r="D3207" s="556" t="s">
        <v>4324</v>
      </c>
      <c r="E3207" s="17" t="s">
        <v>6622</v>
      </c>
      <c r="F3207" s="17">
        <v>12</v>
      </c>
      <c r="G3207" s="17">
        <v>4</v>
      </c>
      <c r="H3207" s="17" t="s">
        <v>3461</v>
      </c>
      <c r="I3207" s="17"/>
      <c r="J3207" s="17"/>
      <c r="K3207" s="17"/>
      <c r="L3207" s="17"/>
      <c r="M3207" s="17"/>
      <c r="N3207" s="17"/>
      <c r="O3207" s="17"/>
      <c r="P3207" s="17"/>
      <c r="Q3207" s="17"/>
    </row>
    <row r="3208" spans="1:17">
      <c r="A3208" s="556" t="s">
        <v>3652</v>
      </c>
      <c r="B3208" s="557" t="s">
        <v>9344</v>
      </c>
      <c r="C3208" s="558" t="s">
        <v>2639</v>
      </c>
      <c r="D3208" s="556" t="s">
        <v>2623</v>
      </c>
      <c r="E3208" s="17" t="s">
        <v>6623</v>
      </c>
      <c r="F3208" s="17">
        <v>13</v>
      </c>
      <c r="G3208" s="17">
        <v>1</v>
      </c>
      <c r="H3208" s="17" t="s">
        <v>3383</v>
      </c>
      <c r="I3208" s="17"/>
      <c r="J3208" s="17"/>
      <c r="K3208" s="17"/>
      <c r="L3208" s="17"/>
      <c r="M3208" s="17"/>
      <c r="N3208" s="17"/>
      <c r="O3208" s="17"/>
      <c r="P3208" s="17"/>
      <c r="Q3208" s="17"/>
    </row>
    <row r="3209" spans="1:17">
      <c r="A3209" s="556" t="s">
        <v>3652</v>
      </c>
      <c r="B3209" s="557" t="s">
        <v>9344</v>
      </c>
      <c r="C3209" s="558" t="s">
        <v>2639</v>
      </c>
      <c r="D3209" s="556" t="s">
        <v>2624</v>
      </c>
      <c r="E3209" s="17" t="s">
        <v>6624</v>
      </c>
      <c r="F3209" s="17">
        <v>13</v>
      </c>
      <c r="G3209" s="17">
        <v>2</v>
      </c>
      <c r="H3209" s="17" t="s">
        <v>3384</v>
      </c>
      <c r="I3209" s="17"/>
      <c r="J3209" s="17"/>
      <c r="K3209" s="17"/>
      <c r="L3209" s="17"/>
      <c r="M3209" s="17"/>
      <c r="N3209" s="17"/>
      <c r="O3209" s="17"/>
      <c r="P3209" s="17"/>
      <c r="Q3209" s="17"/>
    </row>
    <row r="3210" spans="1:17">
      <c r="A3210" s="556" t="s">
        <v>3652</v>
      </c>
      <c r="B3210" s="557" t="s">
        <v>9344</v>
      </c>
      <c r="C3210" s="558" t="s">
        <v>2639</v>
      </c>
      <c r="D3210" s="556" t="s">
        <v>4426</v>
      </c>
      <c r="E3210" s="17" t="s">
        <v>6625</v>
      </c>
      <c r="F3210" s="17">
        <v>13</v>
      </c>
      <c r="G3210" s="17">
        <v>3</v>
      </c>
      <c r="H3210" s="17" t="s">
        <v>3385</v>
      </c>
      <c r="I3210" s="17">
        <v>0</v>
      </c>
      <c r="J3210" s="17"/>
      <c r="K3210" s="17"/>
      <c r="L3210" s="17"/>
      <c r="M3210" s="17"/>
      <c r="N3210" s="17"/>
      <c r="O3210" s="17"/>
      <c r="P3210" s="17"/>
      <c r="Q3210" s="17"/>
    </row>
    <row r="3211" spans="1:17">
      <c r="A3211" s="556" t="s">
        <v>3652</v>
      </c>
      <c r="B3211" s="557" t="s">
        <v>9344</v>
      </c>
      <c r="C3211" s="558" t="s">
        <v>2639</v>
      </c>
      <c r="D3211" s="556" t="s">
        <v>4324</v>
      </c>
      <c r="E3211" s="17" t="s">
        <v>6626</v>
      </c>
      <c r="F3211" s="17">
        <v>13</v>
      </c>
      <c r="G3211" s="17">
        <v>4</v>
      </c>
      <c r="H3211" s="17" t="s">
        <v>3462</v>
      </c>
      <c r="I3211" s="17"/>
      <c r="J3211" s="17"/>
      <c r="K3211" s="17"/>
      <c r="L3211" s="17"/>
      <c r="M3211" s="17"/>
      <c r="N3211" s="17"/>
      <c r="O3211" s="17"/>
      <c r="P3211" s="17"/>
      <c r="Q3211" s="17"/>
    </row>
    <row r="3212" spans="1:17">
      <c r="A3212" s="556" t="s">
        <v>3652</v>
      </c>
      <c r="B3212" s="557" t="s">
        <v>9345</v>
      </c>
      <c r="C3212" s="558" t="s">
        <v>2632</v>
      </c>
      <c r="D3212" s="556" t="s">
        <v>2623</v>
      </c>
      <c r="E3212" s="17" t="s">
        <v>6627</v>
      </c>
      <c r="F3212" s="17">
        <v>14</v>
      </c>
      <c r="G3212" s="17">
        <v>1</v>
      </c>
      <c r="H3212" s="17" t="s">
        <v>3387</v>
      </c>
      <c r="I3212" s="17"/>
      <c r="J3212" s="17"/>
      <c r="K3212" s="17"/>
      <c r="L3212" s="17"/>
      <c r="M3212" s="17"/>
      <c r="N3212" s="17"/>
      <c r="O3212" s="17"/>
      <c r="P3212" s="17"/>
      <c r="Q3212" s="17"/>
    </row>
    <row r="3213" spans="1:17">
      <c r="A3213" s="556" t="s">
        <v>3652</v>
      </c>
      <c r="B3213" s="557" t="s">
        <v>9345</v>
      </c>
      <c r="C3213" s="558" t="s">
        <v>2632</v>
      </c>
      <c r="D3213" s="556" t="s">
        <v>2624</v>
      </c>
      <c r="E3213" s="17" t="s">
        <v>6628</v>
      </c>
      <c r="F3213" s="17">
        <v>14</v>
      </c>
      <c r="G3213" s="17">
        <v>2</v>
      </c>
      <c r="H3213" s="17" t="s">
        <v>3388</v>
      </c>
      <c r="I3213" s="17"/>
      <c r="J3213" s="17"/>
      <c r="K3213" s="17"/>
      <c r="L3213" s="17"/>
      <c r="M3213" s="17"/>
      <c r="N3213" s="17"/>
      <c r="O3213" s="17"/>
      <c r="P3213" s="17"/>
      <c r="Q3213" s="17"/>
    </row>
    <row r="3214" spans="1:17">
      <c r="A3214" s="556" t="s">
        <v>3652</v>
      </c>
      <c r="B3214" s="557" t="s">
        <v>9345</v>
      </c>
      <c r="C3214" s="558" t="s">
        <v>2632</v>
      </c>
      <c r="D3214" s="556" t="s">
        <v>4426</v>
      </c>
      <c r="E3214" s="17" t="s">
        <v>6629</v>
      </c>
      <c r="F3214" s="17">
        <v>14</v>
      </c>
      <c r="G3214" s="17">
        <v>3</v>
      </c>
      <c r="H3214" s="17" t="s">
        <v>3389</v>
      </c>
      <c r="I3214" s="17">
        <v>0</v>
      </c>
      <c r="J3214" s="17"/>
      <c r="K3214" s="17"/>
      <c r="L3214" s="17"/>
      <c r="M3214" s="17"/>
      <c r="N3214" s="17"/>
      <c r="O3214" s="17"/>
      <c r="P3214" s="17"/>
      <c r="Q3214" s="17"/>
    </row>
    <row r="3215" spans="1:17">
      <c r="A3215" s="556" t="s">
        <v>3652</v>
      </c>
      <c r="B3215" s="557" t="s">
        <v>9345</v>
      </c>
      <c r="C3215" s="558" t="s">
        <v>2632</v>
      </c>
      <c r="D3215" s="556" t="s">
        <v>4324</v>
      </c>
      <c r="E3215" s="17" t="s">
        <v>6630</v>
      </c>
      <c r="F3215" s="17">
        <v>14</v>
      </c>
      <c r="G3215" s="17">
        <v>4</v>
      </c>
      <c r="H3215" s="17" t="s">
        <v>3463</v>
      </c>
      <c r="I3215" s="17"/>
      <c r="J3215" s="17"/>
      <c r="K3215" s="17"/>
      <c r="L3215" s="17"/>
      <c r="M3215" s="17"/>
      <c r="N3215" s="17"/>
      <c r="O3215" s="17"/>
      <c r="P3215" s="17"/>
      <c r="Q3215" s="17"/>
    </row>
    <row r="3216" spans="1:17">
      <c r="A3216" s="556" t="s">
        <v>3652</v>
      </c>
      <c r="B3216" s="557" t="s">
        <v>9346</v>
      </c>
      <c r="C3216" s="558" t="s">
        <v>2633</v>
      </c>
      <c r="D3216" s="556" t="s">
        <v>2623</v>
      </c>
      <c r="E3216" s="17" t="s">
        <v>6631</v>
      </c>
      <c r="F3216" s="17">
        <v>15</v>
      </c>
      <c r="G3216" s="17">
        <v>1</v>
      </c>
      <c r="H3216" s="17" t="s">
        <v>3391</v>
      </c>
      <c r="I3216" s="17"/>
      <c r="J3216" s="17"/>
      <c r="K3216" s="17"/>
      <c r="L3216" s="17"/>
      <c r="M3216" s="17"/>
      <c r="N3216" s="17"/>
      <c r="O3216" s="17"/>
      <c r="P3216" s="17"/>
      <c r="Q3216" s="17"/>
    </row>
    <row r="3217" spans="1:17">
      <c r="A3217" s="556" t="s">
        <v>3652</v>
      </c>
      <c r="B3217" s="557" t="s">
        <v>9346</v>
      </c>
      <c r="C3217" s="558" t="s">
        <v>2633</v>
      </c>
      <c r="D3217" s="556" t="s">
        <v>2624</v>
      </c>
      <c r="E3217" s="17" t="s">
        <v>6632</v>
      </c>
      <c r="F3217" s="17">
        <v>15</v>
      </c>
      <c r="G3217" s="17">
        <v>2</v>
      </c>
      <c r="H3217" s="17" t="s">
        <v>3392</v>
      </c>
      <c r="I3217" s="17"/>
      <c r="J3217" s="17"/>
      <c r="K3217" s="17"/>
      <c r="L3217" s="17"/>
      <c r="M3217" s="17"/>
      <c r="N3217" s="17"/>
      <c r="O3217" s="17"/>
      <c r="P3217" s="17"/>
      <c r="Q3217" s="17"/>
    </row>
    <row r="3218" spans="1:17">
      <c r="A3218" s="556" t="s">
        <v>3652</v>
      </c>
      <c r="B3218" s="557" t="s">
        <v>9346</v>
      </c>
      <c r="C3218" s="558" t="s">
        <v>2633</v>
      </c>
      <c r="D3218" s="556" t="s">
        <v>4426</v>
      </c>
      <c r="E3218" s="17" t="s">
        <v>6633</v>
      </c>
      <c r="F3218" s="17">
        <v>15</v>
      </c>
      <c r="G3218" s="17">
        <v>3</v>
      </c>
      <c r="H3218" s="17" t="s">
        <v>3393</v>
      </c>
      <c r="I3218" s="17">
        <v>0</v>
      </c>
      <c r="J3218" s="17"/>
      <c r="K3218" s="17"/>
      <c r="L3218" s="17"/>
      <c r="M3218" s="17"/>
      <c r="N3218" s="17"/>
      <c r="O3218" s="17"/>
      <c r="P3218" s="17"/>
      <c r="Q3218" s="17"/>
    </row>
    <row r="3219" spans="1:17">
      <c r="A3219" s="556" t="s">
        <v>3652</v>
      </c>
      <c r="B3219" s="557" t="s">
        <v>9346</v>
      </c>
      <c r="C3219" s="558" t="s">
        <v>2633</v>
      </c>
      <c r="D3219" s="556" t="s">
        <v>4324</v>
      </c>
      <c r="E3219" s="17" t="s">
        <v>6634</v>
      </c>
      <c r="F3219" s="17">
        <v>15</v>
      </c>
      <c r="G3219" s="17">
        <v>4</v>
      </c>
      <c r="H3219" s="17" t="s">
        <v>3464</v>
      </c>
      <c r="I3219" s="17"/>
      <c r="J3219" s="17"/>
      <c r="K3219" s="17"/>
      <c r="L3219" s="17"/>
      <c r="M3219" s="17"/>
      <c r="N3219" s="17"/>
      <c r="O3219" s="17"/>
      <c r="P3219" s="17"/>
      <c r="Q3219" s="17"/>
    </row>
    <row r="3220" spans="1:17">
      <c r="A3220" s="556" t="s">
        <v>3652</v>
      </c>
      <c r="B3220" s="557" t="s">
        <v>1292</v>
      </c>
      <c r="C3220" s="558" t="s">
        <v>1293</v>
      </c>
      <c r="D3220" s="556" t="s">
        <v>2623</v>
      </c>
      <c r="E3220" s="17" t="s">
        <v>6635</v>
      </c>
      <c r="F3220" s="17">
        <v>16</v>
      </c>
      <c r="G3220" s="17">
        <v>1</v>
      </c>
      <c r="H3220" s="17" t="s">
        <v>3395</v>
      </c>
      <c r="I3220" s="17">
        <v>0</v>
      </c>
      <c r="J3220" s="17"/>
      <c r="K3220" s="17"/>
      <c r="L3220" s="17"/>
      <c r="M3220" s="17"/>
      <c r="N3220" s="17"/>
      <c r="O3220" s="17"/>
      <c r="P3220" s="17"/>
      <c r="Q3220" s="17"/>
    </row>
    <row r="3221" spans="1:17">
      <c r="A3221" s="556" t="s">
        <v>3652</v>
      </c>
      <c r="B3221" s="557" t="s">
        <v>1292</v>
      </c>
      <c r="C3221" s="558" t="s">
        <v>1293</v>
      </c>
      <c r="D3221" s="556" t="s">
        <v>2624</v>
      </c>
      <c r="E3221" s="17" t="s">
        <v>6636</v>
      </c>
      <c r="F3221" s="17">
        <v>16</v>
      </c>
      <c r="G3221" s="17">
        <v>2</v>
      </c>
      <c r="H3221" s="17" t="s">
        <v>3396</v>
      </c>
      <c r="I3221" s="17">
        <v>0</v>
      </c>
      <c r="J3221" s="17"/>
      <c r="K3221" s="17"/>
      <c r="L3221" s="17"/>
      <c r="M3221" s="17"/>
      <c r="N3221" s="17"/>
      <c r="O3221" s="17"/>
      <c r="P3221" s="17"/>
      <c r="Q3221" s="17"/>
    </row>
    <row r="3222" spans="1:17">
      <c r="A3222" s="556" t="s">
        <v>3652</v>
      </c>
      <c r="B3222" s="557" t="s">
        <v>1292</v>
      </c>
      <c r="C3222" s="558" t="s">
        <v>1293</v>
      </c>
      <c r="D3222" s="556" t="s">
        <v>4426</v>
      </c>
      <c r="E3222" s="17" t="s">
        <v>6637</v>
      </c>
      <c r="F3222" s="17">
        <v>16</v>
      </c>
      <c r="G3222" s="17">
        <v>3</v>
      </c>
      <c r="H3222" s="17" t="s">
        <v>3397</v>
      </c>
      <c r="I3222" s="17">
        <v>0</v>
      </c>
      <c r="J3222" s="17"/>
      <c r="K3222" s="17"/>
      <c r="L3222" s="17"/>
      <c r="M3222" s="17"/>
      <c r="N3222" s="17"/>
      <c r="O3222" s="17"/>
      <c r="P3222" s="17"/>
      <c r="Q3222" s="17"/>
    </row>
    <row r="3223" spans="1:17">
      <c r="A3223" s="556" t="s">
        <v>3652</v>
      </c>
      <c r="B3223" s="557" t="s">
        <v>1292</v>
      </c>
      <c r="C3223" s="558" t="s">
        <v>1293</v>
      </c>
      <c r="D3223" s="556" t="s">
        <v>4324</v>
      </c>
      <c r="E3223" s="17" t="s">
        <v>6638</v>
      </c>
      <c r="F3223" s="17">
        <v>16</v>
      </c>
      <c r="G3223" s="17">
        <v>4</v>
      </c>
      <c r="H3223" s="17" t="s">
        <v>3465</v>
      </c>
      <c r="I3223" s="17"/>
      <c r="J3223" s="17"/>
      <c r="K3223" s="17"/>
      <c r="L3223" s="17"/>
      <c r="M3223" s="17"/>
      <c r="N3223" s="17"/>
      <c r="O3223" s="17"/>
      <c r="P3223" s="17"/>
      <c r="Q3223" s="17"/>
    </row>
    <row r="3224" spans="1:17">
      <c r="A3224" s="556" t="s">
        <v>3652</v>
      </c>
      <c r="B3224" s="557" t="s">
        <v>9347</v>
      </c>
      <c r="C3224" s="558" t="s">
        <v>2640</v>
      </c>
      <c r="D3224" s="556" t="s">
        <v>2623</v>
      </c>
      <c r="E3224" s="17" t="s">
        <v>6639</v>
      </c>
      <c r="F3224" s="17">
        <v>17</v>
      </c>
      <c r="G3224" s="17">
        <v>1</v>
      </c>
      <c r="H3224" s="17" t="s">
        <v>3399</v>
      </c>
      <c r="I3224" s="17"/>
      <c r="J3224" s="17"/>
      <c r="K3224" s="17"/>
      <c r="L3224" s="17"/>
      <c r="M3224" s="17"/>
      <c r="N3224" s="17"/>
      <c r="O3224" s="17"/>
      <c r="P3224" s="17"/>
      <c r="Q3224" s="17"/>
    </row>
    <row r="3225" spans="1:17">
      <c r="A3225" s="556" t="s">
        <v>3652</v>
      </c>
      <c r="B3225" s="557" t="s">
        <v>9347</v>
      </c>
      <c r="C3225" s="558" t="s">
        <v>2640</v>
      </c>
      <c r="D3225" s="556" t="s">
        <v>2624</v>
      </c>
      <c r="E3225" s="17" t="s">
        <v>6640</v>
      </c>
      <c r="F3225" s="17">
        <v>17</v>
      </c>
      <c r="G3225" s="17">
        <v>2</v>
      </c>
      <c r="H3225" s="17" t="s">
        <v>3400</v>
      </c>
      <c r="I3225" s="17"/>
      <c r="J3225" s="17"/>
      <c r="K3225" s="17"/>
      <c r="L3225" s="17"/>
      <c r="M3225" s="17"/>
      <c r="N3225" s="17"/>
      <c r="O3225" s="17"/>
      <c r="P3225" s="17"/>
      <c r="Q3225" s="17"/>
    </row>
    <row r="3226" spans="1:17">
      <c r="A3226" s="556" t="s">
        <v>3652</v>
      </c>
      <c r="B3226" s="557" t="s">
        <v>9347</v>
      </c>
      <c r="C3226" s="558" t="s">
        <v>2640</v>
      </c>
      <c r="D3226" s="556" t="s">
        <v>4426</v>
      </c>
      <c r="E3226" s="17" t="s">
        <v>6641</v>
      </c>
      <c r="F3226" s="17">
        <v>17</v>
      </c>
      <c r="G3226" s="17">
        <v>3</v>
      </c>
      <c r="H3226" s="17" t="s">
        <v>3401</v>
      </c>
      <c r="I3226" s="17">
        <v>0</v>
      </c>
      <c r="J3226" s="17"/>
      <c r="K3226" s="17"/>
      <c r="L3226" s="17"/>
      <c r="M3226" s="17"/>
      <c r="N3226" s="17"/>
      <c r="O3226" s="17"/>
      <c r="P3226" s="17"/>
      <c r="Q3226" s="17"/>
    </row>
    <row r="3227" spans="1:17">
      <c r="A3227" s="556" t="s">
        <v>3652</v>
      </c>
      <c r="B3227" s="557" t="s">
        <v>9347</v>
      </c>
      <c r="C3227" s="558" t="s">
        <v>2640</v>
      </c>
      <c r="D3227" s="556" t="s">
        <v>4324</v>
      </c>
      <c r="E3227" s="17" t="s">
        <v>6642</v>
      </c>
      <c r="F3227" s="17">
        <v>17</v>
      </c>
      <c r="G3227" s="17">
        <v>4</v>
      </c>
      <c r="H3227" s="17" t="s">
        <v>3466</v>
      </c>
      <c r="I3227" s="17"/>
      <c r="J3227" s="17"/>
      <c r="K3227" s="17"/>
      <c r="L3227" s="17"/>
      <c r="M3227" s="17"/>
      <c r="N3227" s="17"/>
      <c r="O3227" s="17"/>
      <c r="P3227" s="17"/>
      <c r="Q3227" s="17"/>
    </row>
    <row r="3228" spans="1:17">
      <c r="A3228" s="556" t="s">
        <v>3652</v>
      </c>
      <c r="B3228" s="557" t="s">
        <v>1294</v>
      </c>
      <c r="C3228" s="558" t="s">
        <v>2641</v>
      </c>
      <c r="D3228" s="556" t="s">
        <v>2623</v>
      </c>
      <c r="E3228" s="17" t="s">
        <v>6643</v>
      </c>
      <c r="F3228" s="17">
        <v>18</v>
      </c>
      <c r="G3228" s="17">
        <v>1</v>
      </c>
      <c r="H3228" s="17" t="s">
        <v>3403</v>
      </c>
      <c r="I3228" s="17">
        <v>0</v>
      </c>
      <c r="J3228" s="17"/>
      <c r="K3228" s="17"/>
      <c r="L3228" s="17"/>
      <c r="M3228" s="17"/>
      <c r="N3228" s="17"/>
      <c r="O3228" s="17"/>
      <c r="P3228" s="17"/>
      <c r="Q3228" s="17"/>
    </row>
    <row r="3229" spans="1:17">
      <c r="A3229" s="556" t="s">
        <v>3652</v>
      </c>
      <c r="B3229" s="557" t="s">
        <v>1294</v>
      </c>
      <c r="C3229" s="558" t="s">
        <v>2641</v>
      </c>
      <c r="D3229" s="556" t="s">
        <v>2624</v>
      </c>
      <c r="E3229" s="17" t="s">
        <v>6644</v>
      </c>
      <c r="F3229" s="17">
        <v>18</v>
      </c>
      <c r="G3229" s="17">
        <v>2</v>
      </c>
      <c r="H3229" s="17" t="s">
        <v>3404</v>
      </c>
      <c r="I3229" s="17">
        <v>0</v>
      </c>
      <c r="J3229" s="17"/>
      <c r="K3229" s="17"/>
      <c r="L3229" s="17"/>
      <c r="M3229" s="17"/>
      <c r="N3229" s="17"/>
      <c r="O3229" s="17"/>
      <c r="P3229" s="17"/>
      <c r="Q3229" s="17"/>
    </row>
    <row r="3230" spans="1:17">
      <c r="A3230" s="556" t="s">
        <v>3652</v>
      </c>
      <c r="B3230" s="557" t="s">
        <v>1294</v>
      </c>
      <c r="C3230" s="558" t="s">
        <v>2641</v>
      </c>
      <c r="D3230" s="556" t="s">
        <v>4426</v>
      </c>
      <c r="E3230" s="17" t="s">
        <v>6645</v>
      </c>
      <c r="F3230" s="17">
        <v>18</v>
      </c>
      <c r="G3230" s="17">
        <v>3</v>
      </c>
      <c r="H3230" s="17" t="s">
        <v>3405</v>
      </c>
      <c r="I3230" s="17">
        <v>0</v>
      </c>
      <c r="J3230" s="17"/>
      <c r="K3230" s="17"/>
      <c r="L3230" s="17"/>
      <c r="M3230" s="17"/>
      <c r="N3230" s="17"/>
      <c r="O3230" s="17"/>
      <c r="P3230" s="17"/>
      <c r="Q3230" s="17"/>
    </row>
    <row r="3231" spans="1:17">
      <c r="A3231" s="556" t="s">
        <v>3652</v>
      </c>
      <c r="B3231" s="557" t="s">
        <v>1294</v>
      </c>
      <c r="C3231" s="558" t="s">
        <v>2641</v>
      </c>
      <c r="D3231" s="556" t="s">
        <v>4324</v>
      </c>
      <c r="E3231" s="17" t="s">
        <v>6646</v>
      </c>
      <c r="F3231" s="17">
        <v>18</v>
      </c>
      <c r="G3231" s="17">
        <v>4</v>
      </c>
      <c r="H3231" s="17" t="s">
        <v>3467</v>
      </c>
      <c r="I3231" s="17"/>
      <c r="J3231" s="17"/>
      <c r="K3231" s="17"/>
      <c r="L3231" s="17"/>
      <c r="M3231" s="17"/>
      <c r="N3231" s="17"/>
      <c r="O3231" s="17"/>
      <c r="P3231" s="17"/>
      <c r="Q3231" s="17"/>
    </row>
    <row r="3232" spans="1:17">
      <c r="A3232" s="556" t="s">
        <v>3652</v>
      </c>
      <c r="B3232" s="557" t="s">
        <v>9348</v>
      </c>
      <c r="C3232" s="558" t="s">
        <v>2169</v>
      </c>
      <c r="D3232" s="556" t="s">
        <v>2623</v>
      </c>
      <c r="E3232" s="17" t="s">
        <v>6647</v>
      </c>
      <c r="F3232" s="17">
        <v>19</v>
      </c>
      <c r="G3232" s="17">
        <v>1</v>
      </c>
      <c r="H3232" s="17" t="s">
        <v>3407</v>
      </c>
      <c r="I3232" s="17"/>
      <c r="J3232" s="17"/>
      <c r="K3232" s="17"/>
      <c r="L3232" s="17"/>
      <c r="M3232" s="17"/>
      <c r="N3232" s="17"/>
      <c r="O3232" s="17"/>
      <c r="P3232" s="17"/>
      <c r="Q3232" s="17"/>
    </row>
    <row r="3233" spans="1:17">
      <c r="A3233" s="556" t="s">
        <v>3652</v>
      </c>
      <c r="B3233" s="557" t="s">
        <v>9348</v>
      </c>
      <c r="C3233" s="558" t="s">
        <v>2169</v>
      </c>
      <c r="D3233" s="556" t="s">
        <v>2624</v>
      </c>
      <c r="E3233" s="17" t="s">
        <v>6648</v>
      </c>
      <c r="F3233" s="17">
        <v>19</v>
      </c>
      <c r="G3233" s="17">
        <v>2</v>
      </c>
      <c r="H3233" s="17" t="s">
        <v>3408</v>
      </c>
      <c r="I3233" s="17"/>
      <c r="J3233" s="17"/>
      <c r="K3233" s="17"/>
      <c r="L3233" s="17"/>
      <c r="M3233" s="17"/>
      <c r="N3233" s="17"/>
      <c r="O3233" s="17"/>
      <c r="P3233" s="17"/>
      <c r="Q3233" s="17"/>
    </row>
    <row r="3234" spans="1:17">
      <c r="A3234" s="556" t="s">
        <v>3652</v>
      </c>
      <c r="B3234" s="557" t="s">
        <v>9348</v>
      </c>
      <c r="C3234" s="558" t="s">
        <v>2169</v>
      </c>
      <c r="D3234" s="556" t="s">
        <v>4426</v>
      </c>
      <c r="E3234" s="17" t="s">
        <v>6649</v>
      </c>
      <c r="F3234" s="17">
        <v>19</v>
      </c>
      <c r="G3234" s="17">
        <v>3</v>
      </c>
      <c r="H3234" s="17" t="s">
        <v>3409</v>
      </c>
      <c r="I3234" s="17">
        <v>0</v>
      </c>
      <c r="J3234" s="17"/>
      <c r="K3234" s="17"/>
      <c r="L3234" s="17"/>
      <c r="M3234" s="17"/>
      <c r="N3234" s="17"/>
      <c r="O3234" s="17"/>
      <c r="P3234" s="17"/>
      <c r="Q3234" s="17"/>
    </row>
    <row r="3235" spans="1:17">
      <c r="A3235" s="556" t="s">
        <v>3652</v>
      </c>
      <c r="B3235" s="557" t="s">
        <v>9348</v>
      </c>
      <c r="C3235" s="558" t="s">
        <v>2169</v>
      </c>
      <c r="D3235" s="556" t="s">
        <v>4324</v>
      </c>
      <c r="E3235" s="17" t="s">
        <v>6650</v>
      </c>
      <c r="F3235" s="17">
        <v>19</v>
      </c>
      <c r="G3235" s="17">
        <v>4</v>
      </c>
      <c r="H3235" s="17" t="s">
        <v>3468</v>
      </c>
      <c r="I3235" s="17"/>
      <c r="J3235" s="17"/>
      <c r="K3235" s="17"/>
      <c r="L3235" s="17"/>
      <c r="M3235" s="17"/>
      <c r="N3235" s="17"/>
      <c r="O3235" s="17"/>
      <c r="P3235" s="17"/>
      <c r="Q3235" s="17"/>
    </row>
    <row r="3236" spans="1:17">
      <c r="A3236" s="556" t="s">
        <v>3652</v>
      </c>
      <c r="B3236" s="557" t="s">
        <v>9349</v>
      </c>
      <c r="C3236" s="558" t="s">
        <v>2170</v>
      </c>
      <c r="D3236" s="556" t="s">
        <v>2623</v>
      </c>
      <c r="E3236" s="17" t="s">
        <v>6651</v>
      </c>
      <c r="F3236" s="17">
        <v>20</v>
      </c>
      <c r="G3236" s="17">
        <v>1</v>
      </c>
      <c r="H3236" s="17" t="s">
        <v>3411</v>
      </c>
      <c r="I3236" s="17"/>
      <c r="J3236" s="17"/>
      <c r="K3236" s="17"/>
      <c r="L3236" s="17"/>
      <c r="M3236" s="17"/>
      <c r="N3236" s="17"/>
      <c r="O3236" s="17"/>
      <c r="P3236" s="17"/>
      <c r="Q3236" s="17"/>
    </row>
    <row r="3237" spans="1:17">
      <c r="A3237" s="556" t="s">
        <v>3652</v>
      </c>
      <c r="B3237" s="557" t="s">
        <v>9349</v>
      </c>
      <c r="C3237" s="558" t="s">
        <v>2170</v>
      </c>
      <c r="D3237" s="556" t="s">
        <v>2624</v>
      </c>
      <c r="E3237" s="17" t="s">
        <v>6652</v>
      </c>
      <c r="F3237" s="17">
        <v>20</v>
      </c>
      <c r="G3237" s="17">
        <v>2</v>
      </c>
      <c r="H3237" s="17" t="s">
        <v>3412</v>
      </c>
      <c r="I3237" s="17"/>
      <c r="J3237" s="17"/>
      <c r="K3237" s="17"/>
      <c r="L3237" s="17"/>
      <c r="M3237" s="17"/>
      <c r="N3237" s="17"/>
      <c r="O3237" s="17"/>
      <c r="P3237" s="17"/>
      <c r="Q3237" s="17"/>
    </row>
    <row r="3238" spans="1:17">
      <c r="A3238" s="556" t="s">
        <v>3652</v>
      </c>
      <c r="B3238" s="557" t="s">
        <v>9349</v>
      </c>
      <c r="C3238" s="558" t="s">
        <v>2170</v>
      </c>
      <c r="D3238" s="556" t="s">
        <v>4426</v>
      </c>
      <c r="E3238" s="17" t="s">
        <v>6653</v>
      </c>
      <c r="F3238" s="17">
        <v>20</v>
      </c>
      <c r="G3238" s="17">
        <v>3</v>
      </c>
      <c r="H3238" s="17" t="s">
        <v>3413</v>
      </c>
      <c r="I3238" s="17">
        <v>0</v>
      </c>
      <c r="J3238" s="17"/>
      <c r="K3238" s="17"/>
      <c r="L3238" s="17"/>
      <c r="M3238" s="17"/>
      <c r="N3238" s="17"/>
      <c r="O3238" s="17"/>
      <c r="P3238" s="17"/>
      <c r="Q3238" s="17"/>
    </row>
    <row r="3239" spans="1:17">
      <c r="A3239" s="556" t="s">
        <v>3652</v>
      </c>
      <c r="B3239" s="557" t="s">
        <v>9349</v>
      </c>
      <c r="C3239" s="558" t="s">
        <v>2170</v>
      </c>
      <c r="D3239" s="556" t="s">
        <v>4324</v>
      </c>
      <c r="E3239" s="17" t="s">
        <v>6654</v>
      </c>
      <c r="F3239" s="17">
        <v>20</v>
      </c>
      <c r="G3239" s="17">
        <v>4</v>
      </c>
      <c r="H3239" s="17" t="s">
        <v>3469</v>
      </c>
      <c r="I3239" s="17"/>
      <c r="J3239" s="17"/>
      <c r="K3239" s="17"/>
      <c r="L3239" s="17"/>
      <c r="M3239" s="17"/>
      <c r="N3239" s="17"/>
      <c r="O3239" s="17"/>
      <c r="P3239" s="17"/>
      <c r="Q3239" s="17"/>
    </row>
    <row r="3240" spans="1:17">
      <c r="A3240" s="556" t="s">
        <v>3652</v>
      </c>
      <c r="B3240" s="557" t="s">
        <v>9350</v>
      </c>
      <c r="C3240" s="558" t="s">
        <v>2171</v>
      </c>
      <c r="D3240" s="556" t="s">
        <v>2623</v>
      </c>
      <c r="E3240" s="17" t="s">
        <v>6655</v>
      </c>
      <c r="F3240" s="17">
        <v>21</v>
      </c>
      <c r="G3240" s="17">
        <v>1</v>
      </c>
      <c r="H3240" s="17" t="s">
        <v>3415</v>
      </c>
      <c r="I3240" s="17"/>
      <c r="J3240" s="17"/>
      <c r="K3240" s="17"/>
      <c r="L3240" s="17"/>
      <c r="M3240" s="17"/>
      <c r="N3240" s="17"/>
      <c r="O3240" s="17"/>
      <c r="P3240" s="17"/>
      <c r="Q3240" s="17"/>
    </row>
    <row r="3241" spans="1:17">
      <c r="A3241" s="556" t="s">
        <v>3652</v>
      </c>
      <c r="B3241" s="557" t="s">
        <v>9350</v>
      </c>
      <c r="C3241" s="558" t="s">
        <v>2171</v>
      </c>
      <c r="D3241" s="556" t="s">
        <v>2624</v>
      </c>
      <c r="E3241" s="17" t="s">
        <v>6656</v>
      </c>
      <c r="F3241" s="17">
        <v>21</v>
      </c>
      <c r="G3241" s="17">
        <v>2</v>
      </c>
      <c r="H3241" s="17" t="s">
        <v>3416</v>
      </c>
      <c r="I3241" s="17"/>
      <c r="J3241" s="17"/>
      <c r="K3241" s="17"/>
      <c r="L3241" s="17"/>
      <c r="M3241" s="17"/>
      <c r="N3241" s="17"/>
      <c r="O3241" s="17"/>
      <c r="P3241" s="17"/>
      <c r="Q3241" s="17"/>
    </row>
    <row r="3242" spans="1:17">
      <c r="A3242" s="556" t="s">
        <v>3652</v>
      </c>
      <c r="B3242" s="557" t="s">
        <v>9350</v>
      </c>
      <c r="C3242" s="558" t="s">
        <v>2171</v>
      </c>
      <c r="D3242" s="556" t="s">
        <v>4426</v>
      </c>
      <c r="E3242" s="17" t="s">
        <v>6657</v>
      </c>
      <c r="F3242" s="17">
        <v>21</v>
      </c>
      <c r="G3242" s="17">
        <v>3</v>
      </c>
      <c r="H3242" s="17" t="s">
        <v>3417</v>
      </c>
      <c r="I3242" s="17">
        <v>0</v>
      </c>
      <c r="J3242" s="17"/>
      <c r="K3242" s="17"/>
      <c r="L3242" s="17"/>
      <c r="M3242" s="17"/>
      <c r="N3242" s="17"/>
      <c r="O3242" s="17"/>
      <c r="P3242" s="17"/>
      <c r="Q3242" s="17"/>
    </row>
    <row r="3243" spans="1:17">
      <c r="A3243" s="556" t="s">
        <v>3652</v>
      </c>
      <c r="B3243" s="557" t="s">
        <v>9350</v>
      </c>
      <c r="C3243" s="558" t="s">
        <v>2171</v>
      </c>
      <c r="D3243" s="556" t="s">
        <v>4324</v>
      </c>
      <c r="E3243" s="17" t="s">
        <v>6658</v>
      </c>
      <c r="F3243" s="17">
        <v>21</v>
      </c>
      <c r="G3243" s="17">
        <v>4</v>
      </c>
      <c r="H3243" s="17" t="s">
        <v>3470</v>
      </c>
      <c r="I3243" s="17"/>
      <c r="J3243" s="17"/>
      <c r="K3243" s="17"/>
      <c r="L3243" s="17"/>
      <c r="M3243" s="17"/>
      <c r="N3243" s="17"/>
      <c r="O3243" s="17"/>
      <c r="P3243" s="17"/>
      <c r="Q3243" s="17"/>
    </row>
    <row r="3244" spans="1:17">
      <c r="A3244" s="556" t="s">
        <v>3652</v>
      </c>
      <c r="B3244" s="557" t="s">
        <v>9351</v>
      </c>
      <c r="C3244" s="558" t="s">
        <v>2642</v>
      </c>
      <c r="D3244" s="556" t="s">
        <v>2623</v>
      </c>
      <c r="E3244" s="17" t="s">
        <v>6659</v>
      </c>
      <c r="F3244" s="17">
        <v>22</v>
      </c>
      <c r="G3244" s="17">
        <v>1</v>
      </c>
      <c r="H3244" s="17" t="s">
        <v>3419</v>
      </c>
      <c r="I3244" s="17"/>
      <c r="J3244" s="17"/>
      <c r="K3244" s="17"/>
      <c r="L3244" s="17"/>
      <c r="M3244" s="17"/>
      <c r="N3244" s="17"/>
      <c r="O3244" s="17"/>
      <c r="P3244" s="17"/>
      <c r="Q3244" s="17"/>
    </row>
    <row r="3245" spans="1:17">
      <c r="A3245" s="556" t="s">
        <v>3652</v>
      </c>
      <c r="B3245" s="557" t="s">
        <v>9351</v>
      </c>
      <c r="C3245" s="558" t="s">
        <v>2642</v>
      </c>
      <c r="D3245" s="556" t="s">
        <v>2624</v>
      </c>
      <c r="E3245" s="17" t="s">
        <v>6660</v>
      </c>
      <c r="F3245" s="17">
        <v>22</v>
      </c>
      <c r="G3245" s="17">
        <v>2</v>
      </c>
      <c r="H3245" s="17" t="s">
        <v>3420</v>
      </c>
      <c r="I3245" s="17"/>
      <c r="J3245" s="17"/>
      <c r="K3245" s="17"/>
      <c r="L3245" s="17"/>
      <c r="M3245" s="17"/>
      <c r="N3245" s="17"/>
      <c r="O3245" s="17"/>
      <c r="P3245" s="17"/>
      <c r="Q3245" s="17"/>
    </row>
    <row r="3246" spans="1:17">
      <c r="A3246" s="556" t="s">
        <v>3652</v>
      </c>
      <c r="B3246" s="557" t="s">
        <v>9351</v>
      </c>
      <c r="C3246" s="558" t="s">
        <v>2642</v>
      </c>
      <c r="D3246" s="556" t="s">
        <v>4426</v>
      </c>
      <c r="E3246" s="17" t="s">
        <v>6661</v>
      </c>
      <c r="F3246" s="17">
        <v>22</v>
      </c>
      <c r="G3246" s="17">
        <v>3</v>
      </c>
      <c r="H3246" s="17" t="s">
        <v>3421</v>
      </c>
      <c r="I3246" s="17">
        <v>0</v>
      </c>
      <c r="J3246" s="17"/>
      <c r="K3246" s="17"/>
      <c r="L3246" s="17"/>
      <c r="M3246" s="17"/>
      <c r="N3246" s="17"/>
      <c r="O3246" s="17"/>
      <c r="P3246" s="17"/>
      <c r="Q3246" s="17"/>
    </row>
    <row r="3247" spans="1:17">
      <c r="A3247" s="556" t="s">
        <v>3652</v>
      </c>
      <c r="B3247" s="557" t="s">
        <v>9351</v>
      </c>
      <c r="C3247" s="558" t="s">
        <v>2642</v>
      </c>
      <c r="D3247" s="556" t="s">
        <v>4324</v>
      </c>
      <c r="E3247" s="17" t="s">
        <v>6662</v>
      </c>
      <c r="F3247" s="17">
        <v>22</v>
      </c>
      <c r="G3247" s="17">
        <v>4</v>
      </c>
      <c r="H3247" s="17" t="s">
        <v>3471</v>
      </c>
      <c r="I3247" s="17"/>
      <c r="J3247" s="17"/>
      <c r="K3247" s="17"/>
      <c r="L3247" s="17"/>
      <c r="M3247" s="17"/>
      <c r="N3247" s="17"/>
      <c r="O3247" s="17"/>
      <c r="P3247" s="17"/>
      <c r="Q3247" s="17"/>
    </row>
    <row r="3248" spans="1:17">
      <c r="A3248" s="556" t="s">
        <v>3652</v>
      </c>
      <c r="B3248" s="557" t="s">
        <v>9352</v>
      </c>
      <c r="C3248" s="558" t="s">
        <v>2632</v>
      </c>
      <c r="D3248" s="556" t="s">
        <v>2623</v>
      </c>
      <c r="E3248" s="17" t="s">
        <v>6663</v>
      </c>
      <c r="F3248" s="17">
        <v>23</v>
      </c>
      <c r="G3248" s="17">
        <v>1</v>
      </c>
      <c r="H3248" s="17" t="s">
        <v>3423</v>
      </c>
      <c r="I3248" s="17"/>
      <c r="J3248" s="17"/>
      <c r="K3248" s="17"/>
      <c r="L3248" s="17"/>
      <c r="M3248" s="17"/>
      <c r="N3248" s="17"/>
      <c r="O3248" s="17"/>
      <c r="P3248" s="17"/>
      <c r="Q3248" s="17"/>
    </row>
    <row r="3249" spans="1:17">
      <c r="A3249" s="556" t="s">
        <v>3652</v>
      </c>
      <c r="B3249" s="557" t="s">
        <v>9352</v>
      </c>
      <c r="C3249" s="558" t="s">
        <v>2632</v>
      </c>
      <c r="D3249" s="556" t="s">
        <v>2624</v>
      </c>
      <c r="E3249" s="17" t="s">
        <v>6664</v>
      </c>
      <c r="F3249" s="17">
        <v>23</v>
      </c>
      <c r="G3249" s="17">
        <v>2</v>
      </c>
      <c r="H3249" s="17" t="s">
        <v>3424</v>
      </c>
      <c r="I3249" s="17"/>
      <c r="J3249" s="17"/>
      <c r="K3249" s="17"/>
      <c r="L3249" s="17"/>
      <c r="M3249" s="17"/>
      <c r="N3249" s="17"/>
      <c r="O3249" s="17"/>
      <c r="P3249" s="17"/>
      <c r="Q3249" s="17"/>
    </row>
    <row r="3250" spans="1:17">
      <c r="A3250" s="556" t="s">
        <v>3652</v>
      </c>
      <c r="B3250" s="557" t="s">
        <v>9352</v>
      </c>
      <c r="C3250" s="558" t="s">
        <v>2632</v>
      </c>
      <c r="D3250" s="556" t="s">
        <v>4426</v>
      </c>
      <c r="E3250" s="17" t="s">
        <v>6665</v>
      </c>
      <c r="F3250" s="17">
        <v>23</v>
      </c>
      <c r="G3250" s="17">
        <v>3</v>
      </c>
      <c r="H3250" s="17" t="s">
        <v>3425</v>
      </c>
      <c r="I3250" s="17">
        <v>0</v>
      </c>
      <c r="J3250" s="17"/>
      <c r="K3250" s="17"/>
      <c r="L3250" s="17"/>
      <c r="M3250" s="17"/>
      <c r="N3250" s="17"/>
      <c r="O3250" s="17"/>
      <c r="P3250" s="17"/>
      <c r="Q3250" s="17"/>
    </row>
    <row r="3251" spans="1:17">
      <c r="A3251" s="556" t="s">
        <v>3652</v>
      </c>
      <c r="B3251" s="557" t="s">
        <v>9352</v>
      </c>
      <c r="C3251" s="558" t="s">
        <v>2632</v>
      </c>
      <c r="D3251" s="556" t="s">
        <v>4324</v>
      </c>
      <c r="E3251" s="17" t="s">
        <v>6666</v>
      </c>
      <c r="F3251" s="17">
        <v>23</v>
      </c>
      <c r="G3251" s="17">
        <v>4</v>
      </c>
      <c r="H3251" s="17" t="s">
        <v>3472</v>
      </c>
      <c r="I3251" s="17"/>
      <c r="J3251" s="17"/>
      <c r="K3251" s="17"/>
      <c r="L3251" s="17"/>
      <c r="M3251" s="17"/>
      <c r="N3251" s="17"/>
      <c r="O3251" s="17"/>
      <c r="P3251" s="17"/>
      <c r="Q3251" s="17"/>
    </row>
    <row r="3252" spans="1:17">
      <c r="A3252" s="556" t="s">
        <v>3652</v>
      </c>
      <c r="B3252" s="557" t="s">
        <v>9353</v>
      </c>
      <c r="C3252" s="558" t="s">
        <v>2643</v>
      </c>
      <c r="D3252" s="556" t="s">
        <v>2623</v>
      </c>
      <c r="E3252" s="17" t="s">
        <v>6667</v>
      </c>
      <c r="F3252" s="17">
        <v>24</v>
      </c>
      <c r="G3252" s="17">
        <v>1</v>
      </c>
      <c r="H3252" s="17" t="s">
        <v>3427</v>
      </c>
      <c r="I3252" s="17"/>
      <c r="J3252" s="17"/>
      <c r="K3252" s="17"/>
      <c r="L3252" s="17"/>
      <c r="M3252" s="17"/>
      <c r="N3252" s="17"/>
      <c r="O3252" s="17"/>
      <c r="P3252" s="17"/>
      <c r="Q3252" s="17"/>
    </row>
    <row r="3253" spans="1:17">
      <c r="A3253" s="556" t="s">
        <v>3652</v>
      </c>
      <c r="B3253" s="557" t="s">
        <v>9353</v>
      </c>
      <c r="C3253" s="558" t="s">
        <v>2643</v>
      </c>
      <c r="D3253" s="556" t="s">
        <v>2624</v>
      </c>
      <c r="E3253" s="17" t="s">
        <v>6668</v>
      </c>
      <c r="F3253" s="17">
        <v>24</v>
      </c>
      <c r="G3253" s="17">
        <v>2</v>
      </c>
      <c r="H3253" s="17" t="s">
        <v>3428</v>
      </c>
      <c r="I3253" s="17"/>
      <c r="J3253" s="17"/>
      <c r="K3253" s="17"/>
      <c r="L3253" s="17"/>
      <c r="M3253" s="17"/>
      <c r="N3253" s="17"/>
      <c r="O3253" s="17"/>
      <c r="P3253" s="17"/>
      <c r="Q3253" s="17"/>
    </row>
    <row r="3254" spans="1:17">
      <c r="A3254" s="556" t="s">
        <v>3652</v>
      </c>
      <c r="B3254" s="557" t="s">
        <v>9353</v>
      </c>
      <c r="C3254" s="558" t="s">
        <v>2643</v>
      </c>
      <c r="D3254" s="556" t="s">
        <v>4426</v>
      </c>
      <c r="E3254" s="17" t="s">
        <v>6669</v>
      </c>
      <c r="F3254" s="17">
        <v>24</v>
      </c>
      <c r="G3254" s="17">
        <v>3</v>
      </c>
      <c r="H3254" s="17" t="s">
        <v>3429</v>
      </c>
      <c r="I3254" s="17">
        <v>0</v>
      </c>
      <c r="J3254" s="17"/>
      <c r="K3254" s="17"/>
      <c r="L3254" s="17"/>
      <c r="M3254" s="17"/>
      <c r="N3254" s="17"/>
      <c r="O3254" s="17"/>
      <c r="P3254" s="17"/>
      <c r="Q3254" s="17"/>
    </row>
    <row r="3255" spans="1:17">
      <c r="A3255" s="556" t="s">
        <v>3652</v>
      </c>
      <c r="B3255" s="557" t="s">
        <v>9353</v>
      </c>
      <c r="C3255" s="558" t="s">
        <v>2643</v>
      </c>
      <c r="D3255" s="556" t="s">
        <v>4324</v>
      </c>
      <c r="E3255" s="17" t="s">
        <v>6670</v>
      </c>
      <c r="F3255" s="17">
        <v>24</v>
      </c>
      <c r="G3255" s="17">
        <v>4</v>
      </c>
      <c r="H3255" s="17" t="s">
        <v>3473</v>
      </c>
      <c r="I3255" s="17"/>
      <c r="J3255" s="17"/>
      <c r="K3255" s="17"/>
      <c r="L3255" s="17"/>
      <c r="M3255" s="17"/>
      <c r="N3255" s="17"/>
      <c r="O3255" s="17"/>
      <c r="P3255" s="17"/>
      <c r="Q3255" s="17"/>
    </row>
    <row r="3256" spans="1:17">
      <c r="A3256" s="556" t="s">
        <v>3652</v>
      </c>
      <c r="B3256" s="557" t="s">
        <v>9354</v>
      </c>
      <c r="C3256" s="558" t="s">
        <v>2644</v>
      </c>
      <c r="D3256" s="556" t="s">
        <v>2623</v>
      </c>
      <c r="E3256" s="17" t="s">
        <v>6671</v>
      </c>
      <c r="F3256" s="17">
        <v>25</v>
      </c>
      <c r="G3256" s="17">
        <v>1</v>
      </c>
      <c r="H3256" s="17" t="s">
        <v>3431</v>
      </c>
      <c r="I3256" s="17"/>
      <c r="J3256" s="17"/>
      <c r="K3256" s="17"/>
      <c r="L3256" s="17"/>
      <c r="M3256" s="17"/>
      <c r="N3256" s="17"/>
      <c r="O3256" s="17"/>
      <c r="P3256" s="17"/>
      <c r="Q3256" s="17"/>
    </row>
    <row r="3257" spans="1:17">
      <c r="A3257" s="556" t="s">
        <v>3652</v>
      </c>
      <c r="B3257" s="557" t="s">
        <v>9354</v>
      </c>
      <c r="C3257" s="558" t="s">
        <v>2644</v>
      </c>
      <c r="D3257" s="556" t="s">
        <v>2624</v>
      </c>
      <c r="E3257" s="17" t="s">
        <v>6672</v>
      </c>
      <c r="F3257" s="17">
        <v>25</v>
      </c>
      <c r="G3257" s="17">
        <v>2</v>
      </c>
      <c r="H3257" s="17" t="s">
        <v>3432</v>
      </c>
      <c r="I3257" s="17"/>
      <c r="J3257" s="17"/>
      <c r="K3257" s="17"/>
      <c r="L3257" s="17"/>
      <c r="M3257" s="17"/>
      <c r="N3257" s="17"/>
      <c r="O3257" s="17"/>
      <c r="P3257" s="17"/>
      <c r="Q3257" s="17"/>
    </row>
    <row r="3258" spans="1:17">
      <c r="A3258" s="556" t="s">
        <v>3652</v>
      </c>
      <c r="B3258" s="557" t="s">
        <v>9354</v>
      </c>
      <c r="C3258" s="558" t="s">
        <v>2644</v>
      </c>
      <c r="D3258" s="556" t="s">
        <v>4426</v>
      </c>
      <c r="E3258" s="17" t="s">
        <v>6673</v>
      </c>
      <c r="F3258" s="17">
        <v>25</v>
      </c>
      <c r="G3258" s="17">
        <v>3</v>
      </c>
      <c r="H3258" s="17" t="s">
        <v>3433</v>
      </c>
      <c r="I3258" s="17">
        <v>0</v>
      </c>
      <c r="J3258" s="17"/>
      <c r="K3258" s="17"/>
      <c r="L3258" s="17"/>
      <c r="M3258" s="17"/>
      <c r="N3258" s="17"/>
      <c r="O3258" s="17"/>
      <c r="P3258" s="17"/>
      <c r="Q3258" s="17"/>
    </row>
    <row r="3259" spans="1:17">
      <c r="A3259" s="556" t="s">
        <v>3652</v>
      </c>
      <c r="B3259" s="557" t="s">
        <v>9354</v>
      </c>
      <c r="C3259" s="558" t="s">
        <v>2644</v>
      </c>
      <c r="D3259" s="556" t="s">
        <v>4324</v>
      </c>
      <c r="E3259" s="17" t="s">
        <v>6674</v>
      </c>
      <c r="F3259" s="17">
        <v>25</v>
      </c>
      <c r="G3259" s="17">
        <v>4</v>
      </c>
      <c r="H3259" s="17" t="s">
        <v>3474</v>
      </c>
      <c r="I3259" s="17"/>
      <c r="J3259" s="17"/>
      <c r="K3259" s="17"/>
      <c r="L3259" s="17"/>
      <c r="M3259" s="17"/>
      <c r="N3259" s="17"/>
      <c r="O3259" s="17"/>
      <c r="P3259" s="17"/>
      <c r="Q3259" s="17"/>
    </row>
    <row r="3260" spans="1:17">
      <c r="A3260" s="556" t="s">
        <v>3652</v>
      </c>
      <c r="B3260" s="557" t="s">
        <v>9355</v>
      </c>
      <c r="C3260" s="558" t="s">
        <v>2633</v>
      </c>
      <c r="D3260" s="556" t="s">
        <v>2623</v>
      </c>
      <c r="E3260" s="17" t="s">
        <v>6675</v>
      </c>
      <c r="F3260" s="17">
        <v>26</v>
      </c>
      <c r="G3260" s="17">
        <v>1</v>
      </c>
      <c r="H3260" s="17" t="s">
        <v>3435</v>
      </c>
      <c r="I3260" s="17"/>
      <c r="J3260" s="17"/>
      <c r="K3260" s="17"/>
      <c r="L3260" s="17"/>
      <c r="M3260" s="17"/>
      <c r="N3260" s="17"/>
      <c r="O3260" s="17"/>
      <c r="P3260" s="17"/>
      <c r="Q3260" s="17"/>
    </row>
    <row r="3261" spans="1:17">
      <c r="A3261" s="556" t="s">
        <v>3652</v>
      </c>
      <c r="B3261" s="557" t="s">
        <v>9355</v>
      </c>
      <c r="C3261" s="558" t="s">
        <v>2633</v>
      </c>
      <c r="D3261" s="556" t="s">
        <v>2624</v>
      </c>
      <c r="E3261" s="17" t="s">
        <v>6676</v>
      </c>
      <c r="F3261" s="17">
        <v>26</v>
      </c>
      <c r="G3261" s="17">
        <v>2</v>
      </c>
      <c r="H3261" s="17" t="s">
        <v>3436</v>
      </c>
      <c r="I3261" s="17"/>
      <c r="J3261" s="17"/>
      <c r="K3261" s="17"/>
      <c r="L3261" s="17"/>
      <c r="M3261" s="17"/>
      <c r="N3261" s="17"/>
      <c r="O3261" s="17"/>
      <c r="P3261" s="17"/>
      <c r="Q3261" s="17"/>
    </row>
    <row r="3262" spans="1:17">
      <c r="A3262" s="556" t="s">
        <v>3652</v>
      </c>
      <c r="B3262" s="557" t="s">
        <v>9355</v>
      </c>
      <c r="C3262" s="558" t="s">
        <v>2633</v>
      </c>
      <c r="D3262" s="556" t="s">
        <v>4426</v>
      </c>
      <c r="E3262" s="17" t="s">
        <v>6677</v>
      </c>
      <c r="F3262" s="17">
        <v>26</v>
      </c>
      <c r="G3262" s="17">
        <v>3</v>
      </c>
      <c r="H3262" s="17" t="s">
        <v>3437</v>
      </c>
      <c r="I3262" s="17">
        <v>0</v>
      </c>
      <c r="J3262" s="17"/>
      <c r="K3262" s="17"/>
      <c r="L3262" s="17"/>
      <c r="M3262" s="17"/>
      <c r="N3262" s="17"/>
      <c r="O3262" s="17"/>
      <c r="P3262" s="17"/>
      <c r="Q3262" s="17"/>
    </row>
    <row r="3263" spans="1:17">
      <c r="A3263" s="556" t="s">
        <v>3652</v>
      </c>
      <c r="B3263" s="557" t="s">
        <v>9355</v>
      </c>
      <c r="C3263" s="558" t="s">
        <v>2633</v>
      </c>
      <c r="D3263" s="556" t="s">
        <v>4324</v>
      </c>
      <c r="E3263" s="17" t="s">
        <v>6678</v>
      </c>
      <c r="F3263" s="17">
        <v>26</v>
      </c>
      <c r="G3263" s="17">
        <v>4</v>
      </c>
      <c r="H3263" s="17" t="s">
        <v>3475</v>
      </c>
      <c r="I3263" s="17"/>
      <c r="J3263" s="17"/>
      <c r="K3263" s="17"/>
      <c r="L3263" s="17"/>
      <c r="M3263" s="17"/>
      <c r="N3263" s="17"/>
      <c r="O3263" s="17"/>
      <c r="P3263" s="17"/>
      <c r="Q3263" s="17"/>
    </row>
    <row r="3264" spans="1:17">
      <c r="A3264" s="556" t="s">
        <v>3652</v>
      </c>
      <c r="B3264" s="557" t="s">
        <v>9356</v>
      </c>
      <c r="C3264" s="558" t="s">
        <v>2645</v>
      </c>
      <c r="D3264" s="556" t="s">
        <v>2623</v>
      </c>
      <c r="E3264" s="17" t="s">
        <v>6679</v>
      </c>
      <c r="F3264" s="17">
        <v>27</v>
      </c>
      <c r="G3264" s="17">
        <v>1</v>
      </c>
      <c r="H3264" s="17" t="s">
        <v>3439</v>
      </c>
      <c r="I3264" s="17"/>
      <c r="J3264" s="17"/>
      <c r="K3264" s="17"/>
      <c r="L3264" s="17"/>
      <c r="M3264" s="17"/>
      <c r="N3264" s="17"/>
      <c r="O3264" s="17"/>
      <c r="P3264" s="17"/>
      <c r="Q3264" s="17"/>
    </row>
    <row r="3265" spans="1:17">
      <c r="A3265" s="556" t="s">
        <v>3652</v>
      </c>
      <c r="B3265" s="557" t="s">
        <v>9356</v>
      </c>
      <c r="C3265" s="558" t="s">
        <v>2645</v>
      </c>
      <c r="D3265" s="556" t="s">
        <v>2624</v>
      </c>
      <c r="E3265" s="17" t="s">
        <v>6680</v>
      </c>
      <c r="F3265" s="17">
        <v>27</v>
      </c>
      <c r="G3265" s="17">
        <v>2</v>
      </c>
      <c r="H3265" s="17" t="s">
        <v>3440</v>
      </c>
      <c r="I3265" s="17"/>
      <c r="J3265" s="17"/>
      <c r="K3265" s="17"/>
      <c r="L3265" s="17"/>
      <c r="M3265" s="17"/>
      <c r="N3265" s="17"/>
      <c r="O3265" s="17"/>
      <c r="P3265" s="17"/>
      <c r="Q3265" s="17"/>
    </row>
    <row r="3266" spans="1:17">
      <c r="A3266" s="556" t="s">
        <v>3652</v>
      </c>
      <c r="B3266" s="557" t="s">
        <v>9356</v>
      </c>
      <c r="C3266" s="558" t="s">
        <v>2645</v>
      </c>
      <c r="D3266" s="556" t="s">
        <v>4426</v>
      </c>
      <c r="E3266" s="17" t="s">
        <v>6681</v>
      </c>
      <c r="F3266" s="17">
        <v>27</v>
      </c>
      <c r="G3266" s="17">
        <v>3</v>
      </c>
      <c r="H3266" s="17" t="s">
        <v>3441</v>
      </c>
      <c r="I3266" s="17">
        <v>0</v>
      </c>
      <c r="J3266" s="17"/>
      <c r="K3266" s="17"/>
      <c r="L3266" s="17"/>
      <c r="M3266" s="17"/>
      <c r="N3266" s="17"/>
      <c r="O3266" s="17"/>
      <c r="P3266" s="17"/>
      <c r="Q3266" s="17"/>
    </row>
    <row r="3267" spans="1:17">
      <c r="A3267" s="556" t="s">
        <v>3652</v>
      </c>
      <c r="B3267" s="557" t="s">
        <v>9356</v>
      </c>
      <c r="C3267" s="558" t="s">
        <v>2645</v>
      </c>
      <c r="D3267" s="556" t="s">
        <v>4324</v>
      </c>
      <c r="E3267" s="17" t="s">
        <v>6682</v>
      </c>
      <c r="F3267" s="17">
        <v>27</v>
      </c>
      <c r="G3267" s="17">
        <v>4</v>
      </c>
      <c r="H3267" s="17" t="s">
        <v>3476</v>
      </c>
      <c r="I3267" s="17"/>
      <c r="J3267" s="17"/>
      <c r="K3267" s="17"/>
      <c r="L3267" s="17"/>
      <c r="M3267" s="17"/>
      <c r="N3267" s="17"/>
      <c r="O3267" s="17"/>
      <c r="P3267" s="17"/>
      <c r="Q3267" s="17"/>
    </row>
    <row r="3268" spans="1:17">
      <c r="A3268" s="556" t="s">
        <v>3652</v>
      </c>
      <c r="B3268" s="557" t="s">
        <v>9357</v>
      </c>
      <c r="C3268" s="558" t="s">
        <v>2646</v>
      </c>
      <c r="D3268" s="556" t="s">
        <v>2623</v>
      </c>
      <c r="E3268" s="17" t="s">
        <v>6683</v>
      </c>
      <c r="F3268" s="17">
        <v>28</v>
      </c>
      <c r="G3268" s="17">
        <v>1</v>
      </c>
      <c r="H3268" s="17" t="s">
        <v>3443</v>
      </c>
      <c r="I3268" s="17"/>
      <c r="J3268" s="17"/>
      <c r="K3268" s="17"/>
      <c r="L3268" s="17"/>
      <c r="M3268" s="17"/>
      <c r="N3268" s="17"/>
      <c r="O3268" s="17"/>
      <c r="P3268" s="17"/>
      <c r="Q3268" s="17"/>
    </row>
    <row r="3269" spans="1:17">
      <c r="A3269" s="556" t="s">
        <v>3652</v>
      </c>
      <c r="B3269" s="557" t="s">
        <v>9357</v>
      </c>
      <c r="C3269" s="558" t="s">
        <v>2646</v>
      </c>
      <c r="D3269" s="556" t="s">
        <v>2624</v>
      </c>
      <c r="E3269" s="17" t="s">
        <v>6684</v>
      </c>
      <c r="F3269" s="17">
        <v>28</v>
      </c>
      <c r="G3269" s="17">
        <v>2</v>
      </c>
      <c r="H3269" s="17" t="s">
        <v>3444</v>
      </c>
      <c r="I3269" s="17"/>
      <c r="J3269" s="17"/>
      <c r="K3269" s="17"/>
      <c r="L3269" s="17"/>
      <c r="M3269" s="17"/>
      <c r="N3269" s="17"/>
      <c r="O3269" s="17"/>
      <c r="P3269" s="17"/>
      <c r="Q3269" s="17"/>
    </row>
    <row r="3270" spans="1:17">
      <c r="A3270" s="556" t="s">
        <v>3652</v>
      </c>
      <c r="B3270" s="557" t="s">
        <v>9357</v>
      </c>
      <c r="C3270" s="558" t="s">
        <v>2646</v>
      </c>
      <c r="D3270" s="556" t="s">
        <v>4426</v>
      </c>
      <c r="E3270" s="17" t="s">
        <v>6685</v>
      </c>
      <c r="F3270" s="17">
        <v>28</v>
      </c>
      <c r="G3270" s="17">
        <v>3</v>
      </c>
      <c r="H3270" s="17" t="s">
        <v>3445</v>
      </c>
      <c r="I3270" s="17">
        <v>0</v>
      </c>
      <c r="J3270" s="17"/>
      <c r="K3270" s="17"/>
      <c r="L3270" s="17"/>
      <c r="M3270" s="17"/>
      <c r="N3270" s="17"/>
      <c r="O3270" s="17"/>
      <c r="P3270" s="17"/>
      <c r="Q3270" s="17"/>
    </row>
    <row r="3271" spans="1:17">
      <c r="A3271" s="556" t="s">
        <v>3652</v>
      </c>
      <c r="B3271" s="557" t="s">
        <v>9357</v>
      </c>
      <c r="C3271" s="558" t="s">
        <v>2646</v>
      </c>
      <c r="D3271" s="556" t="s">
        <v>4324</v>
      </c>
      <c r="E3271" s="17" t="s">
        <v>6686</v>
      </c>
      <c r="F3271" s="17">
        <v>28</v>
      </c>
      <c r="G3271" s="17">
        <v>4</v>
      </c>
      <c r="H3271" s="17" t="s">
        <v>3477</v>
      </c>
      <c r="I3271" s="17"/>
      <c r="J3271" s="17"/>
      <c r="K3271" s="17"/>
      <c r="L3271" s="17"/>
      <c r="M3271" s="17"/>
      <c r="N3271" s="17"/>
      <c r="O3271" s="17"/>
      <c r="P3271" s="17"/>
      <c r="Q3271" s="17"/>
    </row>
    <row r="3272" spans="1:17">
      <c r="A3272" s="556" t="s">
        <v>3652</v>
      </c>
      <c r="B3272" s="557" t="s">
        <v>9358</v>
      </c>
      <c r="C3272" s="558" t="s">
        <v>2647</v>
      </c>
      <c r="D3272" s="556" t="s">
        <v>2623</v>
      </c>
      <c r="E3272" s="17" t="s">
        <v>6687</v>
      </c>
      <c r="F3272" s="17">
        <v>29</v>
      </c>
      <c r="G3272" s="17">
        <v>1</v>
      </c>
      <c r="H3272" s="17" t="s">
        <v>3447</v>
      </c>
      <c r="I3272" s="17"/>
      <c r="J3272" s="17"/>
      <c r="K3272" s="17"/>
      <c r="L3272" s="17"/>
      <c r="M3272" s="17"/>
      <c r="N3272" s="17"/>
      <c r="O3272" s="17"/>
      <c r="P3272" s="17"/>
      <c r="Q3272" s="17"/>
    </row>
    <row r="3273" spans="1:17">
      <c r="A3273" s="556" t="s">
        <v>3652</v>
      </c>
      <c r="B3273" s="557" t="s">
        <v>9358</v>
      </c>
      <c r="C3273" s="558" t="s">
        <v>2647</v>
      </c>
      <c r="D3273" s="556" t="s">
        <v>2624</v>
      </c>
      <c r="E3273" s="17" t="s">
        <v>6688</v>
      </c>
      <c r="F3273" s="17">
        <v>29</v>
      </c>
      <c r="G3273" s="17">
        <v>2</v>
      </c>
      <c r="H3273" s="17" t="s">
        <v>3448</v>
      </c>
      <c r="I3273" s="17"/>
      <c r="J3273" s="17"/>
      <c r="K3273" s="17"/>
      <c r="L3273" s="17"/>
      <c r="M3273" s="17"/>
      <c r="N3273" s="17"/>
      <c r="O3273" s="17"/>
      <c r="P3273" s="17"/>
      <c r="Q3273" s="17"/>
    </row>
    <row r="3274" spans="1:17">
      <c r="A3274" s="556" t="s">
        <v>3652</v>
      </c>
      <c r="B3274" s="557" t="s">
        <v>9358</v>
      </c>
      <c r="C3274" s="558" t="s">
        <v>2647</v>
      </c>
      <c r="D3274" s="556" t="s">
        <v>4426</v>
      </c>
      <c r="E3274" s="17" t="s">
        <v>6689</v>
      </c>
      <c r="F3274" s="17">
        <v>29</v>
      </c>
      <c r="G3274" s="17">
        <v>3</v>
      </c>
      <c r="H3274" s="17" t="s">
        <v>3449</v>
      </c>
      <c r="I3274" s="17">
        <v>0</v>
      </c>
      <c r="J3274" s="17"/>
      <c r="K3274" s="17"/>
      <c r="L3274" s="17"/>
      <c r="M3274" s="17"/>
      <c r="N3274" s="17"/>
      <c r="O3274" s="17"/>
      <c r="P3274" s="17"/>
      <c r="Q3274" s="17"/>
    </row>
    <row r="3275" spans="1:17">
      <c r="A3275" s="556" t="s">
        <v>3652</v>
      </c>
      <c r="B3275" s="557" t="s">
        <v>9358</v>
      </c>
      <c r="C3275" s="558" t="s">
        <v>2647</v>
      </c>
      <c r="D3275" s="556" t="s">
        <v>4324</v>
      </c>
      <c r="E3275" s="17" t="s">
        <v>6690</v>
      </c>
      <c r="F3275" s="17">
        <v>29</v>
      </c>
      <c r="G3275" s="17">
        <v>4</v>
      </c>
      <c r="H3275" s="17" t="s">
        <v>3478</v>
      </c>
      <c r="I3275" s="17"/>
      <c r="J3275" s="17"/>
      <c r="K3275" s="17"/>
      <c r="L3275" s="17"/>
      <c r="M3275" s="17"/>
      <c r="N3275" s="17"/>
      <c r="O3275" s="17"/>
      <c r="P3275" s="17"/>
      <c r="Q3275" s="17"/>
    </row>
    <row r="3276" spans="1:17">
      <c r="A3276" s="556" t="s">
        <v>3652</v>
      </c>
      <c r="B3276" s="557" t="s">
        <v>9359</v>
      </c>
      <c r="C3276" s="558" t="s">
        <v>2648</v>
      </c>
      <c r="D3276" s="556" t="s">
        <v>2623</v>
      </c>
      <c r="E3276" s="17" t="s">
        <v>6691</v>
      </c>
      <c r="F3276" s="17">
        <v>30</v>
      </c>
      <c r="G3276" s="17">
        <v>1</v>
      </c>
      <c r="H3276" s="17" t="s">
        <v>7759</v>
      </c>
      <c r="I3276" s="17"/>
      <c r="J3276" s="17"/>
      <c r="K3276" s="17"/>
      <c r="L3276" s="17"/>
      <c r="M3276" s="17"/>
      <c r="N3276" s="17"/>
      <c r="O3276" s="17"/>
      <c r="P3276" s="17"/>
      <c r="Q3276" s="17"/>
    </row>
    <row r="3277" spans="1:17">
      <c r="A3277" s="556" t="s">
        <v>3652</v>
      </c>
      <c r="B3277" s="557" t="s">
        <v>9359</v>
      </c>
      <c r="C3277" s="558" t="s">
        <v>2648</v>
      </c>
      <c r="D3277" s="556" t="s">
        <v>2624</v>
      </c>
      <c r="E3277" s="17" t="s">
        <v>6692</v>
      </c>
      <c r="F3277" s="17">
        <v>30</v>
      </c>
      <c r="G3277" s="17">
        <v>2</v>
      </c>
      <c r="H3277" s="17" t="s">
        <v>7757</v>
      </c>
      <c r="I3277" s="17"/>
      <c r="J3277" s="17"/>
      <c r="K3277" s="17"/>
      <c r="L3277" s="17"/>
      <c r="M3277" s="17"/>
      <c r="N3277" s="17"/>
      <c r="O3277" s="17"/>
      <c r="P3277" s="17"/>
      <c r="Q3277" s="17"/>
    </row>
    <row r="3278" spans="1:17">
      <c r="A3278" s="556" t="s">
        <v>3652</v>
      </c>
      <c r="B3278" s="557" t="s">
        <v>9359</v>
      </c>
      <c r="C3278" s="558" t="s">
        <v>2648</v>
      </c>
      <c r="D3278" s="556" t="s">
        <v>4426</v>
      </c>
      <c r="E3278" s="17" t="s">
        <v>6693</v>
      </c>
      <c r="F3278" s="17">
        <v>30</v>
      </c>
      <c r="G3278" s="17">
        <v>3</v>
      </c>
      <c r="H3278" s="17" t="s">
        <v>3479</v>
      </c>
      <c r="I3278" s="17">
        <v>0</v>
      </c>
      <c r="J3278" s="17"/>
      <c r="K3278" s="17"/>
      <c r="L3278" s="17"/>
      <c r="M3278" s="17"/>
      <c r="N3278" s="17"/>
      <c r="O3278" s="17"/>
      <c r="P3278" s="17"/>
      <c r="Q3278" s="17"/>
    </row>
    <row r="3279" spans="1:17">
      <c r="A3279" s="556" t="s">
        <v>3652</v>
      </c>
      <c r="B3279" s="557" t="s">
        <v>9359</v>
      </c>
      <c r="C3279" s="558" t="s">
        <v>2648</v>
      </c>
      <c r="D3279" s="556" t="s">
        <v>4324</v>
      </c>
      <c r="E3279" s="17" t="s">
        <v>6694</v>
      </c>
      <c r="F3279" s="17">
        <v>30</v>
      </c>
      <c r="G3279" s="17">
        <v>4</v>
      </c>
      <c r="H3279" s="17" t="s">
        <v>3480</v>
      </c>
      <c r="I3279" s="17"/>
      <c r="J3279" s="17"/>
      <c r="K3279" s="17"/>
      <c r="L3279" s="17"/>
      <c r="M3279" s="17"/>
      <c r="N3279" s="17"/>
      <c r="O3279" s="17"/>
      <c r="P3279" s="17"/>
      <c r="Q3279" s="17"/>
    </row>
    <row r="3280" spans="1:17">
      <c r="A3280" s="556" t="s">
        <v>3652</v>
      </c>
      <c r="B3280" s="557" t="s">
        <v>9360</v>
      </c>
      <c r="C3280" s="558" t="s">
        <v>2649</v>
      </c>
      <c r="D3280" s="556" t="s">
        <v>2623</v>
      </c>
      <c r="E3280" s="17" t="s">
        <v>6695</v>
      </c>
      <c r="F3280" s="17">
        <v>31</v>
      </c>
      <c r="G3280" s="17">
        <v>1</v>
      </c>
      <c r="H3280" s="17" t="s">
        <v>7760</v>
      </c>
      <c r="I3280" s="17"/>
      <c r="J3280" s="17"/>
      <c r="K3280" s="17"/>
      <c r="L3280" s="17"/>
      <c r="M3280" s="17"/>
      <c r="N3280" s="17"/>
      <c r="O3280" s="17"/>
      <c r="P3280" s="17"/>
      <c r="Q3280" s="17"/>
    </row>
    <row r="3281" spans="1:17">
      <c r="A3281" s="556" t="s">
        <v>3652</v>
      </c>
      <c r="B3281" s="557" t="s">
        <v>9360</v>
      </c>
      <c r="C3281" s="558" t="s">
        <v>2649</v>
      </c>
      <c r="D3281" s="556" t="s">
        <v>2624</v>
      </c>
      <c r="E3281" s="17" t="s">
        <v>6696</v>
      </c>
      <c r="F3281" s="17">
        <v>31</v>
      </c>
      <c r="G3281" s="17">
        <v>2</v>
      </c>
      <c r="H3281" s="17" t="s">
        <v>7758</v>
      </c>
      <c r="I3281" s="17"/>
      <c r="J3281" s="17"/>
      <c r="K3281" s="17"/>
      <c r="L3281" s="17"/>
      <c r="M3281" s="17"/>
      <c r="N3281" s="17"/>
      <c r="O3281" s="17"/>
      <c r="P3281" s="17"/>
      <c r="Q3281" s="17"/>
    </row>
    <row r="3282" spans="1:17">
      <c r="A3282" s="556" t="s">
        <v>3652</v>
      </c>
      <c r="B3282" s="557" t="s">
        <v>9360</v>
      </c>
      <c r="C3282" s="558" t="s">
        <v>2649</v>
      </c>
      <c r="D3282" s="556" t="s">
        <v>4426</v>
      </c>
      <c r="E3282" s="17" t="s">
        <v>6697</v>
      </c>
      <c r="F3282" s="17">
        <v>31</v>
      </c>
      <c r="G3282" s="17">
        <v>3</v>
      </c>
      <c r="H3282" s="17" t="s">
        <v>3481</v>
      </c>
      <c r="I3282" s="17">
        <v>0</v>
      </c>
      <c r="J3282" s="17"/>
      <c r="K3282" s="17"/>
      <c r="L3282" s="17"/>
      <c r="M3282" s="17"/>
      <c r="N3282" s="17"/>
      <c r="O3282" s="17"/>
      <c r="P3282" s="17"/>
      <c r="Q3282" s="17"/>
    </row>
    <row r="3283" spans="1:17">
      <c r="A3283" s="556" t="s">
        <v>3652</v>
      </c>
      <c r="B3283" s="557" t="s">
        <v>9360</v>
      </c>
      <c r="C3283" s="558" t="s">
        <v>2649</v>
      </c>
      <c r="D3283" s="556" t="s">
        <v>4324</v>
      </c>
      <c r="E3283" s="17" t="s">
        <v>6698</v>
      </c>
      <c r="F3283" s="17">
        <v>31</v>
      </c>
      <c r="G3283" s="17">
        <v>4</v>
      </c>
      <c r="H3283" s="17" t="s">
        <v>3482</v>
      </c>
      <c r="I3283" s="17"/>
      <c r="J3283" s="17"/>
      <c r="K3283" s="17"/>
      <c r="L3283" s="17"/>
      <c r="M3283" s="17"/>
      <c r="N3283" s="17"/>
      <c r="O3283" s="17"/>
      <c r="P3283" s="17"/>
      <c r="Q3283" s="17"/>
    </row>
    <row r="3284" spans="1:17">
      <c r="A3284" s="556" t="s">
        <v>3652</v>
      </c>
      <c r="B3284" s="557" t="s">
        <v>9361</v>
      </c>
      <c r="C3284" s="558" t="s">
        <v>2650</v>
      </c>
      <c r="D3284" s="556" t="s">
        <v>2623</v>
      </c>
      <c r="E3284" s="17" t="s">
        <v>6699</v>
      </c>
      <c r="F3284" s="17">
        <v>32</v>
      </c>
      <c r="G3284" s="17">
        <v>1</v>
      </c>
      <c r="H3284" s="17" t="s">
        <v>7761</v>
      </c>
      <c r="I3284" s="17"/>
      <c r="J3284" s="17"/>
      <c r="K3284" s="17"/>
      <c r="L3284" s="17"/>
      <c r="M3284" s="17"/>
      <c r="N3284" s="17"/>
      <c r="O3284" s="17"/>
      <c r="P3284" s="17"/>
      <c r="Q3284" s="17"/>
    </row>
    <row r="3285" spans="1:17">
      <c r="A3285" s="556" t="s">
        <v>3652</v>
      </c>
      <c r="B3285" s="557" t="s">
        <v>9361</v>
      </c>
      <c r="C3285" s="558" t="s">
        <v>2650</v>
      </c>
      <c r="D3285" s="556" t="s">
        <v>2624</v>
      </c>
      <c r="E3285" s="17" t="s">
        <v>6700</v>
      </c>
      <c r="F3285" s="17">
        <v>32</v>
      </c>
      <c r="G3285" s="17">
        <v>2</v>
      </c>
      <c r="H3285" s="17" t="s">
        <v>7762</v>
      </c>
      <c r="I3285" s="17"/>
      <c r="J3285" s="17"/>
      <c r="K3285" s="17"/>
      <c r="L3285" s="17"/>
      <c r="M3285" s="17"/>
      <c r="N3285" s="17"/>
      <c r="O3285" s="17"/>
      <c r="P3285" s="17"/>
      <c r="Q3285" s="17"/>
    </row>
    <row r="3286" spans="1:17">
      <c r="A3286" s="556" t="s">
        <v>3652</v>
      </c>
      <c r="B3286" s="557" t="s">
        <v>9361</v>
      </c>
      <c r="C3286" s="558" t="s">
        <v>2650</v>
      </c>
      <c r="D3286" s="556" t="s">
        <v>4426</v>
      </c>
      <c r="E3286" s="17" t="s">
        <v>6701</v>
      </c>
      <c r="F3286" s="17">
        <v>32</v>
      </c>
      <c r="G3286" s="17">
        <v>3</v>
      </c>
      <c r="H3286" s="17" t="s">
        <v>3483</v>
      </c>
      <c r="I3286" s="17">
        <v>0</v>
      </c>
      <c r="J3286" s="17"/>
      <c r="K3286" s="17"/>
      <c r="L3286" s="17"/>
      <c r="M3286" s="17"/>
      <c r="N3286" s="17"/>
      <c r="O3286" s="17"/>
      <c r="P3286" s="17"/>
      <c r="Q3286" s="17"/>
    </row>
    <row r="3287" spans="1:17">
      <c r="A3287" s="556" t="s">
        <v>3652</v>
      </c>
      <c r="B3287" s="557" t="s">
        <v>9361</v>
      </c>
      <c r="C3287" s="558" t="s">
        <v>2650</v>
      </c>
      <c r="D3287" s="556" t="s">
        <v>4324</v>
      </c>
      <c r="E3287" s="17" t="s">
        <v>6702</v>
      </c>
      <c r="F3287" s="17">
        <v>32</v>
      </c>
      <c r="G3287" s="17">
        <v>4</v>
      </c>
      <c r="H3287" s="17" t="s">
        <v>3484</v>
      </c>
      <c r="I3287" s="17"/>
      <c r="J3287" s="17"/>
      <c r="K3287" s="17"/>
      <c r="L3287" s="17"/>
      <c r="M3287" s="17"/>
      <c r="N3287" s="17"/>
      <c r="O3287" s="17"/>
      <c r="P3287" s="17"/>
      <c r="Q3287" s="17"/>
    </row>
    <row r="3288" spans="1:17">
      <c r="A3288" s="556" t="s">
        <v>3652</v>
      </c>
      <c r="B3288" s="557" t="s">
        <v>9362</v>
      </c>
      <c r="C3288" s="558" t="s">
        <v>2651</v>
      </c>
      <c r="D3288" s="556" t="s">
        <v>2623</v>
      </c>
      <c r="E3288" s="17" t="s">
        <v>6703</v>
      </c>
      <c r="F3288" s="17">
        <v>33</v>
      </c>
      <c r="G3288" s="17">
        <v>1</v>
      </c>
      <c r="H3288" s="17" t="s">
        <v>7763</v>
      </c>
      <c r="I3288" s="17"/>
      <c r="J3288" s="17"/>
      <c r="K3288" s="17"/>
      <c r="L3288" s="17"/>
      <c r="M3288" s="17"/>
      <c r="N3288" s="17"/>
      <c r="O3288" s="17"/>
      <c r="P3288" s="17"/>
      <c r="Q3288" s="17"/>
    </row>
    <row r="3289" spans="1:17">
      <c r="A3289" s="556" t="s">
        <v>3652</v>
      </c>
      <c r="B3289" s="557" t="s">
        <v>9362</v>
      </c>
      <c r="C3289" s="558" t="s">
        <v>2651</v>
      </c>
      <c r="D3289" s="556" t="s">
        <v>2624</v>
      </c>
      <c r="E3289" s="17" t="s">
        <v>6704</v>
      </c>
      <c r="F3289" s="17">
        <v>33</v>
      </c>
      <c r="G3289" s="17">
        <v>2</v>
      </c>
      <c r="H3289" s="17" t="s">
        <v>7764</v>
      </c>
      <c r="I3289" s="17"/>
      <c r="J3289" s="17"/>
      <c r="K3289" s="17"/>
      <c r="L3289" s="17"/>
      <c r="M3289" s="17"/>
      <c r="N3289" s="17"/>
      <c r="O3289" s="17"/>
      <c r="P3289" s="17"/>
      <c r="Q3289" s="17"/>
    </row>
    <row r="3290" spans="1:17">
      <c r="A3290" s="556" t="s">
        <v>3652</v>
      </c>
      <c r="B3290" s="557" t="s">
        <v>9362</v>
      </c>
      <c r="C3290" s="558" t="s">
        <v>2651</v>
      </c>
      <c r="D3290" s="556" t="s">
        <v>4426</v>
      </c>
      <c r="E3290" s="17" t="s">
        <v>6705</v>
      </c>
      <c r="F3290" s="17">
        <v>33</v>
      </c>
      <c r="G3290" s="17">
        <v>3</v>
      </c>
      <c r="H3290" s="17" t="s">
        <v>3485</v>
      </c>
      <c r="I3290" s="17">
        <v>0</v>
      </c>
      <c r="J3290" s="17"/>
      <c r="K3290" s="17"/>
      <c r="L3290" s="17"/>
      <c r="M3290" s="17"/>
      <c r="N3290" s="17"/>
      <c r="O3290" s="17"/>
      <c r="P3290" s="17"/>
      <c r="Q3290" s="17"/>
    </row>
    <row r="3291" spans="1:17">
      <c r="A3291" s="556" t="s">
        <v>3652</v>
      </c>
      <c r="B3291" s="557" t="s">
        <v>9362</v>
      </c>
      <c r="C3291" s="558" t="s">
        <v>2651</v>
      </c>
      <c r="D3291" s="556" t="s">
        <v>4324</v>
      </c>
      <c r="E3291" s="17" t="s">
        <v>6706</v>
      </c>
      <c r="F3291" s="17">
        <v>33</v>
      </c>
      <c r="G3291" s="17">
        <v>4</v>
      </c>
      <c r="H3291" s="17" t="s">
        <v>3486</v>
      </c>
      <c r="I3291" s="17"/>
      <c r="J3291" s="17"/>
      <c r="K3291" s="17"/>
      <c r="L3291" s="17"/>
      <c r="M3291" s="17"/>
      <c r="N3291" s="17"/>
      <c r="O3291" s="17"/>
      <c r="P3291" s="17"/>
      <c r="Q3291" s="17"/>
    </row>
    <row r="3292" spans="1:17">
      <c r="A3292" s="556" t="s">
        <v>3652</v>
      </c>
      <c r="B3292" s="557" t="s">
        <v>9363</v>
      </c>
      <c r="C3292" s="558" t="s">
        <v>2652</v>
      </c>
      <c r="D3292" s="556" t="s">
        <v>2623</v>
      </c>
      <c r="E3292" s="17" t="s">
        <v>6707</v>
      </c>
      <c r="F3292" s="17">
        <v>34</v>
      </c>
      <c r="G3292" s="17">
        <v>1</v>
      </c>
      <c r="H3292" s="17" t="s">
        <v>7765</v>
      </c>
      <c r="I3292" s="17"/>
      <c r="J3292" s="17"/>
      <c r="K3292" s="17"/>
      <c r="L3292" s="17"/>
      <c r="M3292" s="17"/>
      <c r="N3292" s="17"/>
      <c r="O3292" s="17"/>
      <c r="P3292" s="17"/>
      <c r="Q3292" s="17"/>
    </row>
    <row r="3293" spans="1:17">
      <c r="A3293" s="556" t="s">
        <v>3652</v>
      </c>
      <c r="B3293" s="557" t="s">
        <v>9363</v>
      </c>
      <c r="C3293" s="558" t="s">
        <v>2652</v>
      </c>
      <c r="D3293" s="556" t="s">
        <v>2624</v>
      </c>
      <c r="E3293" s="17" t="s">
        <v>6708</v>
      </c>
      <c r="F3293" s="17">
        <v>34</v>
      </c>
      <c r="G3293" s="17">
        <v>2</v>
      </c>
      <c r="H3293" s="17" t="s">
        <v>7766</v>
      </c>
      <c r="I3293" s="17"/>
      <c r="J3293" s="17"/>
      <c r="K3293" s="17"/>
      <c r="L3293" s="17"/>
      <c r="M3293" s="17"/>
      <c r="N3293" s="17"/>
      <c r="O3293" s="17"/>
      <c r="P3293" s="17"/>
      <c r="Q3293" s="17"/>
    </row>
    <row r="3294" spans="1:17">
      <c r="A3294" s="556" t="s">
        <v>3652</v>
      </c>
      <c r="B3294" s="557" t="s">
        <v>9363</v>
      </c>
      <c r="C3294" s="558" t="s">
        <v>2652</v>
      </c>
      <c r="D3294" s="556" t="s">
        <v>4426</v>
      </c>
      <c r="E3294" s="17" t="s">
        <v>6709</v>
      </c>
      <c r="F3294" s="17">
        <v>34</v>
      </c>
      <c r="G3294" s="17">
        <v>3</v>
      </c>
      <c r="H3294" s="17" t="s">
        <v>3487</v>
      </c>
      <c r="I3294" s="17">
        <v>0</v>
      </c>
      <c r="J3294" s="17"/>
      <c r="K3294" s="17"/>
      <c r="L3294" s="17"/>
      <c r="M3294" s="17"/>
      <c r="N3294" s="17"/>
      <c r="O3294" s="17"/>
      <c r="P3294" s="17"/>
      <c r="Q3294" s="17"/>
    </row>
    <row r="3295" spans="1:17">
      <c r="A3295" s="556" t="s">
        <v>3652</v>
      </c>
      <c r="B3295" s="557" t="s">
        <v>9363</v>
      </c>
      <c r="C3295" s="558" t="s">
        <v>2652</v>
      </c>
      <c r="D3295" s="556" t="s">
        <v>4324</v>
      </c>
      <c r="E3295" s="17" t="s">
        <v>6710</v>
      </c>
      <c r="F3295" s="17">
        <v>34</v>
      </c>
      <c r="G3295" s="17">
        <v>4</v>
      </c>
      <c r="H3295" s="17" t="s">
        <v>3488</v>
      </c>
      <c r="I3295" s="17"/>
      <c r="J3295" s="17"/>
      <c r="K3295" s="17"/>
      <c r="L3295" s="17"/>
      <c r="M3295" s="17"/>
      <c r="N3295" s="17"/>
      <c r="O3295" s="17"/>
      <c r="P3295" s="17"/>
      <c r="Q3295" s="17"/>
    </row>
    <row r="3296" spans="1:17">
      <c r="A3296" s="556" t="s">
        <v>3652</v>
      </c>
      <c r="B3296" s="557" t="s">
        <v>9364</v>
      </c>
      <c r="C3296" s="558" t="s">
        <v>2633</v>
      </c>
      <c r="D3296" s="556" t="s">
        <v>2623</v>
      </c>
      <c r="E3296" s="17" t="s">
        <v>6711</v>
      </c>
      <c r="F3296" s="17">
        <v>35</v>
      </c>
      <c r="G3296" s="17">
        <v>1</v>
      </c>
      <c r="H3296" s="17" t="s">
        <v>7767</v>
      </c>
      <c r="I3296" s="17"/>
      <c r="J3296" s="17"/>
      <c r="K3296" s="17"/>
      <c r="L3296" s="17"/>
      <c r="M3296" s="17"/>
      <c r="N3296" s="17"/>
      <c r="O3296" s="17"/>
      <c r="P3296" s="17"/>
      <c r="Q3296" s="17"/>
    </row>
    <row r="3297" spans="1:17">
      <c r="A3297" s="556" t="s">
        <v>3652</v>
      </c>
      <c r="B3297" s="557" t="s">
        <v>9364</v>
      </c>
      <c r="C3297" s="558" t="s">
        <v>2633</v>
      </c>
      <c r="D3297" s="556" t="s">
        <v>2624</v>
      </c>
      <c r="E3297" s="17" t="s">
        <v>6712</v>
      </c>
      <c r="F3297" s="17">
        <v>35</v>
      </c>
      <c r="G3297" s="17">
        <v>2</v>
      </c>
      <c r="H3297" s="17" t="s">
        <v>7768</v>
      </c>
      <c r="I3297" s="17"/>
      <c r="J3297" s="17"/>
      <c r="K3297" s="17"/>
      <c r="L3297" s="17"/>
      <c r="M3297" s="17"/>
      <c r="N3297" s="17"/>
      <c r="O3297" s="17"/>
      <c r="P3297" s="17"/>
      <c r="Q3297" s="17"/>
    </row>
    <row r="3298" spans="1:17">
      <c r="A3298" s="556" t="s">
        <v>3652</v>
      </c>
      <c r="B3298" s="557" t="s">
        <v>9364</v>
      </c>
      <c r="C3298" s="558" t="s">
        <v>2633</v>
      </c>
      <c r="D3298" s="556" t="s">
        <v>4426</v>
      </c>
      <c r="E3298" s="17" t="s">
        <v>6713</v>
      </c>
      <c r="F3298" s="17">
        <v>35</v>
      </c>
      <c r="G3298" s="17">
        <v>3</v>
      </c>
      <c r="H3298" s="17" t="s">
        <v>3489</v>
      </c>
      <c r="I3298" s="17">
        <v>0</v>
      </c>
      <c r="J3298" s="17"/>
      <c r="K3298" s="17"/>
      <c r="L3298" s="17"/>
      <c r="M3298" s="17"/>
      <c r="N3298" s="17"/>
      <c r="O3298" s="17"/>
      <c r="P3298" s="17"/>
      <c r="Q3298" s="17"/>
    </row>
    <row r="3299" spans="1:17">
      <c r="A3299" s="556" t="s">
        <v>3652</v>
      </c>
      <c r="B3299" s="557" t="s">
        <v>9364</v>
      </c>
      <c r="C3299" s="558" t="s">
        <v>2633</v>
      </c>
      <c r="D3299" s="556" t="s">
        <v>4324</v>
      </c>
      <c r="E3299" s="17" t="s">
        <v>6714</v>
      </c>
      <c r="F3299" s="17">
        <v>35</v>
      </c>
      <c r="G3299" s="17">
        <v>4</v>
      </c>
      <c r="H3299" s="17" t="s">
        <v>3490</v>
      </c>
      <c r="I3299" s="17"/>
      <c r="J3299" s="17"/>
      <c r="K3299" s="17"/>
      <c r="L3299" s="17"/>
      <c r="M3299" s="17"/>
      <c r="N3299" s="17"/>
      <c r="O3299" s="17"/>
      <c r="P3299" s="17"/>
      <c r="Q3299" s="17"/>
    </row>
    <row r="3300" spans="1:17">
      <c r="A3300" s="556" t="s">
        <v>3652</v>
      </c>
      <c r="B3300" s="557" t="s">
        <v>9365</v>
      </c>
      <c r="C3300" s="558" t="s">
        <v>2653</v>
      </c>
      <c r="D3300" s="556" t="s">
        <v>2623</v>
      </c>
      <c r="E3300" s="17" t="s">
        <v>6715</v>
      </c>
      <c r="F3300" s="17">
        <v>36</v>
      </c>
      <c r="G3300" s="17">
        <v>1</v>
      </c>
      <c r="H3300" s="17" t="s">
        <v>7927</v>
      </c>
      <c r="I3300" s="17"/>
      <c r="J3300" s="17"/>
      <c r="K3300" s="17"/>
      <c r="L3300" s="17"/>
      <c r="M3300" s="17"/>
      <c r="N3300" s="17"/>
      <c r="O3300" s="17"/>
      <c r="P3300" s="17"/>
      <c r="Q3300" s="17"/>
    </row>
    <row r="3301" spans="1:17">
      <c r="A3301" s="556" t="s">
        <v>3652</v>
      </c>
      <c r="B3301" s="557" t="s">
        <v>9365</v>
      </c>
      <c r="C3301" s="558" t="s">
        <v>2653</v>
      </c>
      <c r="D3301" s="556" t="s">
        <v>2624</v>
      </c>
      <c r="E3301" s="17" t="s">
        <v>6716</v>
      </c>
      <c r="F3301" s="17">
        <v>36</v>
      </c>
      <c r="G3301" s="17">
        <v>2</v>
      </c>
      <c r="H3301" s="17" t="s">
        <v>7928</v>
      </c>
      <c r="I3301" s="17"/>
      <c r="J3301" s="17"/>
      <c r="K3301" s="17"/>
      <c r="L3301" s="17"/>
      <c r="M3301" s="17"/>
      <c r="N3301" s="17"/>
      <c r="O3301" s="17"/>
      <c r="P3301" s="17"/>
      <c r="Q3301" s="17"/>
    </row>
    <row r="3302" spans="1:17">
      <c r="A3302" s="556" t="s">
        <v>3652</v>
      </c>
      <c r="B3302" s="557" t="s">
        <v>9365</v>
      </c>
      <c r="C3302" s="558" t="s">
        <v>2653</v>
      </c>
      <c r="D3302" s="556" t="s">
        <v>4426</v>
      </c>
      <c r="E3302" s="17" t="s">
        <v>6717</v>
      </c>
      <c r="F3302" s="17">
        <v>36</v>
      </c>
      <c r="G3302" s="17">
        <v>3</v>
      </c>
      <c r="H3302" s="17" t="s">
        <v>3491</v>
      </c>
      <c r="I3302" s="17">
        <v>0</v>
      </c>
      <c r="J3302" s="17"/>
      <c r="K3302" s="17"/>
      <c r="L3302" s="17"/>
      <c r="M3302" s="17"/>
      <c r="N3302" s="17"/>
      <c r="O3302" s="17"/>
      <c r="P3302" s="17"/>
      <c r="Q3302" s="17"/>
    </row>
    <row r="3303" spans="1:17">
      <c r="A3303" s="556" t="s">
        <v>3652</v>
      </c>
      <c r="B3303" s="557" t="s">
        <v>9365</v>
      </c>
      <c r="C3303" s="558" t="s">
        <v>2653</v>
      </c>
      <c r="D3303" s="556" t="s">
        <v>4324</v>
      </c>
      <c r="E3303" s="17" t="s">
        <v>6718</v>
      </c>
      <c r="F3303" s="17">
        <v>36</v>
      </c>
      <c r="G3303" s="17">
        <v>4</v>
      </c>
      <c r="H3303" s="17" t="s">
        <v>3492</v>
      </c>
      <c r="I3303" s="17"/>
      <c r="J3303" s="17"/>
      <c r="K3303" s="17"/>
      <c r="L3303" s="17"/>
      <c r="M3303" s="17"/>
      <c r="N3303" s="17"/>
      <c r="O3303" s="17"/>
      <c r="P3303" s="17"/>
      <c r="Q3303" s="17"/>
    </row>
    <row r="3304" spans="1:17">
      <c r="A3304" s="556" t="s">
        <v>3652</v>
      </c>
      <c r="B3304" s="557" t="s">
        <v>9366</v>
      </c>
      <c r="C3304" s="558" t="s">
        <v>2654</v>
      </c>
      <c r="D3304" s="556" t="s">
        <v>2623</v>
      </c>
      <c r="E3304" s="17" t="s">
        <v>6719</v>
      </c>
      <c r="F3304" s="17">
        <v>37</v>
      </c>
      <c r="G3304" s="17">
        <v>1</v>
      </c>
      <c r="H3304" s="17" t="s">
        <v>7929</v>
      </c>
      <c r="I3304" s="17"/>
      <c r="J3304" s="17"/>
      <c r="K3304" s="17"/>
      <c r="L3304" s="17"/>
      <c r="M3304" s="17"/>
      <c r="N3304" s="17"/>
      <c r="O3304" s="17"/>
      <c r="P3304" s="17"/>
      <c r="Q3304" s="17"/>
    </row>
    <row r="3305" spans="1:17">
      <c r="A3305" s="556" t="s">
        <v>3652</v>
      </c>
      <c r="B3305" s="557" t="s">
        <v>9366</v>
      </c>
      <c r="C3305" s="558" t="s">
        <v>2654</v>
      </c>
      <c r="D3305" s="556" t="s">
        <v>2624</v>
      </c>
      <c r="E3305" s="17" t="s">
        <v>6720</v>
      </c>
      <c r="F3305" s="17">
        <v>37</v>
      </c>
      <c r="G3305" s="17">
        <v>2</v>
      </c>
      <c r="H3305" s="17" t="s">
        <v>7930</v>
      </c>
      <c r="I3305" s="17"/>
      <c r="J3305" s="17"/>
      <c r="K3305" s="17"/>
      <c r="L3305" s="17"/>
      <c r="M3305" s="17"/>
      <c r="N3305" s="17"/>
      <c r="O3305" s="17"/>
      <c r="P3305" s="17"/>
      <c r="Q3305" s="17"/>
    </row>
    <row r="3306" spans="1:17">
      <c r="A3306" s="556" t="s">
        <v>3652</v>
      </c>
      <c r="B3306" s="557" t="s">
        <v>9366</v>
      </c>
      <c r="C3306" s="558" t="s">
        <v>2654</v>
      </c>
      <c r="D3306" s="556" t="s">
        <v>4426</v>
      </c>
      <c r="E3306" s="17" t="s">
        <v>6721</v>
      </c>
      <c r="F3306" s="17">
        <v>37</v>
      </c>
      <c r="G3306" s="17">
        <v>3</v>
      </c>
      <c r="H3306" s="17" t="s">
        <v>3493</v>
      </c>
      <c r="I3306" s="17">
        <v>0</v>
      </c>
      <c r="J3306" s="17"/>
      <c r="K3306" s="17"/>
      <c r="L3306" s="17"/>
      <c r="M3306" s="17"/>
      <c r="N3306" s="17"/>
      <c r="O3306" s="17"/>
      <c r="P3306" s="17"/>
      <c r="Q3306" s="17"/>
    </row>
    <row r="3307" spans="1:17">
      <c r="A3307" s="556" t="s">
        <v>3652</v>
      </c>
      <c r="B3307" s="557" t="s">
        <v>9366</v>
      </c>
      <c r="C3307" s="558" t="s">
        <v>2654</v>
      </c>
      <c r="D3307" s="556" t="s">
        <v>4324</v>
      </c>
      <c r="E3307" s="17" t="s">
        <v>6722</v>
      </c>
      <c r="F3307" s="17">
        <v>37</v>
      </c>
      <c r="G3307" s="17">
        <v>4</v>
      </c>
      <c r="H3307" s="17" t="s">
        <v>3494</v>
      </c>
      <c r="I3307" s="17"/>
      <c r="J3307" s="17"/>
      <c r="K3307" s="17"/>
      <c r="L3307" s="17"/>
      <c r="M3307" s="17"/>
      <c r="N3307" s="17"/>
      <c r="O3307" s="17"/>
      <c r="P3307" s="17"/>
      <c r="Q3307" s="17"/>
    </row>
    <row r="3308" spans="1:17">
      <c r="A3308" s="556" t="s">
        <v>3652</v>
      </c>
      <c r="B3308" s="557" t="s">
        <v>9367</v>
      </c>
      <c r="C3308" s="558" t="s">
        <v>2655</v>
      </c>
      <c r="D3308" s="556" t="s">
        <v>2623</v>
      </c>
      <c r="E3308" s="17" t="s">
        <v>6723</v>
      </c>
      <c r="F3308" s="17">
        <v>38</v>
      </c>
      <c r="G3308" s="17">
        <v>1</v>
      </c>
      <c r="H3308" s="17" t="s">
        <v>7931</v>
      </c>
      <c r="I3308" s="17"/>
      <c r="J3308" s="17"/>
      <c r="K3308" s="17"/>
      <c r="L3308" s="17"/>
      <c r="M3308" s="17"/>
      <c r="N3308" s="17"/>
      <c r="O3308" s="17"/>
      <c r="P3308" s="17"/>
      <c r="Q3308" s="17"/>
    </row>
    <row r="3309" spans="1:17">
      <c r="A3309" s="556" t="s">
        <v>3652</v>
      </c>
      <c r="B3309" s="557" t="s">
        <v>9367</v>
      </c>
      <c r="C3309" s="558" t="s">
        <v>2655</v>
      </c>
      <c r="D3309" s="556" t="s">
        <v>2624</v>
      </c>
      <c r="E3309" s="17" t="s">
        <v>6724</v>
      </c>
      <c r="F3309" s="17">
        <v>38</v>
      </c>
      <c r="G3309" s="17">
        <v>2</v>
      </c>
      <c r="H3309" s="17" t="s">
        <v>7932</v>
      </c>
      <c r="I3309" s="17"/>
      <c r="J3309" s="17"/>
      <c r="K3309" s="17"/>
      <c r="L3309" s="17"/>
      <c r="M3309" s="17"/>
      <c r="N3309" s="17"/>
      <c r="O3309" s="17"/>
      <c r="P3309" s="17"/>
      <c r="Q3309" s="17"/>
    </row>
    <row r="3310" spans="1:17">
      <c r="A3310" s="556" t="s">
        <v>3652</v>
      </c>
      <c r="B3310" s="557" t="s">
        <v>9367</v>
      </c>
      <c r="C3310" s="558" t="s">
        <v>2655</v>
      </c>
      <c r="D3310" s="556" t="s">
        <v>4426</v>
      </c>
      <c r="E3310" s="17" t="s">
        <v>6725</v>
      </c>
      <c r="F3310" s="17">
        <v>38</v>
      </c>
      <c r="G3310" s="17">
        <v>3</v>
      </c>
      <c r="H3310" s="17" t="s">
        <v>3495</v>
      </c>
      <c r="I3310" s="17">
        <v>0</v>
      </c>
      <c r="J3310" s="17"/>
      <c r="K3310" s="17"/>
      <c r="L3310" s="17"/>
      <c r="M3310" s="17"/>
      <c r="N3310" s="17"/>
      <c r="O3310" s="17"/>
      <c r="P3310" s="17"/>
      <c r="Q3310" s="17"/>
    </row>
    <row r="3311" spans="1:17">
      <c r="A3311" s="556" t="s">
        <v>3652</v>
      </c>
      <c r="B3311" s="557" t="s">
        <v>9367</v>
      </c>
      <c r="C3311" s="558" t="s">
        <v>2655</v>
      </c>
      <c r="D3311" s="556" t="s">
        <v>4324</v>
      </c>
      <c r="E3311" s="17" t="s">
        <v>6726</v>
      </c>
      <c r="F3311" s="17">
        <v>38</v>
      </c>
      <c r="G3311" s="17">
        <v>4</v>
      </c>
      <c r="H3311" s="17" t="s">
        <v>3496</v>
      </c>
      <c r="I3311" s="17"/>
      <c r="J3311" s="17"/>
      <c r="K3311" s="17"/>
      <c r="L3311" s="17"/>
      <c r="M3311" s="17"/>
      <c r="N3311" s="17"/>
      <c r="O3311" s="17"/>
      <c r="P3311" s="17"/>
      <c r="Q3311" s="17"/>
    </row>
    <row r="3312" spans="1:17">
      <c r="A3312" s="556" t="s">
        <v>3652</v>
      </c>
      <c r="B3312" s="557" t="s">
        <v>9368</v>
      </c>
      <c r="C3312" s="558" t="s">
        <v>2632</v>
      </c>
      <c r="D3312" s="556" t="s">
        <v>2623</v>
      </c>
      <c r="E3312" s="17" t="s">
        <v>6727</v>
      </c>
      <c r="F3312" s="17">
        <v>39</v>
      </c>
      <c r="G3312" s="17">
        <v>1</v>
      </c>
      <c r="H3312" s="17" t="s">
        <v>7933</v>
      </c>
      <c r="I3312" s="17"/>
      <c r="J3312" s="17"/>
      <c r="K3312" s="17"/>
      <c r="L3312" s="17"/>
      <c r="M3312" s="17"/>
      <c r="N3312" s="17"/>
      <c r="O3312" s="17"/>
      <c r="P3312" s="17"/>
      <c r="Q3312" s="17"/>
    </row>
    <row r="3313" spans="1:17">
      <c r="A3313" s="556" t="s">
        <v>3652</v>
      </c>
      <c r="B3313" s="557" t="s">
        <v>9368</v>
      </c>
      <c r="C3313" s="558" t="s">
        <v>2632</v>
      </c>
      <c r="D3313" s="556" t="s">
        <v>2624</v>
      </c>
      <c r="E3313" s="17" t="s">
        <v>6728</v>
      </c>
      <c r="F3313" s="17">
        <v>39</v>
      </c>
      <c r="G3313" s="17">
        <v>2</v>
      </c>
      <c r="H3313" s="17" t="s">
        <v>7934</v>
      </c>
      <c r="I3313" s="17"/>
      <c r="J3313" s="17"/>
      <c r="K3313" s="17"/>
      <c r="L3313" s="17"/>
      <c r="M3313" s="17"/>
      <c r="N3313" s="17"/>
      <c r="O3313" s="17"/>
      <c r="P3313" s="17"/>
      <c r="Q3313" s="17"/>
    </row>
    <row r="3314" spans="1:17">
      <c r="A3314" s="556" t="s">
        <v>3652</v>
      </c>
      <c r="B3314" s="557" t="s">
        <v>9368</v>
      </c>
      <c r="C3314" s="558" t="s">
        <v>2632</v>
      </c>
      <c r="D3314" s="556" t="s">
        <v>4426</v>
      </c>
      <c r="E3314" s="17" t="s">
        <v>6729</v>
      </c>
      <c r="F3314" s="17">
        <v>39</v>
      </c>
      <c r="G3314" s="17">
        <v>3</v>
      </c>
      <c r="H3314" s="17" t="s">
        <v>3497</v>
      </c>
      <c r="I3314" s="17">
        <v>0</v>
      </c>
      <c r="J3314" s="17"/>
      <c r="K3314" s="17"/>
      <c r="L3314" s="17"/>
      <c r="M3314" s="17"/>
      <c r="N3314" s="17"/>
      <c r="O3314" s="17"/>
      <c r="P3314" s="17"/>
      <c r="Q3314" s="17"/>
    </row>
    <row r="3315" spans="1:17">
      <c r="A3315" s="556" t="s">
        <v>3652</v>
      </c>
      <c r="B3315" s="557" t="s">
        <v>9368</v>
      </c>
      <c r="C3315" s="558" t="s">
        <v>2632</v>
      </c>
      <c r="D3315" s="556" t="s">
        <v>4324</v>
      </c>
      <c r="E3315" s="17" t="s">
        <v>6730</v>
      </c>
      <c r="F3315" s="17">
        <v>39</v>
      </c>
      <c r="G3315" s="17">
        <v>4</v>
      </c>
      <c r="H3315" s="17" t="s">
        <v>3498</v>
      </c>
      <c r="I3315" s="17"/>
      <c r="J3315" s="17"/>
      <c r="K3315" s="17"/>
      <c r="L3315" s="17"/>
      <c r="M3315" s="17"/>
      <c r="N3315" s="17"/>
      <c r="O3315" s="17"/>
      <c r="P3315" s="17"/>
      <c r="Q3315" s="17"/>
    </row>
    <row r="3316" spans="1:17">
      <c r="A3316" s="556" t="s">
        <v>3652</v>
      </c>
      <c r="B3316" s="557" t="s">
        <v>9369</v>
      </c>
      <c r="C3316" s="558" t="s">
        <v>2633</v>
      </c>
      <c r="D3316" s="556" t="s">
        <v>2623</v>
      </c>
      <c r="E3316" s="17" t="s">
        <v>6731</v>
      </c>
      <c r="F3316" s="17">
        <v>40</v>
      </c>
      <c r="G3316" s="17">
        <v>1</v>
      </c>
      <c r="H3316" s="17" t="s">
        <v>7935</v>
      </c>
      <c r="I3316" s="17"/>
      <c r="J3316" s="17"/>
      <c r="K3316" s="17"/>
      <c r="L3316" s="17"/>
      <c r="M3316" s="17"/>
      <c r="N3316" s="17"/>
      <c r="O3316" s="17"/>
      <c r="P3316" s="17"/>
      <c r="Q3316" s="17"/>
    </row>
    <row r="3317" spans="1:17">
      <c r="A3317" s="556" t="s">
        <v>3652</v>
      </c>
      <c r="B3317" s="557" t="s">
        <v>9369</v>
      </c>
      <c r="C3317" s="558" t="s">
        <v>2633</v>
      </c>
      <c r="D3317" s="556" t="s">
        <v>2624</v>
      </c>
      <c r="E3317" s="17" t="s">
        <v>6732</v>
      </c>
      <c r="F3317" s="17">
        <v>40</v>
      </c>
      <c r="G3317" s="17">
        <v>2</v>
      </c>
      <c r="H3317" s="17" t="s">
        <v>352</v>
      </c>
      <c r="I3317" s="17"/>
      <c r="J3317" s="17"/>
      <c r="K3317" s="17"/>
      <c r="L3317" s="17"/>
      <c r="M3317" s="17"/>
      <c r="N3317" s="17"/>
      <c r="O3317" s="17"/>
      <c r="P3317" s="17"/>
      <c r="Q3317" s="17"/>
    </row>
    <row r="3318" spans="1:17">
      <c r="A3318" s="556" t="s">
        <v>3652</v>
      </c>
      <c r="B3318" s="557" t="s">
        <v>9369</v>
      </c>
      <c r="C3318" s="558" t="s">
        <v>2633</v>
      </c>
      <c r="D3318" s="556" t="s">
        <v>4426</v>
      </c>
      <c r="E3318" s="17" t="s">
        <v>6733</v>
      </c>
      <c r="F3318" s="17">
        <v>40</v>
      </c>
      <c r="G3318" s="17">
        <v>3</v>
      </c>
      <c r="H3318" s="17" t="s">
        <v>3499</v>
      </c>
      <c r="I3318" s="17">
        <v>0</v>
      </c>
      <c r="J3318" s="17"/>
      <c r="K3318" s="17"/>
      <c r="L3318" s="17"/>
      <c r="M3318" s="17"/>
      <c r="N3318" s="17"/>
      <c r="O3318" s="17"/>
      <c r="P3318" s="17"/>
      <c r="Q3318" s="17"/>
    </row>
    <row r="3319" spans="1:17">
      <c r="A3319" s="556" t="s">
        <v>3652</v>
      </c>
      <c r="B3319" s="557" t="s">
        <v>9369</v>
      </c>
      <c r="C3319" s="558" t="s">
        <v>2633</v>
      </c>
      <c r="D3319" s="556" t="s">
        <v>4324</v>
      </c>
      <c r="E3319" s="17" t="s">
        <v>6734</v>
      </c>
      <c r="F3319" s="17">
        <v>40</v>
      </c>
      <c r="G3319" s="17">
        <v>4</v>
      </c>
      <c r="H3319" s="17" t="s">
        <v>3500</v>
      </c>
      <c r="I3319" s="17"/>
      <c r="J3319" s="17"/>
      <c r="K3319" s="17"/>
      <c r="L3319" s="17"/>
      <c r="M3319" s="17"/>
      <c r="N3319" s="17"/>
      <c r="O3319" s="17"/>
      <c r="P3319" s="17"/>
      <c r="Q3319" s="17"/>
    </row>
    <row r="3320" spans="1:17">
      <c r="A3320" s="556" t="s">
        <v>3652</v>
      </c>
      <c r="B3320" s="557" t="s">
        <v>1296</v>
      </c>
      <c r="C3320" s="558" t="s">
        <v>1297</v>
      </c>
      <c r="D3320" s="556" t="s">
        <v>2623</v>
      </c>
      <c r="E3320" s="17" t="s">
        <v>6735</v>
      </c>
      <c r="F3320" s="17">
        <v>41</v>
      </c>
      <c r="G3320" s="17">
        <v>1</v>
      </c>
      <c r="H3320" s="17" t="s">
        <v>7936</v>
      </c>
      <c r="I3320" s="17">
        <v>0</v>
      </c>
      <c r="J3320" s="17"/>
      <c r="K3320" s="17"/>
      <c r="L3320" s="17"/>
      <c r="M3320" s="17"/>
      <c r="N3320" s="17"/>
      <c r="O3320" s="17"/>
      <c r="P3320" s="17"/>
      <c r="Q3320" s="17"/>
    </row>
    <row r="3321" spans="1:17">
      <c r="A3321" s="556" t="s">
        <v>3652</v>
      </c>
      <c r="B3321" s="557" t="s">
        <v>1296</v>
      </c>
      <c r="C3321" s="558" t="s">
        <v>1297</v>
      </c>
      <c r="D3321" s="556" t="s">
        <v>2624</v>
      </c>
      <c r="E3321" s="17" t="s">
        <v>6736</v>
      </c>
      <c r="F3321" s="17">
        <v>41</v>
      </c>
      <c r="G3321" s="17">
        <v>2</v>
      </c>
      <c r="H3321" s="17" t="s">
        <v>372</v>
      </c>
      <c r="I3321" s="17">
        <v>0</v>
      </c>
      <c r="J3321" s="17"/>
      <c r="K3321" s="17"/>
      <c r="L3321" s="17"/>
      <c r="M3321" s="17"/>
      <c r="N3321" s="17"/>
      <c r="O3321" s="17"/>
      <c r="P3321" s="17"/>
      <c r="Q3321" s="17"/>
    </row>
    <row r="3322" spans="1:17">
      <c r="A3322" s="556" t="s">
        <v>3652</v>
      </c>
      <c r="B3322" s="557" t="s">
        <v>1296</v>
      </c>
      <c r="C3322" s="558" t="s">
        <v>1297</v>
      </c>
      <c r="D3322" s="556" t="s">
        <v>4426</v>
      </c>
      <c r="E3322" s="17" t="s">
        <v>6737</v>
      </c>
      <c r="F3322" s="17">
        <v>41</v>
      </c>
      <c r="G3322" s="17">
        <v>3</v>
      </c>
      <c r="H3322" s="17" t="s">
        <v>3501</v>
      </c>
      <c r="I3322" s="17">
        <v>0</v>
      </c>
      <c r="J3322" s="17"/>
      <c r="K3322" s="17"/>
      <c r="L3322" s="17"/>
      <c r="M3322" s="17"/>
      <c r="N3322" s="17"/>
      <c r="O3322" s="17"/>
      <c r="P3322" s="17"/>
      <c r="Q3322" s="17"/>
    </row>
    <row r="3323" spans="1:17">
      <c r="A3323" s="556" t="s">
        <v>3652</v>
      </c>
      <c r="B3323" s="557" t="s">
        <v>1296</v>
      </c>
      <c r="C3323" s="558" t="s">
        <v>1297</v>
      </c>
      <c r="D3323" s="556" t="s">
        <v>4324</v>
      </c>
      <c r="E3323" s="17" t="s">
        <v>6738</v>
      </c>
      <c r="F3323" s="17">
        <v>41</v>
      </c>
      <c r="G3323" s="17">
        <v>4</v>
      </c>
      <c r="H3323" s="17" t="s">
        <v>3502</v>
      </c>
      <c r="I3323" s="17"/>
      <c r="J3323" s="17"/>
      <c r="K3323" s="17"/>
      <c r="L3323" s="17"/>
      <c r="M3323" s="17"/>
      <c r="N3323" s="17"/>
      <c r="O3323" s="17"/>
      <c r="P3323" s="17"/>
      <c r="Q3323" s="17"/>
    </row>
    <row r="3324" spans="1:17">
      <c r="A3324" s="556" t="s">
        <v>3652</v>
      </c>
      <c r="B3324" s="557" t="s">
        <v>9370</v>
      </c>
      <c r="C3324" s="558" t="s">
        <v>2656</v>
      </c>
      <c r="D3324" s="556" t="s">
        <v>2623</v>
      </c>
      <c r="E3324" s="17" t="s">
        <v>6739</v>
      </c>
      <c r="F3324" s="17">
        <v>42</v>
      </c>
      <c r="G3324" s="17">
        <v>1</v>
      </c>
      <c r="H3324" s="17" t="s">
        <v>7937</v>
      </c>
      <c r="I3324" s="17"/>
      <c r="J3324" s="17"/>
      <c r="K3324" s="17"/>
      <c r="L3324" s="17"/>
      <c r="M3324" s="17"/>
      <c r="N3324" s="17"/>
      <c r="O3324" s="17"/>
      <c r="P3324" s="17"/>
      <c r="Q3324" s="17"/>
    </row>
    <row r="3325" spans="1:17">
      <c r="A3325" s="556" t="s">
        <v>3652</v>
      </c>
      <c r="B3325" s="557" t="s">
        <v>9370</v>
      </c>
      <c r="C3325" s="558" t="s">
        <v>2656</v>
      </c>
      <c r="D3325" s="556" t="s">
        <v>2624</v>
      </c>
      <c r="E3325" s="17" t="s">
        <v>6740</v>
      </c>
      <c r="F3325" s="17">
        <v>42</v>
      </c>
      <c r="G3325" s="17">
        <v>2</v>
      </c>
      <c r="H3325" s="17" t="s">
        <v>7938</v>
      </c>
      <c r="I3325" s="17"/>
      <c r="J3325" s="17"/>
      <c r="K3325" s="17"/>
      <c r="L3325" s="17"/>
      <c r="M3325" s="17"/>
      <c r="N3325" s="17"/>
      <c r="O3325" s="17"/>
      <c r="P3325" s="17"/>
      <c r="Q3325" s="17"/>
    </row>
    <row r="3326" spans="1:17">
      <c r="A3326" s="556" t="s">
        <v>3652</v>
      </c>
      <c r="B3326" s="557" t="s">
        <v>9370</v>
      </c>
      <c r="C3326" s="558" t="s">
        <v>2656</v>
      </c>
      <c r="D3326" s="556" t="s">
        <v>4426</v>
      </c>
      <c r="E3326" s="17" t="s">
        <v>6741</v>
      </c>
      <c r="F3326" s="17">
        <v>42</v>
      </c>
      <c r="G3326" s="17">
        <v>3</v>
      </c>
      <c r="H3326" s="17" t="s">
        <v>3503</v>
      </c>
      <c r="I3326" s="17">
        <v>0</v>
      </c>
      <c r="J3326" s="17"/>
      <c r="K3326" s="17"/>
      <c r="L3326" s="17"/>
      <c r="M3326" s="17"/>
      <c r="N3326" s="17"/>
      <c r="O3326" s="17"/>
      <c r="P3326" s="17"/>
      <c r="Q3326" s="17"/>
    </row>
    <row r="3327" spans="1:17">
      <c r="A3327" s="556" t="s">
        <v>3652</v>
      </c>
      <c r="B3327" s="557" t="s">
        <v>9370</v>
      </c>
      <c r="C3327" s="558" t="s">
        <v>2656</v>
      </c>
      <c r="D3327" s="556" t="s">
        <v>4324</v>
      </c>
      <c r="E3327" s="17" t="s">
        <v>6742</v>
      </c>
      <c r="F3327" s="17">
        <v>42</v>
      </c>
      <c r="G3327" s="17">
        <v>4</v>
      </c>
      <c r="H3327" s="17" t="s">
        <v>3504</v>
      </c>
      <c r="I3327" s="17"/>
      <c r="J3327" s="17"/>
      <c r="K3327" s="17"/>
      <c r="L3327" s="17"/>
      <c r="M3327" s="17"/>
      <c r="N3327" s="17"/>
      <c r="O3327" s="17"/>
      <c r="P3327" s="17"/>
      <c r="Q3327" s="17"/>
    </row>
    <row r="3328" spans="1:17">
      <c r="A3328" s="556" t="s">
        <v>3652</v>
      </c>
      <c r="B3328" s="557" t="s">
        <v>1298</v>
      </c>
      <c r="C3328" s="558" t="s">
        <v>2657</v>
      </c>
      <c r="D3328" s="556" t="s">
        <v>2623</v>
      </c>
      <c r="E3328" s="17" t="s">
        <v>6743</v>
      </c>
      <c r="F3328" s="17">
        <v>43</v>
      </c>
      <c r="G3328" s="17">
        <v>1</v>
      </c>
      <c r="H3328" s="17" t="s">
        <v>7939</v>
      </c>
      <c r="I3328" s="17">
        <v>0</v>
      </c>
      <c r="J3328" s="17"/>
      <c r="K3328" s="17"/>
      <c r="L3328" s="17"/>
      <c r="M3328" s="17"/>
      <c r="N3328" s="17"/>
      <c r="O3328" s="17"/>
      <c r="P3328" s="17"/>
      <c r="Q3328" s="17"/>
    </row>
    <row r="3329" spans="1:17">
      <c r="A3329" s="556" t="s">
        <v>3652</v>
      </c>
      <c r="B3329" s="557" t="s">
        <v>1298</v>
      </c>
      <c r="C3329" s="558" t="s">
        <v>2657</v>
      </c>
      <c r="D3329" s="556" t="s">
        <v>2624</v>
      </c>
      <c r="E3329" s="17" t="s">
        <v>6744</v>
      </c>
      <c r="F3329" s="17">
        <v>43</v>
      </c>
      <c r="G3329" s="17">
        <v>2</v>
      </c>
      <c r="H3329" s="17" t="s">
        <v>7940</v>
      </c>
      <c r="I3329" s="17">
        <v>0</v>
      </c>
      <c r="J3329" s="17"/>
      <c r="K3329" s="17"/>
      <c r="L3329" s="17"/>
      <c r="M3329" s="17"/>
      <c r="N3329" s="17"/>
      <c r="O3329" s="17"/>
      <c r="P3329" s="17"/>
      <c r="Q3329" s="17"/>
    </row>
    <row r="3330" spans="1:17">
      <c r="A3330" s="556" t="s">
        <v>3652</v>
      </c>
      <c r="B3330" s="557" t="s">
        <v>1298</v>
      </c>
      <c r="C3330" s="558" t="s">
        <v>2657</v>
      </c>
      <c r="D3330" s="556" t="s">
        <v>4426</v>
      </c>
      <c r="E3330" s="17" t="s">
        <v>6745</v>
      </c>
      <c r="F3330" s="17">
        <v>43</v>
      </c>
      <c r="G3330" s="17">
        <v>3</v>
      </c>
      <c r="H3330" s="17" t="s">
        <v>7916</v>
      </c>
      <c r="I3330" s="17">
        <v>0</v>
      </c>
      <c r="J3330" s="17"/>
      <c r="K3330" s="17"/>
      <c r="L3330" s="17"/>
      <c r="M3330" s="17"/>
      <c r="N3330" s="17"/>
      <c r="O3330" s="17"/>
      <c r="P3330" s="17"/>
      <c r="Q3330" s="17"/>
    </row>
    <row r="3331" spans="1:17">
      <c r="A3331" s="556" t="s">
        <v>3652</v>
      </c>
      <c r="B3331" s="557" t="s">
        <v>1298</v>
      </c>
      <c r="C3331" s="558" t="s">
        <v>2657</v>
      </c>
      <c r="D3331" s="556" t="s">
        <v>4324</v>
      </c>
      <c r="E3331" s="17" t="s">
        <v>6746</v>
      </c>
      <c r="F3331" s="17">
        <v>43</v>
      </c>
      <c r="G3331" s="17">
        <v>4</v>
      </c>
      <c r="H3331" s="17" t="s">
        <v>7941</v>
      </c>
      <c r="I3331" s="17"/>
      <c r="J3331" s="17"/>
      <c r="K3331" s="17"/>
      <c r="L3331" s="17"/>
      <c r="M3331" s="17"/>
      <c r="N3331" s="17"/>
      <c r="O3331" s="17"/>
      <c r="P3331" s="17"/>
      <c r="Q3331" s="17"/>
    </row>
    <row r="3332" spans="1:17">
      <c r="A3332" s="556" t="s">
        <v>3652</v>
      </c>
      <c r="B3332" s="557" t="s">
        <v>9371</v>
      </c>
      <c r="C3332" s="558" t="s">
        <v>2187</v>
      </c>
      <c r="D3332" s="556" t="s">
        <v>2623</v>
      </c>
      <c r="E3332" s="17" t="s">
        <v>6747</v>
      </c>
      <c r="F3332" s="17">
        <v>44</v>
      </c>
      <c r="G3332" s="17">
        <v>1</v>
      </c>
      <c r="H3332" s="17" t="s">
        <v>7942</v>
      </c>
      <c r="I3332" s="17"/>
      <c r="J3332" s="17"/>
      <c r="K3332" s="17"/>
      <c r="L3332" s="17"/>
      <c r="M3332" s="17"/>
      <c r="N3332" s="17"/>
      <c r="O3332" s="17"/>
      <c r="P3332" s="17"/>
      <c r="Q3332" s="17"/>
    </row>
    <row r="3333" spans="1:17">
      <c r="A3333" s="556" t="s">
        <v>3652</v>
      </c>
      <c r="B3333" s="557" t="s">
        <v>9371</v>
      </c>
      <c r="C3333" s="558" t="s">
        <v>2187</v>
      </c>
      <c r="D3333" s="556" t="s">
        <v>2624</v>
      </c>
      <c r="E3333" s="17" t="s">
        <v>6748</v>
      </c>
      <c r="F3333" s="17">
        <v>44</v>
      </c>
      <c r="G3333" s="17">
        <v>2</v>
      </c>
      <c r="H3333" s="17" t="s">
        <v>7943</v>
      </c>
      <c r="I3333" s="17"/>
      <c r="J3333" s="17"/>
      <c r="K3333" s="17"/>
      <c r="L3333" s="17"/>
      <c r="M3333" s="17"/>
      <c r="N3333" s="17"/>
      <c r="O3333" s="17"/>
      <c r="P3333" s="17"/>
      <c r="Q3333" s="17"/>
    </row>
    <row r="3334" spans="1:17">
      <c r="A3334" s="556" t="s">
        <v>3652</v>
      </c>
      <c r="B3334" s="557" t="s">
        <v>9371</v>
      </c>
      <c r="C3334" s="558" t="s">
        <v>2187</v>
      </c>
      <c r="D3334" s="556" t="s">
        <v>4426</v>
      </c>
      <c r="E3334" s="17" t="s">
        <v>6749</v>
      </c>
      <c r="F3334" s="17">
        <v>44</v>
      </c>
      <c r="G3334" s="17">
        <v>3</v>
      </c>
      <c r="H3334" s="17" t="s">
        <v>7918</v>
      </c>
      <c r="I3334" s="17">
        <v>0</v>
      </c>
      <c r="J3334" s="17"/>
      <c r="K3334" s="17"/>
      <c r="L3334" s="17"/>
      <c r="M3334" s="17"/>
      <c r="N3334" s="17"/>
      <c r="O3334" s="17"/>
      <c r="P3334" s="17"/>
      <c r="Q3334" s="17"/>
    </row>
    <row r="3335" spans="1:17">
      <c r="A3335" s="556" t="s">
        <v>3652</v>
      </c>
      <c r="B3335" s="557" t="s">
        <v>9371</v>
      </c>
      <c r="C3335" s="558" t="s">
        <v>2187</v>
      </c>
      <c r="D3335" s="556" t="s">
        <v>4324</v>
      </c>
      <c r="E3335" s="17" t="s">
        <v>6750</v>
      </c>
      <c r="F3335" s="17">
        <v>44</v>
      </c>
      <c r="G3335" s="17">
        <v>4</v>
      </c>
      <c r="H3335" s="17" t="s">
        <v>7944</v>
      </c>
      <c r="I3335" s="17"/>
      <c r="J3335" s="17"/>
      <c r="K3335" s="17"/>
      <c r="L3335" s="17"/>
      <c r="M3335" s="17"/>
      <c r="N3335" s="17"/>
      <c r="O3335" s="17"/>
      <c r="P3335" s="17"/>
      <c r="Q3335" s="17"/>
    </row>
    <row r="3336" spans="1:17">
      <c r="A3336" s="556" t="s">
        <v>3652</v>
      </c>
      <c r="B3336" s="557" t="s">
        <v>9372</v>
      </c>
      <c r="C3336" s="558" t="s">
        <v>2188</v>
      </c>
      <c r="D3336" s="556" t="s">
        <v>2623</v>
      </c>
      <c r="E3336" s="17" t="s">
        <v>6751</v>
      </c>
      <c r="F3336" s="17">
        <v>45</v>
      </c>
      <c r="G3336" s="17">
        <v>1</v>
      </c>
      <c r="H3336" s="17" t="s">
        <v>7945</v>
      </c>
      <c r="I3336" s="17"/>
      <c r="J3336" s="17"/>
      <c r="K3336" s="17"/>
      <c r="L3336" s="17"/>
      <c r="M3336" s="17"/>
      <c r="N3336" s="17"/>
      <c r="O3336" s="17"/>
      <c r="P3336" s="17"/>
      <c r="Q3336" s="17"/>
    </row>
    <row r="3337" spans="1:17">
      <c r="A3337" s="556" t="s">
        <v>3652</v>
      </c>
      <c r="B3337" s="557" t="s">
        <v>9372</v>
      </c>
      <c r="C3337" s="558" t="s">
        <v>2188</v>
      </c>
      <c r="D3337" s="556" t="s">
        <v>2624</v>
      </c>
      <c r="E3337" s="17" t="s">
        <v>6752</v>
      </c>
      <c r="F3337" s="17">
        <v>45</v>
      </c>
      <c r="G3337" s="17">
        <v>2</v>
      </c>
      <c r="H3337" s="17" t="s">
        <v>7946</v>
      </c>
      <c r="I3337" s="17"/>
      <c r="J3337" s="17"/>
      <c r="K3337" s="17"/>
      <c r="L3337" s="17"/>
      <c r="M3337" s="17"/>
      <c r="N3337" s="17"/>
      <c r="O3337" s="17"/>
      <c r="P3337" s="17"/>
      <c r="Q3337" s="17"/>
    </row>
    <row r="3338" spans="1:17">
      <c r="A3338" s="556" t="s">
        <v>3652</v>
      </c>
      <c r="B3338" s="557" t="s">
        <v>9372</v>
      </c>
      <c r="C3338" s="558" t="s">
        <v>2188</v>
      </c>
      <c r="D3338" s="556" t="s">
        <v>4426</v>
      </c>
      <c r="E3338" s="17" t="s">
        <v>6753</v>
      </c>
      <c r="F3338" s="17">
        <v>45</v>
      </c>
      <c r="G3338" s="17">
        <v>3</v>
      </c>
      <c r="H3338" s="17" t="s">
        <v>7920</v>
      </c>
      <c r="I3338" s="17">
        <v>0</v>
      </c>
      <c r="J3338" s="17"/>
      <c r="K3338" s="17"/>
      <c r="L3338" s="17"/>
      <c r="M3338" s="17"/>
      <c r="N3338" s="17"/>
      <c r="O3338" s="17"/>
      <c r="P3338" s="17"/>
      <c r="Q3338" s="17"/>
    </row>
    <row r="3339" spans="1:17">
      <c r="A3339" s="556" t="s">
        <v>3652</v>
      </c>
      <c r="B3339" s="557" t="s">
        <v>9372</v>
      </c>
      <c r="C3339" s="558" t="s">
        <v>2188</v>
      </c>
      <c r="D3339" s="556" t="s">
        <v>4324</v>
      </c>
      <c r="E3339" s="17" t="s">
        <v>6754</v>
      </c>
      <c r="F3339" s="17">
        <v>45</v>
      </c>
      <c r="G3339" s="17">
        <v>4</v>
      </c>
      <c r="H3339" s="17" t="s">
        <v>7947</v>
      </c>
      <c r="I3339" s="17"/>
      <c r="J3339" s="17"/>
      <c r="K3339" s="17"/>
      <c r="L3339" s="17"/>
      <c r="M3339" s="17"/>
      <c r="N3339" s="17"/>
      <c r="O3339" s="17"/>
      <c r="P3339" s="17"/>
      <c r="Q3339" s="17"/>
    </row>
    <row r="3340" spans="1:17">
      <c r="A3340" s="556" t="s">
        <v>3652</v>
      </c>
      <c r="B3340" s="557" t="s">
        <v>9373</v>
      </c>
      <c r="C3340" s="558" t="s">
        <v>2658</v>
      </c>
      <c r="D3340" s="556" t="s">
        <v>2623</v>
      </c>
      <c r="E3340" s="17" t="s">
        <v>6755</v>
      </c>
      <c r="F3340" s="17">
        <v>46</v>
      </c>
      <c r="G3340" s="17">
        <v>1</v>
      </c>
      <c r="H3340" s="17" t="s">
        <v>7948</v>
      </c>
      <c r="I3340" s="17"/>
      <c r="J3340" s="17"/>
      <c r="K3340" s="17"/>
      <c r="L3340" s="17"/>
      <c r="M3340" s="17"/>
      <c r="N3340" s="17"/>
      <c r="O3340" s="17"/>
      <c r="P3340" s="17"/>
      <c r="Q3340" s="17"/>
    </row>
    <row r="3341" spans="1:17">
      <c r="A3341" s="556" t="s">
        <v>3652</v>
      </c>
      <c r="B3341" s="557" t="s">
        <v>9373</v>
      </c>
      <c r="C3341" s="558" t="s">
        <v>2658</v>
      </c>
      <c r="D3341" s="556" t="s">
        <v>2624</v>
      </c>
      <c r="E3341" s="17" t="s">
        <v>6756</v>
      </c>
      <c r="F3341" s="17">
        <v>46</v>
      </c>
      <c r="G3341" s="17">
        <v>2</v>
      </c>
      <c r="H3341" s="17" t="s">
        <v>7949</v>
      </c>
      <c r="I3341" s="17"/>
      <c r="J3341" s="17"/>
      <c r="K3341" s="17"/>
      <c r="L3341" s="17"/>
      <c r="M3341" s="17"/>
      <c r="N3341" s="17"/>
      <c r="O3341" s="17"/>
      <c r="P3341" s="17"/>
      <c r="Q3341" s="17"/>
    </row>
    <row r="3342" spans="1:17">
      <c r="A3342" s="556" t="s">
        <v>3652</v>
      </c>
      <c r="B3342" s="557" t="s">
        <v>9373</v>
      </c>
      <c r="C3342" s="558" t="s">
        <v>2658</v>
      </c>
      <c r="D3342" s="556" t="s">
        <v>4426</v>
      </c>
      <c r="E3342" s="17" t="s">
        <v>6757</v>
      </c>
      <c r="F3342" s="17">
        <v>46</v>
      </c>
      <c r="G3342" s="17">
        <v>3</v>
      </c>
      <c r="H3342" s="17" t="s">
        <v>7921</v>
      </c>
      <c r="I3342" s="17">
        <v>0</v>
      </c>
      <c r="J3342" s="17"/>
      <c r="K3342" s="17"/>
      <c r="L3342" s="17"/>
      <c r="M3342" s="17"/>
      <c r="N3342" s="17"/>
      <c r="O3342" s="17"/>
      <c r="P3342" s="17"/>
      <c r="Q3342" s="17"/>
    </row>
    <row r="3343" spans="1:17">
      <c r="A3343" s="556" t="s">
        <v>3652</v>
      </c>
      <c r="B3343" s="557" t="s">
        <v>9373</v>
      </c>
      <c r="C3343" s="558" t="s">
        <v>2658</v>
      </c>
      <c r="D3343" s="556" t="s">
        <v>4324</v>
      </c>
      <c r="E3343" s="17" t="s">
        <v>6758</v>
      </c>
      <c r="F3343" s="17">
        <v>46</v>
      </c>
      <c r="G3343" s="17">
        <v>4</v>
      </c>
      <c r="H3343" s="17" t="s">
        <v>7950</v>
      </c>
      <c r="I3343" s="17"/>
      <c r="J3343" s="17"/>
      <c r="K3343" s="17"/>
      <c r="L3343" s="17"/>
      <c r="M3343" s="17"/>
      <c r="N3343" s="17"/>
      <c r="O3343" s="17"/>
      <c r="P3343" s="17"/>
      <c r="Q3343" s="17"/>
    </row>
    <row r="3344" spans="1:17">
      <c r="A3344" s="556" t="s">
        <v>3652</v>
      </c>
      <c r="B3344" s="557" t="s">
        <v>9374</v>
      </c>
      <c r="C3344" s="558" t="s">
        <v>2190</v>
      </c>
      <c r="D3344" s="556" t="s">
        <v>2623</v>
      </c>
      <c r="E3344" s="17" t="s">
        <v>6759</v>
      </c>
      <c r="F3344" s="17">
        <v>47</v>
      </c>
      <c r="G3344" s="17">
        <v>1</v>
      </c>
      <c r="H3344" s="17" t="s">
        <v>7951</v>
      </c>
      <c r="I3344" s="17"/>
      <c r="J3344" s="17"/>
      <c r="K3344" s="17"/>
      <c r="L3344" s="17"/>
      <c r="M3344" s="17"/>
      <c r="N3344" s="17"/>
      <c r="O3344" s="17"/>
      <c r="P3344" s="17"/>
      <c r="Q3344" s="17"/>
    </row>
    <row r="3345" spans="1:17">
      <c r="A3345" s="556" t="s">
        <v>3652</v>
      </c>
      <c r="B3345" s="557" t="s">
        <v>9374</v>
      </c>
      <c r="C3345" s="558" t="s">
        <v>2190</v>
      </c>
      <c r="D3345" s="556" t="s">
        <v>2624</v>
      </c>
      <c r="E3345" s="17" t="s">
        <v>6760</v>
      </c>
      <c r="F3345" s="17">
        <v>47</v>
      </c>
      <c r="G3345" s="17">
        <v>2</v>
      </c>
      <c r="H3345" s="17" t="s">
        <v>7952</v>
      </c>
      <c r="I3345" s="17"/>
      <c r="J3345" s="17"/>
      <c r="K3345" s="17"/>
      <c r="L3345" s="17"/>
      <c r="M3345" s="17"/>
      <c r="N3345" s="17"/>
      <c r="O3345" s="17"/>
      <c r="P3345" s="17"/>
      <c r="Q3345" s="17"/>
    </row>
    <row r="3346" spans="1:17">
      <c r="A3346" s="556" t="s">
        <v>3652</v>
      </c>
      <c r="B3346" s="557" t="s">
        <v>9374</v>
      </c>
      <c r="C3346" s="558" t="s">
        <v>2190</v>
      </c>
      <c r="D3346" s="556" t="s">
        <v>4426</v>
      </c>
      <c r="E3346" s="17" t="s">
        <v>6761</v>
      </c>
      <c r="F3346" s="17">
        <v>47</v>
      </c>
      <c r="G3346" s="17">
        <v>3</v>
      </c>
      <c r="H3346" s="17" t="s">
        <v>7923</v>
      </c>
      <c r="I3346" s="17">
        <v>0</v>
      </c>
      <c r="J3346" s="17"/>
      <c r="K3346" s="17"/>
      <c r="L3346" s="17"/>
      <c r="M3346" s="17"/>
      <c r="N3346" s="17"/>
      <c r="O3346" s="17"/>
      <c r="P3346" s="17"/>
      <c r="Q3346" s="17"/>
    </row>
    <row r="3347" spans="1:17">
      <c r="A3347" s="556" t="s">
        <v>3652</v>
      </c>
      <c r="B3347" s="557" t="s">
        <v>9374</v>
      </c>
      <c r="C3347" s="558" t="s">
        <v>2190</v>
      </c>
      <c r="D3347" s="556" t="s">
        <v>4324</v>
      </c>
      <c r="E3347" s="17" t="s">
        <v>6762</v>
      </c>
      <c r="F3347" s="17">
        <v>47</v>
      </c>
      <c r="G3347" s="17">
        <v>4</v>
      </c>
      <c r="H3347" s="17" t="s">
        <v>7953</v>
      </c>
      <c r="I3347" s="17"/>
      <c r="J3347" s="17"/>
      <c r="K3347" s="17"/>
      <c r="L3347" s="17"/>
      <c r="M3347" s="17"/>
      <c r="N3347" s="17"/>
      <c r="O3347" s="17"/>
      <c r="P3347" s="17"/>
      <c r="Q3347" s="17"/>
    </row>
    <row r="3348" spans="1:17">
      <c r="A3348" s="556" t="s">
        <v>3652</v>
      </c>
      <c r="B3348" s="557" t="s">
        <v>9375</v>
      </c>
      <c r="C3348" s="558" t="s">
        <v>2659</v>
      </c>
      <c r="D3348" s="556" t="s">
        <v>2623</v>
      </c>
      <c r="E3348" s="17" t="s">
        <v>6763</v>
      </c>
      <c r="F3348" s="17">
        <v>48</v>
      </c>
      <c r="G3348" s="17">
        <v>1</v>
      </c>
      <c r="H3348" s="17" t="s">
        <v>7954</v>
      </c>
      <c r="I3348" s="17"/>
      <c r="J3348" s="17"/>
      <c r="K3348" s="17"/>
      <c r="L3348" s="17"/>
      <c r="M3348" s="17"/>
      <c r="N3348" s="17"/>
      <c r="O3348" s="17"/>
      <c r="P3348" s="17"/>
      <c r="Q3348" s="17"/>
    </row>
    <row r="3349" spans="1:17">
      <c r="A3349" s="556" t="s">
        <v>3652</v>
      </c>
      <c r="B3349" s="557" t="s">
        <v>9375</v>
      </c>
      <c r="C3349" s="558" t="s">
        <v>2659</v>
      </c>
      <c r="D3349" s="556" t="s">
        <v>2624</v>
      </c>
      <c r="E3349" s="17" t="s">
        <v>6764</v>
      </c>
      <c r="F3349" s="17">
        <v>48</v>
      </c>
      <c r="G3349" s="17">
        <v>2</v>
      </c>
      <c r="H3349" s="17" t="s">
        <v>7955</v>
      </c>
      <c r="I3349" s="17"/>
      <c r="J3349" s="17"/>
      <c r="K3349" s="17"/>
      <c r="L3349" s="17"/>
      <c r="M3349" s="17"/>
      <c r="N3349" s="17"/>
      <c r="O3349" s="17"/>
      <c r="P3349" s="17"/>
      <c r="Q3349" s="17"/>
    </row>
    <row r="3350" spans="1:17">
      <c r="A3350" s="556" t="s">
        <v>3652</v>
      </c>
      <c r="B3350" s="557" t="s">
        <v>9375</v>
      </c>
      <c r="C3350" s="558" t="s">
        <v>2659</v>
      </c>
      <c r="D3350" s="556" t="s">
        <v>4426</v>
      </c>
      <c r="E3350" s="17" t="s">
        <v>6765</v>
      </c>
      <c r="F3350" s="17">
        <v>48</v>
      </c>
      <c r="G3350" s="17">
        <v>3</v>
      </c>
      <c r="H3350" s="17" t="s">
        <v>7925</v>
      </c>
      <c r="I3350" s="17">
        <v>0</v>
      </c>
      <c r="J3350" s="17"/>
      <c r="K3350" s="17"/>
      <c r="L3350" s="17"/>
      <c r="M3350" s="17"/>
      <c r="N3350" s="17"/>
      <c r="O3350" s="17"/>
      <c r="P3350" s="17"/>
      <c r="Q3350" s="17"/>
    </row>
    <row r="3351" spans="1:17">
      <c r="A3351" s="556" t="s">
        <v>3652</v>
      </c>
      <c r="B3351" s="557" t="s">
        <v>9375</v>
      </c>
      <c r="C3351" s="558" t="s">
        <v>2659</v>
      </c>
      <c r="D3351" s="556" t="s">
        <v>4324</v>
      </c>
      <c r="E3351" s="17" t="s">
        <v>6766</v>
      </c>
      <c r="F3351" s="17">
        <v>48</v>
      </c>
      <c r="G3351" s="17">
        <v>4</v>
      </c>
      <c r="H3351" s="17" t="s">
        <v>7956</v>
      </c>
      <c r="I3351" s="17"/>
      <c r="J3351" s="17"/>
      <c r="K3351" s="17"/>
      <c r="L3351" s="17"/>
      <c r="M3351" s="17"/>
      <c r="N3351" s="17"/>
      <c r="O3351" s="17"/>
      <c r="P3351" s="17"/>
      <c r="Q3351" s="17"/>
    </row>
    <row r="3352" spans="1:17">
      <c r="A3352" s="556" t="s">
        <v>3652</v>
      </c>
      <c r="B3352" s="557" t="s">
        <v>9376</v>
      </c>
      <c r="C3352" s="558" t="s">
        <v>2660</v>
      </c>
      <c r="D3352" s="556" t="s">
        <v>2623</v>
      </c>
      <c r="E3352" s="17" t="s">
        <v>6767</v>
      </c>
      <c r="F3352" s="17">
        <v>49</v>
      </c>
      <c r="G3352" s="17">
        <v>1</v>
      </c>
      <c r="H3352" s="17" t="s">
        <v>7957</v>
      </c>
      <c r="I3352" s="17"/>
      <c r="J3352" s="17"/>
      <c r="K3352" s="17"/>
      <c r="L3352" s="17"/>
      <c r="M3352" s="17"/>
      <c r="N3352" s="17"/>
      <c r="O3352" s="17"/>
      <c r="P3352" s="17"/>
      <c r="Q3352" s="17"/>
    </row>
    <row r="3353" spans="1:17">
      <c r="A3353" s="556" t="s">
        <v>3652</v>
      </c>
      <c r="B3353" s="557" t="s">
        <v>9376</v>
      </c>
      <c r="C3353" s="558" t="s">
        <v>2660</v>
      </c>
      <c r="D3353" s="556" t="s">
        <v>2624</v>
      </c>
      <c r="E3353" s="17" t="s">
        <v>6768</v>
      </c>
      <c r="F3353" s="17">
        <v>49</v>
      </c>
      <c r="G3353" s="17">
        <v>2</v>
      </c>
      <c r="H3353" s="17" t="s">
        <v>7958</v>
      </c>
      <c r="I3353" s="17"/>
      <c r="J3353" s="17"/>
      <c r="K3353" s="17"/>
      <c r="L3353" s="17"/>
      <c r="M3353" s="17"/>
      <c r="N3353" s="17"/>
      <c r="O3353" s="17"/>
      <c r="P3353" s="17"/>
      <c r="Q3353" s="17"/>
    </row>
    <row r="3354" spans="1:17">
      <c r="A3354" s="556" t="s">
        <v>3652</v>
      </c>
      <c r="B3354" s="557" t="s">
        <v>9376</v>
      </c>
      <c r="C3354" s="558" t="s">
        <v>2660</v>
      </c>
      <c r="D3354" s="556" t="s">
        <v>4426</v>
      </c>
      <c r="E3354" s="17" t="s">
        <v>6769</v>
      </c>
      <c r="F3354" s="17">
        <v>49</v>
      </c>
      <c r="G3354" s="17">
        <v>3</v>
      </c>
      <c r="H3354" s="17" t="s">
        <v>7959</v>
      </c>
      <c r="I3354" s="17">
        <v>0</v>
      </c>
      <c r="J3354" s="17"/>
      <c r="K3354" s="17"/>
      <c r="L3354" s="17"/>
      <c r="M3354" s="17"/>
      <c r="N3354" s="17"/>
      <c r="O3354" s="17"/>
      <c r="P3354" s="17"/>
      <c r="Q3354" s="17"/>
    </row>
    <row r="3355" spans="1:17">
      <c r="A3355" s="556" t="s">
        <v>3652</v>
      </c>
      <c r="B3355" s="557" t="s">
        <v>9376</v>
      </c>
      <c r="C3355" s="558" t="s">
        <v>2660</v>
      </c>
      <c r="D3355" s="556" t="s">
        <v>4324</v>
      </c>
      <c r="E3355" s="17" t="s">
        <v>6770</v>
      </c>
      <c r="F3355" s="17">
        <v>49</v>
      </c>
      <c r="G3355" s="17">
        <v>4</v>
      </c>
      <c r="H3355" s="17" t="s">
        <v>7960</v>
      </c>
      <c r="I3355" s="17"/>
      <c r="J3355" s="17"/>
      <c r="K3355" s="17"/>
      <c r="L3355" s="17"/>
      <c r="M3355" s="17"/>
      <c r="N3355" s="17"/>
      <c r="O3355" s="17"/>
      <c r="P3355" s="17"/>
      <c r="Q3355" s="17"/>
    </row>
    <row r="3356" spans="1:17">
      <c r="A3356" s="556" t="s">
        <v>3652</v>
      </c>
      <c r="B3356" s="557" t="s">
        <v>9377</v>
      </c>
      <c r="C3356" s="558" t="s">
        <v>2193</v>
      </c>
      <c r="D3356" s="556" t="s">
        <v>2623</v>
      </c>
      <c r="E3356" s="17" t="s">
        <v>6771</v>
      </c>
      <c r="F3356" s="17">
        <v>50</v>
      </c>
      <c r="G3356" s="17">
        <v>1</v>
      </c>
      <c r="H3356" s="17" t="s">
        <v>7961</v>
      </c>
      <c r="I3356" s="17"/>
      <c r="J3356" s="17"/>
      <c r="K3356" s="17"/>
      <c r="L3356" s="17"/>
      <c r="M3356" s="17"/>
      <c r="N3356" s="17"/>
      <c r="O3356" s="17"/>
      <c r="P3356" s="17"/>
      <c r="Q3356" s="17"/>
    </row>
    <row r="3357" spans="1:17">
      <c r="A3357" s="556" t="s">
        <v>3652</v>
      </c>
      <c r="B3357" s="557" t="s">
        <v>9377</v>
      </c>
      <c r="C3357" s="558" t="s">
        <v>2193</v>
      </c>
      <c r="D3357" s="556" t="s">
        <v>2624</v>
      </c>
      <c r="E3357" s="17" t="s">
        <v>6772</v>
      </c>
      <c r="F3357" s="17">
        <v>50</v>
      </c>
      <c r="G3357" s="17">
        <v>2</v>
      </c>
      <c r="H3357" s="17" t="s">
        <v>7962</v>
      </c>
      <c r="I3357" s="17"/>
      <c r="J3357" s="17"/>
      <c r="K3357" s="17"/>
      <c r="L3357" s="17"/>
      <c r="M3357" s="17"/>
      <c r="N3357" s="17"/>
      <c r="O3357" s="17"/>
      <c r="P3357" s="17"/>
      <c r="Q3357" s="17"/>
    </row>
    <row r="3358" spans="1:17">
      <c r="A3358" s="556" t="s">
        <v>3652</v>
      </c>
      <c r="B3358" s="557" t="s">
        <v>9377</v>
      </c>
      <c r="C3358" s="558" t="s">
        <v>2193</v>
      </c>
      <c r="D3358" s="556" t="s">
        <v>4426</v>
      </c>
      <c r="E3358" s="17" t="s">
        <v>6773</v>
      </c>
      <c r="F3358" s="17">
        <v>50</v>
      </c>
      <c r="G3358" s="17">
        <v>3</v>
      </c>
      <c r="H3358" s="17" t="s">
        <v>7963</v>
      </c>
      <c r="I3358" s="17">
        <v>0</v>
      </c>
      <c r="J3358" s="17"/>
      <c r="K3358" s="17"/>
      <c r="L3358" s="17"/>
      <c r="M3358" s="17"/>
      <c r="N3358" s="17"/>
      <c r="O3358" s="17"/>
      <c r="P3358" s="17"/>
      <c r="Q3358" s="17"/>
    </row>
    <row r="3359" spans="1:17">
      <c r="A3359" s="556" t="s">
        <v>3652</v>
      </c>
      <c r="B3359" s="557" t="s">
        <v>9377</v>
      </c>
      <c r="C3359" s="558" t="s">
        <v>2193</v>
      </c>
      <c r="D3359" s="556" t="s">
        <v>4324</v>
      </c>
      <c r="E3359" s="17" t="s">
        <v>6774</v>
      </c>
      <c r="F3359" s="17">
        <v>50</v>
      </c>
      <c r="G3359" s="17">
        <v>4</v>
      </c>
      <c r="H3359" s="17" t="s">
        <v>7964</v>
      </c>
      <c r="I3359" s="17"/>
      <c r="J3359" s="17"/>
      <c r="K3359" s="17"/>
      <c r="L3359" s="17"/>
      <c r="M3359" s="17"/>
      <c r="N3359" s="17"/>
      <c r="O3359" s="17"/>
      <c r="P3359" s="17"/>
      <c r="Q3359" s="17"/>
    </row>
    <row r="3360" spans="1:17">
      <c r="A3360" s="556" t="s">
        <v>3652</v>
      </c>
      <c r="B3360" s="557" t="s">
        <v>9378</v>
      </c>
      <c r="C3360" s="558" t="s">
        <v>2633</v>
      </c>
      <c r="D3360" s="556" t="s">
        <v>2623</v>
      </c>
      <c r="E3360" s="17" t="s">
        <v>6775</v>
      </c>
      <c r="F3360" s="17">
        <v>51</v>
      </c>
      <c r="G3360" s="17">
        <v>1</v>
      </c>
      <c r="H3360" s="17" t="s">
        <v>7965</v>
      </c>
      <c r="I3360" s="17"/>
      <c r="J3360" s="17"/>
      <c r="K3360" s="17"/>
      <c r="L3360" s="17"/>
      <c r="M3360" s="17"/>
      <c r="N3360" s="17"/>
      <c r="O3360" s="17"/>
      <c r="P3360" s="17"/>
      <c r="Q3360" s="17"/>
    </row>
    <row r="3361" spans="1:17">
      <c r="A3361" s="556" t="s">
        <v>3652</v>
      </c>
      <c r="B3361" s="557" t="s">
        <v>9378</v>
      </c>
      <c r="C3361" s="558" t="s">
        <v>2633</v>
      </c>
      <c r="D3361" s="556" t="s">
        <v>2624</v>
      </c>
      <c r="E3361" s="17" t="s">
        <v>6776</v>
      </c>
      <c r="F3361" s="17">
        <v>51</v>
      </c>
      <c r="G3361" s="17">
        <v>2</v>
      </c>
      <c r="H3361" s="17" t="s">
        <v>7966</v>
      </c>
      <c r="I3361" s="17"/>
      <c r="J3361" s="17"/>
      <c r="K3361" s="17"/>
      <c r="L3361" s="17"/>
      <c r="M3361" s="17"/>
      <c r="N3361" s="17"/>
      <c r="O3361" s="17"/>
      <c r="P3361" s="17"/>
      <c r="Q3361" s="17"/>
    </row>
    <row r="3362" spans="1:17">
      <c r="A3362" s="556" t="s">
        <v>3652</v>
      </c>
      <c r="B3362" s="557" t="s">
        <v>9378</v>
      </c>
      <c r="C3362" s="558" t="s">
        <v>2633</v>
      </c>
      <c r="D3362" s="556" t="s">
        <v>4426</v>
      </c>
      <c r="E3362" s="17" t="s">
        <v>6777</v>
      </c>
      <c r="F3362" s="17">
        <v>51</v>
      </c>
      <c r="G3362" s="17">
        <v>3</v>
      </c>
      <c r="H3362" s="17" t="s">
        <v>7967</v>
      </c>
      <c r="I3362" s="17">
        <v>0</v>
      </c>
      <c r="J3362" s="17"/>
      <c r="K3362" s="17"/>
      <c r="L3362" s="17"/>
      <c r="M3362" s="17"/>
      <c r="N3362" s="17"/>
      <c r="O3362" s="17"/>
      <c r="P3362" s="17"/>
      <c r="Q3362" s="17"/>
    </row>
    <row r="3363" spans="1:17">
      <c r="A3363" s="556" t="s">
        <v>3652</v>
      </c>
      <c r="B3363" s="557" t="s">
        <v>9378</v>
      </c>
      <c r="C3363" s="558" t="s">
        <v>2633</v>
      </c>
      <c r="D3363" s="556" t="s">
        <v>4324</v>
      </c>
      <c r="E3363" s="17" t="s">
        <v>6778</v>
      </c>
      <c r="F3363" s="17">
        <v>51</v>
      </c>
      <c r="G3363" s="17">
        <v>4</v>
      </c>
      <c r="H3363" s="17" t="s">
        <v>7968</v>
      </c>
      <c r="I3363" s="17"/>
      <c r="J3363" s="17"/>
      <c r="K3363" s="17"/>
      <c r="L3363" s="17"/>
      <c r="M3363" s="17"/>
      <c r="N3363" s="17"/>
      <c r="O3363" s="17"/>
      <c r="P3363" s="17"/>
      <c r="Q3363" s="17"/>
    </row>
    <row r="3364" spans="1:17">
      <c r="A3364" s="556" t="s">
        <v>3652</v>
      </c>
      <c r="B3364" s="557" t="s">
        <v>1300</v>
      </c>
      <c r="C3364" s="558" t="s">
        <v>1301</v>
      </c>
      <c r="D3364" s="556" t="s">
        <v>2623</v>
      </c>
      <c r="E3364" s="17" t="s">
        <v>6779</v>
      </c>
      <c r="F3364" s="17">
        <v>52</v>
      </c>
      <c r="G3364" s="17">
        <v>1</v>
      </c>
      <c r="H3364" s="17" t="s">
        <v>7969</v>
      </c>
      <c r="I3364" s="17">
        <v>0</v>
      </c>
      <c r="J3364" s="17"/>
      <c r="K3364" s="17"/>
      <c r="L3364" s="17"/>
      <c r="M3364" s="17"/>
      <c r="N3364" s="17"/>
      <c r="O3364" s="17"/>
      <c r="P3364" s="17"/>
      <c r="Q3364" s="17"/>
    </row>
    <row r="3365" spans="1:17">
      <c r="A3365" s="556" t="s">
        <v>3652</v>
      </c>
      <c r="B3365" s="557" t="s">
        <v>1300</v>
      </c>
      <c r="C3365" s="558" t="s">
        <v>1301</v>
      </c>
      <c r="D3365" s="556" t="s">
        <v>2624</v>
      </c>
      <c r="E3365" s="17" t="s">
        <v>6780</v>
      </c>
      <c r="F3365" s="17">
        <v>52</v>
      </c>
      <c r="G3365" s="17">
        <v>2</v>
      </c>
      <c r="H3365" s="17" t="s">
        <v>7970</v>
      </c>
      <c r="I3365" s="17">
        <v>0</v>
      </c>
      <c r="J3365" s="17"/>
      <c r="K3365" s="17"/>
      <c r="L3365" s="17"/>
      <c r="M3365" s="17"/>
      <c r="N3365" s="17"/>
      <c r="O3365" s="17"/>
      <c r="P3365" s="17"/>
      <c r="Q3365" s="17"/>
    </row>
    <row r="3366" spans="1:17">
      <c r="A3366" s="556" t="s">
        <v>3652</v>
      </c>
      <c r="B3366" s="557" t="s">
        <v>1300</v>
      </c>
      <c r="C3366" s="558" t="s">
        <v>1301</v>
      </c>
      <c r="D3366" s="556" t="s">
        <v>4426</v>
      </c>
      <c r="E3366" s="17" t="s">
        <v>6781</v>
      </c>
      <c r="F3366" s="17">
        <v>52</v>
      </c>
      <c r="G3366" s="17">
        <v>3</v>
      </c>
      <c r="H3366" s="17" t="s">
        <v>7971</v>
      </c>
      <c r="I3366" s="17">
        <v>0</v>
      </c>
      <c r="J3366" s="17"/>
      <c r="K3366" s="17"/>
      <c r="L3366" s="17"/>
      <c r="M3366" s="17"/>
      <c r="N3366" s="17"/>
      <c r="O3366" s="17"/>
      <c r="P3366" s="17"/>
      <c r="Q3366" s="17"/>
    </row>
    <row r="3367" spans="1:17">
      <c r="A3367" s="556" t="s">
        <v>3652</v>
      </c>
      <c r="B3367" s="557" t="s">
        <v>1300</v>
      </c>
      <c r="C3367" s="558" t="s">
        <v>1301</v>
      </c>
      <c r="D3367" s="556" t="s">
        <v>4324</v>
      </c>
      <c r="E3367" s="17" t="s">
        <v>6782</v>
      </c>
      <c r="F3367" s="17">
        <v>52</v>
      </c>
      <c r="G3367" s="17">
        <v>4</v>
      </c>
      <c r="H3367" s="17" t="s">
        <v>7972</v>
      </c>
      <c r="I3367" s="17"/>
      <c r="J3367" s="17"/>
      <c r="K3367" s="17"/>
      <c r="L3367" s="17"/>
      <c r="M3367" s="17"/>
      <c r="N3367" s="17"/>
      <c r="O3367" s="17"/>
      <c r="P3367" s="17"/>
      <c r="Q3367" s="17"/>
    </row>
    <row r="3368" spans="1:17">
      <c r="A3368" s="556" t="s">
        <v>3652</v>
      </c>
      <c r="B3368" s="557" t="s">
        <v>9379</v>
      </c>
      <c r="C3368" s="558" t="s">
        <v>2196</v>
      </c>
      <c r="D3368" s="556" t="s">
        <v>2623</v>
      </c>
      <c r="E3368" s="17" t="s">
        <v>6783</v>
      </c>
      <c r="F3368" s="17">
        <v>53</v>
      </c>
      <c r="G3368" s="17">
        <v>1</v>
      </c>
      <c r="H3368" s="17" t="s">
        <v>7973</v>
      </c>
      <c r="I3368" s="17"/>
      <c r="J3368" s="17"/>
      <c r="K3368" s="17"/>
      <c r="L3368" s="17"/>
      <c r="M3368" s="17"/>
      <c r="N3368" s="17"/>
      <c r="O3368" s="17"/>
      <c r="P3368" s="17"/>
      <c r="Q3368" s="17"/>
    </row>
    <row r="3369" spans="1:17">
      <c r="A3369" s="556" t="s">
        <v>3652</v>
      </c>
      <c r="B3369" s="557" t="s">
        <v>9379</v>
      </c>
      <c r="C3369" s="558" t="s">
        <v>2196</v>
      </c>
      <c r="D3369" s="556" t="s">
        <v>2624</v>
      </c>
      <c r="E3369" s="17" t="s">
        <v>6784</v>
      </c>
      <c r="F3369" s="17">
        <v>53</v>
      </c>
      <c r="G3369" s="17">
        <v>2</v>
      </c>
      <c r="H3369" s="17" t="s">
        <v>7974</v>
      </c>
      <c r="I3369" s="17"/>
      <c r="J3369" s="17"/>
      <c r="K3369" s="17"/>
      <c r="L3369" s="17"/>
      <c r="M3369" s="17"/>
      <c r="N3369" s="17"/>
      <c r="O3369" s="17"/>
      <c r="P3369" s="17"/>
      <c r="Q3369" s="17"/>
    </row>
    <row r="3370" spans="1:17">
      <c r="A3370" s="556" t="s">
        <v>3652</v>
      </c>
      <c r="B3370" s="557" t="s">
        <v>9379</v>
      </c>
      <c r="C3370" s="558" t="s">
        <v>2196</v>
      </c>
      <c r="D3370" s="556" t="s">
        <v>4426</v>
      </c>
      <c r="E3370" s="17" t="s">
        <v>6785</v>
      </c>
      <c r="F3370" s="17">
        <v>53</v>
      </c>
      <c r="G3370" s="17">
        <v>3</v>
      </c>
      <c r="H3370" s="17" t="s">
        <v>7975</v>
      </c>
      <c r="I3370" s="17">
        <v>0</v>
      </c>
      <c r="J3370" s="17"/>
      <c r="K3370" s="17"/>
      <c r="L3370" s="17"/>
      <c r="M3370" s="17"/>
      <c r="N3370" s="17"/>
      <c r="O3370" s="17"/>
      <c r="P3370" s="17"/>
      <c r="Q3370" s="17"/>
    </row>
    <row r="3371" spans="1:17">
      <c r="A3371" s="556" t="s">
        <v>3652</v>
      </c>
      <c r="B3371" s="557" t="s">
        <v>9379</v>
      </c>
      <c r="C3371" s="558" t="s">
        <v>2196</v>
      </c>
      <c r="D3371" s="556" t="s">
        <v>4324</v>
      </c>
      <c r="E3371" s="17" t="s">
        <v>6786</v>
      </c>
      <c r="F3371" s="17">
        <v>53</v>
      </c>
      <c r="G3371" s="17">
        <v>4</v>
      </c>
      <c r="H3371" s="17" t="s">
        <v>7976</v>
      </c>
      <c r="I3371" s="17"/>
      <c r="J3371" s="17"/>
      <c r="K3371" s="17"/>
      <c r="L3371" s="17"/>
      <c r="M3371" s="17"/>
      <c r="N3371" s="17"/>
      <c r="O3371" s="17"/>
      <c r="P3371" s="17"/>
      <c r="Q3371" s="17"/>
    </row>
    <row r="3372" spans="1:17">
      <c r="A3372" s="556" t="s">
        <v>3652</v>
      </c>
      <c r="B3372" s="557" t="s">
        <v>9380</v>
      </c>
      <c r="C3372" s="558" t="s">
        <v>2661</v>
      </c>
      <c r="D3372" s="556" t="s">
        <v>2623</v>
      </c>
      <c r="E3372" s="17" t="s">
        <v>6787</v>
      </c>
      <c r="F3372" s="17">
        <v>54</v>
      </c>
      <c r="G3372" s="17">
        <v>1</v>
      </c>
      <c r="H3372" s="17" t="s">
        <v>7977</v>
      </c>
      <c r="I3372" s="17"/>
      <c r="J3372" s="17"/>
      <c r="K3372" s="17"/>
      <c r="L3372" s="17"/>
      <c r="M3372" s="17"/>
      <c r="N3372" s="17"/>
      <c r="O3372" s="17"/>
      <c r="P3372" s="17"/>
      <c r="Q3372" s="17"/>
    </row>
    <row r="3373" spans="1:17">
      <c r="A3373" s="556" t="s">
        <v>3652</v>
      </c>
      <c r="B3373" s="557" t="s">
        <v>9380</v>
      </c>
      <c r="C3373" s="558" t="s">
        <v>2661</v>
      </c>
      <c r="D3373" s="556" t="s">
        <v>2624</v>
      </c>
      <c r="E3373" s="17" t="s">
        <v>6788</v>
      </c>
      <c r="F3373" s="17">
        <v>54</v>
      </c>
      <c r="G3373" s="17">
        <v>2</v>
      </c>
      <c r="H3373" s="17" t="s">
        <v>7978</v>
      </c>
      <c r="I3373" s="17"/>
      <c r="J3373" s="17"/>
      <c r="K3373" s="17"/>
      <c r="L3373" s="17"/>
      <c r="M3373" s="17"/>
      <c r="N3373" s="17"/>
      <c r="O3373" s="17"/>
      <c r="P3373" s="17"/>
      <c r="Q3373" s="17"/>
    </row>
    <row r="3374" spans="1:17">
      <c r="A3374" s="556" t="s">
        <v>3652</v>
      </c>
      <c r="B3374" s="557" t="s">
        <v>9380</v>
      </c>
      <c r="C3374" s="558" t="s">
        <v>2661</v>
      </c>
      <c r="D3374" s="556" t="s">
        <v>4426</v>
      </c>
      <c r="E3374" s="17" t="s">
        <v>6789</v>
      </c>
      <c r="F3374" s="17">
        <v>54</v>
      </c>
      <c r="G3374" s="17">
        <v>3</v>
      </c>
      <c r="H3374" s="17" t="s">
        <v>7979</v>
      </c>
      <c r="I3374" s="17">
        <v>0</v>
      </c>
      <c r="J3374" s="17"/>
      <c r="K3374" s="17"/>
      <c r="L3374" s="17"/>
      <c r="M3374" s="17"/>
      <c r="N3374" s="17"/>
      <c r="O3374" s="17"/>
      <c r="P3374" s="17"/>
      <c r="Q3374" s="17"/>
    </row>
    <row r="3375" spans="1:17">
      <c r="A3375" s="556" t="s">
        <v>3652</v>
      </c>
      <c r="B3375" s="557" t="s">
        <v>9380</v>
      </c>
      <c r="C3375" s="558" t="s">
        <v>2661</v>
      </c>
      <c r="D3375" s="556" t="s">
        <v>4324</v>
      </c>
      <c r="E3375" s="17" t="s">
        <v>6790</v>
      </c>
      <c r="F3375" s="17">
        <v>54</v>
      </c>
      <c r="G3375" s="17">
        <v>4</v>
      </c>
      <c r="H3375" s="17" t="s">
        <v>7980</v>
      </c>
      <c r="I3375" s="17"/>
      <c r="J3375" s="17"/>
      <c r="K3375" s="17"/>
      <c r="L3375" s="17"/>
      <c r="M3375" s="17"/>
      <c r="N3375" s="17"/>
      <c r="O3375" s="17"/>
      <c r="P3375" s="17"/>
      <c r="Q3375" s="17"/>
    </row>
    <row r="3376" spans="1:17">
      <c r="A3376" s="556" t="s">
        <v>3652</v>
      </c>
      <c r="B3376" s="557" t="s">
        <v>9381</v>
      </c>
      <c r="C3376" s="558" t="s">
        <v>2662</v>
      </c>
      <c r="D3376" s="556" t="s">
        <v>2623</v>
      </c>
      <c r="E3376" s="17" t="s">
        <v>6791</v>
      </c>
      <c r="F3376" s="17">
        <v>55</v>
      </c>
      <c r="G3376" s="17">
        <v>1</v>
      </c>
      <c r="H3376" s="17" t="s">
        <v>7981</v>
      </c>
      <c r="I3376" s="17"/>
      <c r="J3376" s="17"/>
      <c r="K3376" s="17"/>
      <c r="L3376" s="17"/>
      <c r="M3376" s="17"/>
      <c r="N3376" s="17"/>
      <c r="O3376" s="17"/>
      <c r="P3376" s="17"/>
      <c r="Q3376" s="17"/>
    </row>
    <row r="3377" spans="1:17">
      <c r="A3377" s="556" t="s">
        <v>3652</v>
      </c>
      <c r="B3377" s="557" t="s">
        <v>9381</v>
      </c>
      <c r="C3377" s="558" t="s">
        <v>2662</v>
      </c>
      <c r="D3377" s="556" t="s">
        <v>2624</v>
      </c>
      <c r="E3377" s="17" t="s">
        <v>6792</v>
      </c>
      <c r="F3377" s="17">
        <v>55</v>
      </c>
      <c r="G3377" s="17">
        <v>2</v>
      </c>
      <c r="H3377" s="17" t="s">
        <v>7982</v>
      </c>
      <c r="I3377" s="17"/>
      <c r="J3377" s="17"/>
      <c r="K3377" s="17"/>
      <c r="L3377" s="17"/>
      <c r="M3377" s="17"/>
      <c r="N3377" s="17"/>
      <c r="O3377" s="17"/>
      <c r="P3377" s="17"/>
      <c r="Q3377" s="17"/>
    </row>
    <row r="3378" spans="1:17">
      <c r="A3378" s="556" t="s">
        <v>3652</v>
      </c>
      <c r="B3378" s="557" t="s">
        <v>9381</v>
      </c>
      <c r="C3378" s="558" t="s">
        <v>2662</v>
      </c>
      <c r="D3378" s="556" t="s">
        <v>4426</v>
      </c>
      <c r="E3378" s="17" t="s">
        <v>6793</v>
      </c>
      <c r="F3378" s="17">
        <v>55</v>
      </c>
      <c r="G3378" s="17">
        <v>3</v>
      </c>
      <c r="H3378" s="17" t="s">
        <v>7983</v>
      </c>
      <c r="I3378" s="17">
        <v>0</v>
      </c>
      <c r="J3378" s="17"/>
      <c r="K3378" s="17"/>
      <c r="L3378" s="17"/>
      <c r="M3378" s="17"/>
      <c r="N3378" s="17"/>
      <c r="O3378" s="17"/>
      <c r="P3378" s="17"/>
      <c r="Q3378" s="17"/>
    </row>
    <row r="3379" spans="1:17">
      <c r="A3379" s="556" t="s">
        <v>3652</v>
      </c>
      <c r="B3379" s="557" t="s">
        <v>9381</v>
      </c>
      <c r="C3379" s="558" t="s">
        <v>2662</v>
      </c>
      <c r="D3379" s="556" t="s">
        <v>4324</v>
      </c>
      <c r="E3379" s="17" t="s">
        <v>6794</v>
      </c>
      <c r="F3379" s="17">
        <v>55</v>
      </c>
      <c r="G3379" s="17">
        <v>4</v>
      </c>
      <c r="H3379" s="17" t="s">
        <v>7984</v>
      </c>
      <c r="I3379" s="17"/>
      <c r="J3379" s="17"/>
      <c r="K3379" s="17"/>
      <c r="L3379" s="17"/>
      <c r="M3379" s="17"/>
      <c r="N3379" s="17"/>
      <c r="O3379" s="17"/>
      <c r="P3379" s="17"/>
      <c r="Q3379" s="17"/>
    </row>
    <row r="3380" spans="1:17">
      <c r="A3380" s="556" t="s">
        <v>3652</v>
      </c>
      <c r="B3380" s="557" t="s">
        <v>9382</v>
      </c>
      <c r="C3380" s="558" t="s">
        <v>2663</v>
      </c>
      <c r="D3380" s="556" t="s">
        <v>2623</v>
      </c>
      <c r="E3380" s="17" t="s">
        <v>6795</v>
      </c>
      <c r="F3380" s="17">
        <v>56</v>
      </c>
      <c r="G3380" s="17">
        <v>1</v>
      </c>
      <c r="H3380" s="17" t="s">
        <v>7985</v>
      </c>
      <c r="I3380" s="17"/>
      <c r="J3380" s="17"/>
      <c r="K3380" s="17"/>
      <c r="L3380" s="17"/>
      <c r="M3380" s="17"/>
      <c r="N3380" s="17"/>
      <c r="O3380" s="17"/>
      <c r="P3380" s="17"/>
      <c r="Q3380" s="17"/>
    </row>
    <row r="3381" spans="1:17">
      <c r="A3381" s="556" t="s">
        <v>3652</v>
      </c>
      <c r="B3381" s="557" t="s">
        <v>9382</v>
      </c>
      <c r="C3381" s="558" t="s">
        <v>2663</v>
      </c>
      <c r="D3381" s="556" t="s">
        <v>2624</v>
      </c>
      <c r="E3381" s="17" t="s">
        <v>6796</v>
      </c>
      <c r="F3381" s="17">
        <v>56</v>
      </c>
      <c r="G3381" s="17">
        <v>2</v>
      </c>
      <c r="H3381" s="17" t="s">
        <v>7986</v>
      </c>
      <c r="I3381" s="17"/>
      <c r="J3381" s="17"/>
      <c r="K3381" s="17"/>
      <c r="L3381" s="17"/>
      <c r="M3381" s="17"/>
      <c r="N3381" s="17"/>
      <c r="O3381" s="17"/>
      <c r="P3381" s="17"/>
      <c r="Q3381" s="17"/>
    </row>
    <row r="3382" spans="1:17">
      <c r="A3382" s="556" t="s">
        <v>3652</v>
      </c>
      <c r="B3382" s="557" t="s">
        <v>9382</v>
      </c>
      <c r="C3382" s="558" t="s">
        <v>2663</v>
      </c>
      <c r="D3382" s="556" t="s">
        <v>4426</v>
      </c>
      <c r="E3382" s="17" t="s">
        <v>6797</v>
      </c>
      <c r="F3382" s="17">
        <v>56</v>
      </c>
      <c r="G3382" s="17">
        <v>3</v>
      </c>
      <c r="H3382" s="17" t="s">
        <v>7987</v>
      </c>
      <c r="I3382" s="17">
        <v>0</v>
      </c>
      <c r="J3382" s="17"/>
      <c r="K3382" s="17"/>
      <c r="L3382" s="17"/>
      <c r="M3382" s="17"/>
      <c r="N3382" s="17"/>
      <c r="O3382" s="17"/>
      <c r="P3382" s="17"/>
      <c r="Q3382" s="17"/>
    </row>
    <row r="3383" spans="1:17">
      <c r="A3383" s="556" t="s">
        <v>3652</v>
      </c>
      <c r="B3383" s="557" t="s">
        <v>9382</v>
      </c>
      <c r="C3383" s="558" t="s">
        <v>2663</v>
      </c>
      <c r="D3383" s="556" t="s">
        <v>4324</v>
      </c>
      <c r="E3383" s="17" t="s">
        <v>6798</v>
      </c>
      <c r="F3383" s="17">
        <v>56</v>
      </c>
      <c r="G3383" s="17">
        <v>4</v>
      </c>
      <c r="H3383" s="17" t="s">
        <v>7988</v>
      </c>
      <c r="I3383" s="17"/>
      <c r="J3383" s="17"/>
      <c r="K3383" s="17"/>
      <c r="L3383" s="17"/>
      <c r="M3383" s="17"/>
      <c r="N3383" s="17"/>
      <c r="O3383" s="17"/>
      <c r="P3383" s="17"/>
      <c r="Q3383" s="17"/>
    </row>
    <row r="3384" spans="1:17">
      <c r="A3384" s="556" t="s">
        <v>3652</v>
      </c>
      <c r="B3384" s="557" t="s">
        <v>9383</v>
      </c>
      <c r="C3384" s="558" t="s">
        <v>2664</v>
      </c>
      <c r="D3384" s="556" t="s">
        <v>2623</v>
      </c>
      <c r="E3384" s="17" t="s">
        <v>6799</v>
      </c>
      <c r="F3384" s="17">
        <v>57</v>
      </c>
      <c r="G3384" s="17">
        <v>1</v>
      </c>
      <c r="H3384" s="17" t="s">
        <v>7989</v>
      </c>
      <c r="I3384" s="17"/>
      <c r="J3384" s="17"/>
      <c r="K3384" s="17"/>
      <c r="L3384" s="17"/>
      <c r="M3384" s="17"/>
      <c r="N3384" s="17"/>
      <c r="O3384" s="17"/>
      <c r="P3384" s="17"/>
      <c r="Q3384" s="17"/>
    </row>
    <row r="3385" spans="1:17">
      <c r="A3385" s="556" t="s">
        <v>3652</v>
      </c>
      <c r="B3385" s="557" t="s">
        <v>9383</v>
      </c>
      <c r="C3385" s="558" t="s">
        <v>2664</v>
      </c>
      <c r="D3385" s="556" t="s">
        <v>2624</v>
      </c>
      <c r="E3385" s="17" t="s">
        <v>6800</v>
      </c>
      <c r="F3385" s="17">
        <v>57</v>
      </c>
      <c r="G3385" s="17">
        <v>2</v>
      </c>
      <c r="H3385" s="17" t="s">
        <v>7990</v>
      </c>
      <c r="I3385" s="17"/>
      <c r="J3385" s="17"/>
      <c r="K3385" s="17"/>
      <c r="L3385" s="17"/>
      <c r="M3385" s="17"/>
      <c r="N3385" s="17"/>
      <c r="O3385" s="17"/>
      <c r="P3385" s="17"/>
      <c r="Q3385" s="17"/>
    </row>
    <row r="3386" spans="1:17">
      <c r="A3386" s="556" t="s">
        <v>3652</v>
      </c>
      <c r="B3386" s="557" t="s">
        <v>9383</v>
      </c>
      <c r="C3386" s="558" t="s">
        <v>2664</v>
      </c>
      <c r="D3386" s="556" t="s">
        <v>4426</v>
      </c>
      <c r="E3386" s="17" t="s">
        <v>6801</v>
      </c>
      <c r="F3386" s="17">
        <v>57</v>
      </c>
      <c r="G3386" s="17">
        <v>3</v>
      </c>
      <c r="H3386" s="17" t="s">
        <v>7991</v>
      </c>
      <c r="I3386" s="17">
        <v>0</v>
      </c>
      <c r="J3386" s="17"/>
      <c r="K3386" s="17"/>
      <c r="L3386" s="17"/>
      <c r="M3386" s="17"/>
      <c r="N3386" s="17"/>
      <c r="O3386" s="17"/>
      <c r="P3386" s="17"/>
      <c r="Q3386" s="17"/>
    </row>
    <row r="3387" spans="1:17">
      <c r="A3387" s="556" t="s">
        <v>3652</v>
      </c>
      <c r="B3387" s="557" t="s">
        <v>9383</v>
      </c>
      <c r="C3387" s="558" t="s">
        <v>2664</v>
      </c>
      <c r="D3387" s="556" t="s">
        <v>4324</v>
      </c>
      <c r="E3387" s="17" t="s">
        <v>6802</v>
      </c>
      <c r="F3387" s="17">
        <v>57</v>
      </c>
      <c r="G3387" s="17">
        <v>4</v>
      </c>
      <c r="H3387" s="17" t="s">
        <v>7992</v>
      </c>
      <c r="I3387" s="17"/>
      <c r="J3387" s="17"/>
      <c r="K3387" s="17"/>
      <c r="L3387" s="17"/>
      <c r="M3387" s="17"/>
      <c r="N3387" s="17"/>
      <c r="O3387" s="17"/>
      <c r="P3387" s="17"/>
      <c r="Q3387" s="17"/>
    </row>
    <row r="3388" spans="1:17">
      <c r="A3388" s="556" t="s">
        <v>3652</v>
      </c>
      <c r="B3388" s="557" t="s">
        <v>9384</v>
      </c>
      <c r="C3388" s="558" t="s">
        <v>2665</v>
      </c>
      <c r="D3388" s="556" t="s">
        <v>2623</v>
      </c>
      <c r="E3388" s="17" t="s">
        <v>6803</v>
      </c>
      <c r="F3388" s="17">
        <v>58</v>
      </c>
      <c r="G3388" s="17">
        <v>1</v>
      </c>
      <c r="H3388" s="17" t="s">
        <v>7993</v>
      </c>
      <c r="I3388" s="17"/>
      <c r="J3388" s="17"/>
      <c r="K3388" s="17"/>
      <c r="L3388" s="17"/>
      <c r="M3388" s="17"/>
      <c r="N3388" s="17"/>
      <c r="O3388" s="17"/>
      <c r="P3388" s="17"/>
      <c r="Q3388" s="17"/>
    </row>
    <row r="3389" spans="1:17">
      <c r="A3389" s="556" t="s">
        <v>3652</v>
      </c>
      <c r="B3389" s="557" t="s">
        <v>9384</v>
      </c>
      <c r="C3389" s="558" t="s">
        <v>2665</v>
      </c>
      <c r="D3389" s="556" t="s">
        <v>2624</v>
      </c>
      <c r="E3389" s="17" t="s">
        <v>6804</v>
      </c>
      <c r="F3389" s="17">
        <v>58</v>
      </c>
      <c r="G3389" s="17">
        <v>2</v>
      </c>
      <c r="H3389" s="17" t="s">
        <v>7994</v>
      </c>
      <c r="I3389" s="17"/>
      <c r="J3389" s="17"/>
      <c r="K3389" s="17"/>
      <c r="L3389" s="17"/>
      <c r="M3389" s="17"/>
      <c r="N3389" s="17"/>
      <c r="O3389" s="17"/>
      <c r="P3389" s="17"/>
      <c r="Q3389" s="17"/>
    </row>
    <row r="3390" spans="1:17">
      <c r="A3390" s="556" t="s">
        <v>3652</v>
      </c>
      <c r="B3390" s="557" t="s">
        <v>9384</v>
      </c>
      <c r="C3390" s="558" t="s">
        <v>2665</v>
      </c>
      <c r="D3390" s="556" t="s">
        <v>4426</v>
      </c>
      <c r="E3390" s="17" t="s">
        <v>6805</v>
      </c>
      <c r="F3390" s="17">
        <v>58</v>
      </c>
      <c r="G3390" s="17">
        <v>3</v>
      </c>
      <c r="H3390" s="17" t="s">
        <v>7995</v>
      </c>
      <c r="I3390" s="17">
        <v>0</v>
      </c>
      <c r="J3390" s="17"/>
      <c r="K3390" s="17"/>
      <c r="L3390" s="17"/>
      <c r="M3390" s="17"/>
      <c r="N3390" s="17"/>
      <c r="O3390" s="17"/>
      <c r="P3390" s="17"/>
      <c r="Q3390" s="17"/>
    </row>
    <row r="3391" spans="1:17">
      <c r="A3391" s="556" t="s">
        <v>3652</v>
      </c>
      <c r="B3391" s="557" t="s">
        <v>9384</v>
      </c>
      <c r="C3391" s="558" t="s">
        <v>2665</v>
      </c>
      <c r="D3391" s="556" t="s">
        <v>4324</v>
      </c>
      <c r="E3391" s="17" t="s">
        <v>6806</v>
      </c>
      <c r="F3391" s="17">
        <v>58</v>
      </c>
      <c r="G3391" s="17">
        <v>4</v>
      </c>
      <c r="H3391" s="17" t="s">
        <v>7996</v>
      </c>
      <c r="I3391" s="17"/>
      <c r="J3391" s="17"/>
      <c r="K3391" s="17"/>
      <c r="L3391" s="17"/>
      <c r="M3391" s="17"/>
      <c r="N3391" s="17"/>
      <c r="O3391" s="17"/>
      <c r="P3391" s="17"/>
      <c r="Q3391" s="17"/>
    </row>
    <row r="3392" spans="1:17">
      <c r="A3392" s="556" t="s">
        <v>3652</v>
      </c>
      <c r="B3392" s="557" t="s">
        <v>9385</v>
      </c>
      <c r="C3392" s="558" t="s">
        <v>2666</v>
      </c>
      <c r="D3392" s="556" t="s">
        <v>2623</v>
      </c>
      <c r="E3392" s="17" t="s">
        <v>6807</v>
      </c>
      <c r="F3392" s="17">
        <v>59</v>
      </c>
      <c r="G3392" s="17">
        <v>1</v>
      </c>
      <c r="H3392" s="17" t="s">
        <v>7997</v>
      </c>
      <c r="I3392" s="17"/>
      <c r="J3392" s="17"/>
      <c r="K3392" s="17"/>
      <c r="L3392" s="17"/>
      <c r="M3392" s="17"/>
      <c r="N3392" s="17"/>
      <c r="O3392" s="17"/>
      <c r="P3392" s="17"/>
      <c r="Q3392" s="17"/>
    </row>
    <row r="3393" spans="1:17">
      <c r="A3393" s="556" t="s">
        <v>3652</v>
      </c>
      <c r="B3393" s="557" t="s">
        <v>9385</v>
      </c>
      <c r="C3393" s="558" t="s">
        <v>2666</v>
      </c>
      <c r="D3393" s="556" t="s">
        <v>2624</v>
      </c>
      <c r="E3393" s="17" t="s">
        <v>6808</v>
      </c>
      <c r="F3393" s="17">
        <v>59</v>
      </c>
      <c r="G3393" s="17">
        <v>2</v>
      </c>
      <c r="H3393" s="17" t="s">
        <v>7998</v>
      </c>
      <c r="I3393" s="17"/>
      <c r="J3393" s="17"/>
      <c r="K3393" s="17"/>
      <c r="L3393" s="17"/>
      <c r="M3393" s="17"/>
      <c r="N3393" s="17"/>
      <c r="O3393" s="17"/>
      <c r="P3393" s="17"/>
      <c r="Q3393" s="17"/>
    </row>
    <row r="3394" spans="1:17">
      <c r="A3394" s="556" t="s">
        <v>3652</v>
      </c>
      <c r="B3394" s="557" t="s">
        <v>9385</v>
      </c>
      <c r="C3394" s="558" t="s">
        <v>2666</v>
      </c>
      <c r="D3394" s="556" t="s">
        <v>4426</v>
      </c>
      <c r="E3394" s="17" t="s">
        <v>6809</v>
      </c>
      <c r="F3394" s="17">
        <v>59</v>
      </c>
      <c r="G3394" s="17">
        <v>3</v>
      </c>
      <c r="H3394" s="17" t="s">
        <v>7999</v>
      </c>
      <c r="I3394" s="17">
        <v>0</v>
      </c>
      <c r="J3394" s="17"/>
      <c r="K3394" s="17"/>
      <c r="L3394" s="17"/>
      <c r="M3394" s="17"/>
      <c r="N3394" s="17"/>
      <c r="O3394" s="17"/>
      <c r="P3394" s="17"/>
      <c r="Q3394" s="17"/>
    </row>
    <row r="3395" spans="1:17">
      <c r="A3395" s="556" t="s">
        <v>3652</v>
      </c>
      <c r="B3395" s="557" t="s">
        <v>9385</v>
      </c>
      <c r="C3395" s="558" t="s">
        <v>2666</v>
      </c>
      <c r="D3395" s="556" t="s">
        <v>4324</v>
      </c>
      <c r="E3395" s="17" t="s">
        <v>6810</v>
      </c>
      <c r="F3395" s="17">
        <v>59</v>
      </c>
      <c r="G3395" s="17">
        <v>4</v>
      </c>
      <c r="H3395" s="17" t="s">
        <v>8000</v>
      </c>
      <c r="I3395" s="17"/>
      <c r="J3395" s="17"/>
      <c r="K3395" s="17"/>
      <c r="L3395" s="17"/>
      <c r="M3395" s="17"/>
      <c r="N3395" s="17"/>
      <c r="O3395" s="17"/>
      <c r="P3395" s="17"/>
      <c r="Q3395" s="17"/>
    </row>
    <row r="3396" spans="1:17">
      <c r="A3396" s="556" t="s">
        <v>3652</v>
      </c>
      <c r="B3396" s="557" t="s">
        <v>9386</v>
      </c>
      <c r="C3396" s="558" t="s">
        <v>2667</v>
      </c>
      <c r="D3396" s="556" t="s">
        <v>2623</v>
      </c>
      <c r="E3396" s="17" t="s">
        <v>6811</v>
      </c>
      <c r="F3396" s="17">
        <v>60</v>
      </c>
      <c r="G3396" s="17">
        <v>1</v>
      </c>
      <c r="H3396" s="17" t="s">
        <v>8001</v>
      </c>
      <c r="I3396" s="17"/>
      <c r="J3396" s="17"/>
      <c r="K3396" s="17"/>
      <c r="L3396" s="17"/>
      <c r="M3396" s="17"/>
      <c r="N3396" s="17"/>
      <c r="O3396" s="17"/>
      <c r="P3396" s="17"/>
      <c r="Q3396" s="17"/>
    </row>
    <row r="3397" spans="1:17">
      <c r="A3397" s="556" t="s">
        <v>3652</v>
      </c>
      <c r="B3397" s="557" t="s">
        <v>9386</v>
      </c>
      <c r="C3397" s="558" t="s">
        <v>2667</v>
      </c>
      <c r="D3397" s="556" t="s">
        <v>2624</v>
      </c>
      <c r="E3397" s="17" t="s">
        <v>6812</v>
      </c>
      <c r="F3397" s="17">
        <v>60</v>
      </c>
      <c r="G3397" s="17">
        <v>2</v>
      </c>
      <c r="H3397" s="17" t="s">
        <v>8002</v>
      </c>
      <c r="I3397" s="17"/>
      <c r="J3397" s="17"/>
      <c r="K3397" s="17"/>
      <c r="L3397" s="17"/>
      <c r="M3397" s="17"/>
      <c r="N3397" s="17"/>
      <c r="O3397" s="17"/>
      <c r="P3397" s="17"/>
      <c r="Q3397" s="17"/>
    </row>
    <row r="3398" spans="1:17">
      <c r="A3398" s="556" t="s">
        <v>3652</v>
      </c>
      <c r="B3398" s="557" t="s">
        <v>9386</v>
      </c>
      <c r="C3398" s="558" t="s">
        <v>2667</v>
      </c>
      <c r="D3398" s="556" t="s">
        <v>4426</v>
      </c>
      <c r="E3398" s="17" t="s">
        <v>6813</v>
      </c>
      <c r="F3398" s="17">
        <v>60</v>
      </c>
      <c r="G3398" s="17">
        <v>3</v>
      </c>
      <c r="H3398" s="17" t="s">
        <v>8003</v>
      </c>
      <c r="I3398" s="17">
        <v>0</v>
      </c>
      <c r="J3398" s="17"/>
      <c r="K3398" s="17"/>
      <c r="L3398" s="17"/>
      <c r="M3398" s="17"/>
      <c r="N3398" s="17"/>
      <c r="O3398" s="17"/>
      <c r="P3398" s="17"/>
      <c r="Q3398" s="17"/>
    </row>
    <row r="3399" spans="1:17">
      <c r="A3399" s="556" t="s">
        <v>3652</v>
      </c>
      <c r="B3399" s="557" t="s">
        <v>9386</v>
      </c>
      <c r="C3399" s="558" t="s">
        <v>2667</v>
      </c>
      <c r="D3399" s="556" t="s">
        <v>4324</v>
      </c>
      <c r="E3399" s="17" t="s">
        <v>6814</v>
      </c>
      <c r="F3399" s="17">
        <v>60</v>
      </c>
      <c r="G3399" s="17">
        <v>4</v>
      </c>
      <c r="H3399" s="17" t="s">
        <v>8004</v>
      </c>
      <c r="I3399" s="17"/>
      <c r="J3399" s="17"/>
      <c r="K3399" s="17"/>
      <c r="L3399" s="17"/>
      <c r="M3399" s="17"/>
      <c r="N3399" s="17"/>
      <c r="O3399" s="17"/>
      <c r="P3399" s="17"/>
      <c r="Q3399" s="17"/>
    </row>
    <row r="3400" spans="1:17">
      <c r="A3400" s="556" t="s">
        <v>3652</v>
      </c>
      <c r="B3400" s="557" t="s">
        <v>9387</v>
      </c>
      <c r="C3400" s="558" t="s">
        <v>2668</v>
      </c>
      <c r="D3400" s="556" t="s">
        <v>2623</v>
      </c>
      <c r="E3400" s="17" t="s">
        <v>6815</v>
      </c>
      <c r="F3400" s="17">
        <v>61</v>
      </c>
      <c r="G3400" s="17">
        <v>1</v>
      </c>
      <c r="H3400" s="17" t="s">
        <v>8005</v>
      </c>
      <c r="I3400" s="17"/>
      <c r="J3400" s="17"/>
      <c r="K3400" s="17"/>
      <c r="L3400" s="17"/>
      <c r="M3400" s="17"/>
      <c r="N3400" s="17"/>
      <c r="O3400" s="17"/>
      <c r="P3400" s="17"/>
      <c r="Q3400" s="17"/>
    </row>
    <row r="3401" spans="1:17">
      <c r="A3401" s="556" t="s">
        <v>3652</v>
      </c>
      <c r="B3401" s="557" t="s">
        <v>9387</v>
      </c>
      <c r="C3401" s="558" t="s">
        <v>2668</v>
      </c>
      <c r="D3401" s="556" t="s">
        <v>2624</v>
      </c>
      <c r="E3401" s="17" t="s">
        <v>6816</v>
      </c>
      <c r="F3401" s="17">
        <v>61</v>
      </c>
      <c r="G3401" s="17">
        <v>2</v>
      </c>
      <c r="H3401" s="17" t="s">
        <v>8006</v>
      </c>
      <c r="I3401" s="17"/>
      <c r="J3401" s="17"/>
      <c r="K3401" s="17"/>
      <c r="L3401" s="17"/>
      <c r="M3401" s="17"/>
      <c r="N3401" s="17"/>
      <c r="O3401" s="17"/>
      <c r="P3401" s="17"/>
      <c r="Q3401" s="17"/>
    </row>
    <row r="3402" spans="1:17">
      <c r="A3402" s="556" t="s">
        <v>3652</v>
      </c>
      <c r="B3402" s="557" t="s">
        <v>9387</v>
      </c>
      <c r="C3402" s="558" t="s">
        <v>2668</v>
      </c>
      <c r="D3402" s="556" t="s">
        <v>4426</v>
      </c>
      <c r="E3402" s="17" t="s">
        <v>6817</v>
      </c>
      <c r="F3402" s="17">
        <v>61</v>
      </c>
      <c r="G3402" s="17">
        <v>3</v>
      </c>
      <c r="H3402" s="17" t="s">
        <v>8007</v>
      </c>
      <c r="I3402" s="17">
        <v>0</v>
      </c>
      <c r="J3402" s="17"/>
      <c r="K3402" s="17"/>
      <c r="L3402" s="17"/>
      <c r="M3402" s="17"/>
      <c r="N3402" s="17"/>
      <c r="O3402" s="17"/>
      <c r="P3402" s="17"/>
      <c r="Q3402" s="17"/>
    </row>
    <row r="3403" spans="1:17">
      <c r="A3403" s="556" t="s">
        <v>3652</v>
      </c>
      <c r="B3403" s="557" t="s">
        <v>9387</v>
      </c>
      <c r="C3403" s="558" t="s">
        <v>2668</v>
      </c>
      <c r="D3403" s="556" t="s">
        <v>4324</v>
      </c>
      <c r="E3403" s="17" t="s">
        <v>6818</v>
      </c>
      <c r="F3403" s="17">
        <v>61</v>
      </c>
      <c r="G3403" s="17">
        <v>4</v>
      </c>
      <c r="H3403" s="17" t="s">
        <v>8008</v>
      </c>
      <c r="I3403" s="17"/>
      <c r="J3403" s="17"/>
      <c r="K3403" s="17"/>
      <c r="L3403" s="17"/>
      <c r="M3403" s="17"/>
      <c r="N3403" s="17"/>
      <c r="O3403" s="17"/>
      <c r="P3403" s="17"/>
      <c r="Q3403" s="17"/>
    </row>
    <row r="3404" spans="1:17">
      <c r="A3404" s="556" t="s">
        <v>3652</v>
      </c>
      <c r="B3404" s="557" t="s">
        <v>9388</v>
      </c>
      <c r="C3404" s="558" t="s">
        <v>2669</v>
      </c>
      <c r="D3404" s="556" t="s">
        <v>2623</v>
      </c>
      <c r="E3404" s="17" t="s">
        <v>6819</v>
      </c>
      <c r="F3404" s="17">
        <v>62</v>
      </c>
      <c r="G3404" s="17">
        <v>1</v>
      </c>
      <c r="H3404" s="17" t="s">
        <v>8009</v>
      </c>
      <c r="I3404" s="17"/>
      <c r="J3404" s="17"/>
      <c r="K3404" s="17"/>
      <c r="L3404" s="17"/>
      <c r="M3404" s="17"/>
      <c r="N3404" s="17"/>
      <c r="O3404" s="17"/>
      <c r="P3404" s="17"/>
      <c r="Q3404" s="17"/>
    </row>
    <row r="3405" spans="1:17">
      <c r="A3405" s="556" t="s">
        <v>3652</v>
      </c>
      <c r="B3405" s="557" t="s">
        <v>9388</v>
      </c>
      <c r="C3405" s="558" t="s">
        <v>2669</v>
      </c>
      <c r="D3405" s="556" t="s">
        <v>2624</v>
      </c>
      <c r="E3405" s="17" t="s">
        <v>6820</v>
      </c>
      <c r="F3405" s="17">
        <v>62</v>
      </c>
      <c r="G3405" s="17">
        <v>2</v>
      </c>
      <c r="H3405" s="17" t="s">
        <v>8010</v>
      </c>
      <c r="I3405" s="17"/>
      <c r="J3405" s="17"/>
      <c r="K3405" s="17"/>
      <c r="L3405" s="17"/>
      <c r="M3405" s="17"/>
      <c r="N3405" s="17"/>
      <c r="O3405" s="17"/>
      <c r="P3405" s="17"/>
      <c r="Q3405" s="17"/>
    </row>
    <row r="3406" spans="1:17">
      <c r="A3406" s="556" t="s">
        <v>3652</v>
      </c>
      <c r="B3406" s="557" t="s">
        <v>9388</v>
      </c>
      <c r="C3406" s="558" t="s">
        <v>2669</v>
      </c>
      <c r="D3406" s="556" t="s">
        <v>4426</v>
      </c>
      <c r="E3406" s="17" t="s">
        <v>6821</v>
      </c>
      <c r="F3406" s="17">
        <v>62</v>
      </c>
      <c r="G3406" s="17">
        <v>3</v>
      </c>
      <c r="H3406" s="17" t="s">
        <v>8011</v>
      </c>
      <c r="I3406" s="17">
        <v>0</v>
      </c>
      <c r="J3406" s="17"/>
      <c r="K3406" s="17"/>
      <c r="L3406" s="17"/>
      <c r="M3406" s="17"/>
      <c r="N3406" s="17"/>
      <c r="O3406" s="17"/>
      <c r="P3406" s="17"/>
      <c r="Q3406" s="17"/>
    </row>
    <row r="3407" spans="1:17">
      <c r="A3407" s="556" t="s">
        <v>3652</v>
      </c>
      <c r="B3407" s="557" t="s">
        <v>9388</v>
      </c>
      <c r="C3407" s="558" t="s">
        <v>2669</v>
      </c>
      <c r="D3407" s="556" t="s">
        <v>4324</v>
      </c>
      <c r="E3407" s="17" t="s">
        <v>6822</v>
      </c>
      <c r="F3407" s="17">
        <v>62</v>
      </c>
      <c r="G3407" s="17">
        <v>4</v>
      </c>
      <c r="H3407" s="17" t="s">
        <v>8012</v>
      </c>
      <c r="I3407" s="17"/>
      <c r="J3407" s="17"/>
      <c r="K3407" s="17"/>
      <c r="L3407" s="17"/>
      <c r="M3407" s="17"/>
      <c r="N3407" s="17"/>
      <c r="O3407" s="17"/>
      <c r="P3407" s="17"/>
      <c r="Q3407" s="17"/>
    </row>
    <row r="3408" spans="1:17">
      <c r="A3408" s="556" t="s">
        <v>3652</v>
      </c>
      <c r="B3408" s="557" t="s">
        <v>9389</v>
      </c>
      <c r="C3408" s="558" t="s">
        <v>2670</v>
      </c>
      <c r="D3408" s="556" t="s">
        <v>2623</v>
      </c>
      <c r="E3408" s="17" t="s">
        <v>6823</v>
      </c>
      <c r="F3408" s="17">
        <v>63</v>
      </c>
      <c r="G3408" s="17">
        <v>1</v>
      </c>
      <c r="H3408" s="17" t="s">
        <v>8013</v>
      </c>
      <c r="I3408" s="17"/>
      <c r="J3408" s="17"/>
      <c r="K3408" s="17"/>
      <c r="L3408" s="17"/>
      <c r="M3408" s="17"/>
      <c r="N3408" s="17"/>
      <c r="O3408" s="17"/>
      <c r="P3408" s="17"/>
      <c r="Q3408" s="17"/>
    </row>
    <row r="3409" spans="1:17">
      <c r="A3409" s="556" t="s">
        <v>3652</v>
      </c>
      <c r="B3409" s="557" t="s">
        <v>9389</v>
      </c>
      <c r="C3409" s="558" t="s">
        <v>2670</v>
      </c>
      <c r="D3409" s="556" t="s">
        <v>2624</v>
      </c>
      <c r="E3409" s="17" t="s">
        <v>6824</v>
      </c>
      <c r="F3409" s="17">
        <v>63</v>
      </c>
      <c r="G3409" s="17">
        <v>2</v>
      </c>
      <c r="H3409" s="17" t="s">
        <v>8014</v>
      </c>
      <c r="I3409" s="17"/>
      <c r="J3409" s="17"/>
      <c r="K3409" s="17"/>
      <c r="L3409" s="17"/>
      <c r="M3409" s="17"/>
      <c r="N3409" s="17"/>
      <c r="O3409" s="17"/>
      <c r="P3409" s="17"/>
      <c r="Q3409" s="17"/>
    </row>
    <row r="3410" spans="1:17">
      <c r="A3410" s="556" t="s">
        <v>3652</v>
      </c>
      <c r="B3410" s="557" t="s">
        <v>9389</v>
      </c>
      <c r="C3410" s="558" t="s">
        <v>2670</v>
      </c>
      <c r="D3410" s="556" t="s">
        <v>4426</v>
      </c>
      <c r="E3410" s="17" t="s">
        <v>6825</v>
      </c>
      <c r="F3410" s="17">
        <v>63</v>
      </c>
      <c r="G3410" s="17">
        <v>3</v>
      </c>
      <c r="H3410" s="17" t="s">
        <v>8015</v>
      </c>
      <c r="I3410" s="17">
        <v>0</v>
      </c>
      <c r="J3410" s="17"/>
      <c r="K3410" s="17"/>
      <c r="L3410" s="17"/>
      <c r="M3410" s="17"/>
      <c r="N3410" s="17"/>
      <c r="O3410" s="17"/>
      <c r="P3410" s="17"/>
      <c r="Q3410" s="17"/>
    </row>
    <row r="3411" spans="1:17">
      <c r="A3411" s="556" t="s">
        <v>3652</v>
      </c>
      <c r="B3411" s="557" t="s">
        <v>9389</v>
      </c>
      <c r="C3411" s="558" t="s">
        <v>2670</v>
      </c>
      <c r="D3411" s="556" t="s">
        <v>4324</v>
      </c>
      <c r="E3411" s="17" t="s">
        <v>6826</v>
      </c>
      <c r="F3411" s="17">
        <v>63</v>
      </c>
      <c r="G3411" s="17">
        <v>4</v>
      </c>
      <c r="H3411" s="17" t="s">
        <v>8016</v>
      </c>
      <c r="I3411" s="17"/>
      <c r="J3411" s="17"/>
      <c r="K3411" s="17"/>
      <c r="L3411" s="17"/>
      <c r="M3411" s="17"/>
      <c r="N3411" s="17"/>
      <c r="O3411" s="17"/>
      <c r="P3411" s="17"/>
      <c r="Q3411" s="17"/>
    </row>
    <row r="3412" spans="1:17">
      <c r="A3412" s="556" t="s">
        <v>3652</v>
      </c>
      <c r="B3412" s="557" t="s">
        <v>9390</v>
      </c>
      <c r="C3412" s="558" t="s">
        <v>2672</v>
      </c>
      <c r="D3412" s="556" t="s">
        <v>2623</v>
      </c>
      <c r="E3412" s="17" t="s">
        <v>6827</v>
      </c>
      <c r="F3412" s="17">
        <v>75</v>
      </c>
      <c r="G3412" s="17">
        <v>1</v>
      </c>
      <c r="H3412" s="17" t="s">
        <v>8017</v>
      </c>
      <c r="I3412" s="17"/>
      <c r="J3412" s="17"/>
      <c r="K3412" s="17"/>
      <c r="L3412" s="17"/>
      <c r="M3412" s="17"/>
      <c r="N3412" s="17"/>
      <c r="O3412" s="17"/>
      <c r="P3412" s="17"/>
      <c r="Q3412" s="17"/>
    </row>
    <row r="3413" spans="1:17">
      <c r="A3413" s="556" t="s">
        <v>3652</v>
      </c>
      <c r="B3413" s="557" t="s">
        <v>9390</v>
      </c>
      <c r="C3413" s="558" t="s">
        <v>2672</v>
      </c>
      <c r="D3413" s="556" t="s">
        <v>2624</v>
      </c>
      <c r="E3413" s="17" t="s">
        <v>6828</v>
      </c>
      <c r="F3413" s="17">
        <v>75</v>
      </c>
      <c r="G3413" s="17">
        <v>2</v>
      </c>
      <c r="H3413" s="17" t="s">
        <v>8018</v>
      </c>
      <c r="I3413" s="17"/>
      <c r="J3413" s="17"/>
      <c r="K3413" s="17"/>
      <c r="L3413" s="17"/>
      <c r="M3413" s="17"/>
      <c r="N3413" s="17"/>
      <c r="O3413" s="17"/>
      <c r="P3413" s="17"/>
      <c r="Q3413" s="17"/>
    </row>
    <row r="3414" spans="1:17">
      <c r="A3414" s="556" t="s">
        <v>3652</v>
      </c>
      <c r="B3414" s="557" t="s">
        <v>9390</v>
      </c>
      <c r="C3414" s="558" t="s">
        <v>2672</v>
      </c>
      <c r="D3414" s="556" t="s">
        <v>4426</v>
      </c>
      <c r="E3414" s="17" t="s">
        <v>6829</v>
      </c>
      <c r="F3414" s="17">
        <v>75</v>
      </c>
      <c r="G3414" s="17">
        <v>3</v>
      </c>
      <c r="H3414" s="17" t="s">
        <v>8019</v>
      </c>
      <c r="I3414" s="17">
        <v>0</v>
      </c>
      <c r="J3414" s="17"/>
      <c r="K3414" s="17"/>
      <c r="L3414" s="17"/>
      <c r="M3414" s="17"/>
      <c r="N3414" s="17"/>
      <c r="O3414" s="17"/>
      <c r="P3414" s="17"/>
      <c r="Q3414" s="17"/>
    </row>
    <row r="3415" spans="1:17">
      <c r="A3415" s="556" t="s">
        <v>3652</v>
      </c>
      <c r="B3415" s="557" t="s">
        <v>9390</v>
      </c>
      <c r="C3415" s="558" t="s">
        <v>2672</v>
      </c>
      <c r="D3415" s="556" t="s">
        <v>4324</v>
      </c>
      <c r="E3415" s="17" t="s">
        <v>6830</v>
      </c>
      <c r="F3415" s="17">
        <v>75</v>
      </c>
      <c r="G3415" s="17">
        <v>4</v>
      </c>
      <c r="H3415" s="17" t="s">
        <v>8020</v>
      </c>
      <c r="I3415" s="17"/>
      <c r="J3415" s="17"/>
      <c r="K3415" s="17"/>
      <c r="L3415" s="17"/>
      <c r="M3415" s="17"/>
      <c r="N3415" s="17"/>
      <c r="O3415" s="17"/>
      <c r="P3415" s="17"/>
      <c r="Q3415" s="17"/>
    </row>
    <row r="3416" spans="1:17">
      <c r="A3416" s="556" t="s">
        <v>3652</v>
      </c>
      <c r="B3416" s="557" t="s">
        <v>9391</v>
      </c>
      <c r="C3416" s="558" t="s">
        <v>2673</v>
      </c>
      <c r="D3416" s="556" t="s">
        <v>2623</v>
      </c>
      <c r="E3416" s="17" t="s">
        <v>6831</v>
      </c>
      <c r="F3416" s="17">
        <v>76</v>
      </c>
      <c r="G3416" s="17">
        <v>1</v>
      </c>
      <c r="H3416" s="17" t="s">
        <v>8021</v>
      </c>
      <c r="I3416" s="17"/>
      <c r="J3416" s="17"/>
      <c r="K3416" s="17"/>
      <c r="L3416" s="17"/>
      <c r="M3416" s="17"/>
      <c r="N3416" s="17"/>
      <c r="O3416" s="17"/>
      <c r="P3416" s="17"/>
      <c r="Q3416" s="17"/>
    </row>
    <row r="3417" spans="1:17">
      <c r="A3417" s="556" t="s">
        <v>3652</v>
      </c>
      <c r="B3417" s="557" t="s">
        <v>9391</v>
      </c>
      <c r="C3417" s="558" t="s">
        <v>2673</v>
      </c>
      <c r="D3417" s="556" t="s">
        <v>2624</v>
      </c>
      <c r="E3417" s="17" t="s">
        <v>6832</v>
      </c>
      <c r="F3417" s="17">
        <v>76</v>
      </c>
      <c r="G3417" s="17">
        <v>2</v>
      </c>
      <c r="H3417" s="17" t="s">
        <v>8022</v>
      </c>
      <c r="I3417" s="17"/>
      <c r="J3417" s="17"/>
      <c r="K3417" s="17"/>
      <c r="L3417" s="17"/>
      <c r="M3417" s="17"/>
      <c r="N3417" s="17"/>
      <c r="O3417" s="17"/>
      <c r="P3417" s="17"/>
      <c r="Q3417" s="17"/>
    </row>
    <row r="3418" spans="1:17">
      <c r="A3418" s="556" t="s">
        <v>3652</v>
      </c>
      <c r="B3418" s="557" t="s">
        <v>9391</v>
      </c>
      <c r="C3418" s="558" t="s">
        <v>2673</v>
      </c>
      <c r="D3418" s="556" t="s">
        <v>4426</v>
      </c>
      <c r="E3418" s="17" t="s">
        <v>6833</v>
      </c>
      <c r="F3418" s="17">
        <v>76</v>
      </c>
      <c r="G3418" s="17">
        <v>3</v>
      </c>
      <c r="H3418" s="17" t="s">
        <v>8023</v>
      </c>
      <c r="I3418" s="17">
        <v>0</v>
      </c>
      <c r="J3418" s="17"/>
      <c r="K3418" s="17"/>
      <c r="L3418" s="17"/>
      <c r="M3418" s="17"/>
      <c r="N3418" s="17"/>
      <c r="O3418" s="17"/>
      <c r="P3418" s="17"/>
      <c r="Q3418" s="17"/>
    </row>
    <row r="3419" spans="1:17">
      <c r="A3419" s="556" t="s">
        <v>3652</v>
      </c>
      <c r="B3419" s="557" t="s">
        <v>9391</v>
      </c>
      <c r="C3419" s="558" t="s">
        <v>2673</v>
      </c>
      <c r="D3419" s="556" t="s">
        <v>4324</v>
      </c>
      <c r="E3419" s="17" t="s">
        <v>6834</v>
      </c>
      <c r="F3419" s="17">
        <v>76</v>
      </c>
      <c r="G3419" s="17">
        <v>4</v>
      </c>
      <c r="H3419" s="17" t="s">
        <v>8024</v>
      </c>
      <c r="I3419" s="17"/>
      <c r="J3419" s="17"/>
      <c r="K3419" s="17"/>
      <c r="L3419" s="17"/>
      <c r="M3419" s="17"/>
      <c r="N3419" s="17"/>
      <c r="O3419" s="17"/>
      <c r="P3419" s="17"/>
      <c r="Q3419" s="17"/>
    </row>
    <row r="3420" spans="1:17">
      <c r="A3420" s="556" t="s">
        <v>3652</v>
      </c>
      <c r="B3420" s="557" t="s">
        <v>9392</v>
      </c>
      <c r="C3420" s="558" t="s">
        <v>2674</v>
      </c>
      <c r="D3420" s="556" t="s">
        <v>2623</v>
      </c>
      <c r="E3420" s="17" t="s">
        <v>6835</v>
      </c>
      <c r="F3420" s="17">
        <v>77</v>
      </c>
      <c r="G3420" s="17">
        <v>1</v>
      </c>
      <c r="H3420" s="17" t="s">
        <v>8025</v>
      </c>
      <c r="I3420" s="17"/>
      <c r="J3420" s="17"/>
      <c r="K3420" s="17"/>
      <c r="L3420" s="17"/>
      <c r="M3420" s="17"/>
      <c r="N3420" s="17"/>
      <c r="O3420" s="17"/>
      <c r="P3420" s="17"/>
      <c r="Q3420" s="17"/>
    </row>
    <row r="3421" spans="1:17">
      <c r="A3421" s="556" t="s">
        <v>3652</v>
      </c>
      <c r="B3421" s="557" t="s">
        <v>9392</v>
      </c>
      <c r="C3421" s="558" t="s">
        <v>2674</v>
      </c>
      <c r="D3421" s="556" t="s">
        <v>2624</v>
      </c>
      <c r="E3421" s="17" t="s">
        <v>6836</v>
      </c>
      <c r="F3421" s="17">
        <v>77</v>
      </c>
      <c r="G3421" s="17">
        <v>2</v>
      </c>
      <c r="H3421" s="17" t="s">
        <v>8026</v>
      </c>
      <c r="I3421" s="17"/>
      <c r="J3421" s="17"/>
      <c r="K3421" s="17"/>
      <c r="L3421" s="17"/>
      <c r="M3421" s="17"/>
      <c r="N3421" s="17"/>
      <c r="O3421" s="17"/>
      <c r="P3421" s="17"/>
      <c r="Q3421" s="17"/>
    </row>
    <row r="3422" spans="1:17">
      <c r="A3422" s="556" t="s">
        <v>3652</v>
      </c>
      <c r="B3422" s="557" t="s">
        <v>9392</v>
      </c>
      <c r="C3422" s="558" t="s">
        <v>2674</v>
      </c>
      <c r="D3422" s="556" t="s">
        <v>4426</v>
      </c>
      <c r="E3422" s="17" t="s">
        <v>6837</v>
      </c>
      <c r="F3422" s="17">
        <v>77</v>
      </c>
      <c r="G3422" s="17">
        <v>3</v>
      </c>
      <c r="H3422" s="17" t="s">
        <v>8027</v>
      </c>
      <c r="I3422" s="17">
        <v>0</v>
      </c>
      <c r="J3422" s="17"/>
      <c r="K3422" s="17"/>
      <c r="L3422" s="17"/>
      <c r="M3422" s="17"/>
      <c r="N3422" s="17"/>
      <c r="O3422" s="17"/>
      <c r="P3422" s="17"/>
      <c r="Q3422" s="17"/>
    </row>
    <row r="3423" spans="1:17">
      <c r="A3423" s="556" t="s">
        <v>3652</v>
      </c>
      <c r="B3423" s="557" t="s">
        <v>9392</v>
      </c>
      <c r="C3423" s="558" t="s">
        <v>2674</v>
      </c>
      <c r="D3423" s="556" t="s">
        <v>4324</v>
      </c>
      <c r="E3423" s="17" t="s">
        <v>6838</v>
      </c>
      <c r="F3423" s="17">
        <v>77</v>
      </c>
      <c r="G3423" s="17">
        <v>4</v>
      </c>
      <c r="H3423" s="17" t="s">
        <v>8028</v>
      </c>
      <c r="I3423" s="17"/>
      <c r="J3423" s="17"/>
      <c r="K3423" s="17"/>
      <c r="L3423" s="17"/>
      <c r="M3423" s="17"/>
      <c r="N3423" s="17"/>
      <c r="O3423" s="17"/>
      <c r="P3423" s="17"/>
      <c r="Q3423" s="17"/>
    </row>
    <row r="3424" spans="1:17">
      <c r="A3424" s="556" t="s">
        <v>3652</v>
      </c>
      <c r="B3424" s="557" t="s">
        <v>9393</v>
      </c>
      <c r="C3424" s="558" t="s">
        <v>2675</v>
      </c>
      <c r="D3424" s="556" t="s">
        <v>2623</v>
      </c>
      <c r="E3424" s="17" t="s">
        <v>6839</v>
      </c>
      <c r="F3424" s="17">
        <v>78</v>
      </c>
      <c r="G3424" s="17">
        <v>1</v>
      </c>
      <c r="H3424" s="17" t="s">
        <v>8029</v>
      </c>
      <c r="I3424" s="17"/>
      <c r="J3424" s="17"/>
      <c r="K3424" s="17"/>
      <c r="L3424" s="17"/>
      <c r="M3424" s="17"/>
      <c r="N3424" s="17"/>
      <c r="O3424" s="17"/>
      <c r="P3424" s="17"/>
      <c r="Q3424" s="17"/>
    </row>
    <row r="3425" spans="1:17">
      <c r="A3425" s="556" t="s">
        <v>3652</v>
      </c>
      <c r="B3425" s="557" t="s">
        <v>9393</v>
      </c>
      <c r="C3425" s="558" t="s">
        <v>2675</v>
      </c>
      <c r="D3425" s="556" t="s">
        <v>2624</v>
      </c>
      <c r="E3425" s="17" t="s">
        <v>6840</v>
      </c>
      <c r="F3425" s="17">
        <v>78</v>
      </c>
      <c r="G3425" s="17">
        <v>2</v>
      </c>
      <c r="H3425" s="17" t="s">
        <v>8030</v>
      </c>
      <c r="I3425" s="17"/>
      <c r="J3425" s="17"/>
      <c r="K3425" s="17"/>
      <c r="L3425" s="17"/>
      <c r="M3425" s="17"/>
      <c r="N3425" s="17"/>
      <c r="O3425" s="17"/>
      <c r="P3425" s="17"/>
      <c r="Q3425" s="17"/>
    </row>
    <row r="3426" spans="1:17">
      <c r="A3426" s="556" t="s">
        <v>3652</v>
      </c>
      <c r="B3426" s="557" t="s">
        <v>9393</v>
      </c>
      <c r="C3426" s="558" t="s">
        <v>2675</v>
      </c>
      <c r="D3426" s="556" t="s">
        <v>4426</v>
      </c>
      <c r="E3426" s="17" t="s">
        <v>6841</v>
      </c>
      <c r="F3426" s="17">
        <v>78</v>
      </c>
      <c r="G3426" s="17">
        <v>3</v>
      </c>
      <c r="H3426" s="17" t="s">
        <v>8031</v>
      </c>
      <c r="I3426" s="17">
        <v>0</v>
      </c>
      <c r="J3426" s="17"/>
      <c r="K3426" s="17"/>
      <c r="L3426" s="17"/>
      <c r="M3426" s="17"/>
      <c r="N3426" s="17"/>
      <c r="O3426" s="17"/>
      <c r="P3426" s="17"/>
      <c r="Q3426" s="17"/>
    </row>
    <row r="3427" spans="1:17">
      <c r="A3427" s="556" t="s">
        <v>3652</v>
      </c>
      <c r="B3427" s="557" t="s">
        <v>9393</v>
      </c>
      <c r="C3427" s="558" t="s">
        <v>2675</v>
      </c>
      <c r="D3427" s="556" t="s">
        <v>4324</v>
      </c>
      <c r="E3427" s="17" t="s">
        <v>6842</v>
      </c>
      <c r="F3427" s="17">
        <v>78</v>
      </c>
      <c r="G3427" s="17">
        <v>4</v>
      </c>
      <c r="H3427" s="17" t="s">
        <v>8032</v>
      </c>
      <c r="I3427" s="17"/>
      <c r="J3427" s="17"/>
      <c r="K3427" s="17"/>
      <c r="L3427" s="17"/>
      <c r="M3427" s="17"/>
      <c r="N3427" s="17"/>
      <c r="O3427" s="17"/>
      <c r="P3427" s="17"/>
      <c r="Q3427" s="17"/>
    </row>
    <row r="3428" spans="1:17">
      <c r="A3428" s="556" t="s">
        <v>3652</v>
      </c>
      <c r="B3428" s="557" t="s">
        <v>9394</v>
      </c>
      <c r="C3428" s="558" t="s">
        <v>2676</v>
      </c>
      <c r="D3428" s="556" t="s">
        <v>2623</v>
      </c>
      <c r="E3428" s="17" t="s">
        <v>6843</v>
      </c>
      <c r="F3428" s="17">
        <v>79</v>
      </c>
      <c r="G3428" s="17">
        <v>1</v>
      </c>
      <c r="H3428" s="17" t="s">
        <v>8033</v>
      </c>
      <c r="I3428" s="17"/>
      <c r="J3428" s="17"/>
      <c r="K3428" s="17"/>
      <c r="L3428" s="17"/>
      <c r="M3428" s="17"/>
      <c r="N3428" s="17"/>
      <c r="O3428" s="17"/>
      <c r="P3428" s="17"/>
      <c r="Q3428" s="17"/>
    </row>
    <row r="3429" spans="1:17">
      <c r="A3429" s="556" t="s">
        <v>3652</v>
      </c>
      <c r="B3429" s="557" t="s">
        <v>9394</v>
      </c>
      <c r="C3429" s="558" t="s">
        <v>2676</v>
      </c>
      <c r="D3429" s="556" t="s">
        <v>2624</v>
      </c>
      <c r="E3429" s="17" t="s">
        <v>6844</v>
      </c>
      <c r="F3429" s="17">
        <v>79</v>
      </c>
      <c r="G3429" s="17">
        <v>2</v>
      </c>
      <c r="H3429" s="17" t="s">
        <v>8034</v>
      </c>
      <c r="I3429" s="17"/>
      <c r="J3429" s="17"/>
      <c r="K3429" s="17"/>
      <c r="L3429" s="17"/>
      <c r="M3429" s="17"/>
      <c r="N3429" s="17"/>
      <c r="O3429" s="17"/>
      <c r="P3429" s="17"/>
      <c r="Q3429" s="17"/>
    </row>
    <row r="3430" spans="1:17">
      <c r="A3430" s="556" t="s">
        <v>3652</v>
      </c>
      <c r="B3430" s="557" t="s">
        <v>9394</v>
      </c>
      <c r="C3430" s="558" t="s">
        <v>2676</v>
      </c>
      <c r="D3430" s="556" t="s">
        <v>4426</v>
      </c>
      <c r="E3430" s="17" t="s">
        <v>6845</v>
      </c>
      <c r="F3430" s="17">
        <v>79</v>
      </c>
      <c r="G3430" s="17">
        <v>3</v>
      </c>
      <c r="H3430" s="17" t="s">
        <v>8035</v>
      </c>
      <c r="I3430" s="17">
        <v>0</v>
      </c>
      <c r="J3430" s="17"/>
      <c r="K3430" s="17"/>
      <c r="L3430" s="17"/>
      <c r="M3430" s="17"/>
      <c r="N3430" s="17"/>
      <c r="O3430" s="17"/>
      <c r="P3430" s="17"/>
      <c r="Q3430" s="17"/>
    </row>
    <row r="3431" spans="1:17">
      <c r="A3431" s="556" t="s">
        <v>3652</v>
      </c>
      <c r="B3431" s="557" t="s">
        <v>9394</v>
      </c>
      <c r="C3431" s="558" t="s">
        <v>2676</v>
      </c>
      <c r="D3431" s="556" t="s">
        <v>4324</v>
      </c>
      <c r="E3431" s="17" t="s">
        <v>6846</v>
      </c>
      <c r="F3431" s="17">
        <v>79</v>
      </c>
      <c r="G3431" s="17">
        <v>4</v>
      </c>
      <c r="H3431" s="17" t="s">
        <v>8036</v>
      </c>
      <c r="I3431" s="17"/>
      <c r="J3431" s="17"/>
      <c r="K3431" s="17"/>
      <c r="L3431" s="17"/>
      <c r="M3431" s="17"/>
      <c r="N3431" s="17"/>
      <c r="O3431" s="17"/>
      <c r="P3431" s="17"/>
      <c r="Q3431" s="17"/>
    </row>
    <row r="3432" spans="1:17">
      <c r="A3432" s="556" t="s">
        <v>3652</v>
      </c>
      <c r="B3432" s="557" t="s">
        <v>9395</v>
      </c>
      <c r="C3432" s="558" t="s">
        <v>2677</v>
      </c>
      <c r="D3432" s="556" t="s">
        <v>2623</v>
      </c>
      <c r="E3432" s="17" t="s">
        <v>6847</v>
      </c>
      <c r="F3432" s="17">
        <v>80</v>
      </c>
      <c r="G3432" s="17">
        <v>1</v>
      </c>
      <c r="H3432" s="17" t="s">
        <v>8037</v>
      </c>
      <c r="I3432" s="17"/>
      <c r="J3432" s="17"/>
      <c r="K3432" s="17"/>
      <c r="L3432" s="17"/>
      <c r="M3432" s="17"/>
      <c r="N3432" s="17"/>
      <c r="O3432" s="17"/>
      <c r="P3432" s="17"/>
      <c r="Q3432" s="17"/>
    </row>
    <row r="3433" spans="1:17">
      <c r="A3433" s="556" t="s">
        <v>3652</v>
      </c>
      <c r="B3433" s="557" t="s">
        <v>9395</v>
      </c>
      <c r="C3433" s="558" t="s">
        <v>2677</v>
      </c>
      <c r="D3433" s="556" t="s">
        <v>2624</v>
      </c>
      <c r="E3433" s="17" t="s">
        <v>6848</v>
      </c>
      <c r="F3433" s="17">
        <v>80</v>
      </c>
      <c r="G3433" s="17">
        <v>2</v>
      </c>
      <c r="H3433" s="17" t="s">
        <v>8038</v>
      </c>
      <c r="I3433" s="17"/>
      <c r="J3433" s="17"/>
      <c r="K3433" s="17"/>
      <c r="L3433" s="17"/>
      <c r="M3433" s="17"/>
      <c r="N3433" s="17"/>
      <c r="O3433" s="17"/>
      <c r="P3433" s="17"/>
      <c r="Q3433" s="17"/>
    </row>
    <row r="3434" spans="1:17">
      <c r="A3434" s="556" t="s">
        <v>3652</v>
      </c>
      <c r="B3434" s="557" t="s">
        <v>9395</v>
      </c>
      <c r="C3434" s="558" t="s">
        <v>2677</v>
      </c>
      <c r="D3434" s="556" t="s">
        <v>4426</v>
      </c>
      <c r="E3434" s="17" t="s">
        <v>6849</v>
      </c>
      <c r="F3434" s="17">
        <v>80</v>
      </c>
      <c r="G3434" s="17">
        <v>3</v>
      </c>
      <c r="H3434" s="17" t="s">
        <v>8039</v>
      </c>
      <c r="I3434" s="17">
        <v>0</v>
      </c>
      <c r="J3434" s="17"/>
      <c r="K3434" s="17"/>
      <c r="L3434" s="17"/>
      <c r="M3434" s="17"/>
      <c r="N3434" s="17"/>
      <c r="O3434" s="17"/>
      <c r="P3434" s="17"/>
      <c r="Q3434" s="17"/>
    </row>
    <row r="3435" spans="1:17">
      <c r="A3435" s="556" t="s">
        <v>3652</v>
      </c>
      <c r="B3435" s="557" t="s">
        <v>9395</v>
      </c>
      <c r="C3435" s="558" t="s">
        <v>2677</v>
      </c>
      <c r="D3435" s="556" t="s">
        <v>4324</v>
      </c>
      <c r="E3435" s="17" t="s">
        <v>6850</v>
      </c>
      <c r="F3435" s="17">
        <v>80</v>
      </c>
      <c r="G3435" s="17">
        <v>4</v>
      </c>
      <c r="H3435" s="17" t="s">
        <v>8040</v>
      </c>
      <c r="I3435" s="17"/>
      <c r="J3435" s="17"/>
      <c r="K3435" s="17"/>
      <c r="L3435" s="17"/>
      <c r="M3435" s="17"/>
      <c r="N3435" s="17"/>
      <c r="O3435" s="17"/>
      <c r="P3435" s="17"/>
      <c r="Q3435" s="17"/>
    </row>
    <row r="3436" spans="1:17">
      <c r="A3436" s="556" t="s">
        <v>3652</v>
      </c>
      <c r="B3436" s="557" t="s">
        <v>9396</v>
      </c>
      <c r="C3436" s="558" t="s">
        <v>2678</v>
      </c>
      <c r="D3436" s="556" t="s">
        <v>2623</v>
      </c>
      <c r="E3436" s="17" t="s">
        <v>6851</v>
      </c>
      <c r="F3436" s="17">
        <v>81</v>
      </c>
      <c r="G3436" s="17">
        <v>1</v>
      </c>
      <c r="H3436" s="17" t="s">
        <v>8041</v>
      </c>
      <c r="I3436" s="17"/>
      <c r="J3436" s="17"/>
      <c r="K3436" s="17"/>
      <c r="L3436" s="17"/>
      <c r="M3436" s="17"/>
      <c r="N3436" s="17"/>
      <c r="O3436" s="17"/>
      <c r="P3436" s="17"/>
      <c r="Q3436" s="17"/>
    </row>
    <row r="3437" spans="1:17">
      <c r="A3437" s="556" t="s">
        <v>3652</v>
      </c>
      <c r="B3437" s="557" t="s">
        <v>9396</v>
      </c>
      <c r="C3437" s="558" t="s">
        <v>2678</v>
      </c>
      <c r="D3437" s="556" t="s">
        <v>2624</v>
      </c>
      <c r="E3437" s="17" t="s">
        <v>6852</v>
      </c>
      <c r="F3437" s="17">
        <v>81</v>
      </c>
      <c r="G3437" s="17">
        <v>2</v>
      </c>
      <c r="H3437" s="17" t="s">
        <v>8042</v>
      </c>
      <c r="I3437" s="17"/>
      <c r="J3437" s="17"/>
      <c r="K3437" s="17"/>
      <c r="L3437" s="17"/>
      <c r="M3437" s="17"/>
      <c r="N3437" s="17"/>
      <c r="O3437" s="17"/>
      <c r="P3437" s="17"/>
      <c r="Q3437" s="17"/>
    </row>
    <row r="3438" spans="1:17">
      <c r="A3438" s="556" t="s">
        <v>3652</v>
      </c>
      <c r="B3438" s="557" t="s">
        <v>9396</v>
      </c>
      <c r="C3438" s="558" t="s">
        <v>2678</v>
      </c>
      <c r="D3438" s="556" t="s">
        <v>4426</v>
      </c>
      <c r="E3438" s="17" t="s">
        <v>6853</v>
      </c>
      <c r="F3438" s="17">
        <v>81</v>
      </c>
      <c r="G3438" s="17">
        <v>3</v>
      </c>
      <c r="H3438" s="17" t="s">
        <v>8043</v>
      </c>
      <c r="I3438" s="17">
        <v>0</v>
      </c>
      <c r="J3438" s="17"/>
      <c r="K3438" s="17"/>
      <c r="L3438" s="17"/>
      <c r="M3438" s="17"/>
      <c r="N3438" s="17"/>
      <c r="O3438" s="17"/>
      <c r="P3438" s="17"/>
      <c r="Q3438" s="17"/>
    </row>
    <row r="3439" spans="1:17">
      <c r="A3439" s="556" t="s">
        <v>3652</v>
      </c>
      <c r="B3439" s="557" t="s">
        <v>9396</v>
      </c>
      <c r="C3439" s="558" t="s">
        <v>2678</v>
      </c>
      <c r="D3439" s="556" t="s">
        <v>4324</v>
      </c>
      <c r="E3439" s="17" t="s">
        <v>6854</v>
      </c>
      <c r="F3439" s="17">
        <v>81</v>
      </c>
      <c r="G3439" s="17">
        <v>4</v>
      </c>
      <c r="H3439" s="17" t="s">
        <v>8044</v>
      </c>
      <c r="I3439" s="17"/>
      <c r="J3439" s="17"/>
      <c r="K3439" s="17"/>
      <c r="L3439" s="17"/>
      <c r="M3439" s="17"/>
      <c r="N3439" s="17"/>
      <c r="O3439" s="17"/>
      <c r="P3439" s="17"/>
      <c r="Q3439" s="17"/>
    </row>
    <row r="3440" spans="1:17">
      <c r="A3440" s="556" t="s">
        <v>3652</v>
      </c>
      <c r="B3440" s="557" t="s">
        <v>9397</v>
      </c>
      <c r="C3440" s="558" t="s">
        <v>2679</v>
      </c>
      <c r="D3440" s="556" t="s">
        <v>2623</v>
      </c>
      <c r="E3440" s="17" t="s">
        <v>6855</v>
      </c>
      <c r="F3440" s="17">
        <v>82</v>
      </c>
      <c r="G3440" s="17">
        <v>1</v>
      </c>
      <c r="H3440" s="17" t="s">
        <v>8045</v>
      </c>
      <c r="I3440" s="17"/>
      <c r="J3440" s="17"/>
      <c r="K3440" s="17"/>
      <c r="L3440" s="17"/>
      <c r="M3440" s="17"/>
      <c r="N3440" s="17"/>
      <c r="O3440" s="17"/>
      <c r="P3440" s="17"/>
      <c r="Q3440" s="17"/>
    </row>
    <row r="3441" spans="1:17">
      <c r="A3441" s="556" t="s">
        <v>3652</v>
      </c>
      <c r="B3441" s="557" t="s">
        <v>9397</v>
      </c>
      <c r="C3441" s="558" t="s">
        <v>2679</v>
      </c>
      <c r="D3441" s="556" t="s">
        <v>2624</v>
      </c>
      <c r="E3441" s="17" t="s">
        <v>6856</v>
      </c>
      <c r="F3441" s="17">
        <v>82</v>
      </c>
      <c r="G3441" s="17">
        <v>2</v>
      </c>
      <c r="H3441" s="17" t="s">
        <v>8046</v>
      </c>
      <c r="I3441" s="17"/>
      <c r="J3441" s="17"/>
      <c r="K3441" s="17"/>
      <c r="L3441" s="17"/>
      <c r="M3441" s="17"/>
      <c r="N3441" s="17"/>
      <c r="O3441" s="17"/>
      <c r="P3441" s="17"/>
      <c r="Q3441" s="17"/>
    </row>
    <row r="3442" spans="1:17">
      <c r="A3442" s="556" t="s">
        <v>3652</v>
      </c>
      <c r="B3442" s="557" t="s">
        <v>9397</v>
      </c>
      <c r="C3442" s="558" t="s">
        <v>2679</v>
      </c>
      <c r="D3442" s="556" t="s">
        <v>4426</v>
      </c>
      <c r="E3442" s="17" t="s">
        <v>6857</v>
      </c>
      <c r="F3442" s="17">
        <v>82</v>
      </c>
      <c r="G3442" s="17">
        <v>3</v>
      </c>
      <c r="H3442" s="17" t="s">
        <v>8047</v>
      </c>
      <c r="I3442" s="17">
        <v>0</v>
      </c>
      <c r="J3442" s="17"/>
      <c r="K3442" s="17"/>
      <c r="L3442" s="17"/>
      <c r="M3442" s="17"/>
      <c r="N3442" s="17"/>
      <c r="O3442" s="17"/>
      <c r="P3442" s="17"/>
      <c r="Q3442" s="17"/>
    </row>
    <row r="3443" spans="1:17">
      <c r="A3443" s="556" t="s">
        <v>3652</v>
      </c>
      <c r="B3443" s="557" t="s">
        <v>9397</v>
      </c>
      <c r="C3443" s="558" t="s">
        <v>2679</v>
      </c>
      <c r="D3443" s="556" t="s">
        <v>4324</v>
      </c>
      <c r="E3443" s="17" t="s">
        <v>6858</v>
      </c>
      <c r="F3443" s="17">
        <v>82</v>
      </c>
      <c r="G3443" s="17">
        <v>4</v>
      </c>
      <c r="H3443" s="17" t="s">
        <v>8048</v>
      </c>
      <c r="I3443" s="17"/>
      <c r="J3443" s="17"/>
      <c r="K3443" s="17"/>
      <c r="L3443" s="17"/>
      <c r="M3443" s="17"/>
      <c r="N3443" s="17"/>
      <c r="O3443" s="17"/>
      <c r="P3443" s="17"/>
      <c r="Q3443" s="17"/>
    </row>
    <row r="3444" spans="1:17">
      <c r="A3444" s="556" t="s">
        <v>3652</v>
      </c>
      <c r="B3444" s="557" t="s">
        <v>9398</v>
      </c>
      <c r="C3444" s="558" t="s">
        <v>2680</v>
      </c>
      <c r="D3444" s="556" t="s">
        <v>2623</v>
      </c>
      <c r="E3444" s="17" t="s">
        <v>6859</v>
      </c>
      <c r="F3444" s="17">
        <v>83</v>
      </c>
      <c r="G3444" s="17">
        <v>1</v>
      </c>
      <c r="H3444" s="17" t="s">
        <v>8049</v>
      </c>
      <c r="I3444" s="17"/>
      <c r="J3444" s="17"/>
      <c r="K3444" s="17"/>
      <c r="L3444" s="17"/>
      <c r="M3444" s="17"/>
      <c r="N3444" s="17"/>
      <c r="O3444" s="17"/>
      <c r="P3444" s="17"/>
      <c r="Q3444" s="17"/>
    </row>
    <row r="3445" spans="1:17">
      <c r="A3445" s="556" t="s">
        <v>3652</v>
      </c>
      <c r="B3445" s="557" t="s">
        <v>9398</v>
      </c>
      <c r="C3445" s="558" t="s">
        <v>2680</v>
      </c>
      <c r="D3445" s="556" t="s">
        <v>2624</v>
      </c>
      <c r="E3445" s="17" t="s">
        <v>6860</v>
      </c>
      <c r="F3445" s="17">
        <v>83</v>
      </c>
      <c r="G3445" s="17">
        <v>2</v>
      </c>
      <c r="H3445" s="17" t="s">
        <v>8050</v>
      </c>
      <c r="I3445" s="17"/>
      <c r="J3445" s="17"/>
      <c r="K3445" s="17"/>
      <c r="L3445" s="17"/>
      <c r="M3445" s="17"/>
      <c r="N3445" s="17"/>
      <c r="O3445" s="17"/>
      <c r="P3445" s="17"/>
      <c r="Q3445" s="17"/>
    </row>
    <row r="3446" spans="1:17">
      <c r="A3446" s="556" t="s">
        <v>3652</v>
      </c>
      <c r="B3446" s="557" t="s">
        <v>9398</v>
      </c>
      <c r="C3446" s="558" t="s">
        <v>2680</v>
      </c>
      <c r="D3446" s="556" t="s">
        <v>4426</v>
      </c>
      <c r="E3446" s="17" t="s">
        <v>6861</v>
      </c>
      <c r="F3446" s="17">
        <v>83</v>
      </c>
      <c r="G3446" s="17">
        <v>3</v>
      </c>
      <c r="H3446" s="17" t="s">
        <v>8051</v>
      </c>
      <c r="I3446" s="17">
        <v>0</v>
      </c>
      <c r="J3446" s="17"/>
      <c r="K3446" s="17"/>
      <c r="L3446" s="17"/>
      <c r="M3446" s="17"/>
      <c r="N3446" s="17"/>
      <c r="O3446" s="17"/>
      <c r="P3446" s="17"/>
      <c r="Q3446" s="17"/>
    </row>
    <row r="3447" spans="1:17">
      <c r="A3447" s="556" t="s">
        <v>3652</v>
      </c>
      <c r="B3447" s="557" t="s">
        <v>9398</v>
      </c>
      <c r="C3447" s="558" t="s">
        <v>2680</v>
      </c>
      <c r="D3447" s="556" t="s">
        <v>4324</v>
      </c>
      <c r="E3447" s="17" t="s">
        <v>6862</v>
      </c>
      <c r="F3447" s="17">
        <v>83</v>
      </c>
      <c r="G3447" s="17">
        <v>4</v>
      </c>
      <c r="H3447" s="17" t="s">
        <v>8052</v>
      </c>
      <c r="I3447" s="17"/>
      <c r="J3447" s="17"/>
      <c r="K3447" s="17"/>
      <c r="L3447" s="17"/>
      <c r="M3447" s="17"/>
      <c r="N3447" s="17"/>
      <c r="O3447" s="17"/>
      <c r="P3447" s="17"/>
      <c r="Q3447" s="17"/>
    </row>
    <row r="3448" spans="1:17">
      <c r="A3448" s="556" t="s">
        <v>3652</v>
      </c>
      <c r="B3448" s="557" t="s">
        <v>9399</v>
      </c>
      <c r="C3448" s="558" t="s">
        <v>2681</v>
      </c>
      <c r="D3448" s="556" t="s">
        <v>2623</v>
      </c>
      <c r="E3448" s="17" t="s">
        <v>6863</v>
      </c>
      <c r="F3448" s="17">
        <v>84</v>
      </c>
      <c r="G3448" s="17">
        <v>1</v>
      </c>
      <c r="H3448" s="17" t="s">
        <v>8053</v>
      </c>
      <c r="I3448" s="17"/>
      <c r="J3448" s="17"/>
      <c r="K3448" s="17"/>
      <c r="L3448" s="17"/>
      <c r="M3448" s="17"/>
      <c r="N3448" s="17"/>
      <c r="O3448" s="17"/>
      <c r="P3448" s="17"/>
      <c r="Q3448" s="17"/>
    </row>
    <row r="3449" spans="1:17">
      <c r="A3449" s="556" t="s">
        <v>3652</v>
      </c>
      <c r="B3449" s="557" t="s">
        <v>9399</v>
      </c>
      <c r="C3449" s="558" t="s">
        <v>2681</v>
      </c>
      <c r="D3449" s="556" t="s">
        <v>2624</v>
      </c>
      <c r="E3449" s="17" t="s">
        <v>6864</v>
      </c>
      <c r="F3449" s="17">
        <v>84</v>
      </c>
      <c r="G3449" s="17">
        <v>2</v>
      </c>
      <c r="H3449" s="17" t="s">
        <v>8054</v>
      </c>
      <c r="I3449" s="17"/>
      <c r="J3449" s="17"/>
      <c r="K3449" s="17"/>
      <c r="L3449" s="17"/>
      <c r="M3449" s="17"/>
      <c r="N3449" s="17"/>
      <c r="O3449" s="17"/>
      <c r="P3449" s="17"/>
      <c r="Q3449" s="17"/>
    </row>
    <row r="3450" spans="1:17">
      <c r="A3450" s="556" t="s">
        <v>3652</v>
      </c>
      <c r="B3450" s="557" t="s">
        <v>9399</v>
      </c>
      <c r="C3450" s="558" t="s">
        <v>2681</v>
      </c>
      <c r="D3450" s="556" t="s">
        <v>4426</v>
      </c>
      <c r="E3450" s="17" t="s">
        <v>6865</v>
      </c>
      <c r="F3450" s="17">
        <v>84</v>
      </c>
      <c r="G3450" s="17">
        <v>3</v>
      </c>
      <c r="H3450" s="17" t="s">
        <v>8055</v>
      </c>
      <c r="I3450" s="17">
        <v>0</v>
      </c>
      <c r="J3450" s="17"/>
      <c r="K3450" s="17"/>
      <c r="L3450" s="17"/>
      <c r="M3450" s="17"/>
      <c r="N3450" s="17"/>
      <c r="O3450" s="17"/>
      <c r="P3450" s="17"/>
      <c r="Q3450" s="17"/>
    </row>
    <row r="3451" spans="1:17">
      <c r="A3451" s="556" t="s">
        <v>3652</v>
      </c>
      <c r="B3451" s="557" t="s">
        <v>9399</v>
      </c>
      <c r="C3451" s="558" t="s">
        <v>2681</v>
      </c>
      <c r="D3451" s="556" t="s">
        <v>4324</v>
      </c>
      <c r="E3451" s="17" t="s">
        <v>6866</v>
      </c>
      <c r="F3451" s="17">
        <v>84</v>
      </c>
      <c r="G3451" s="17">
        <v>4</v>
      </c>
      <c r="H3451" s="17" t="s">
        <v>8056</v>
      </c>
      <c r="I3451" s="17"/>
      <c r="J3451" s="17"/>
      <c r="K3451" s="17"/>
      <c r="L3451" s="17"/>
      <c r="M3451" s="17"/>
      <c r="N3451" s="17"/>
      <c r="O3451" s="17"/>
      <c r="P3451" s="17"/>
      <c r="Q3451" s="17"/>
    </row>
    <row r="3452" spans="1:17">
      <c r="A3452" s="556" t="s">
        <v>3652</v>
      </c>
      <c r="B3452" s="557" t="s">
        <v>9400</v>
      </c>
      <c r="C3452" s="558" t="s">
        <v>2682</v>
      </c>
      <c r="D3452" s="556" t="s">
        <v>2623</v>
      </c>
      <c r="E3452" s="17" t="s">
        <v>6867</v>
      </c>
      <c r="F3452" s="17">
        <v>85</v>
      </c>
      <c r="G3452" s="17">
        <v>1</v>
      </c>
      <c r="H3452" s="17" t="s">
        <v>8057</v>
      </c>
      <c r="I3452" s="17"/>
      <c r="J3452" s="17"/>
      <c r="K3452" s="17"/>
      <c r="L3452" s="17"/>
      <c r="M3452" s="17"/>
      <c r="N3452" s="17"/>
      <c r="O3452" s="17"/>
      <c r="P3452" s="17"/>
      <c r="Q3452" s="17"/>
    </row>
    <row r="3453" spans="1:17">
      <c r="A3453" s="556" t="s">
        <v>3652</v>
      </c>
      <c r="B3453" s="557" t="s">
        <v>9400</v>
      </c>
      <c r="C3453" s="558" t="s">
        <v>2682</v>
      </c>
      <c r="D3453" s="556" t="s">
        <v>2624</v>
      </c>
      <c r="E3453" s="17" t="s">
        <v>6868</v>
      </c>
      <c r="F3453" s="17">
        <v>85</v>
      </c>
      <c r="G3453" s="17">
        <v>2</v>
      </c>
      <c r="H3453" s="17" t="s">
        <v>8058</v>
      </c>
      <c r="I3453" s="17"/>
      <c r="J3453" s="17"/>
      <c r="K3453" s="17"/>
      <c r="L3453" s="17"/>
      <c r="M3453" s="17"/>
      <c r="N3453" s="17"/>
      <c r="O3453" s="17"/>
      <c r="P3453" s="17"/>
      <c r="Q3453" s="17"/>
    </row>
    <row r="3454" spans="1:17">
      <c r="A3454" s="556" t="s">
        <v>3652</v>
      </c>
      <c r="B3454" s="557" t="s">
        <v>9400</v>
      </c>
      <c r="C3454" s="558" t="s">
        <v>2682</v>
      </c>
      <c r="D3454" s="556" t="s">
        <v>4426</v>
      </c>
      <c r="E3454" s="17" t="s">
        <v>6869</v>
      </c>
      <c r="F3454" s="17">
        <v>85</v>
      </c>
      <c r="G3454" s="17">
        <v>3</v>
      </c>
      <c r="H3454" s="17" t="s">
        <v>8059</v>
      </c>
      <c r="I3454" s="17">
        <v>0</v>
      </c>
      <c r="J3454" s="17"/>
      <c r="K3454" s="17"/>
      <c r="L3454" s="17"/>
      <c r="M3454" s="17"/>
      <c r="N3454" s="17"/>
      <c r="O3454" s="17"/>
      <c r="P3454" s="17"/>
      <c r="Q3454" s="17"/>
    </row>
    <row r="3455" spans="1:17">
      <c r="A3455" s="556" t="s">
        <v>3652</v>
      </c>
      <c r="B3455" s="557" t="s">
        <v>9400</v>
      </c>
      <c r="C3455" s="558" t="s">
        <v>2682</v>
      </c>
      <c r="D3455" s="556" t="s">
        <v>4324</v>
      </c>
      <c r="E3455" s="17" t="s">
        <v>6870</v>
      </c>
      <c r="F3455" s="17">
        <v>85</v>
      </c>
      <c r="G3455" s="17">
        <v>4</v>
      </c>
      <c r="H3455" s="17" t="s">
        <v>8060</v>
      </c>
      <c r="I3455" s="17"/>
      <c r="J3455" s="17"/>
      <c r="K3455" s="17"/>
      <c r="L3455" s="17"/>
      <c r="M3455" s="17"/>
      <c r="N3455" s="17"/>
      <c r="O3455" s="17"/>
      <c r="P3455" s="17"/>
      <c r="Q3455" s="17"/>
    </row>
    <row r="3456" spans="1:17">
      <c r="A3456" s="556" t="s">
        <v>3652</v>
      </c>
      <c r="B3456" s="557" t="s">
        <v>9401</v>
      </c>
      <c r="C3456" s="558" t="s">
        <v>2683</v>
      </c>
      <c r="D3456" s="556" t="s">
        <v>2623</v>
      </c>
      <c r="E3456" s="17" t="s">
        <v>6871</v>
      </c>
      <c r="F3456" s="17">
        <v>86</v>
      </c>
      <c r="G3456" s="17">
        <v>1</v>
      </c>
      <c r="H3456" s="17" t="s">
        <v>8061</v>
      </c>
      <c r="I3456" s="17"/>
      <c r="J3456" s="17"/>
      <c r="K3456" s="17"/>
      <c r="L3456" s="17"/>
      <c r="M3456" s="17"/>
      <c r="N3456" s="17"/>
      <c r="O3456" s="17"/>
      <c r="P3456" s="17"/>
      <c r="Q3456" s="17"/>
    </row>
    <row r="3457" spans="1:17">
      <c r="A3457" s="556" t="s">
        <v>3652</v>
      </c>
      <c r="B3457" s="557" t="s">
        <v>9401</v>
      </c>
      <c r="C3457" s="558" t="s">
        <v>2683</v>
      </c>
      <c r="D3457" s="556" t="s">
        <v>2624</v>
      </c>
      <c r="E3457" s="17" t="s">
        <v>6872</v>
      </c>
      <c r="F3457" s="17">
        <v>86</v>
      </c>
      <c r="G3457" s="17">
        <v>2</v>
      </c>
      <c r="H3457" s="17" t="s">
        <v>8062</v>
      </c>
      <c r="I3457" s="17"/>
      <c r="J3457" s="17"/>
      <c r="K3457" s="17"/>
      <c r="L3457" s="17"/>
      <c r="M3457" s="17"/>
      <c r="N3457" s="17"/>
      <c r="O3457" s="17"/>
      <c r="P3457" s="17"/>
      <c r="Q3457" s="17"/>
    </row>
    <row r="3458" spans="1:17">
      <c r="A3458" s="556" t="s">
        <v>3652</v>
      </c>
      <c r="B3458" s="557" t="s">
        <v>9401</v>
      </c>
      <c r="C3458" s="558" t="s">
        <v>2683</v>
      </c>
      <c r="D3458" s="556" t="s">
        <v>4426</v>
      </c>
      <c r="E3458" s="17" t="s">
        <v>6873</v>
      </c>
      <c r="F3458" s="17">
        <v>86</v>
      </c>
      <c r="G3458" s="17">
        <v>3</v>
      </c>
      <c r="H3458" s="17" t="s">
        <v>8063</v>
      </c>
      <c r="I3458" s="17">
        <v>0</v>
      </c>
      <c r="J3458" s="17"/>
      <c r="K3458" s="17"/>
      <c r="L3458" s="17"/>
      <c r="M3458" s="17"/>
      <c r="N3458" s="17"/>
      <c r="O3458" s="17"/>
      <c r="P3458" s="17"/>
      <c r="Q3458" s="17"/>
    </row>
    <row r="3459" spans="1:17">
      <c r="A3459" s="556" t="s">
        <v>3652</v>
      </c>
      <c r="B3459" s="557" t="s">
        <v>9401</v>
      </c>
      <c r="C3459" s="558" t="s">
        <v>2683</v>
      </c>
      <c r="D3459" s="556" t="s">
        <v>4324</v>
      </c>
      <c r="E3459" s="17" t="s">
        <v>6874</v>
      </c>
      <c r="F3459" s="17">
        <v>86</v>
      </c>
      <c r="G3459" s="17">
        <v>4</v>
      </c>
      <c r="H3459" s="17" t="s">
        <v>8064</v>
      </c>
      <c r="I3459" s="17"/>
      <c r="J3459" s="17"/>
      <c r="K3459" s="17"/>
      <c r="L3459" s="17"/>
      <c r="M3459" s="17"/>
      <c r="N3459" s="17"/>
      <c r="O3459" s="17"/>
      <c r="P3459" s="17"/>
      <c r="Q3459" s="17"/>
    </row>
    <row r="3460" spans="1:17">
      <c r="A3460" s="556" t="s">
        <v>3652</v>
      </c>
      <c r="B3460" s="557" t="s">
        <v>9402</v>
      </c>
      <c r="C3460" s="558" t="s">
        <v>2684</v>
      </c>
      <c r="D3460" s="556" t="s">
        <v>2623</v>
      </c>
      <c r="E3460" s="17" t="s">
        <v>6875</v>
      </c>
      <c r="F3460" s="17">
        <v>87</v>
      </c>
      <c r="G3460" s="17">
        <v>1</v>
      </c>
      <c r="H3460" s="17" t="s">
        <v>8065</v>
      </c>
      <c r="I3460" s="17"/>
      <c r="J3460" s="17"/>
      <c r="K3460" s="17"/>
      <c r="L3460" s="17"/>
      <c r="M3460" s="17"/>
      <c r="N3460" s="17"/>
      <c r="O3460" s="17"/>
      <c r="P3460" s="17"/>
      <c r="Q3460" s="17"/>
    </row>
    <row r="3461" spans="1:17">
      <c r="A3461" s="556" t="s">
        <v>3652</v>
      </c>
      <c r="B3461" s="557" t="s">
        <v>9402</v>
      </c>
      <c r="C3461" s="558" t="s">
        <v>2684</v>
      </c>
      <c r="D3461" s="556" t="s">
        <v>2624</v>
      </c>
      <c r="E3461" s="17" t="s">
        <v>6876</v>
      </c>
      <c r="F3461" s="17">
        <v>87</v>
      </c>
      <c r="G3461" s="17">
        <v>2</v>
      </c>
      <c r="H3461" s="17" t="s">
        <v>8066</v>
      </c>
      <c r="I3461" s="17"/>
      <c r="J3461" s="17"/>
      <c r="K3461" s="17"/>
      <c r="L3461" s="17"/>
      <c r="M3461" s="17"/>
      <c r="N3461" s="17"/>
      <c r="O3461" s="17"/>
      <c r="P3461" s="17"/>
      <c r="Q3461" s="17"/>
    </row>
    <row r="3462" spans="1:17">
      <c r="A3462" s="556" t="s">
        <v>3652</v>
      </c>
      <c r="B3462" s="557" t="s">
        <v>9402</v>
      </c>
      <c r="C3462" s="558" t="s">
        <v>2684</v>
      </c>
      <c r="D3462" s="556" t="s">
        <v>4426</v>
      </c>
      <c r="E3462" s="17" t="s">
        <v>6877</v>
      </c>
      <c r="F3462" s="17">
        <v>87</v>
      </c>
      <c r="G3462" s="17">
        <v>3</v>
      </c>
      <c r="H3462" s="17" t="s">
        <v>8067</v>
      </c>
      <c r="I3462" s="17">
        <v>0</v>
      </c>
      <c r="J3462" s="17"/>
      <c r="K3462" s="17"/>
      <c r="L3462" s="17"/>
      <c r="M3462" s="17"/>
      <c r="N3462" s="17"/>
      <c r="O3462" s="17"/>
      <c r="P3462" s="17"/>
      <c r="Q3462" s="17"/>
    </row>
    <row r="3463" spans="1:17">
      <c r="A3463" s="556" t="s">
        <v>3652</v>
      </c>
      <c r="B3463" s="557" t="s">
        <v>9402</v>
      </c>
      <c r="C3463" s="558" t="s">
        <v>2684</v>
      </c>
      <c r="D3463" s="556" t="s">
        <v>4324</v>
      </c>
      <c r="E3463" s="17" t="s">
        <v>6878</v>
      </c>
      <c r="F3463" s="17">
        <v>87</v>
      </c>
      <c r="G3463" s="17">
        <v>4</v>
      </c>
      <c r="H3463" s="17" t="s">
        <v>8068</v>
      </c>
      <c r="I3463" s="17"/>
      <c r="J3463" s="17"/>
      <c r="K3463" s="17"/>
      <c r="L3463" s="17"/>
      <c r="M3463" s="17"/>
      <c r="N3463" s="17"/>
      <c r="O3463" s="17"/>
      <c r="P3463" s="17"/>
      <c r="Q3463" s="17"/>
    </row>
    <row r="3464" spans="1:17">
      <c r="A3464" s="556" t="s">
        <v>3652</v>
      </c>
      <c r="B3464" s="557" t="s">
        <v>9403</v>
      </c>
      <c r="C3464" s="558" t="s">
        <v>2685</v>
      </c>
      <c r="D3464" s="556" t="s">
        <v>2623</v>
      </c>
      <c r="E3464" s="17" t="s">
        <v>6879</v>
      </c>
      <c r="F3464" s="17">
        <v>88</v>
      </c>
      <c r="G3464" s="17">
        <v>1</v>
      </c>
      <c r="H3464" s="17" t="s">
        <v>8069</v>
      </c>
      <c r="I3464" s="17"/>
      <c r="J3464" s="17"/>
      <c r="K3464" s="17"/>
      <c r="L3464" s="17"/>
      <c r="M3464" s="17"/>
      <c r="N3464" s="17"/>
      <c r="O3464" s="17"/>
      <c r="P3464" s="17"/>
      <c r="Q3464" s="17"/>
    </row>
    <row r="3465" spans="1:17">
      <c r="A3465" s="556" t="s">
        <v>3652</v>
      </c>
      <c r="B3465" s="557" t="s">
        <v>9403</v>
      </c>
      <c r="C3465" s="558" t="s">
        <v>2685</v>
      </c>
      <c r="D3465" s="556" t="s">
        <v>2624</v>
      </c>
      <c r="E3465" s="17" t="s">
        <v>6880</v>
      </c>
      <c r="F3465" s="17">
        <v>88</v>
      </c>
      <c r="G3465" s="17">
        <v>2</v>
      </c>
      <c r="H3465" s="17" t="s">
        <v>8070</v>
      </c>
      <c r="I3465" s="17"/>
      <c r="J3465" s="17"/>
      <c r="K3465" s="17"/>
      <c r="L3465" s="17"/>
      <c r="M3465" s="17"/>
      <c r="N3465" s="17"/>
      <c r="O3465" s="17"/>
      <c r="P3465" s="17"/>
      <c r="Q3465" s="17"/>
    </row>
    <row r="3466" spans="1:17">
      <c r="A3466" s="556" t="s">
        <v>3652</v>
      </c>
      <c r="B3466" s="557" t="s">
        <v>9403</v>
      </c>
      <c r="C3466" s="558" t="s">
        <v>2685</v>
      </c>
      <c r="D3466" s="556" t="s">
        <v>4426</v>
      </c>
      <c r="E3466" s="17" t="s">
        <v>6881</v>
      </c>
      <c r="F3466" s="17">
        <v>88</v>
      </c>
      <c r="G3466" s="17">
        <v>3</v>
      </c>
      <c r="H3466" s="17" t="s">
        <v>8071</v>
      </c>
      <c r="I3466" s="17">
        <v>0</v>
      </c>
      <c r="J3466" s="17"/>
      <c r="K3466" s="17"/>
      <c r="L3466" s="17"/>
      <c r="M3466" s="17"/>
      <c r="N3466" s="17"/>
      <c r="O3466" s="17"/>
      <c r="P3466" s="17"/>
      <c r="Q3466" s="17"/>
    </row>
    <row r="3467" spans="1:17">
      <c r="A3467" s="556" t="s">
        <v>3652</v>
      </c>
      <c r="B3467" s="557" t="s">
        <v>9403</v>
      </c>
      <c r="C3467" s="558" t="s">
        <v>2685</v>
      </c>
      <c r="D3467" s="556" t="s">
        <v>4324</v>
      </c>
      <c r="E3467" s="17" t="s">
        <v>6882</v>
      </c>
      <c r="F3467" s="17">
        <v>88</v>
      </c>
      <c r="G3467" s="17">
        <v>4</v>
      </c>
      <c r="H3467" s="17" t="s">
        <v>8072</v>
      </c>
      <c r="I3467" s="17"/>
      <c r="J3467" s="17"/>
      <c r="K3467" s="17"/>
      <c r="L3467" s="17"/>
      <c r="M3467" s="17"/>
      <c r="N3467" s="17"/>
      <c r="O3467" s="17"/>
      <c r="P3467" s="17"/>
      <c r="Q3467" s="17"/>
    </row>
    <row r="3468" spans="1:17">
      <c r="A3468" s="556" t="s">
        <v>3652</v>
      </c>
      <c r="B3468" s="557" t="s">
        <v>9404</v>
      </c>
      <c r="C3468" s="558" t="s">
        <v>2686</v>
      </c>
      <c r="D3468" s="556" t="s">
        <v>2623</v>
      </c>
      <c r="E3468" s="17" t="s">
        <v>6883</v>
      </c>
      <c r="F3468" s="17">
        <v>89</v>
      </c>
      <c r="G3468" s="17">
        <v>1</v>
      </c>
      <c r="H3468" s="17" t="s">
        <v>8073</v>
      </c>
      <c r="I3468" s="17"/>
      <c r="J3468" s="17"/>
      <c r="K3468" s="17"/>
      <c r="L3468" s="17"/>
      <c r="M3468" s="17"/>
      <c r="N3468" s="17"/>
      <c r="O3468" s="17"/>
      <c r="P3468" s="17"/>
      <c r="Q3468" s="17"/>
    </row>
    <row r="3469" spans="1:17">
      <c r="A3469" s="556" t="s">
        <v>3652</v>
      </c>
      <c r="B3469" s="557" t="s">
        <v>9404</v>
      </c>
      <c r="C3469" s="558" t="s">
        <v>2686</v>
      </c>
      <c r="D3469" s="556" t="s">
        <v>2624</v>
      </c>
      <c r="E3469" s="17" t="s">
        <v>6884</v>
      </c>
      <c r="F3469" s="17">
        <v>89</v>
      </c>
      <c r="G3469" s="17">
        <v>2</v>
      </c>
      <c r="H3469" s="17" t="s">
        <v>8074</v>
      </c>
      <c r="I3469" s="17"/>
      <c r="J3469" s="17"/>
      <c r="K3469" s="17"/>
      <c r="L3469" s="17"/>
      <c r="M3469" s="17"/>
      <c r="N3469" s="17"/>
      <c r="O3469" s="17"/>
      <c r="P3469" s="17"/>
      <c r="Q3469" s="17"/>
    </row>
    <row r="3470" spans="1:17">
      <c r="A3470" s="556" t="s">
        <v>3652</v>
      </c>
      <c r="B3470" s="557" t="s">
        <v>9404</v>
      </c>
      <c r="C3470" s="558" t="s">
        <v>2686</v>
      </c>
      <c r="D3470" s="556" t="s">
        <v>4426</v>
      </c>
      <c r="E3470" s="17" t="s">
        <v>6885</v>
      </c>
      <c r="F3470" s="17">
        <v>89</v>
      </c>
      <c r="G3470" s="17">
        <v>3</v>
      </c>
      <c r="H3470" s="17" t="s">
        <v>8075</v>
      </c>
      <c r="I3470" s="17">
        <v>0</v>
      </c>
      <c r="J3470" s="17"/>
      <c r="K3470" s="17"/>
      <c r="L3470" s="17"/>
      <c r="M3470" s="17"/>
      <c r="N3470" s="17"/>
      <c r="O3470" s="17"/>
      <c r="P3470" s="17"/>
      <c r="Q3470" s="17"/>
    </row>
    <row r="3471" spans="1:17">
      <c r="A3471" s="556" t="s">
        <v>3652</v>
      </c>
      <c r="B3471" s="557" t="s">
        <v>9404</v>
      </c>
      <c r="C3471" s="558" t="s">
        <v>2686</v>
      </c>
      <c r="D3471" s="556" t="s">
        <v>4324</v>
      </c>
      <c r="E3471" s="17" t="s">
        <v>6886</v>
      </c>
      <c r="F3471" s="17">
        <v>89</v>
      </c>
      <c r="G3471" s="17">
        <v>4</v>
      </c>
      <c r="H3471" s="17" t="s">
        <v>8076</v>
      </c>
      <c r="I3471" s="17"/>
      <c r="J3471" s="17"/>
      <c r="K3471" s="17"/>
      <c r="L3471" s="17"/>
      <c r="M3471" s="17"/>
      <c r="N3471" s="17"/>
      <c r="O3471" s="17"/>
      <c r="P3471" s="17"/>
      <c r="Q3471" s="17"/>
    </row>
    <row r="3472" spans="1:17">
      <c r="A3472" s="556" t="s">
        <v>3652</v>
      </c>
      <c r="B3472" s="557" t="s">
        <v>9405</v>
      </c>
      <c r="C3472" s="558" t="s">
        <v>2687</v>
      </c>
      <c r="D3472" s="556" t="s">
        <v>2623</v>
      </c>
      <c r="E3472" s="17" t="s">
        <v>6887</v>
      </c>
      <c r="F3472" s="17">
        <v>90</v>
      </c>
      <c r="G3472" s="17">
        <v>1</v>
      </c>
      <c r="H3472" s="17" t="s">
        <v>8077</v>
      </c>
      <c r="I3472" s="17"/>
      <c r="J3472" s="17"/>
      <c r="K3472" s="17"/>
      <c r="L3472" s="17"/>
      <c r="M3472" s="17"/>
      <c r="N3472" s="17"/>
      <c r="O3472" s="17"/>
      <c r="P3472" s="17"/>
      <c r="Q3472" s="17"/>
    </row>
    <row r="3473" spans="1:17">
      <c r="A3473" s="556" t="s">
        <v>3652</v>
      </c>
      <c r="B3473" s="557" t="s">
        <v>9405</v>
      </c>
      <c r="C3473" s="558" t="s">
        <v>2687</v>
      </c>
      <c r="D3473" s="556" t="s">
        <v>2624</v>
      </c>
      <c r="E3473" s="17" t="s">
        <v>6888</v>
      </c>
      <c r="F3473" s="17">
        <v>90</v>
      </c>
      <c r="G3473" s="17">
        <v>2</v>
      </c>
      <c r="H3473" s="17" t="s">
        <v>8078</v>
      </c>
      <c r="I3473" s="17"/>
      <c r="J3473" s="17"/>
      <c r="K3473" s="17"/>
      <c r="L3473" s="17"/>
      <c r="M3473" s="17"/>
      <c r="N3473" s="17"/>
      <c r="O3473" s="17"/>
      <c r="P3473" s="17"/>
      <c r="Q3473" s="17"/>
    </row>
    <row r="3474" spans="1:17">
      <c r="A3474" s="556" t="s">
        <v>3652</v>
      </c>
      <c r="B3474" s="557" t="s">
        <v>9405</v>
      </c>
      <c r="C3474" s="558" t="s">
        <v>2687</v>
      </c>
      <c r="D3474" s="556" t="s">
        <v>4426</v>
      </c>
      <c r="E3474" s="17" t="s">
        <v>6889</v>
      </c>
      <c r="F3474" s="17">
        <v>90</v>
      </c>
      <c r="G3474" s="17">
        <v>3</v>
      </c>
      <c r="H3474" s="17" t="s">
        <v>8079</v>
      </c>
      <c r="I3474" s="17">
        <v>0</v>
      </c>
      <c r="J3474" s="17"/>
      <c r="K3474" s="17"/>
      <c r="L3474" s="17"/>
      <c r="M3474" s="17"/>
      <c r="N3474" s="17"/>
      <c r="O3474" s="17"/>
      <c r="P3474" s="17"/>
      <c r="Q3474" s="17"/>
    </row>
    <row r="3475" spans="1:17">
      <c r="A3475" s="556" t="s">
        <v>3652</v>
      </c>
      <c r="B3475" s="557" t="s">
        <v>9405</v>
      </c>
      <c r="C3475" s="558" t="s">
        <v>2687</v>
      </c>
      <c r="D3475" s="556" t="s">
        <v>4324</v>
      </c>
      <c r="E3475" s="17" t="s">
        <v>6890</v>
      </c>
      <c r="F3475" s="17">
        <v>90</v>
      </c>
      <c r="G3475" s="17">
        <v>4</v>
      </c>
      <c r="H3475" s="17" t="s">
        <v>8080</v>
      </c>
      <c r="I3475" s="17"/>
      <c r="J3475" s="17"/>
      <c r="K3475" s="17"/>
      <c r="L3475" s="17"/>
      <c r="M3475" s="17"/>
      <c r="N3475" s="17"/>
      <c r="O3475" s="17"/>
      <c r="P3475" s="17"/>
      <c r="Q3475" s="17"/>
    </row>
    <row r="3476" spans="1:17">
      <c r="A3476" s="556" t="s">
        <v>3652</v>
      </c>
      <c r="B3476" s="557" t="s">
        <v>9406</v>
      </c>
      <c r="C3476" s="558" t="s">
        <v>2688</v>
      </c>
      <c r="D3476" s="556" t="s">
        <v>2623</v>
      </c>
      <c r="E3476" s="17" t="s">
        <v>6891</v>
      </c>
      <c r="F3476" s="17">
        <v>91</v>
      </c>
      <c r="G3476" s="17">
        <v>1</v>
      </c>
      <c r="H3476" s="17" t="s">
        <v>8081</v>
      </c>
      <c r="I3476" s="17"/>
      <c r="J3476" s="17"/>
      <c r="K3476" s="17"/>
      <c r="L3476" s="17"/>
      <c r="M3476" s="17"/>
      <c r="N3476" s="17"/>
      <c r="O3476" s="17"/>
      <c r="P3476" s="17"/>
      <c r="Q3476" s="17"/>
    </row>
    <row r="3477" spans="1:17">
      <c r="A3477" s="556" t="s">
        <v>3652</v>
      </c>
      <c r="B3477" s="557" t="s">
        <v>9406</v>
      </c>
      <c r="C3477" s="558" t="s">
        <v>2688</v>
      </c>
      <c r="D3477" s="556" t="s">
        <v>2624</v>
      </c>
      <c r="E3477" s="17" t="s">
        <v>6892</v>
      </c>
      <c r="F3477" s="17">
        <v>91</v>
      </c>
      <c r="G3477" s="17">
        <v>2</v>
      </c>
      <c r="H3477" s="17" t="s">
        <v>8082</v>
      </c>
      <c r="I3477" s="17"/>
      <c r="J3477" s="17"/>
      <c r="K3477" s="17"/>
      <c r="L3477" s="17"/>
      <c r="M3477" s="17"/>
      <c r="N3477" s="17"/>
      <c r="O3477" s="17"/>
      <c r="P3477" s="17"/>
      <c r="Q3477" s="17"/>
    </row>
    <row r="3478" spans="1:17">
      <c r="A3478" s="556" t="s">
        <v>3652</v>
      </c>
      <c r="B3478" s="557" t="s">
        <v>9406</v>
      </c>
      <c r="C3478" s="558" t="s">
        <v>2688</v>
      </c>
      <c r="D3478" s="556" t="s">
        <v>4426</v>
      </c>
      <c r="E3478" s="17" t="s">
        <v>6893</v>
      </c>
      <c r="F3478" s="17">
        <v>91</v>
      </c>
      <c r="G3478" s="17">
        <v>3</v>
      </c>
      <c r="H3478" s="17" t="s">
        <v>8083</v>
      </c>
      <c r="I3478" s="17">
        <v>0</v>
      </c>
      <c r="J3478" s="17"/>
      <c r="K3478" s="17"/>
      <c r="L3478" s="17"/>
      <c r="M3478" s="17"/>
      <c r="N3478" s="17"/>
      <c r="O3478" s="17"/>
      <c r="P3478" s="17"/>
      <c r="Q3478" s="17"/>
    </row>
    <row r="3479" spans="1:17">
      <c r="A3479" s="556" t="s">
        <v>3652</v>
      </c>
      <c r="B3479" s="557" t="s">
        <v>9406</v>
      </c>
      <c r="C3479" s="558" t="s">
        <v>2688</v>
      </c>
      <c r="D3479" s="556" t="s">
        <v>4324</v>
      </c>
      <c r="E3479" s="17" t="s">
        <v>6894</v>
      </c>
      <c r="F3479" s="17">
        <v>91</v>
      </c>
      <c r="G3479" s="17">
        <v>4</v>
      </c>
      <c r="H3479" s="17" t="s">
        <v>8084</v>
      </c>
      <c r="I3479" s="17"/>
      <c r="J3479" s="17"/>
      <c r="K3479" s="17"/>
      <c r="L3479" s="17"/>
      <c r="M3479" s="17"/>
      <c r="N3479" s="17"/>
      <c r="O3479" s="17"/>
      <c r="P3479" s="17"/>
      <c r="Q3479" s="17"/>
    </row>
    <row r="3480" spans="1:17">
      <c r="A3480" s="556" t="s">
        <v>3652</v>
      </c>
      <c r="B3480" s="557" t="s">
        <v>9407</v>
      </c>
      <c r="C3480" s="558" t="s">
        <v>2689</v>
      </c>
      <c r="D3480" s="556" t="s">
        <v>2623</v>
      </c>
      <c r="E3480" s="17" t="s">
        <v>6895</v>
      </c>
      <c r="F3480" s="17">
        <v>92</v>
      </c>
      <c r="G3480" s="17">
        <v>1</v>
      </c>
      <c r="H3480" s="17" t="s">
        <v>8085</v>
      </c>
      <c r="I3480" s="17"/>
      <c r="J3480" s="17"/>
      <c r="K3480" s="17"/>
      <c r="L3480" s="17"/>
      <c r="M3480" s="17"/>
      <c r="N3480" s="17"/>
      <c r="O3480" s="17"/>
      <c r="P3480" s="17"/>
      <c r="Q3480" s="17"/>
    </row>
    <row r="3481" spans="1:17">
      <c r="A3481" s="556" t="s">
        <v>3652</v>
      </c>
      <c r="B3481" s="557" t="s">
        <v>9407</v>
      </c>
      <c r="C3481" s="558" t="s">
        <v>2689</v>
      </c>
      <c r="D3481" s="556" t="s">
        <v>2624</v>
      </c>
      <c r="E3481" s="17" t="s">
        <v>6896</v>
      </c>
      <c r="F3481" s="17">
        <v>92</v>
      </c>
      <c r="G3481" s="17">
        <v>2</v>
      </c>
      <c r="H3481" s="17" t="s">
        <v>8086</v>
      </c>
      <c r="I3481" s="17"/>
      <c r="J3481" s="17"/>
      <c r="K3481" s="17"/>
      <c r="L3481" s="17"/>
      <c r="M3481" s="17"/>
      <c r="N3481" s="17"/>
      <c r="O3481" s="17"/>
      <c r="P3481" s="17"/>
      <c r="Q3481" s="17"/>
    </row>
    <row r="3482" spans="1:17">
      <c r="A3482" s="556" t="s">
        <v>3652</v>
      </c>
      <c r="B3482" s="557" t="s">
        <v>9407</v>
      </c>
      <c r="C3482" s="558" t="s">
        <v>2689</v>
      </c>
      <c r="D3482" s="556" t="s">
        <v>4426</v>
      </c>
      <c r="E3482" s="17" t="s">
        <v>6897</v>
      </c>
      <c r="F3482" s="17">
        <v>92</v>
      </c>
      <c r="G3482" s="17">
        <v>3</v>
      </c>
      <c r="H3482" s="17" t="s">
        <v>8087</v>
      </c>
      <c r="I3482" s="17">
        <v>0</v>
      </c>
      <c r="J3482" s="17"/>
      <c r="K3482" s="17"/>
      <c r="L3482" s="17"/>
      <c r="M3482" s="17"/>
      <c r="N3482" s="17"/>
      <c r="O3482" s="17"/>
      <c r="P3482" s="17"/>
      <c r="Q3482" s="17"/>
    </row>
    <row r="3483" spans="1:17">
      <c r="A3483" s="556" t="s">
        <v>3652</v>
      </c>
      <c r="B3483" s="557" t="s">
        <v>9407</v>
      </c>
      <c r="C3483" s="558" t="s">
        <v>2689</v>
      </c>
      <c r="D3483" s="556" t="s">
        <v>4324</v>
      </c>
      <c r="E3483" s="17" t="s">
        <v>6898</v>
      </c>
      <c r="F3483" s="17">
        <v>92</v>
      </c>
      <c r="G3483" s="17">
        <v>4</v>
      </c>
      <c r="H3483" s="17" t="s">
        <v>8088</v>
      </c>
      <c r="I3483" s="17"/>
      <c r="J3483" s="17"/>
      <c r="K3483" s="17"/>
      <c r="L3483" s="17"/>
      <c r="M3483" s="17"/>
      <c r="N3483" s="17"/>
      <c r="O3483" s="17"/>
      <c r="P3483" s="17"/>
      <c r="Q3483" s="17"/>
    </row>
    <row r="3484" spans="1:17">
      <c r="A3484" s="556" t="s">
        <v>3652</v>
      </c>
      <c r="B3484" s="557" t="s">
        <v>9408</v>
      </c>
      <c r="C3484" s="558" t="s">
        <v>2690</v>
      </c>
      <c r="D3484" s="556" t="s">
        <v>2623</v>
      </c>
      <c r="E3484" s="17" t="s">
        <v>6899</v>
      </c>
      <c r="F3484" s="17">
        <v>93</v>
      </c>
      <c r="G3484" s="17">
        <v>1</v>
      </c>
      <c r="H3484" s="17" t="s">
        <v>8089</v>
      </c>
      <c r="I3484" s="17"/>
      <c r="J3484" s="17"/>
      <c r="K3484" s="17"/>
      <c r="L3484" s="17"/>
      <c r="M3484" s="17"/>
      <c r="N3484" s="17"/>
      <c r="O3484" s="17"/>
      <c r="P3484" s="17"/>
      <c r="Q3484" s="17"/>
    </row>
    <row r="3485" spans="1:17">
      <c r="A3485" s="556" t="s">
        <v>3652</v>
      </c>
      <c r="B3485" s="557" t="s">
        <v>9408</v>
      </c>
      <c r="C3485" s="558" t="s">
        <v>2690</v>
      </c>
      <c r="D3485" s="556" t="s">
        <v>2624</v>
      </c>
      <c r="E3485" s="17" t="s">
        <v>6900</v>
      </c>
      <c r="F3485" s="17">
        <v>93</v>
      </c>
      <c r="G3485" s="17">
        <v>2</v>
      </c>
      <c r="H3485" s="17" t="s">
        <v>8090</v>
      </c>
      <c r="I3485" s="17"/>
      <c r="J3485" s="17"/>
      <c r="K3485" s="17"/>
      <c r="L3485" s="17"/>
      <c r="M3485" s="17"/>
      <c r="N3485" s="17"/>
      <c r="O3485" s="17"/>
      <c r="P3485" s="17"/>
      <c r="Q3485" s="17"/>
    </row>
    <row r="3486" spans="1:17">
      <c r="A3486" s="556" t="s">
        <v>3652</v>
      </c>
      <c r="B3486" s="557" t="s">
        <v>9408</v>
      </c>
      <c r="C3486" s="558" t="s">
        <v>2690</v>
      </c>
      <c r="D3486" s="556" t="s">
        <v>4426</v>
      </c>
      <c r="E3486" s="17" t="s">
        <v>6901</v>
      </c>
      <c r="F3486" s="17">
        <v>93</v>
      </c>
      <c r="G3486" s="17">
        <v>3</v>
      </c>
      <c r="H3486" s="17" t="s">
        <v>8091</v>
      </c>
      <c r="I3486" s="17">
        <v>0</v>
      </c>
      <c r="J3486" s="17"/>
      <c r="K3486" s="17"/>
      <c r="L3486" s="17"/>
      <c r="M3486" s="17"/>
      <c r="N3486" s="17"/>
      <c r="O3486" s="17"/>
      <c r="P3486" s="17"/>
      <c r="Q3486" s="17"/>
    </row>
    <row r="3487" spans="1:17">
      <c r="A3487" s="556" t="s">
        <v>3652</v>
      </c>
      <c r="B3487" s="557" t="s">
        <v>9408</v>
      </c>
      <c r="C3487" s="558" t="s">
        <v>2690</v>
      </c>
      <c r="D3487" s="556" t="s">
        <v>4324</v>
      </c>
      <c r="E3487" s="17" t="s">
        <v>6902</v>
      </c>
      <c r="F3487" s="17">
        <v>93</v>
      </c>
      <c r="G3487" s="17">
        <v>4</v>
      </c>
      <c r="H3487" s="17" t="s">
        <v>8092</v>
      </c>
      <c r="I3487" s="17"/>
      <c r="J3487" s="17"/>
      <c r="K3487" s="17"/>
      <c r="L3487" s="17"/>
      <c r="M3487" s="17"/>
      <c r="N3487" s="17"/>
      <c r="O3487" s="17"/>
      <c r="P3487" s="17"/>
      <c r="Q3487" s="17"/>
    </row>
    <row r="3488" spans="1:17">
      <c r="A3488" s="556" t="s">
        <v>3652</v>
      </c>
      <c r="B3488" s="557" t="s">
        <v>9409</v>
      </c>
      <c r="C3488" s="558" t="s">
        <v>2691</v>
      </c>
      <c r="D3488" s="556" t="s">
        <v>2623</v>
      </c>
      <c r="E3488" s="17" t="s">
        <v>6903</v>
      </c>
      <c r="F3488" s="17">
        <v>94</v>
      </c>
      <c r="G3488" s="17">
        <v>1</v>
      </c>
      <c r="H3488" s="17" t="s">
        <v>8093</v>
      </c>
      <c r="I3488" s="17"/>
      <c r="J3488" s="17"/>
      <c r="K3488" s="17"/>
      <c r="L3488" s="17"/>
      <c r="M3488" s="17"/>
      <c r="N3488" s="17"/>
      <c r="O3488" s="17"/>
      <c r="P3488" s="17"/>
      <c r="Q3488" s="17"/>
    </row>
    <row r="3489" spans="1:17">
      <c r="A3489" s="556" t="s">
        <v>3652</v>
      </c>
      <c r="B3489" s="557" t="s">
        <v>9409</v>
      </c>
      <c r="C3489" s="558" t="s">
        <v>2691</v>
      </c>
      <c r="D3489" s="556" t="s">
        <v>2624</v>
      </c>
      <c r="E3489" s="17" t="s">
        <v>6904</v>
      </c>
      <c r="F3489" s="17">
        <v>94</v>
      </c>
      <c r="G3489" s="17">
        <v>2</v>
      </c>
      <c r="H3489" s="17" t="s">
        <v>8094</v>
      </c>
      <c r="I3489" s="17"/>
      <c r="J3489" s="17"/>
      <c r="K3489" s="17"/>
      <c r="L3489" s="17"/>
      <c r="M3489" s="17"/>
      <c r="N3489" s="17"/>
      <c r="O3489" s="17"/>
      <c r="P3489" s="17"/>
      <c r="Q3489" s="17"/>
    </row>
    <row r="3490" spans="1:17">
      <c r="A3490" s="556" t="s">
        <v>3652</v>
      </c>
      <c r="B3490" s="557" t="s">
        <v>9409</v>
      </c>
      <c r="C3490" s="558" t="s">
        <v>2691</v>
      </c>
      <c r="D3490" s="556" t="s">
        <v>4426</v>
      </c>
      <c r="E3490" s="17" t="s">
        <v>6905</v>
      </c>
      <c r="F3490" s="17">
        <v>94</v>
      </c>
      <c r="G3490" s="17">
        <v>3</v>
      </c>
      <c r="H3490" s="17" t="s">
        <v>8095</v>
      </c>
      <c r="I3490" s="17">
        <v>0</v>
      </c>
      <c r="J3490" s="17"/>
      <c r="K3490" s="17"/>
      <c r="L3490" s="17"/>
      <c r="M3490" s="17"/>
      <c r="N3490" s="17"/>
      <c r="O3490" s="17"/>
      <c r="P3490" s="17"/>
      <c r="Q3490" s="17"/>
    </row>
    <row r="3491" spans="1:17">
      <c r="A3491" s="556" t="s">
        <v>3652</v>
      </c>
      <c r="B3491" s="557" t="s">
        <v>9409</v>
      </c>
      <c r="C3491" s="558" t="s">
        <v>2691</v>
      </c>
      <c r="D3491" s="556" t="s">
        <v>4324</v>
      </c>
      <c r="E3491" s="17" t="s">
        <v>6906</v>
      </c>
      <c r="F3491" s="17">
        <v>94</v>
      </c>
      <c r="G3491" s="17">
        <v>4</v>
      </c>
      <c r="H3491" s="17" t="s">
        <v>8096</v>
      </c>
      <c r="I3491" s="17"/>
      <c r="J3491" s="17"/>
      <c r="K3491" s="17"/>
      <c r="L3491" s="17"/>
      <c r="M3491" s="17"/>
      <c r="N3491" s="17"/>
      <c r="O3491" s="17"/>
      <c r="P3491" s="17"/>
      <c r="Q3491" s="17"/>
    </row>
    <row r="3492" spans="1:17">
      <c r="A3492" s="556" t="s">
        <v>3652</v>
      </c>
      <c r="B3492" s="557" t="s">
        <v>9410</v>
      </c>
      <c r="C3492" s="558" t="s">
        <v>2692</v>
      </c>
      <c r="D3492" s="556" t="s">
        <v>2623</v>
      </c>
      <c r="E3492" s="17" t="s">
        <v>6907</v>
      </c>
      <c r="F3492" s="17">
        <v>95</v>
      </c>
      <c r="G3492" s="17">
        <v>1</v>
      </c>
      <c r="H3492" s="17" t="s">
        <v>8097</v>
      </c>
      <c r="I3492" s="17"/>
      <c r="J3492" s="17"/>
      <c r="K3492" s="17"/>
      <c r="L3492" s="17"/>
      <c r="M3492" s="17"/>
      <c r="N3492" s="17"/>
      <c r="O3492" s="17"/>
      <c r="P3492" s="17"/>
      <c r="Q3492" s="17"/>
    </row>
    <row r="3493" spans="1:17">
      <c r="A3493" s="556" t="s">
        <v>3652</v>
      </c>
      <c r="B3493" s="557" t="s">
        <v>9410</v>
      </c>
      <c r="C3493" s="558" t="s">
        <v>2692</v>
      </c>
      <c r="D3493" s="556" t="s">
        <v>2624</v>
      </c>
      <c r="E3493" s="17" t="s">
        <v>6908</v>
      </c>
      <c r="F3493" s="17">
        <v>95</v>
      </c>
      <c r="G3493" s="17">
        <v>2</v>
      </c>
      <c r="H3493" s="17" t="s">
        <v>8098</v>
      </c>
      <c r="I3493" s="17"/>
      <c r="J3493" s="17"/>
      <c r="K3493" s="17"/>
      <c r="L3493" s="17"/>
      <c r="M3493" s="17"/>
      <c r="N3493" s="17"/>
      <c r="O3493" s="17"/>
      <c r="P3493" s="17"/>
      <c r="Q3493" s="17"/>
    </row>
    <row r="3494" spans="1:17">
      <c r="A3494" s="556" t="s">
        <v>3652</v>
      </c>
      <c r="B3494" s="557" t="s">
        <v>9410</v>
      </c>
      <c r="C3494" s="558" t="s">
        <v>2692</v>
      </c>
      <c r="D3494" s="556" t="s">
        <v>4426</v>
      </c>
      <c r="E3494" s="17" t="s">
        <v>6909</v>
      </c>
      <c r="F3494" s="17">
        <v>95</v>
      </c>
      <c r="G3494" s="17">
        <v>3</v>
      </c>
      <c r="H3494" s="17" t="s">
        <v>8099</v>
      </c>
      <c r="I3494" s="17">
        <v>0</v>
      </c>
      <c r="J3494" s="17"/>
      <c r="K3494" s="17"/>
      <c r="L3494" s="17"/>
      <c r="M3494" s="17"/>
      <c r="N3494" s="17"/>
      <c r="O3494" s="17"/>
      <c r="P3494" s="17"/>
      <c r="Q3494" s="17"/>
    </row>
    <row r="3495" spans="1:17">
      <c r="A3495" s="556" t="s">
        <v>3652</v>
      </c>
      <c r="B3495" s="557" t="s">
        <v>9410</v>
      </c>
      <c r="C3495" s="558" t="s">
        <v>2692</v>
      </c>
      <c r="D3495" s="556" t="s">
        <v>4324</v>
      </c>
      <c r="E3495" s="17" t="s">
        <v>6910</v>
      </c>
      <c r="F3495" s="17">
        <v>95</v>
      </c>
      <c r="G3495" s="17">
        <v>4</v>
      </c>
      <c r="H3495" s="17" t="s">
        <v>8100</v>
      </c>
      <c r="I3495" s="17"/>
      <c r="J3495" s="17"/>
      <c r="K3495" s="17"/>
      <c r="L3495" s="17"/>
      <c r="M3495" s="17"/>
      <c r="N3495" s="17"/>
      <c r="O3495" s="17"/>
      <c r="P3495" s="17"/>
      <c r="Q3495" s="17"/>
    </row>
    <row r="3496" spans="1:17">
      <c r="A3496" s="556" t="s">
        <v>3652</v>
      </c>
      <c r="B3496" s="557" t="s">
        <v>9411</v>
      </c>
      <c r="C3496" s="558" t="s">
        <v>2693</v>
      </c>
      <c r="D3496" s="556" t="s">
        <v>2623</v>
      </c>
      <c r="E3496" s="17" t="s">
        <v>6911</v>
      </c>
      <c r="F3496" s="17">
        <v>96</v>
      </c>
      <c r="G3496" s="17">
        <v>1</v>
      </c>
      <c r="H3496" s="17" t="s">
        <v>8101</v>
      </c>
      <c r="I3496" s="17"/>
      <c r="J3496" s="17"/>
      <c r="K3496" s="17"/>
      <c r="L3496" s="17"/>
      <c r="M3496" s="17"/>
      <c r="N3496" s="17"/>
      <c r="O3496" s="17"/>
      <c r="P3496" s="17"/>
      <c r="Q3496" s="17"/>
    </row>
    <row r="3497" spans="1:17">
      <c r="A3497" s="556" t="s">
        <v>3652</v>
      </c>
      <c r="B3497" s="557" t="s">
        <v>9411</v>
      </c>
      <c r="C3497" s="558" t="s">
        <v>2693</v>
      </c>
      <c r="D3497" s="556" t="s">
        <v>2624</v>
      </c>
      <c r="E3497" s="17" t="s">
        <v>6912</v>
      </c>
      <c r="F3497" s="17">
        <v>96</v>
      </c>
      <c r="G3497" s="17">
        <v>2</v>
      </c>
      <c r="H3497" s="17" t="s">
        <v>8102</v>
      </c>
      <c r="I3497" s="17"/>
      <c r="J3497" s="17"/>
      <c r="K3497" s="17"/>
      <c r="L3497" s="17"/>
      <c r="M3497" s="17"/>
      <c r="N3497" s="17"/>
      <c r="O3497" s="17"/>
      <c r="P3497" s="17"/>
      <c r="Q3497" s="17"/>
    </row>
    <row r="3498" spans="1:17">
      <c r="A3498" s="556" t="s">
        <v>3652</v>
      </c>
      <c r="B3498" s="557" t="s">
        <v>9411</v>
      </c>
      <c r="C3498" s="558" t="s">
        <v>2693</v>
      </c>
      <c r="D3498" s="556" t="s">
        <v>4426</v>
      </c>
      <c r="E3498" s="17" t="s">
        <v>6913</v>
      </c>
      <c r="F3498" s="17">
        <v>96</v>
      </c>
      <c r="G3498" s="17">
        <v>3</v>
      </c>
      <c r="H3498" s="17" t="s">
        <v>8103</v>
      </c>
      <c r="I3498" s="17">
        <v>0</v>
      </c>
      <c r="J3498" s="17"/>
      <c r="K3498" s="17"/>
      <c r="L3498" s="17"/>
      <c r="M3498" s="17"/>
      <c r="N3498" s="17"/>
      <c r="O3498" s="17"/>
      <c r="P3498" s="17"/>
      <c r="Q3498" s="17"/>
    </row>
    <row r="3499" spans="1:17">
      <c r="A3499" s="556" t="s">
        <v>3652</v>
      </c>
      <c r="B3499" s="557" t="s">
        <v>9411</v>
      </c>
      <c r="C3499" s="558" t="s">
        <v>2693</v>
      </c>
      <c r="D3499" s="556" t="s">
        <v>4324</v>
      </c>
      <c r="E3499" s="17" t="s">
        <v>6914</v>
      </c>
      <c r="F3499" s="17">
        <v>96</v>
      </c>
      <c r="G3499" s="17">
        <v>4</v>
      </c>
      <c r="H3499" s="17" t="s">
        <v>8104</v>
      </c>
      <c r="I3499" s="17"/>
      <c r="J3499" s="17"/>
      <c r="K3499" s="17"/>
      <c r="L3499" s="17"/>
      <c r="M3499" s="17"/>
      <c r="N3499" s="17"/>
      <c r="O3499" s="17"/>
      <c r="P3499" s="17"/>
      <c r="Q3499" s="17"/>
    </row>
    <row r="3500" spans="1:17">
      <c r="A3500" s="556" t="s">
        <v>3652</v>
      </c>
      <c r="B3500" s="557" t="s">
        <v>9412</v>
      </c>
      <c r="C3500" s="558" t="s">
        <v>2694</v>
      </c>
      <c r="D3500" s="556" t="s">
        <v>2623</v>
      </c>
      <c r="E3500" s="17" t="s">
        <v>6915</v>
      </c>
      <c r="F3500" s="17">
        <v>97</v>
      </c>
      <c r="G3500" s="17">
        <v>1</v>
      </c>
      <c r="H3500" s="17" t="s">
        <v>8105</v>
      </c>
      <c r="I3500" s="17"/>
      <c r="J3500" s="17"/>
      <c r="K3500" s="17"/>
      <c r="L3500" s="17"/>
      <c r="M3500" s="17"/>
      <c r="N3500" s="17"/>
      <c r="O3500" s="17"/>
      <c r="P3500" s="17"/>
      <c r="Q3500" s="17"/>
    </row>
    <row r="3501" spans="1:17">
      <c r="A3501" s="556" t="s">
        <v>3652</v>
      </c>
      <c r="B3501" s="557" t="s">
        <v>9412</v>
      </c>
      <c r="C3501" s="558" t="s">
        <v>2694</v>
      </c>
      <c r="D3501" s="556" t="s">
        <v>2624</v>
      </c>
      <c r="E3501" s="17" t="s">
        <v>6916</v>
      </c>
      <c r="F3501" s="17">
        <v>97</v>
      </c>
      <c r="G3501" s="17">
        <v>2</v>
      </c>
      <c r="H3501" s="17" t="s">
        <v>8106</v>
      </c>
      <c r="I3501" s="17"/>
      <c r="J3501" s="17"/>
      <c r="K3501" s="17"/>
      <c r="L3501" s="17"/>
      <c r="M3501" s="17"/>
      <c r="N3501" s="17"/>
      <c r="O3501" s="17"/>
      <c r="P3501" s="17"/>
      <c r="Q3501" s="17"/>
    </row>
    <row r="3502" spans="1:17">
      <c r="A3502" s="556" t="s">
        <v>3652</v>
      </c>
      <c r="B3502" s="557" t="s">
        <v>9412</v>
      </c>
      <c r="C3502" s="558" t="s">
        <v>2694</v>
      </c>
      <c r="D3502" s="556" t="s">
        <v>4426</v>
      </c>
      <c r="E3502" s="17" t="s">
        <v>6917</v>
      </c>
      <c r="F3502" s="17">
        <v>97</v>
      </c>
      <c r="G3502" s="17">
        <v>3</v>
      </c>
      <c r="H3502" s="17" t="s">
        <v>8107</v>
      </c>
      <c r="I3502" s="17">
        <v>0</v>
      </c>
      <c r="J3502" s="17"/>
      <c r="K3502" s="17"/>
      <c r="L3502" s="17"/>
      <c r="M3502" s="17"/>
      <c r="N3502" s="17"/>
      <c r="O3502" s="17"/>
      <c r="P3502" s="17"/>
      <c r="Q3502" s="17"/>
    </row>
    <row r="3503" spans="1:17">
      <c r="A3503" s="556" t="s">
        <v>3652</v>
      </c>
      <c r="B3503" s="557" t="s">
        <v>9412</v>
      </c>
      <c r="C3503" s="558" t="s">
        <v>2694</v>
      </c>
      <c r="D3503" s="556" t="s">
        <v>4324</v>
      </c>
      <c r="E3503" s="17" t="s">
        <v>6918</v>
      </c>
      <c r="F3503" s="17">
        <v>97</v>
      </c>
      <c r="G3503" s="17">
        <v>4</v>
      </c>
      <c r="H3503" s="17" t="s">
        <v>8108</v>
      </c>
      <c r="I3503" s="17"/>
      <c r="J3503" s="17"/>
      <c r="K3503" s="17"/>
      <c r="L3503" s="17"/>
      <c r="M3503" s="17"/>
      <c r="N3503" s="17"/>
      <c r="O3503" s="17"/>
      <c r="P3503" s="17"/>
      <c r="Q3503" s="17"/>
    </row>
    <row r="3504" spans="1:17">
      <c r="A3504" s="556" t="s">
        <v>3652</v>
      </c>
      <c r="B3504" s="557" t="s">
        <v>9413</v>
      </c>
      <c r="C3504" s="558" t="s">
        <v>2695</v>
      </c>
      <c r="D3504" s="556" t="s">
        <v>2623</v>
      </c>
      <c r="E3504" s="17" t="s">
        <v>6919</v>
      </c>
      <c r="F3504" s="17">
        <v>98</v>
      </c>
      <c r="G3504" s="17">
        <v>1</v>
      </c>
      <c r="H3504" s="17" t="s">
        <v>8109</v>
      </c>
      <c r="I3504" s="17"/>
      <c r="J3504" s="17"/>
      <c r="K3504" s="17"/>
      <c r="L3504" s="17"/>
      <c r="M3504" s="17"/>
      <c r="N3504" s="17"/>
      <c r="O3504" s="17"/>
      <c r="P3504" s="17"/>
      <c r="Q3504" s="17"/>
    </row>
    <row r="3505" spans="1:17">
      <c r="A3505" s="556" t="s">
        <v>3652</v>
      </c>
      <c r="B3505" s="557" t="s">
        <v>9413</v>
      </c>
      <c r="C3505" s="558" t="s">
        <v>2695</v>
      </c>
      <c r="D3505" s="556" t="s">
        <v>2624</v>
      </c>
      <c r="E3505" s="17" t="s">
        <v>6920</v>
      </c>
      <c r="F3505" s="17">
        <v>98</v>
      </c>
      <c r="G3505" s="17">
        <v>2</v>
      </c>
      <c r="H3505" s="17" t="s">
        <v>8110</v>
      </c>
      <c r="I3505" s="17"/>
      <c r="J3505" s="17"/>
      <c r="K3505" s="17"/>
      <c r="L3505" s="17"/>
      <c r="M3505" s="17"/>
      <c r="N3505" s="17"/>
      <c r="O3505" s="17"/>
      <c r="P3505" s="17"/>
      <c r="Q3505" s="17"/>
    </row>
    <row r="3506" spans="1:17">
      <c r="A3506" s="556" t="s">
        <v>3652</v>
      </c>
      <c r="B3506" s="557" t="s">
        <v>9413</v>
      </c>
      <c r="C3506" s="558" t="s">
        <v>2695</v>
      </c>
      <c r="D3506" s="556" t="s">
        <v>4426</v>
      </c>
      <c r="E3506" s="17" t="s">
        <v>6921</v>
      </c>
      <c r="F3506" s="17">
        <v>98</v>
      </c>
      <c r="G3506" s="17">
        <v>3</v>
      </c>
      <c r="H3506" s="17" t="s">
        <v>8111</v>
      </c>
      <c r="I3506" s="17">
        <v>0</v>
      </c>
      <c r="J3506" s="17"/>
      <c r="K3506" s="17"/>
      <c r="L3506" s="17"/>
      <c r="M3506" s="17"/>
      <c r="N3506" s="17"/>
      <c r="O3506" s="17"/>
      <c r="P3506" s="17"/>
      <c r="Q3506" s="17"/>
    </row>
    <row r="3507" spans="1:17">
      <c r="A3507" s="556" t="s">
        <v>3652</v>
      </c>
      <c r="B3507" s="557" t="s">
        <v>9413</v>
      </c>
      <c r="C3507" s="558" t="s">
        <v>2695</v>
      </c>
      <c r="D3507" s="556" t="s">
        <v>4324</v>
      </c>
      <c r="E3507" s="17" t="s">
        <v>6922</v>
      </c>
      <c r="F3507" s="17">
        <v>98</v>
      </c>
      <c r="G3507" s="17">
        <v>4</v>
      </c>
      <c r="H3507" s="17" t="s">
        <v>8112</v>
      </c>
      <c r="I3507" s="17"/>
      <c r="J3507" s="17"/>
      <c r="K3507" s="17"/>
      <c r="L3507" s="17"/>
      <c r="M3507" s="17"/>
      <c r="N3507" s="17"/>
      <c r="O3507" s="17"/>
      <c r="P3507" s="17"/>
      <c r="Q3507" s="17"/>
    </row>
    <row r="3508" spans="1:17">
      <c r="A3508" s="556" t="s">
        <v>3652</v>
      </c>
      <c r="B3508" s="557" t="s">
        <v>9414</v>
      </c>
      <c r="C3508" s="558" t="s">
        <v>2696</v>
      </c>
      <c r="D3508" s="556" t="s">
        <v>2623</v>
      </c>
      <c r="E3508" s="17" t="s">
        <v>6923</v>
      </c>
      <c r="F3508" s="17">
        <v>99</v>
      </c>
      <c r="G3508" s="17">
        <v>1</v>
      </c>
      <c r="H3508" s="17" t="s">
        <v>8113</v>
      </c>
      <c r="I3508" s="17"/>
      <c r="J3508" s="17"/>
      <c r="K3508" s="17"/>
      <c r="L3508" s="17"/>
      <c r="M3508" s="17"/>
      <c r="N3508" s="17"/>
      <c r="O3508" s="17"/>
      <c r="P3508" s="17"/>
      <c r="Q3508" s="17"/>
    </row>
    <row r="3509" spans="1:17">
      <c r="A3509" s="556" t="s">
        <v>3652</v>
      </c>
      <c r="B3509" s="557" t="s">
        <v>9414</v>
      </c>
      <c r="C3509" s="558" t="s">
        <v>2696</v>
      </c>
      <c r="D3509" s="556" t="s">
        <v>2624</v>
      </c>
      <c r="E3509" s="17" t="s">
        <v>6924</v>
      </c>
      <c r="F3509" s="17">
        <v>99</v>
      </c>
      <c r="G3509" s="17">
        <v>2</v>
      </c>
      <c r="H3509" s="17" t="s">
        <v>8114</v>
      </c>
      <c r="I3509" s="17"/>
      <c r="J3509" s="17"/>
      <c r="K3509" s="17"/>
      <c r="L3509" s="17"/>
      <c r="M3509" s="17"/>
      <c r="N3509" s="17"/>
      <c r="O3509" s="17"/>
      <c r="P3509" s="17"/>
      <c r="Q3509" s="17"/>
    </row>
    <row r="3510" spans="1:17">
      <c r="A3510" s="556" t="s">
        <v>3652</v>
      </c>
      <c r="B3510" s="557" t="s">
        <v>9414</v>
      </c>
      <c r="C3510" s="558" t="s">
        <v>2696</v>
      </c>
      <c r="D3510" s="556" t="s">
        <v>4426</v>
      </c>
      <c r="E3510" s="17" t="s">
        <v>6925</v>
      </c>
      <c r="F3510" s="17">
        <v>99</v>
      </c>
      <c r="G3510" s="17">
        <v>3</v>
      </c>
      <c r="H3510" s="17" t="s">
        <v>8115</v>
      </c>
      <c r="I3510" s="17">
        <v>0</v>
      </c>
      <c r="J3510" s="17"/>
      <c r="K3510" s="17"/>
      <c r="L3510" s="17"/>
      <c r="M3510" s="17"/>
      <c r="N3510" s="17"/>
      <c r="O3510" s="17"/>
      <c r="P3510" s="17"/>
      <c r="Q3510" s="17"/>
    </row>
    <row r="3511" spans="1:17">
      <c r="A3511" s="556" t="s">
        <v>3652</v>
      </c>
      <c r="B3511" s="557" t="s">
        <v>9414</v>
      </c>
      <c r="C3511" s="558" t="s">
        <v>2696</v>
      </c>
      <c r="D3511" s="556" t="s">
        <v>4324</v>
      </c>
      <c r="E3511" s="17" t="s">
        <v>6926</v>
      </c>
      <c r="F3511" s="17">
        <v>99</v>
      </c>
      <c r="G3511" s="17">
        <v>4</v>
      </c>
      <c r="H3511" s="17" t="s">
        <v>8116</v>
      </c>
      <c r="I3511" s="17"/>
      <c r="J3511" s="17"/>
      <c r="K3511" s="17"/>
      <c r="L3511" s="17"/>
      <c r="M3511" s="17"/>
      <c r="N3511" s="17"/>
      <c r="O3511" s="17"/>
      <c r="P3511" s="17"/>
      <c r="Q3511" s="17"/>
    </row>
    <row r="3512" spans="1:17">
      <c r="A3512" s="556" t="s">
        <v>3652</v>
      </c>
      <c r="B3512" s="557" t="s">
        <v>9415</v>
      </c>
      <c r="C3512" s="558" t="s">
        <v>2697</v>
      </c>
      <c r="D3512" s="556" t="s">
        <v>2623</v>
      </c>
      <c r="E3512" s="17" t="s">
        <v>6927</v>
      </c>
      <c r="F3512" s="17">
        <v>100</v>
      </c>
      <c r="G3512" s="17">
        <v>1</v>
      </c>
      <c r="H3512" s="17" t="s">
        <v>8117</v>
      </c>
      <c r="I3512" s="17"/>
      <c r="J3512" s="17"/>
      <c r="K3512" s="17"/>
      <c r="L3512" s="17"/>
      <c r="M3512" s="17"/>
      <c r="N3512" s="17"/>
      <c r="O3512" s="17"/>
      <c r="P3512" s="17"/>
      <c r="Q3512" s="17"/>
    </row>
    <row r="3513" spans="1:17">
      <c r="A3513" s="556" t="s">
        <v>3652</v>
      </c>
      <c r="B3513" s="557" t="s">
        <v>9415</v>
      </c>
      <c r="C3513" s="558" t="s">
        <v>2697</v>
      </c>
      <c r="D3513" s="556" t="s">
        <v>2624</v>
      </c>
      <c r="E3513" s="17" t="s">
        <v>6928</v>
      </c>
      <c r="F3513" s="17">
        <v>100</v>
      </c>
      <c r="G3513" s="17">
        <v>2</v>
      </c>
      <c r="H3513" s="17" t="s">
        <v>8118</v>
      </c>
      <c r="I3513" s="17"/>
      <c r="J3513" s="17"/>
      <c r="K3513" s="17"/>
      <c r="L3513" s="17"/>
      <c r="M3513" s="17"/>
      <c r="N3513" s="17"/>
      <c r="O3513" s="17"/>
      <c r="P3513" s="17"/>
      <c r="Q3513" s="17"/>
    </row>
    <row r="3514" spans="1:17">
      <c r="A3514" s="556" t="s">
        <v>3652</v>
      </c>
      <c r="B3514" s="557" t="s">
        <v>9415</v>
      </c>
      <c r="C3514" s="558" t="s">
        <v>2697</v>
      </c>
      <c r="D3514" s="556" t="s">
        <v>4426</v>
      </c>
      <c r="E3514" s="17" t="s">
        <v>6929</v>
      </c>
      <c r="F3514" s="17">
        <v>100</v>
      </c>
      <c r="G3514" s="17">
        <v>3</v>
      </c>
      <c r="H3514" s="17" t="s">
        <v>8119</v>
      </c>
      <c r="I3514" s="17">
        <v>0</v>
      </c>
      <c r="J3514" s="17"/>
      <c r="K3514" s="17"/>
      <c r="L3514" s="17"/>
      <c r="M3514" s="17"/>
      <c r="N3514" s="17"/>
      <c r="O3514" s="17"/>
      <c r="P3514" s="17"/>
      <c r="Q3514" s="17"/>
    </row>
    <row r="3515" spans="1:17">
      <c r="A3515" s="556" t="s">
        <v>3652</v>
      </c>
      <c r="B3515" s="557" t="s">
        <v>9415</v>
      </c>
      <c r="C3515" s="558" t="s">
        <v>2697</v>
      </c>
      <c r="D3515" s="556" t="s">
        <v>4324</v>
      </c>
      <c r="E3515" s="17" t="s">
        <v>6930</v>
      </c>
      <c r="F3515" s="17">
        <v>100</v>
      </c>
      <c r="G3515" s="17">
        <v>4</v>
      </c>
      <c r="H3515" s="17" t="s">
        <v>8120</v>
      </c>
      <c r="I3515" s="17"/>
      <c r="J3515" s="17"/>
      <c r="K3515" s="17"/>
      <c r="L3515" s="17"/>
      <c r="M3515" s="17"/>
      <c r="N3515" s="17"/>
      <c r="O3515" s="17"/>
      <c r="P3515" s="17"/>
      <c r="Q3515" s="17"/>
    </row>
    <row r="3516" spans="1:17">
      <c r="A3516" s="556" t="s">
        <v>3652</v>
      </c>
      <c r="B3516" s="557" t="s">
        <v>9416</v>
      </c>
      <c r="C3516" s="558" t="s">
        <v>2698</v>
      </c>
      <c r="D3516" s="556" t="s">
        <v>2623</v>
      </c>
      <c r="E3516" s="17" t="s">
        <v>6931</v>
      </c>
      <c r="F3516" s="17">
        <v>101</v>
      </c>
      <c r="G3516" s="17">
        <v>1</v>
      </c>
      <c r="H3516" s="17" t="s">
        <v>8121</v>
      </c>
      <c r="I3516" s="17"/>
      <c r="J3516" s="17"/>
      <c r="K3516" s="17"/>
      <c r="L3516" s="17"/>
      <c r="M3516" s="17"/>
      <c r="N3516" s="17"/>
      <c r="O3516" s="17"/>
      <c r="P3516" s="17"/>
      <c r="Q3516" s="17"/>
    </row>
    <row r="3517" spans="1:17">
      <c r="A3517" s="556" t="s">
        <v>3652</v>
      </c>
      <c r="B3517" s="557" t="s">
        <v>9416</v>
      </c>
      <c r="C3517" s="558" t="s">
        <v>2698</v>
      </c>
      <c r="D3517" s="556" t="s">
        <v>2624</v>
      </c>
      <c r="E3517" s="17" t="s">
        <v>6932</v>
      </c>
      <c r="F3517" s="17">
        <v>101</v>
      </c>
      <c r="G3517" s="17">
        <v>2</v>
      </c>
      <c r="H3517" s="17" t="s">
        <v>8122</v>
      </c>
      <c r="I3517" s="17"/>
      <c r="J3517" s="17"/>
      <c r="K3517" s="17"/>
      <c r="L3517" s="17"/>
      <c r="M3517" s="17"/>
      <c r="N3517" s="17"/>
      <c r="O3517" s="17"/>
      <c r="P3517" s="17"/>
      <c r="Q3517" s="17"/>
    </row>
    <row r="3518" spans="1:17">
      <c r="A3518" s="556" t="s">
        <v>3652</v>
      </c>
      <c r="B3518" s="557" t="s">
        <v>9416</v>
      </c>
      <c r="C3518" s="558" t="s">
        <v>2698</v>
      </c>
      <c r="D3518" s="556" t="s">
        <v>4426</v>
      </c>
      <c r="E3518" s="17" t="s">
        <v>6933</v>
      </c>
      <c r="F3518" s="17">
        <v>101</v>
      </c>
      <c r="G3518" s="17">
        <v>3</v>
      </c>
      <c r="H3518" s="17" t="s">
        <v>8123</v>
      </c>
      <c r="I3518" s="17">
        <v>0</v>
      </c>
      <c r="J3518" s="17"/>
      <c r="K3518" s="17"/>
      <c r="L3518" s="17"/>
      <c r="M3518" s="17"/>
      <c r="N3518" s="17"/>
      <c r="O3518" s="17"/>
      <c r="P3518" s="17"/>
      <c r="Q3518" s="17"/>
    </row>
    <row r="3519" spans="1:17">
      <c r="A3519" s="556" t="s">
        <v>3652</v>
      </c>
      <c r="B3519" s="557" t="s">
        <v>9416</v>
      </c>
      <c r="C3519" s="558" t="s">
        <v>2698</v>
      </c>
      <c r="D3519" s="556" t="s">
        <v>4324</v>
      </c>
      <c r="E3519" s="17" t="s">
        <v>6934</v>
      </c>
      <c r="F3519" s="17">
        <v>101</v>
      </c>
      <c r="G3519" s="17">
        <v>4</v>
      </c>
      <c r="H3519" s="17" t="s">
        <v>8124</v>
      </c>
      <c r="I3519" s="17"/>
      <c r="J3519" s="17"/>
      <c r="K3519" s="17"/>
      <c r="L3519" s="17"/>
      <c r="M3519" s="17"/>
      <c r="N3519" s="17"/>
      <c r="O3519" s="17"/>
      <c r="P3519" s="17"/>
      <c r="Q3519" s="17"/>
    </row>
    <row r="3520" spans="1:17">
      <c r="A3520" s="556" t="s">
        <v>3652</v>
      </c>
      <c r="B3520" s="557" t="s">
        <v>9417</v>
      </c>
      <c r="C3520" s="558" t="s">
        <v>2699</v>
      </c>
      <c r="D3520" s="556" t="s">
        <v>2623</v>
      </c>
      <c r="E3520" s="17" t="s">
        <v>6935</v>
      </c>
      <c r="F3520" s="17">
        <v>102</v>
      </c>
      <c r="G3520" s="17">
        <v>1</v>
      </c>
      <c r="H3520" s="17" t="s">
        <v>8125</v>
      </c>
      <c r="I3520" s="17"/>
      <c r="J3520" s="17"/>
      <c r="K3520" s="17"/>
      <c r="L3520" s="17"/>
      <c r="M3520" s="17"/>
      <c r="N3520" s="17"/>
      <c r="O3520" s="17"/>
      <c r="P3520" s="17"/>
      <c r="Q3520" s="17"/>
    </row>
    <row r="3521" spans="1:17">
      <c r="A3521" s="556" t="s">
        <v>3652</v>
      </c>
      <c r="B3521" s="557" t="s">
        <v>9417</v>
      </c>
      <c r="C3521" s="558" t="s">
        <v>2699</v>
      </c>
      <c r="D3521" s="556" t="s">
        <v>2624</v>
      </c>
      <c r="E3521" s="17" t="s">
        <v>6936</v>
      </c>
      <c r="F3521" s="17">
        <v>102</v>
      </c>
      <c r="G3521" s="17">
        <v>2</v>
      </c>
      <c r="H3521" s="17" t="s">
        <v>8126</v>
      </c>
      <c r="I3521" s="17"/>
      <c r="J3521" s="17"/>
      <c r="K3521" s="17"/>
      <c r="L3521" s="17"/>
      <c r="M3521" s="17"/>
      <c r="N3521" s="17"/>
      <c r="O3521" s="17"/>
      <c r="P3521" s="17"/>
      <c r="Q3521" s="17"/>
    </row>
    <row r="3522" spans="1:17">
      <c r="A3522" s="556" t="s">
        <v>3652</v>
      </c>
      <c r="B3522" s="557" t="s">
        <v>9417</v>
      </c>
      <c r="C3522" s="558" t="s">
        <v>2699</v>
      </c>
      <c r="D3522" s="556" t="s">
        <v>4426</v>
      </c>
      <c r="E3522" s="17" t="s">
        <v>6937</v>
      </c>
      <c r="F3522" s="17">
        <v>102</v>
      </c>
      <c r="G3522" s="17">
        <v>3</v>
      </c>
      <c r="H3522" s="17" t="s">
        <v>8127</v>
      </c>
      <c r="I3522" s="17">
        <v>0</v>
      </c>
      <c r="J3522" s="17"/>
      <c r="K3522" s="17"/>
      <c r="L3522" s="17"/>
      <c r="M3522" s="17"/>
      <c r="N3522" s="17"/>
      <c r="O3522" s="17"/>
      <c r="P3522" s="17"/>
      <c r="Q3522" s="17"/>
    </row>
    <row r="3523" spans="1:17">
      <c r="A3523" s="556" t="s">
        <v>3652</v>
      </c>
      <c r="B3523" s="557" t="s">
        <v>9417</v>
      </c>
      <c r="C3523" s="558" t="s">
        <v>2699</v>
      </c>
      <c r="D3523" s="556" t="s">
        <v>4324</v>
      </c>
      <c r="E3523" s="17" t="s">
        <v>6938</v>
      </c>
      <c r="F3523" s="17">
        <v>102</v>
      </c>
      <c r="G3523" s="17">
        <v>4</v>
      </c>
      <c r="H3523" s="17" t="s">
        <v>8128</v>
      </c>
      <c r="I3523" s="17"/>
      <c r="J3523" s="17"/>
      <c r="K3523" s="17"/>
      <c r="L3523" s="17"/>
      <c r="M3523" s="17"/>
      <c r="N3523" s="17"/>
      <c r="O3523" s="17"/>
      <c r="P3523" s="17"/>
      <c r="Q3523" s="17"/>
    </row>
    <row r="3524" spans="1:17">
      <c r="A3524" s="556" t="s">
        <v>3652</v>
      </c>
      <c r="B3524" s="557" t="s">
        <v>9418</v>
      </c>
      <c r="C3524" s="558" t="s">
        <v>2700</v>
      </c>
      <c r="D3524" s="556" t="s">
        <v>2623</v>
      </c>
      <c r="E3524" s="17" t="s">
        <v>6939</v>
      </c>
      <c r="F3524" s="17">
        <v>103</v>
      </c>
      <c r="G3524" s="17">
        <v>1</v>
      </c>
      <c r="H3524" s="17" t="s">
        <v>8129</v>
      </c>
      <c r="I3524" s="17"/>
      <c r="J3524" s="17"/>
      <c r="K3524" s="17"/>
      <c r="L3524" s="17"/>
      <c r="M3524" s="17"/>
      <c r="N3524" s="17"/>
      <c r="O3524" s="17"/>
      <c r="P3524" s="17"/>
      <c r="Q3524" s="17"/>
    </row>
    <row r="3525" spans="1:17">
      <c r="A3525" s="556" t="s">
        <v>3652</v>
      </c>
      <c r="B3525" s="557" t="s">
        <v>9418</v>
      </c>
      <c r="C3525" s="558" t="s">
        <v>2700</v>
      </c>
      <c r="D3525" s="556" t="s">
        <v>2624</v>
      </c>
      <c r="E3525" s="17" t="s">
        <v>6940</v>
      </c>
      <c r="F3525" s="17">
        <v>103</v>
      </c>
      <c r="G3525" s="17">
        <v>2</v>
      </c>
      <c r="H3525" s="17" t="s">
        <v>8130</v>
      </c>
      <c r="I3525" s="17"/>
      <c r="J3525" s="17"/>
      <c r="K3525" s="17"/>
      <c r="L3525" s="17"/>
      <c r="M3525" s="17"/>
      <c r="N3525" s="17"/>
      <c r="O3525" s="17"/>
      <c r="P3525" s="17"/>
      <c r="Q3525" s="17"/>
    </row>
    <row r="3526" spans="1:17">
      <c r="A3526" s="556" t="s">
        <v>3652</v>
      </c>
      <c r="B3526" s="557" t="s">
        <v>9418</v>
      </c>
      <c r="C3526" s="558" t="s">
        <v>2700</v>
      </c>
      <c r="D3526" s="556" t="s">
        <v>4426</v>
      </c>
      <c r="E3526" s="17" t="s">
        <v>6941</v>
      </c>
      <c r="F3526" s="17">
        <v>103</v>
      </c>
      <c r="G3526" s="17">
        <v>3</v>
      </c>
      <c r="H3526" s="17" t="s">
        <v>8131</v>
      </c>
      <c r="I3526" s="17">
        <v>0</v>
      </c>
      <c r="J3526" s="17"/>
      <c r="K3526" s="17"/>
      <c r="L3526" s="17"/>
      <c r="M3526" s="17"/>
      <c r="N3526" s="17"/>
      <c r="O3526" s="17"/>
      <c r="P3526" s="17"/>
      <c r="Q3526" s="17"/>
    </row>
    <row r="3527" spans="1:17">
      <c r="A3527" s="556" t="s">
        <v>3652</v>
      </c>
      <c r="B3527" s="557" t="s">
        <v>9418</v>
      </c>
      <c r="C3527" s="558" t="s">
        <v>2700</v>
      </c>
      <c r="D3527" s="556" t="s">
        <v>4324</v>
      </c>
      <c r="E3527" s="17" t="s">
        <v>6942</v>
      </c>
      <c r="F3527" s="17">
        <v>103</v>
      </c>
      <c r="G3527" s="17">
        <v>4</v>
      </c>
      <c r="H3527" s="17" t="s">
        <v>8132</v>
      </c>
      <c r="I3527" s="17"/>
      <c r="J3527" s="17"/>
      <c r="K3527" s="17"/>
      <c r="L3527" s="17"/>
      <c r="M3527" s="17"/>
      <c r="N3527" s="17"/>
      <c r="O3527" s="17"/>
      <c r="P3527" s="17"/>
      <c r="Q3527" s="17"/>
    </row>
    <row r="3528" spans="1:17">
      <c r="A3528" s="556" t="s">
        <v>3652</v>
      </c>
      <c r="B3528" s="557" t="s">
        <v>9419</v>
      </c>
      <c r="C3528" s="558" t="s">
        <v>2701</v>
      </c>
      <c r="D3528" s="556" t="s">
        <v>2623</v>
      </c>
      <c r="E3528" s="17" t="s">
        <v>6943</v>
      </c>
      <c r="F3528" s="17">
        <v>104</v>
      </c>
      <c r="G3528" s="17">
        <v>1</v>
      </c>
      <c r="H3528" s="17" t="s">
        <v>8133</v>
      </c>
      <c r="I3528" s="17"/>
      <c r="J3528" s="17"/>
      <c r="K3528" s="17"/>
      <c r="L3528" s="17"/>
      <c r="M3528" s="17"/>
      <c r="N3528" s="17"/>
      <c r="O3528" s="17"/>
      <c r="P3528" s="17"/>
      <c r="Q3528" s="17"/>
    </row>
    <row r="3529" spans="1:17">
      <c r="A3529" s="556" t="s">
        <v>3652</v>
      </c>
      <c r="B3529" s="557" t="s">
        <v>9419</v>
      </c>
      <c r="C3529" s="558" t="s">
        <v>2701</v>
      </c>
      <c r="D3529" s="556" t="s">
        <v>2624</v>
      </c>
      <c r="E3529" s="17" t="s">
        <v>6944</v>
      </c>
      <c r="F3529" s="17">
        <v>104</v>
      </c>
      <c r="G3529" s="17">
        <v>2</v>
      </c>
      <c r="H3529" s="17" t="s">
        <v>8134</v>
      </c>
      <c r="I3529" s="17"/>
      <c r="J3529" s="17"/>
      <c r="K3529" s="17"/>
      <c r="L3529" s="17"/>
      <c r="M3529" s="17"/>
      <c r="N3529" s="17"/>
      <c r="O3529" s="17"/>
      <c r="P3529" s="17"/>
      <c r="Q3529" s="17"/>
    </row>
    <row r="3530" spans="1:17">
      <c r="A3530" s="556" t="s">
        <v>3652</v>
      </c>
      <c r="B3530" s="557" t="s">
        <v>9419</v>
      </c>
      <c r="C3530" s="558" t="s">
        <v>2701</v>
      </c>
      <c r="D3530" s="556" t="s">
        <v>4426</v>
      </c>
      <c r="E3530" s="17" t="s">
        <v>6945</v>
      </c>
      <c r="F3530" s="17">
        <v>104</v>
      </c>
      <c r="G3530" s="17">
        <v>3</v>
      </c>
      <c r="H3530" s="17" t="s">
        <v>8135</v>
      </c>
      <c r="I3530" s="17">
        <v>0</v>
      </c>
      <c r="J3530" s="17"/>
      <c r="K3530" s="17"/>
      <c r="L3530" s="17"/>
      <c r="M3530" s="17"/>
      <c r="N3530" s="17"/>
      <c r="O3530" s="17"/>
      <c r="P3530" s="17"/>
      <c r="Q3530" s="17"/>
    </row>
    <row r="3531" spans="1:17">
      <c r="A3531" s="556" t="s">
        <v>3652</v>
      </c>
      <c r="B3531" s="557" t="s">
        <v>9419</v>
      </c>
      <c r="C3531" s="558" t="s">
        <v>2701</v>
      </c>
      <c r="D3531" s="556" t="s">
        <v>4324</v>
      </c>
      <c r="E3531" s="17" t="s">
        <v>6946</v>
      </c>
      <c r="F3531" s="17">
        <v>104</v>
      </c>
      <c r="G3531" s="17">
        <v>4</v>
      </c>
      <c r="H3531" s="17" t="s">
        <v>8136</v>
      </c>
      <c r="I3531" s="17"/>
      <c r="J3531" s="17"/>
      <c r="K3531" s="17"/>
      <c r="L3531" s="17"/>
      <c r="M3531" s="17"/>
      <c r="N3531" s="17"/>
      <c r="O3531" s="17"/>
      <c r="P3531" s="17"/>
      <c r="Q3531" s="17"/>
    </row>
    <row r="3532" spans="1:17">
      <c r="A3532" s="556" t="s">
        <v>3652</v>
      </c>
      <c r="B3532" s="557" t="s">
        <v>9420</v>
      </c>
      <c r="C3532" s="558" t="s">
        <v>2702</v>
      </c>
      <c r="D3532" s="556" t="s">
        <v>2623</v>
      </c>
      <c r="E3532" s="17" t="s">
        <v>6947</v>
      </c>
      <c r="F3532" s="17">
        <v>105</v>
      </c>
      <c r="G3532" s="17">
        <v>1</v>
      </c>
      <c r="H3532" s="17" t="s">
        <v>8137</v>
      </c>
      <c r="I3532" s="17"/>
      <c r="J3532" s="17"/>
      <c r="K3532" s="17"/>
      <c r="L3532" s="17"/>
      <c r="M3532" s="17"/>
      <c r="N3532" s="17"/>
      <c r="O3532" s="17"/>
      <c r="P3532" s="17"/>
      <c r="Q3532" s="17"/>
    </row>
    <row r="3533" spans="1:17">
      <c r="A3533" s="556" t="s">
        <v>3652</v>
      </c>
      <c r="B3533" s="557" t="s">
        <v>9420</v>
      </c>
      <c r="C3533" s="558" t="s">
        <v>2702</v>
      </c>
      <c r="D3533" s="556" t="s">
        <v>2624</v>
      </c>
      <c r="E3533" s="17" t="s">
        <v>6948</v>
      </c>
      <c r="F3533" s="17">
        <v>105</v>
      </c>
      <c r="G3533" s="17">
        <v>2</v>
      </c>
      <c r="H3533" s="17" t="s">
        <v>8138</v>
      </c>
      <c r="I3533" s="17"/>
      <c r="J3533" s="17"/>
      <c r="K3533" s="17"/>
      <c r="L3533" s="17"/>
      <c r="M3533" s="17"/>
      <c r="N3533" s="17"/>
      <c r="O3533" s="17"/>
      <c r="P3533" s="17"/>
      <c r="Q3533" s="17"/>
    </row>
    <row r="3534" spans="1:17">
      <c r="A3534" s="556" t="s">
        <v>3652</v>
      </c>
      <c r="B3534" s="557" t="s">
        <v>9420</v>
      </c>
      <c r="C3534" s="558" t="s">
        <v>2702</v>
      </c>
      <c r="D3534" s="556" t="s">
        <v>4426</v>
      </c>
      <c r="E3534" s="17" t="s">
        <v>6949</v>
      </c>
      <c r="F3534" s="17">
        <v>105</v>
      </c>
      <c r="G3534" s="17">
        <v>3</v>
      </c>
      <c r="H3534" s="17" t="s">
        <v>8139</v>
      </c>
      <c r="I3534" s="17">
        <v>0</v>
      </c>
      <c r="J3534" s="17"/>
      <c r="K3534" s="17"/>
      <c r="L3534" s="17"/>
      <c r="M3534" s="17"/>
      <c r="N3534" s="17"/>
      <c r="O3534" s="17"/>
      <c r="P3534" s="17"/>
      <c r="Q3534" s="17"/>
    </row>
    <row r="3535" spans="1:17">
      <c r="A3535" s="556" t="s">
        <v>3652</v>
      </c>
      <c r="B3535" s="557" t="s">
        <v>9420</v>
      </c>
      <c r="C3535" s="558" t="s">
        <v>2702</v>
      </c>
      <c r="D3535" s="556" t="s">
        <v>4324</v>
      </c>
      <c r="E3535" s="17" t="s">
        <v>6950</v>
      </c>
      <c r="F3535" s="17">
        <v>105</v>
      </c>
      <c r="G3535" s="17">
        <v>4</v>
      </c>
      <c r="H3535" s="17" t="s">
        <v>8140</v>
      </c>
      <c r="I3535" s="17"/>
      <c r="J3535" s="17"/>
      <c r="K3535" s="17"/>
      <c r="L3535" s="17"/>
      <c r="M3535" s="17"/>
      <c r="N3535" s="17"/>
      <c r="O3535" s="17"/>
      <c r="P3535" s="17"/>
      <c r="Q3535" s="17"/>
    </row>
    <row r="3536" spans="1:17">
      <c r="A3536" s="556" t="s">
        <v>3652</v>
      </c>
      <c r="B3536" s="557" t="s">
        <v>9421</v>
      </c>
      <c r="C3536" s="558" t="s">
        <v>2703</v>
      </c>
      <c r="D3536" s="556" t="s">
        <v>2623</v>
      </c>
      <c r="E3536" s="17" t="s">
        <v>6951</v>
      </c>
      <c r="F3536" s="17">
        <v>106</v>
      </c>
      <c r="G3536" s="17">
        <v>1</v>
      </c>
      <c r="H3536" s="17" t="s">
        <v>8141</v>
      </c>
      <c r="I3536" s="17"/>
      <c r="J3536" s="17"/>
      <c r="K3536" s="17"/>
      <c r="L3536" s="17"/>
      <c r="M3536" s="17"/>
      <c r="N3536" s="17"/>
      <c r="O3536" s="17"/>
      <c r="P3536" s="17"/>
      <c r="Q3536" s="17"/>
    </row>
    <row r="3537" spans="1:17">
      <c r="A3537" s="556" t="s">
        <v>3652</v>
      </c>
      <c r="B3537" s="557" t="s">
        <v>9421</v>
      </c>
      <c r="C3537" s="558" t="s">
        <v>2703</v>
      </c>
      <c r="D3537" s="556" t="s">
        <v>2624</v>
      </c>
      <c r="E3537" s="17" t="s">
        <v>6952</v>
      </c>
      <c r="F3537" s="17">
        <v>106</v>
      </c>
      <c r="G3537" s="17">
        <v>2</v>
      </c>
      <c r="H3537" s="17" t="s">
        <v>8142</v>
      </c>
      <c r="I3537" s="17"/>
      <c r="J3537" s="17"/>
      <c r="K3537" s="17"/>
      <c r="L3537" s="17"/>
      <c r="M3537" s="17"/>
      <c r="N3537" s="17"/>
      <c r="O3537" s="17"/>
      <c r="P3537" s="17"/>
      <c r="Q3537" s="17"/>
    </row>
    <row r="3538" spans="1:17">
      <c r="A3538" s="556" t="s">
        <v>3652</v>
      </c>
      <c r="B3538" s="557" t="s">
        <v>9421</v>
      </c>
      <c r="C3538" s="558" t="s">
        <v>2703</v>
      </c>
      <c r="D3538" s="556" t="s">
        <v>4426</v>
      </c>
      <c r="E3538" s="17" t="s">
        <v>6953</v>
      </c>
      <c r="F3538" s="17">
        <v>106</v>
      </c>
      <c r="G3538" s="17">
        <v>3</v>
      </c>
      <c r="H3538" s="17" t="s">
        <v>8143</v>
      </c>
      <c r="I3538" s="17">
        <v>0</v>
      </c>
      <c r="J3538" s="17"/>
      <c r="K3538" s="17"/>
      <c r="L3538" s="17"/>
      <c r="M3538" s="17"/>
      <c r="N3538" s="17"/>
      <c r="O3538" s="17"/>
      <c r="P3538" s="17"/>
      <c r="Q3538" s="17"/>
    </row>
    <row r="3539" spans="1:17">
      <c r="A3539" s="556" t="s">
        <v>3652</v>
      </c>
      <c r="B3539" s="557" t="s">
        <v>9421</v>
      </c>
      <c r="C3539" s="558" t="s">
        <v>2703</v>
      </c>
      <c r="D3539" s="556" t="s">
        <v>4324</v>
      </c>
      <c r="E3539" s="17" t="s">
        <v>6954</v>
      </c>
      <c r="F3539" s="17">
        <v>106</v>
      </c>
      <c r="G3539" s="17">
        <v>4</v>
      </c>
      <c r="H3539" s="17" t="s">
        <v>8144</v>
      </c>
      <c r="I3539" s="17"/>
      <c r="J3539" s="17"/>
      <c r="K3539" s="17"/>
      <c r="L3539" s="17"/>
      <c r="M3539" s="17"/>
      <c r="N3539" s="17"/>
      <c r="O3539" s="17"/>
      <c r="P3539" s="17"/>
      <c r="Q3539" s="17"/>
    </row>
    <row r="3540" spans="1:17">
      <c r="A3540" s="556" t="s">
        <v>3652</v>
      </c>
      <c r="B3540" s="557" t="s">
        <v>9422</v>
      </c>
      <c r="C3540" s="558" t="s">
        <v>2704</v>
      </c>
      <c r="D3540" s="556" t="s">
        <v>2623</v>
      </c>
      <c r="E3540" s="17" t="s">
        <v>6955</v>
      </c>
      <c r="F3540" s="17">
        <v>107</v>
      </c>
      <c r="G3540" s="17">
        <v>1</v>
      </c>
      <c r="H3540" s="17" t="s">
        <v>8145</v>
      </c>
      <c r="I3540" s="17"/>
      <c r="J3540" s="17"/>
      <c r="K3540" s="17"/>
      <c r="L3540" s="17"/>
      <c r="M3540" s="17"/>
      <c r="N3540" s="17"/>
      <c r="O3540" s="17"/>
      <c r="P3540" s="17"/>
      <c r="Q3540" s="17"/>
    </row>
    <row r="3541" spans="1:17">
      <c r="A3541" s="556" t="s">
        <v>3652</v>
      </c>
      <c r="B3541" s="557" t="s">
        <v>9422</v>
      </c>
      <c r="C3541" s="558" t="s">
        <v>2704</v>
      </c>
      <c r="D3541" s="556" t="s">
        <v>2624</v>
      </c>
      <c r="E3541" s="17" t="s">
        <v>6956</v>
      </c>
      <c r="F3541" s="17">
        <v>107</v>
      </c>
      <c r="G3541" s="17">
        <v>2</v>
      </c>
      <c r="H3541" s="17" t="s">
        <v>8146</v>
      </c>
      <c r="I3541" s="17"/>
      <c r="J3541" s="17"/>
      <c r="K3541" s="17"/>
      <c r="L3541" s="17"/>
      <c r="M3541" s="17"/>
      <c r="N3541" s="17"/>
      <c r="O3541" s="17"/>
      <c r="P3541" s="17"/>
      <c r="Q3541" s="17"/>
    </row>
    <row r="3542" spans="1:17">
      <c r="A3542" s="556" t="s">
        <v>3652</v>
      </c>
      <c r="B3542" s="557" t="s">
        <v>9422</v>
      </c>
      <c r="C3542" s="558" t="s">
        <v>2704</v>
      </c>
      <c r="D3542" s="556" t="s">
        <v>4426</v>
      </c>
      <c r="E3542" s="17" t="s">
        <v>6957</v>
      </c>
      <c r="F3542" s="17">
        <v>107</v>
      </c>
      <c r="G3542" s="17">
        <v>3</v>
      </c>
      <c r="H3542" s="17" t="s">
        <v>8147</v>
      </c>
      <c r="I3542" s="17">
        <v>0</v>
      </c>
      <c r="J3542" s="17"/>
      <c r="K3542" s="17"/>
      <c r="L3542" s="17"/>
      <c r="M3542" s="17"/>
      <c r="N3542" s="17"/>
      <c r="O3542" s="17"/>
      <c r="P3542" s="17"/>
      <c r="Q3542" s="17"/>
    </row>
    <row r="3543" spans="1:17">
      <c r="A3543" s="556" t="s">
        <v>3652</v>
      </c>
      <c r="B3543" s="557" t="s">
        <v>9422</v>
      </c>
      <c r="C3543" s="558" t="s">
        <v>2704</v>
      </c>
      <c r="D3543" s="556" t="s">
        <v>4324</v>
      </c>
      <c r="E3543" s="17" t="s">
        <v>6958</v>
      </c>
      <c r="F3543" s="17">
        <v>107</v>
      </c>
      <c r="G3543" s="17">
        <v>4</v>
      </c>
      <c r="H3543" s="17" t="s">
        <v>8148</v>
      </c>
      <c r="I3543" s="17"/>
      <c r="J3543" s="17"/>
      <c r="K3543" s="17"/>
      <c r="L3543" s="17"/>
      <c r="M3543" s="17"/>
      <c r="N3543" s="17"/>
      <c r="O3543" s="17"/>
      <c r="P3543" s="17"/>
      <c r="Q3543" s="17"/>
    </row>
    <row r="3544" spans="1:17">
      <c r="A3544" s="556" t="s">
        <v>3652</v>
      </c>
      <c r="B3544" s="557" t="s">
        <v>9423</v>
      </c>
      <c r="C3544" s="558" t="s">
        <v>2705</v>
      </c>
      <c r="D3544" s="556" t="s">
        <v>2623</v>
      </c>
      <c r="E3544" s="17" t="s">
        <v>6959</v>
      </c>
      <c r="F3544" s="17">
        <v>108</v>
      </c>
      <c r="G3544" s="17">
        <v>1</v>
      </c>
      <c r="H3544" s="17" t="s">
        <v>8149</v>
      </c>
      <c r="I3544" s="17"/>
      <c r="J3544" s="17"/>
      <c r="K3544" s="17"/>
      <c r="L3544" s="17"/>
      <c r="M3544" s="17"/>
      <c r="N3544" s="17"/>
      <c r="O3544" s="17"/>
      <c r="P3544" s="17"/>
      <c r="Q3544" s="17"/>
    </row>
    <row r="3545" spans="1:17">
      <c r="A3545" s="556" t="s">
        <v>3652</v>
      </c>
      <c r="B3545" s="557" t="s">
        <v>9423</v>
      </c>
      <c r="C3545" s="558" t="s">
        <v>2705</v>
      </c>
      <c r="D3545" s="556" t="s">
        <v>2624</v>
      </c>
      <c r="E3545" s="17" t="s">
        <v>6960</v>
      </c>
      <c r="F3545" s="17">
        <v>108</v>
      </c>
      <c r="G3545" s="17">
        <v>2</v>
      </c>
      <c r="H3545" s="17" t="s">
        <v>8150</v>
      </c>
      <c r="I3545" s="17"/>
      <c r="J3545" s="17"/>
      <c r="K3545" s="17"/>
      <c r="L3545" s="17"/>
      <c r="M3545" s="17"/>
      <c r="N3545" s="17"/>
      <c r="O3545" s="17"/>
      <c r="P3545" s="17"/>
      <c r="Q3545" s="17"/>
    </row>
    <row r="3546" spans="1:17">
      <c r="A3546" s="556" t="s">
        <v>3652</v>
      </c>
      <c r="B3546" s="557" t="s">
        <v>9423</v>
      </c>
      <c r="C3546" s="558" t="s">
        <v>2705</v>
      </c>
      <c r="D3546" s="556" t="s">
        <v>4426</v>
      </c>
      <c r="E3546" s="17" t="s">
        <v>6961</v>
      </c>
      <c r="F3546" s="17">
        <v>108</v>
      </c>
      <c r="G3546" s="17">
        <v>3</v>
      </c>
      <c r="H3546" s="17" t="s">
        <v>8151</v>
      </c>
      <c r="I3546" s="17">
        <v>0</v>
      </c>
      <c r="J3546" s="17"/>
      <c r="K3546" s="17"/>
      <c r="L3546" s="17"/>
      <c r="M3546" s="17"/>
      <c r="N3546" s="17"/>
      <c r="O3546" s="17"/>
      <c r="P3546" s="17"/>
      <c r="Q3546" s="17"/>
    </row>
    <row r="3547" spans="1:17">
      <c r="A3547" s="556" t="s">
        <v>3652</v>
      </c>
      <c r="B3547" s="557" t="s">
        <v>9423</v>
      </c>
      <c r="C3547" s="558" t="s">
        <v>2705</v>
      </c>
      <c r="D3547" s="556" t="s">
        <v>4324</v>
      </c>
      <c r="E3547" s="17" t="s">
        <v>6962</v>
      </c>
      <c r="F3547" s="17">
        <v>108</v>
      </c>
      <c r="G3547" s="17">
        <v>4</v>
      </c>
      <c r="H3547" s="17" t="s">
        <v>8152</v>
      </c>
      <c r="I3547" s="17"/>
      <c r="J3547" s="17"/>
      <c r="K3547" s="17"/>
      <c r="L3547" s="17"/>
      <c r="M3547" s="17"/>
      <c r="N3547" s="17"/>
      <c r="O3547" s="17"/>
      <c r="P3547" s="17"/>
      <c r="Q3547" s="17"/>
    </row>
    <row r="3548" spans="1:17">
      <c r="A3548" s="556" t="s">
        <v>3652</v>
      </c>
      <c r="B3548" s="557" t="s">
        <v>9424</v>
      </c>
      <c r="C3548" s="558" t="s">
        <v>2706</v>
      </c>
      <c r="D3548" s="556" t="s">
        <v>2623</v>
      </c>
      <c r="E3548" s="17" t="s">
        <v>6963</v>
      </c>
      <c r="F3548" s="17">
        <v>109</v>
      </c>
      <c r="G3548" s="17">
        <v>1</v>
      </c>
      <c r="H3548" s="17" t="s">
        <v>8153</v>
      </c>
      <c r="I3548" s="17"/>
      <c r="J3548" s="17"/>
      <c r="K3548" s="17"/>
      <c r="L3548" s="17"/>
      <c r="M3548" s="17"/>
      <c r="N3548" s="17"/>
      <c r="O3548" s="17"/>
      <c r="P3548" s="17"/>
      <c r="Q3548" s="17"/>
    </row>
    <row r="3549" spans="1:17">
      <c r="A3549" s="556" t="s">
        <v>3652</v>
      </c>
      <c r="B3549" s="557" t="s">
        <v>9424</v>
      </c>
      <c r="C3549" s="558" t="s">
        <v>2706</v>
      </c>
      <c r="D3549" s="556" t="s">
        <v>2624</v>
      </c>
      <c r="E3549" s="17" t="s">
        <v>6964</v>
      </c>
      <c r="F3549" s="17">
        <v>109</v>
      </c>
      <c r="G3549" s="17">
        <v>2</v>
      </c>
      <c r="H3549" s="17" t="s">
        <v>8154</v>
      </c>
      <c r="I3549" s="17"/>
      <c r="J3549" s="17"/>
      <c r="K3549" s="17"/>
      <c r="L3549" s="17"/>
      <c r="M3549" s="17"/>
      <c r="N3549" s="17"/>
      <c r="O3549" s="17"/>
      <c r="P3549" s="17"/>
      <c r="Q3549" s="17"/>
    </row>
    <row r="3550" spans="1:17">
      <c r="A3550" s="556" t="s">
        <v>3652</v>
      </c>
      <c r="B3550" s="557" t="s">
        <v>9424</v>
      </c>
      <c r="C3550" s="558" t="s">
        <v>2706</v>
      </c>
      <c r="D3550" s="556" t="s">
        <v>4426</v>
      </c>
      <c r="E3550" s="17" t="s">
        <v>6965</v>
      </c>
      <c r="F3550" s="17">
        <v>109</v>
      </c>
      <c r="G3550" s="17">
        <v>3</v>
      </c>
      <c r="H3550" s="17" t="s">
        <v>8155</v>
      </c>
      <c r="I3550" s="17">
        <v>0</v>
      </c>
      <c r="J3550" s="17"/>
      <c r="K3550" s="17"/>
      <c r="L3550" s="17"/>
      <c r="M3550" s="17"/>
      <c r="N3550" s="17"/>
      <c r="O3550" s="17"/>
      <c r="P3550" s="17"/>
      <c r="Q3550" s="17"/>
    </row>
    <row r="3551" spans="1:17">
      <c r="A3551" s="556" t="s">
        <v>3652</v>
      </c>
      <c r="B3551" s="557" t="s">
        <v>9424</v>
      </c>
      <c r="C3551" s="558" t="s">
        <v>2706</v>
      </c>
      <c r="D3551" s="556" t="s">
        <v>4324</v>
      </c>
      <c r="E3551" s="17" t="s">
        <v>6966</v>
      </c>
      <c r="F3551" s="17">
        <v>109</v>
      </c>
      <c r="G3551" s="17">
        <v>4</v>
      </c>
      <c r="H3551" s="17" t="s">
        <v>8156</v>
      </c>
      <c r="I3551" s="17"/>
      <c r="J3551" s="17"/>
      <c r="K3551" s="17"/>
      <c r="L3551" s="17"/>
      <c r="M3551" s="17"/>
      <c r="N3551" s="17"/>
      <c r="O3551" s="17"/>
      <c r="P3551" s="17"/>
      <c r="Q3551" s="17"/>
    </row>
    <row r="3552" spans="1:17">
      <c r="A3552" s="556" t="s">
        <v>3652</v>
      </c>
      <c r="B3552" s="557" t="s">
        <v>9425</v>
      </c>
      <c r="C3552" s="558" t="s">
        <v>2707</v>
      </c>
      <c r="D3552" s="556" t="s">
        <v>2623</v>
      </c>
      <c r="E3552" s="17" t="s">
        <v>6967</v>
      </c>
      <c r="F3552" s="17">
        <v>110</v>
      </c>
      <c r="G3552" s="17">
        <v>1</v>
      </c>
      <c r="H3552" s="17" t="s">
        <v>8157</v>
      </c>
      <c r="I3552" s="17"/>
      <c r="J3552" s="17"/>
      <c r="K3552" s="17"/>
      <c r="L3552" s="17"/>
      <c r="M3552" s="17"/>
      <c r="N3552" s="17"/>
      <c r="O3552" s="17"/>
      <c r="P3552" s="17"/>
      <c r="Q3552" s="17"/>
    </row>
    <row r="3553" spans="1:17">
      <c r="A3553" s="556" t="s">
        <v>3652</v>
      </c>
      <c r="B3553" s="557" t="s">
        <v>9425</v>
      </c>
      <c r="C3553" s="558" t="s">
        <v>2707</v>
      </c>
      <c r="D3553" s="556" t="s">
        <v>2624</v>
      </c>
      <c r="E3553" s="17" t="s">
        <v>6968</v>
      </c>
      <c r="F3553" s="17">
        <v>110</v>
      </c>
      <c r="G3553" s="17">
        <v>2</v>
      </c>
      <c r="H3553" s="17" t="s">
        <v>8158</v>
      </c>
      <c r="I3553" s="17"/>
      <c r="J3553" s="17"/>
      <c r="K3553" s="17"/>
      <c r="L3553" s="17"/>
      <c r="M3553" s="17"/>
      <c r="N3553" s="17"/>
      <c r="O3553" s="17"/>
      <c r="P3553" s="17"/>
      <c r="Q3553" s="17"/>
    </row>
    <row r="3554" spans="1:17">
      <c r="A3554" s="556" t="s">
        <v>3652</v>
      </c>
      <c r="B3554" s="557" t="s">
        <v>9425</v>
      </c>
      <c r="C3554" s="558" t="s">
        <v>2707</v>
      </c>
      <c r="D3554" s="556" t="s">
        <v>4426</v>
      </c>
      <c r="E3554" s="17" t="s">
        <v>6969</v>
      </c>
      <c r="F3554" s="17">
        <v>110</v>
      </c>
      <c r="G3554" s="17">
        <v>3</v>
      </c>
      <c r="H3554" s="17" t="s">
        <v>8159</v>
      </c>
      <c r="I3554" s="17">
        <v>0</v>
      </c>
      <c r="J3554" s="17"/>
      <c r="K3554" s="17"/>
      <c r="L3554" s="17"/>
      <c r="M3554" s="17"/>
      <c r="N3554" s="17"/>
      <c r="O3554" s="17"/>
      <c r="P3554" s="17"/>
      <c r="Q3554" s="17"/>
    </row>
    <row r="3555" spans="1:17">
      <c r="A3555" s="556" t="s">
        <v>3652</v>
      </c>
      <c r="B3555" s="557" t="s">
        <v>9425</v>
      </c>
      <c r="C3555" s="558" t="s">
        <v>2707</v>
      </c>
      <c r="D3555" s="556" t="s">
        <v>4324</v>
      </c>
      <c r="E3555" s="17" t="s">
        <v>6970</v>
      </c>
      <c r="F3555" s="17">
        <v>110</v>
      </c>
      <c r="G3555" s="17">
        <v>4</v>
      </c>
      <c r="H3555" s="17" t="s">
        <v>8160</v>
      </c>
      <c r="I3555" s="17"/>
      <c r="J3555" s="17"/>
      <c r="K3555" s="17"/>
      <c r="L3555" s="17"/>
      <c r="M3555" s="17"/>
      <c r="N3555" s="17"/>
      <c r="O3555" s="17"/>
      <c r="P3555" s="17"/>
      <c r="Q3555" s="17"/>
    </row>
    <row r="3556" spans="1:17">
      <c r="A3556" s="556" t="s">
        <v>3652</v>
      </c>
      <c r="B3556" s="557" t="s">
        <v>9426</v>
      </c>
      <c r="C3556" s="558" t="s">
        <v>2708</v>
      </c>
      <c r="D3556" s="556" t="s">
        <v>2623</v>
      </c>
      <c r="E3556" s="17" t="s">
        <v>6971</v>
      </c>
      <c r="F3556" s="17">
        <v>111</v>
      </c>
      <c r="G3556" s="17">
        <v>1</v>
      </c>
      <c r="H3556" s="17" t="s">
        <v>8161</v>
      </c>
      <c r="I3556" s="17"/>
      <c r="J3556" s="17"/>
      <c r="K3556" s="17"/>
      <c r="L3556" s="17"/>
      <c r="M3556" s="17"/>
      <c r="N3556" s="17"/>
      <c r="O3556" s="17"/>
      <c r="P3556" s="17"/>
      <c r="Q3556" s="17"/>
    </row>
    <row r="3557" spans="1:17">
      <c r="A3557" s="556" t="s">
        <v>3652</v>
      </c>
      <c r="B3557" s="557" t="s">
        <v>9426</v>
      </c>
      <c r="C3557" s="558" t="s">
        <v>2708</v>
      </c>
      <c r="D3557" s="556" t="s">
        <v>2624</v>
      </c>
      <c r="E3557" s="17" t="s">
        <v>6972</v>
      </c>
      <c r="F3557" s="17">
        <v>111</v>
      </c>
      <c r="G3557" s="17">
        <v>2</v>
      </c>
      <c r="H3557" s="17" t="s">
        <v>8162</v>
      </c>
      <c r="I3557" s="17"/>
      <c r="J3557" s="17"/>
      <c r="K3557" s="17"/>
      <c r="L3557" s="17"/>
      <c r="M3557" s="17"/>
      <c r="N3557" s="17"/>
      <c r="O3557" s="17"/>
      <c r="P3557" s="17"/>
      <c r="Q3557" s="17"/>
    </row>
    <row r="3558" spans="1:17">
      <c r="A3558" s="556" t="s">
        <v>3652</v>
      </c>
      <c r="B3558" s="557" t="s">
        <v>9426</v>
      </c>
      <c r="C3558" s="558" t="s">
        <v>2708</v>
      </c>
      <c r="D3558" s="556" t="s">
        <v>4426</v>
      </c>
      <c r="E3558" s="17" t="s">
        <v>6973</v>
      </c>
      <c r="F3558" s="17">
        <v>111</v>
      </c>
      <c r="G3558" s="17">
        <v>3</v>
      </c>
      <c r="H3558" s="17" t="s">
        <v>8163</v>
      </c>
      <c r="I3558" s="17">
        <v>0</v>
      </c>
      <c r="J3558" s="17"/>
      <c r="K3558" s="17"/>
      <c r="L3558" s="17"/>
      <c r="M3558" s="17"/>
      <c r="N3558" s="17"/>
      <c r="O3558" s="17"/>
      <c r="P3558" s="17"/>
      <c r="Q3558" s="17"/>
    </row>
    <row r="3559" spans="1:17">
      <c r="A3559" s="556" t="s">
        <v>3652</v>
      </c>
      <c r="B3559" s="557" t="s">
        <v>9426</v>
      </c>
      <c r="C3559" s="558" t="s">
        <v>2708</v>
      </c>
      <c r="D3559" s="556" t="s">
        <v>4324</v>
      </c>
      <c r="E3559" s="17" t="s">
        <v>6974</v>
      </c>
      <c r="F3559" s="17">
        <v>111</v>
      </c>
      <c r="G3559" s="17">
        <v>4</v>
      </c>
      <c r="H3559" s="17" t="s">
        <v>8164</v>
      </c>
      <c r="I3559" s="17"/>
      <c r="J3559" s="17"/>
      <c r="K3559" s="17"/>
      <c r="L3559" s="17"/>
      <c r="M3559" s="17"/>
      <c r="N3559" s="17"/>
      <c r="O3559" s="17"/>
      <c r="P3559" s="17"/>
      <c r="Q3559" s="17"/>
    </row>
    <row r="3560" spans="1:17">
      <c r="A3560" s="556" t="s">
        <v>3652</v>
      </c>
      <c r="B3560" s="557" t="s">
        <v>9427</v>
      </c>
      <c r="C3560" s="558" t="s">
        <v>2709</v>
      </c>
      <c r="D3560" s="556" t="s">
        <v>2623</v>
      </c>
      <c r="E3560" s="17" t="s">
        <v>6975</v>
      </c>
      <c r="F3560" s="17">
        <v>112</v>
      </c>
      <c r="G3560" s="17">
        <v>1</v>
      </c>
      <c r="H3560" s="17" t="s">
        <v>8165</v>
      </c>
      <c r="I3560" s="17"/>
      <c r="J3560" s="17"/>
      <c r="K3560" s="17"/>
      <c r="L3560" s="17"/>
      <c r="M3560" s="17"/>
      <c r="N3560" s="17"/>
      <c r="O3560" s="17"/>
      <c r="P3560" s="17"/>
      <c r="Q3560" s="17"/>
    </row>
    <row r="3561" spans="1:17">
      <c r="A3561" s="556" t="s">
        <v>3652</v>
      </c>
      <c r="B3561" s="557" t="s">
        <v>9427</v>
      </c>
      <c r="C3561" s="558" t="s">
        <v>2709</v>
      </c>
      <c r="D3561" s="556" t="s">
        <v>2624</v>
      </c>
      <c r="E3561" s="17" t="s">
        <v>6976</v>
      </c>
      <c r="F3561" s="17">
        <v>112</v>
      </c>
      <c r="G3561" s="17">
        <v>2</v>
      </c>
      <c r="H3561" s="17" t="s">
        <v>8166</v>
      </c>
      <c r="I3561" s="17"/>
      <c r="J3561" s="17"/>
      <c r="K3561" s="17"/>
      <c r="L3561" s="17"/>
      <c r="M3561" s="17"/>
      <c r="N3561" s="17"/>
      <c r="O3561" s="17"/>
      <c r="P3561" s="17"/>
      <c r="Q3561" s="17"/>
    </row>
    <row r="3562" spans="1:17">
      <c r="A3562" s="556" t="s">
        <v>3652</v>
      </c>
      <c r="B3562" s="557" t="s">
        <v>9427</v>
      </c>
      <c r="C3562" s="558" t="s">
        <v>2709</v>
      </c>
      <c r="D3562" s="556" t="s">
        <v>4426</v>
      </c>
      <c r="E3562" s="17" t="s">
        <v>6977</v>
      </c>
      <c r="F3562" s="17">
        <v>112</v>
      </c>
      <c r="G3562" s="17">
        <v>3</v>
      </c>
      <c r="H3562" s="17" t="s">
        <v>8167</v>
      </c>
      <c r="I3562" s="17">
        <v>0</v>
      </c>
      <c r="J3562" s="17"/>
      <c r="K3562" s="17"/>
      <c r="L3562" s="17"/>
      <c r="M3562" s="17"/>
      <c r="N3562" s="17"/>
      <c r="O3562" s="17"/>
      <c r="P3562" s="17"/>
      <c r="Q3562" s="17"/>
    </row>
    <row r="3563" spans="1:17">
      <c r="A3563" s="556" t="s">
        <v>3652</v>
      </c>
      <c r="B3563" s="557" t="s">
        <v>9427</v>
      </c>
      <c r="C3563" s="558" t="s">
        <v>2709</v>
      </c>
      <c r="D3563" s="556" t="s">
        <v>4324</v>
      </c>
      <c r="E3563" s="17" t="s">
        <v>6978</v>
      </c>
      <c r="F3563" s="17">
        <v>112</v>
      </c>
      <c r="G3563" s="17">
        <v>4</v>
      </c>
      <c r="H3563" s="17" t="s">
        <v>8168</v>
      </c>
      <c r="I3563" s="17"/>
      <c r="J3563" s="17"/>
      <c r="K3563" s="17"/>
      <c r="L3563" s="17"/>
      <c r="M3563" s="17"/>
      <c r="N3563" s="17"/>
      <c r="O3563" s="17"/>
      <c r="P3563" s="17"/>
      <c r="Q3563" s="17"/>
    </row>
    <row r="3564" spans="1:17">
      <c r="A3564" s="556" t="s">
        <v>3652</v>
      </c>
      <c r="B3564" s="557" t="s">
        <v>9428</v>
      </c>
      <c r="C3564" s="558" t="s">
        <v>2710</v>
      </c>
      <c r="D3564" s="556" t="s">
        <v>2623</v>
      </c>
      <c r="E3564" s="17" t="s">
        <v>6979</v>
      </c>
      <c r="F3564" s="17">
        <v>113</v>
      </c>
      <c r="G3564" s="17">
        <v>1</v>
      </c>
      <c r="H3564" s="17" t="s">
        <v>8169</v>
      </c>
      <c r="I3564" s="17"/>
      <c r="J3564" s="17"/>
      <c r="K3564" s="17"/>
      <c r="L3564" s="17"/>
      <c r="M3564" s="17"/>
      <c r="N3564" s="17"/>
      <c r="O3564" s="17"/>
      <c r="P3564" s="17"/>
      <c r="Q3564" s="17"/>
    </row>
    <row r="3565" spans="1:17">
      <c r="A3565" s="556" t="s">
        <v>3652</v>
      </c>
      <c r="B3565" s="557" t="s">
        <v>9428</v>
      </c>
      <c r="C3565" s="558" t="s">
        <v>2710</v>
      </c>
      <c r="D3565" s="556" t="s">
        <v>2624</v>
      </c>
      <c r="E3565" s="17" t="s">
        <v>6980</v>
      </c>
      <c r="F3565" s="17">
        <v>113</v>
      </c>
      <c r="G3565" s="17">
        <v>2</v>
      </c>
      <c r="H3565" s="17" t="s">
        <v>8170</v>
      </c>
      <c r="I3565" s="17"/>
      <c r="J3565" s="17"/>
      <c r="K3565" s="17"/>
      <c r="L3565" s="17"/>
      <c r="M3565" s="17"/>
      <c r="N3565" s="17"/>
      <c r="O3565" s="17"/>
      <c r="P3565" s="17"/>
      <c r="Q3565" s="17"/>
    </row>
    <row r="3566" spans="1:17">
      <c r="A3566" s="556" t="s">
        <v>3652</v>
      </c>
      <c r="B3566" s="557" t="s">
        <v>9428</v>
      </c>
      <c r="C3566" s="558" t="s">
        <v>2710</v>
      </c>
      <c r="D3566" s="556" t="s">
        <v>4426</v>
      </c>
      <c r="E3566" s="17" t="s">
        <v>6981</v>
      </c>
      <c r="F3566" s="17">
        <v>113</v>
      </c>
      <c r="G3566" s="17">
        <v>3</v>
      </c>
      <c r="H3566" s="17" t="s">
        <v>8171</v>
      </c>
      <c r="I3566" s="17">
        <v>0</v>
      </c>
      <c r="J3566" s="17"/>
      <c r="K3566" s="17"/>
      <c r="L3566" s="17"/>
      <c r="M3566" s="17"/>
      <c r="N3566" s="17"/>
      <c r="O3566" s="17"/>
      <c r="P3566" s="17"/>
      <c r="Q3566" s="17"/>
    </row>
    <row r="3567" spans="1:17">
      <c r="A3567" s="556" t="s">
        <v>3652</v>
      </c>
      <c r="B3567" s="557" t="s">
        <v>9428</v>
      </c>
      <c r="C3567" s="558" t="s">
        <v>2710</v>
      </c>
      <c r="D3567" s="556" t="s">
        <v>4324</v>
      </c>
      <c r="E3567" s="17" t="s">
        <v>6982</v>
      </c>
      <c r="F3567" s="17">
        <v>113</v>
      </c>
      <c r="G3567" s="17">
        <v>4</v>
      </c>
      <c r="H3567" s="17" t="s">
        <v>8172</v>
      </c>
      <c r="I3567" s="17"/>
      <c r="J3567" s="17"/>
      <c r="K3567" s="17"/>
      <c r="L3567" s="17"/>
      <c r="M3567" s="17"/>
      <c r="N3567" s="17"/>
      <c r="O3567" s="17"/>
      <c r="P3567" s="17"/>
      <c r="Q3567" s="17"/>
    </row>
    <row r="3568" spans="1:17">
      <c r="A3568" s="556" t="s">
        <v>3652</v>
      </c>
      <c r="B3568" s="557" t="s">
        <v>9429</v>
      </c>
      <c r="C3568" s="558" t="s">
        <v>2711</v>
      </c>
      <c r="D3568" s="556" t="s">
        <v>2623</v>
      </c>
      <c r="E3568" s="17" t="s">
        <v>6983</v>
      </c>
      <c r="F3568" s="17">
        <v>114</v>
      </c>
      <c r="G3568" s="17">
        <v>1</v>
      </c>
      <c r="H3568" s="17" t="s">
        <v>8173</v>
      </c>
      <c r="I3568" s="17"/>
      <c r="J3568" s="17"/>
      <c r="K3568" s="17"/>
      <c r="L3568" s="17"/>
      <c r="M3568" s="17"/>
      <c r="N3568" s="17"/>
      <c r="O3568" s="17"/>
      <c r="P3568" s="17"/>
      <c r="Q3568" s="17"/>
    </row>
    <row r="3569" spans="1:17">
      <c r="A3569" s="556" t="s">
        <v>3652</v>
      </c>
      <c r="B3569" s="557" t="s">
        <v>9429</v>
      </c>
      <c r="C3569" s="558" t="s">
        <v>2711</v>
      </c>
      <c r="D3569" s="556" t="s">
        <v>2624</v>
      </c>
      <c r="E3569" s="17" t="s">
        <v>6984</v>
      </c>
      <c r="F3569" s="17">
        <v>114</v>
      </c>
      <c r="G3569" s="17">
        <v>2</v>
      </c>
      <c r="H3569" s="17" t="s">
        <v>8174</v>
      </c>
      <c r="I3569" s="17"/>
      <c r="J3569" s="17"/>
      <c r="K3569" s="17"/>
      <c r="L3569" s="17"/>
      <c r="M3569" s="17"/>
      <c r="N3569" s="17"/>
      <c r="O3569" s="17"/>
      <c r="P3569" s="17"/>
      <c r="Q3569" s="17"/>
    </row>
    <row r="3570" spans="1:17">
      <c r="A3570" s="556" t="s">
        <v>3652</v>
      </c>
      <c r="B3570" s="557" t="s">
        <v>9429</v>
      </c>
      <c r="C3570" s="558" t="s">
        <v>2711</v>
      </c>
      <c r="D3570" s="556" t="s">
        <v>4426</v>
      </c>
      <c r="E3570" s="17" t="s">
        <v>6985</v>
      </c>
      <c r="F3570" s="17">
        <v>114</v>
      </c>
      <c r="G3570" s="17">
        <v>3</v>
      </c>
      <c r="H3570" s="17" t="s">
        <v>8175</v>
      </c>
      <c r="I3570" s="17">
        <v>0</v>
      </c>
      <c r="J3570" s="17"/>
      <c r="K3570" s="17"/>
      <c r="L3570" s="17"/>
      <c r="M3570" s="17"/>
      <c r="N3570" s="17"/>
      <c r="O3570" s="17"/>
      <c r="P3570" s="17"/>
      <c r="Q3570" s="17"/>
    </row>
    <row r="3571" spans="1:17">
      <c r="A3571" s="556" t="s">
        <v>3652</v>
      </c>
      <c r="B3571" s="557" t="s">
        <v>9429</v>
      </c>
      <c r="C3571" s="558" t="s">
        <v>2711</v>
      </c>
      <c r="D3571" s="556" t="s">
        <v>4324</v>
      </c>
      <c r="E3571" s="17" t="s">
        <v>6986</v>
      </c>
      <c r="F3571" s="17">
        <v>114</v>
      </c>
      <c r="G3571" s="17">
        <v>4</v>
      </c>
      <c r="H3571" s="17" t="s">
        <v>8176</v>
      </c>
      <c r="I3571" s="17"/>
      <c r="J3571" s="17"/>
      <c r="K3571" s="17"/>
      <c r="L3571" s="17"/>
      <c r="M3571" s="17"/>
      <c r="N3571" s="17"/>
      <c r="O3571" s="17"/>
      <c r="P3571" s="17"/>
      <c r="Q3571" s="17"/>
    </row>
    <row r="3572" spans="1:17">
      <c r="A3572" s="556" t="s">
        <v>3652</v>
      </c>
      <c r="B3572" s="557" t="s">
        <v>9430</v>
      </c>
      <c r="C3572" s="558" t="s">
        <v>2712</v>
      </c>
      <c r="D3572" s="556" t="s">
        <v>2623</v>
      </c>
      <c r="E3572" s="17" t="s">
        <v>6987</v>
      </c>
      <c r="F3572" s="17">
        <v>115</v>
      </c>
      <c r="G3572" s="17">
        <v>1</v>
      </c>
      <c r="H3572" s="17" t="s">
        <v>8177</v>
      </c>
      <c r="I3572" s="17"/>
      <c r="J3572" s="17"/>
      <c r="K3572" s="17"/>
      <c r="L3572" s="17"/>
      <c r="M3572" s="17"/>
      <c r="N3572" s="17"/>
      <c r="O3572" s="17"/>
      <c r="P3572" s="17"/>
      <c r="Q3572" s="17"/>
    </row>
    <row r="3573" spans="1:17">
      <c r="A3573" s="556" t="s">
        <v>3652</v>
      </c>
      <c r="B3573" s="557" t="s">
        <v>9430</v>
      </c>
      <c r="C3573" s="558" t="s">
        <v>2712</v>
      </c>
      <c r="D3573" s="556" t="s">
        <v>2624</v>
      </c>
      <c r="E3573" s="17" t="s">
        <v>6988</v>
      </c>
      <c r="F3573" s="17">
        <v>115</v>
      </c>
      <c r="G3573" s="17">
        <v>2</v>
      </c>
      <c r="H3573" s="17" t="s">
        <v>8178</v>
      </c>
      <c r="I3573" s="17"/>
      <c r="J3573" s="17"/>
      <c r="K3573" s="17"/>
      <c r="L3573" s="17"/>
      <c r="M3573" s="17"/>
      <c r="N3573" s="17"/>
      <c r="O3573" s="17"/>
      <c r="P3573" s="17"/>
      <c r="Q3573" s="17"/>
    </row>
    <row r="3574" spans="1:17">
      <c r="A3574" s="556" t="s">
        <v>3652</v>
      </c>
      <c r="B3574" s="557" t="s">
        <v>9430</v>
      </c>
      <c r="C3574" s="558" t="s">
        <v>2712</v>
      </c>
      <c r="D3574" s="556" t="s">
        <v>4426</v>
      </c>
      <c r="E3574" s="17" t="s">
        <v>6989</v>
      </c>
      <c r="F3574" s="17">
        <v>115</v>
      </c>
      <c r="G3574" s="17">
        <v>3</v>
      </c>
      <c r="H3574" s="17" t="s">
        <v>8179</v>
      </c>
      <c r="I3574" s="17">
        <v>0</v>
      </c>
      <c r="J3574" s="17"/>
      <c r="K3574" s="17"/>
      <c r="L3574" s="17"/>
      <c r="M3574" s="17"/>
      <c r="N3574" s="17"/>
      <c r="O3574" s="17"/>
      <c r="P3574" s="17"/>
      <c r="Q3574" s="17"/>
    </row>
    <row r="3575" spans="1:17">
      <c r="A3575" s="556" t="s">
        <v>3652</v>
      </c>
      <c r="B3575" s="557" t="s">
        <v>9430</v>
      </c>
      <c r="C3575" s="558" t="s">
        <v>2712</v>
      </c>
      <c r="D3575" s="556" t="s">
        <v>4324</v>
      </c>
      <c r="E3575" s="17" t="s">
        <v>6990</v>
      </c>
      <c r="F3575" s="17">
        <v>115</v>
      </c>
      <c r="G3575" s="17">
        <v>4</v>
      </c>
      <c r="H3575" s="17" t="s">
        <v>8180</v>
      </c>
      <c r="I3575" s="17"/>
      <c r="J3575" s="17"/>
      <c r="K3575" s="17"/>
      <c r="L3575" s="17"/>
      <c r="M3575" s="17"/>
      <c r="N3575" s="17"/>
      <c r="O3575" s="17"/>
      <c r="P3575" s="17"/>
      <c r="Q3575" s="17"/>
    </row>
    <row r="3576" spans="1:17">
      <c r="A3576" s="556" t="s">
        <v>3652</v>
      </c>
      <c r="B3576" s="557" t="s">
        <v>9431</v>
      </c>
      <c r="C3576" s="558" t="s">
        <v>2713</v>
      </c>
      <c r="D3576" s="556" t="s">
        <v>2623</v>
      </c>
      <c r="E3576" s="17" t="s">
        <v>6991</v>
      </c>
      <c r="F3576" s="17">
        <v>116</v>
      </c>
      <c r="G3576" s="17">
        <v>1</v>
      </c>
      <c r="H3576" s="17" t="s">
        <v>8181</v>
      </c>
      <c r="I3576" s="17"/>
      <c r="J3576" s="17"/>
      <c r="K3576" s="17"/>
      <c r="L3576" s="17"/>
      <c r="M3576" s="17"/>
      <c r="N3576" s="17"/>
      <c r="O3576" s="17"/>
      <c r="P3576" s="17"/>
      <c r="Q3576" s="17"/>
    </row>
    <row r="3577" spans="1:17">
      <c r="A3577" s="556" t="s">
        <v>3652</v>
      </c>
      <c r="B3577" s="557" t="s">
        <v>9431</v>
      </c>
      <c r="C3577" s="558" t="s">
        <v>2713</v>
      </c>
      <c r="D3577" s="556" t="s">
        <v>2624</v>
      </c>
      <c r="E3577" s="17" t="s">
        <v>6992</v>
      </c>
      <c r="F3577" s="17">
        <v>116</v>
      </c>
      <c r="G3577" s="17">
        <v>2</v>
      </c>
      <c r="H3577" s="17" t="s">
        <v>8182</v>
      </c>
      <c r="I3577" s="17"/>
      <c r="J3577" s="17"/>
      <c r="K3577" s="17"/>
      <c r="L3577" s="17"/>
      <c r="M3577" s="17"/>
      <c r="N3577" s="17"/>
      <c r="O3577" s="17"/>
      <c r="P3577" s="17"/>
      <c r="Q3577" s="17"/>
    </row>
    <row r="3578" spans="1:17">
      <c r="A3578" s="556" t="s">
        <v>3652</v>
      </c>
      <c r="B3578" s="557" t="s">
        <v>9431</v>
      </c>
      <c r="C3578" s="558" t="s">
        <v>2713</v>
      </c>
      <c r="D3578" s="556" t="s">
        <v>4426</v>
      </c>
      <c r="E3578" s="17" t="s">
        <v>6993</v>
      </c>
      <c r="F3578" s="17">
        <v>116</v>
      </c>
      <c r="G3578" s="17">
        <v>3</v>
      </c>
      <c r="H3578" s="17" t="s">
        <v>8183</v>
      </c>
      <c r="I3578" s="17">
        <v>0</v>
      </c>
      <c r="J3578" s="17"/>
      <c r="K3578" s="17"/>
      <c r="L3578" s="17"/>
      <c r="M3578" s="17"/>
      <c r="N3578" s="17"/>
      <c r="O3578" s="17"/>
      <c r="P3578" s="17"/>
      <c r="Q3578" s="17"/>
    </row>
    <row r="3579" spans="1:17">
      <c r="A3579" s="556" t="s">
        <v>3652</v>
      </c>
      <c r="B3579" s="557" t="s">
        <v>9431</v>
      </c>
      <c r="C3579" s="558" t="s">
        <v>2713</v>
      </c>
      <c r="D3579" s="556" t="s">
        <v>4324</v>
      </c>
      <c r="E3579" s="17" t="s">
        <v>6994</v>
      </c>
      <c r="F3579" s="17">
        <v>116</v>
      </c>
      <c r="G3579" s="17">
        <v>4</v>
      </c>
      <c r="H3579" s="17" t="s">
        <v>8184</v>
      </c>
      <c r="I3579" s="17"/>
      <c r="J3579" s="17"/>
      <c r="K3579" s="17"/>
      <c r="L3579" s="17"/>
      <c r="M3579" s="17"/>
      <c r="N3579" s="17"/>
      <c r="O3579" s="17"/>
      <c r="P3579" s="17"/>
      <c r="Q3579" s="17"/>
    </row>
    <row r="3580" spans="1:17">
      <c r="A3580" s="556" t="s">
        <v>3652</v>
      </c>
      <c r="B3580" s="557" t="s">
        <v>9432</v>
      </c>
      <c r="C3580" s="558" t="s">
        <v>2714</v>
      </c>
      <c r="D3580" s="556" t="s">
        <v>2623</v>
      </c>
      <c r="E3580" s="17" t="s">
        <v>6995</v>
      </c>
      <c r="F3580" s="17">
        <v>117</v>
      </c>
      <c r="G3580" s="17">
        <v>1</v>
      </c>
      <c r="H3580" s="17" t="s">
        <v>8185</v>
      </c>
      <c r="I3580" s="17"/>
      <c r="J3580" s="17"/>
      <c r="K3580" s="17"/>
      <c r="L3580" s="17"/>
      <c r="M3580" s="17"/>
      <c r="N3580" s="17"/>
      <c r="O3580" s="17"/>
      <c r="P3580" s="17"/>
      <c r="Q3580" s="17"/>
    </row>
    <row r="3581" spans="1:17">
      <c r="A3581" s="556" t="s">
        <v>3652</v>
      </c>
      <c r="B3581" s="557" t="s">
        <v>9432</v>
      </c>
      <c r="C3581" s="558" t="s">
        <v>2714</v>
      </c>
      <c r="D3581" s="556" t="s">
        <v>2624</v>
      </c>
      <c r="E3581" s="17" t="s">
        <v>6996</v>
      </c>
      <c r="F3581" s="17">
        <v>117</v>
      </c>
      <c r="G3581" s="17">
        <v>2</v>
      </c>
      <c r="H3581" s="17" t="s">
        <v>8186</v>
      </c>
      <c r="I3581" s="17"/>
      <c r="J3581" s="17"/>
      <c r="K3581" s="17"/>
      <c r="L3581" s="17"/>
      <c r="M3581" s="17"/>
      <c r="N3581" s="17"/>
      <c r="O3581" s="17"/>
      <c r="P3581" s="17"/>
      <c r="Q3581" s="17"/>
    </row>
    <row r="3582" spans="1:17">
      <c r="A3582" s="556" t="s">
        <v>3652</v>
      </c>
      <c r="B3582" s="557" t="s">
        <v>9432</v>
      </c>
      <c r="C3582" s="558" t="s">
        <v>2714</v>
      </c>
      <c r="D3582" s="556" t="s">
        <v>4426</v>
      </c>
      <c r="E3582" s="17" t="s">
        <v>6997</v>
      </c>
      <c r="F3582" s="17">
        <v>117</v>
      </c>
      <c r="G3582" s="17">
        <v>3</v>
      </c>
      <c r="H3582" s="17" t="s">
        <v>8187</v>
      </c>
      <c r="I3582" s="17">
        <v>0</v>
      </c>
      <c r="J3582" s="17"/>
      <c r="K3582" s="17"/>
      <c r="L3582" s="17"/>
      <c r="M3582" s="17"/>
      <c r="N3582" s="17"/>
      <c r="O3582" s="17"/>
      <c r="P3582" s="17"/>
      <c r="Q3582" s="17"/>
    </row>
    <row r="3583" spans="1:17">
      <c r="A3583" s="556" t="s">
        <v>3652</v>
      </c>
      <c r="B3583" s="557" t="s">
        <v>9432</v>
      </c>
      <c r="C3583" s="558" t="s">
        <v>2714</v>
      </c>
      <c r="D3583" s="556" t="s">
        <v>4324</v>
      </c>
      <c r="E3583" s="17" t="s">
        <v>6998</v>
      </c>
      <c r="F3583" s="17">
        <v>117</v>
      </c>
      <c r="G3583" s="17">
        <v>4</v>
      </c>
      <c r="H3583" s="17" t="s">
        <v>8188</v>
      </c>
      <c r="I3583" s="17"/>
      <c r="J3583" s="17"/>
      <c r="K3583" s="17"/>
      <c r="L3583" s="17"/>
      <c r="M3583" s="17"/>
      <c r="N3583" s="17"/>
      <c r="O3583" s="17"/>
      <c r="P3583" s="17"/>
      <c r="Q3583" s="17"/>
    </row>
    <row r="3584" spans="1:17">
      <c r="A3584" s="556" t="s">
        <v>3652</v>
      </c>
      <c r="B3584" s="557" t="s">
        <v>9433</v>
      </c>
      <c r="C3584" s="558" t="s">
        <v>2206</v>
      </c>
      <c r="D3584" s="556" t="s">
        <v>2623</v>
      </c>
      <c r="E3584" s="17" t="s">
        <v>6999</v>
      </c>
      <c r="F3584" s="17">
        <v>118</v>
      </c>
      <c r="G3584" s="17">
        <v>1</v>
      </c>
      <c r="H3584" s="17" t="s">
        <v>8189</v>
      </c>
      <c r="I3584" s="17"/>
      <c r="J3584" s="17"/>
      <c r="K3584" s="17"/>
      <c r="L3584" s="17"/>
      <c r="M3584" s="17"/>
      <c r="N3584" s="17"/>
      <c r="O3584" s="17"/>
      <c r="P3584" s="17"/>
      <c r="Q3584" s="17"/>
    </row>
    <row r="3585" spans="1:17">
      <c r="A3585" s="556" t="s">
        <v>3652</v>
      </c>
      <c r="B3585" s="557" t="s">
        <v>9433</v>
      </c>
      <c r="C3585" s="558" t="s">
        <v>2206</v>
      </c>
      <c r="D3585" s="556" t="s">
        <v>2624</v>
      </c>
      <c r="E3585" s="17" t="s">
        <v>7000</v>
      </c>
      <c r="F3585" s="17">
        <v>118</v>
      </c>
      <c r="G3585" s="17">
        <v>2</v>
      </c>
      <c r="H3585" s="17" t="s">
        <v>8190</v>
      </c>
      <c r="I3585" s="17"/>
      <c r="J3585" s="17"/>
      <c r="K3585" s="17"/>
      <c r="L3585" s="17"/>
      <c r="M3585" s="17"/>
      <c r="N3585" s="17"/>
      <c r="O3585" s="17"/>
      <c r="P3585" s="17"/>
      <c r="Q3585" s="17"/>
    </row>
    <row r="3586" spans="1:17">
      <c r="A3586" s="556" t="s">
        <v>3652</v>
      </c>
      <c r="B3586" s="557" t="s">
        <v>9433</v>
      </c>
      <c r="C3586" s="558" t="s">
        <v>2206</v>
      </c>
      <c r="D3586" s="556" t="s">
        <v>4426</v>
      </c>
      <c r="E3586" s="17" t="s">
        <v>7001</v>
      </c>
      <c r="F3586" s="17">
        <v>118</v>
      </c>
      <c r="G3586" s="17">
        <v>3</v>
      </c>
      <c r="H3586" s="17" t="s">
        <v>8191</v>
      </c>
      <c r="I3586" s="17">
        <v>0</v>
      </c>
      <c r="J3586" s="17"/>
      <c r="K3586" s="17"/>
      <c r="L3586" s="17"/>
      <c r="M3586" s="17"/>
      <c r="N3586" s="17"/>
      <c r="O3586" s="17"/>
      <c r="P3586" s="17"/>
      <c r="Q3586" s="17"/>
    </row>
    <row r="3587" spans="1:17">
      <c r="A3587" s="556" t="s">
        <v>3652</v>
      </c>
      <c r="B3587" s="557" t="s">
        <v>9433</v>
      </c>
      <c r="C3587" s="558" t="s">
        <v>2206</v>
      </c>
      <c r="D3587" s="556" t="s">
        <v>4324</v>
      </c>
      <c r="E3587" s="17" t="s">
        <v>7002</v>
      </c>
      <c r="F3587" s="17">
        <v>118</v>
      </c>
      <c r="G3587" s="17">
        <v>4</v>
      </c>
      <c r="H3587" s="17" t="s">
        <v>8192</v>
      </c>
      <c r="I3587" s="17"/>
      <c r="J3587" s="17"/>
      <c r="K3587" s="17"/>
      <c r="L3587" s="17"/>
      <c r="M3587" s="17"/>
      <c r="N3587" s="17"/>
      <c r="O3587" s="17"/>
      <c r="P3587" s="17"/>
      <c r="Q3587" s="17"/>
    </row>
    <row r="3588" spans="1:17">
      <c r="A3588" s="556" t="s">
        <v>3652</v>
      </c>
      <c r="B3588" s="557" t="s">
        <v>9434</v>
      </c>
      <c r="C3588" s="558" t="s">
        <v>2715</v>
      </c>
      <c r="D3588" s="556" t="s">
        <v>2623</v>
      </c>
      <c r="E3588" s="17" t="s">
        <v>7003</v>
      </c>
      <c r="F3588" s="17">
        <v>119</v>
      </c>
      <c r="G3588" s="17">
        <v>1</v>
      </c>
      <c r="H3588" s="17" t="s">
        <v>8193</v>
      </c>
      <c r="I3588" s="17"/>
      <c r="J3588" s="17"/>
      <c r="K3588" s="17"/>
      <c r="L3588" s="17"/>
      <c r="M3588" s="17"/>
      <c r="N3588" s="17"/>
      <c r="O3588" s="17"/>
      <c r="P3588" s="17"/>
      <c r="Q3588" s="17"/>
    </row>
    <row r="3589" spans="1:17">
      <c r="A3589" s="556" t="s">
        <v>3652</v>
      </c>
      <c r="B3589" s="557" t="s">
        <v>9434</v>
      </c>
      <c r="C3589" s="558" t="s">
        <v>2715</v>
      </c>
      <c r="D3589" s="556" t="s">
        <v>2624</v>
      </c>
      <c r="E3589" s="17" t="s">
        <v>7004</v>
      </c>
      <c r="F3589" s="17">
        <v>119</v>
      </c>
      <c r="G3589" s="17">
        <v>2</v>
      </c>
      <c r="H3589" s="17" t="s">
        <v>8194</v>
      </c>
      <c r="I3589" s="17"/>
      <c r="J3589" s="17"/>
      <c r="K3589" s="17"/>
      <c r="L3589" s="17"/>
      <c r="M3589" s="17"/>
      <c r="N3589" s="17"/>
      <c r="O3589" s="17"/>
      <c r="P3589" s="17"/>
      <c r="Q3589" s="17"/>
    </row>
    <row r="3590" spans="1:17">
      <c r="A3590" s="556" t="s">
        <v>3652</v>
      </c>
      <c r="B3590" s="557" t="s">
        <v>9434</v>
      </c>
      <c r="C3590" s="558" t="s">
        <v>2715</v>
      </c>
      <c r="D3590" s="556" t="s">
        <v>4426</v>
      </c>
      <c r="E3590" s="17" t="s">
        <v>7005</v>
      </c>
      <c r="F3590" s="17">
        <v>119</v>
      </c>
      <c r="G3590" s="17">
        <v>3</v>
      </c>
      <c r="H3590" s="17" t="s">
        <v>8195</v>
      </c>
      <c r="I3590" s="17">
        <v>0</v>
      </c>
      <c r="J3590" s="17"/>
      <c r="K3590" s="17"/>
      <c r="L3590" s="17"/>
      <c r="M3590" s="17"/>
      <c r="N3590" s="17"/>
      <c r="O3590" s="17"/>
      <c r="P3590" s="17"/>
      <c r="Q3590" s="17"/>
    </row>
    <row r="3591" spans="1:17">
      <c r="A3591" s="556" t="s">
        <v>3652</v>
      </c>
      <c r="B3591" s="557" t="s">
        <v>9434</v>
      </c>
      <c r="C3591" s="558" t="s">
        <v>2715</v>
      </c>
      <c r="D3591" s="556" t="s">
        <v>4324</v>
      </c>
      <c r="E3591" s="17" t="s">
        <v>7006</v>
      </c>
      <c r="F3591" s="17">
        <v>119</v>
      </c>
      <c r="G3591" s="17">
        <v>4</v>
      </c>
      <c r="H3591" s="17" t="s">
        <v>8196</v>
      </c>
      <c r="I3591" s="17"/>
      <c r="J3591" s="17"/>
      <c r="K3591" s="17"/>
      <c r="L3591" s="17"/>
      <c r="M3591" s="17"/>
      <c r="N3591" s="17"/>
      <c r="O3591" s="17"/>
      <c r="P3591" s="17"/>
      <c r="Q3591" s="17"/>
    </row>
    <row r="3592" spans="1:17">
      <c r="A3592" s="556" t="s">
        <v>3652</v>
      </c>
      <c r="B3592" s="557" t="s">
        <v>9435</v>
      </c>
      <c r="C3592" s="558" t="s">
        <v>2716</v>
      </c>
      <c r="D3592" s="556" t="s">
        <v>2623</v>
      </c>
      <c r="E3592" s="17" t="s">
        <v>7007</v>
      </c>
      <c r="F3592" s="17">
        <v>120</v>
      </c>
      <c r="G3592" s="17">
        <v>1</v>
      </c>
      <c r="H3592" s="17" t="s">
        <v>8197</v>
      </c>
      <c r="I3592" s="17"/>
      <c r="J3592" s="17"/>
      <c r="K3592" s="17"/>
      <c r="L3592" s="17"/>
      <c r="M3592" s="17"/>
      <c r="N3592" s="17"/>
      <c r="O3592" s="17"/>
      <c r="P3592" s="17"/>
      <c r="Q3592" s="17"/>
    </row>
    <row r="3593" spans="1:17">
      <c r="A3593" s="556" t="s">
        <v>3652</v>
      </c>
      <c r="B3593" s="557" t="s">
        <v>9435</v>
      </c>
      <c r="C3593" s="558" t="s">
        <v>2716</v>
      </c>
      <c r="D3593" s="556" t="s">
        <v>2624</v>
      </c>
      <c r="E3593" s="17" t="s">
        <v>7008</v>
      </c>
      <c r="F3593" s="17">
        <v>120</v>
      </c>
      <c r="G3593" s="17">
        <v>2</v>
      </c>
      <c r="H3593" s="17" t="s">
        <v>8198</v>
      </c>
      <c r="I3593" s="17"/>
      <c r="J3593" s="17"/>
      <c r="K3593" s="17"/>
      <c r="L3593" s="17"/>
      <c r="M3593" s="17"/>
      <c r="N3593" s="17"/>
      <c r="O3593" s="17"/>
      <c r="P3593" s="17"/>
      <c r="Q3593" s="17"/>
    </row>
    <row r="3594" spans="1:17">
      <c r="A3594" s="556" t="s">
        <v>3652</v>
      </c>
      <c r="B3594" s="557" t="s">
        <v>9435</v>
      </c>
      <c r="C3594" s="558" t="s">
        <v>2716</v>
      </c>
      <c r="D3594" s="556" t="s">
        <v>4426</v>
      </c>
      <c r="E3594" s="17" t="s">
        <v>7009</v>
      </c>
      <c r="F3594" s="17">
        <v>120</v>
      </c>
      <c r="G3594" s="17">
        <v>3</v>
      </c>
      <c r="H3594" s="17" t="s">
        <v>8199</v>
      </c>
      <c r="I3594" s="17">
        <v>0</v>
      </c>
      <c r="J3594" s="17"/>
      <c r="K3594" s="17"/>
      <c r="L3594" s="17"/>
      <c r="M3594" s="17"/>
      <c r="N3594" s="17"/>
      <c r="O3594" s="17"/>
      <c r="P3594" s="17"/>
      <c r="Q3594" s="17"/>
    </row>
    <row r="3595" spans="1:17">
      <c r="A3595" s="556" t="s">
        <v>3652</v>
      </c>
      <c r="B3595" s="557" t="s">
        <v>9435</v>
      </c>
      <c r="C3595" s="558" t="s">
        <v>2716</v>
      </c>
      <c r="D3595" s="556" t="s">
        <v>4324</v>
      </c>
      <c r="E3595" s="17" t="s">
        <v>7010</v>
      </c>
      <c r="F3595" s="17">
        <v>120</v>
      </c>
      <c r="G3595" s="17">
        <v>4</v>
      </c>
      <c r="H3595" s="17" t="s">
        <v>8200</v>
      </c>
      <c r="I3595" s="17"/>
      <c r="J3595" s="17"/>
      <c r="K3595" s="17"/>
      <c r="L3595" s="17"/>
      <c r="M3595" s="17"/>
      <c r="N3595" s="17"/>
      <c r="O3595" s="17"/>
      <c r="P3595" s="17"/>
      <c r="Q3595" s="17"/>
    </row>
    <row r="3596" spans="1:17">
      <c r="A3596" s="556" t="s">
        <v>3652</v>
      </c>
      <c r="B3596" s="557" t="s">
        <v>9436</v>
      </c>
      <c r="C3596" s="558" t="s">
        <v>2717</v>
      </c>
      <c r="D3596" s="556" t="s">
        <v>2623</v>
      </c>
      <c r="E3596" s="17" t="s">
        <v>7011</v>
      </c>
      <c r="F3596" s="17">
        <v>121</v>
      </c>
      <c r="G3596" s="17">
        <v>1</v>
      </c>
      <c r="H3596" s="17" t="s">
        <v>8201</v>
      </c>
      <c r="I3596" s="17"/>
      <c r="J3596" s="17"/>
      <c r="K3596" s="17"/>
      <c r="L3596" s="17"/>
      <c r="M3596" s="17"/>
      <c r="N3596" s="17"/>
      <c r="O3596" s="17"/>
      <c r="P3596" s="17"/>
      <c r="Q3596" s="17"/>
    </row>
    <row r="3597" spans="1:17">
      <c r="A3597" s="556" t="s">
        <v>3652</v>
      </c>
      <c r="B3597" s="557" t="s">
        <v>9436</v>
      </c>
      <c r="C3597" s="558" t="s">
        <v>2717</v>
      </c>
      <c r="D3597" s="556" t="s">
        <v>2624</v>
      </c>
      <c r="E3597" s="17" t="s">
        <v>7012</v>
      </c>
      <c r="F3597" s="17">
        <v>121</v>
      </c>
      <c r="G3597" s="17">
        <v>2</v>
      </c>
      <c r="H3597" s="17" t="s">
        <v>8202</v>
      </c>
      <c r="I3597" s="17"/>
      <c r="J3597" s="17"/>
      <c r="K3597" s="17"/>
      <c r="L3597" s="17"/>
      <c r="M3597" s="17"/>
      <c r="N3597" s="17"/>
      <c r="O3597" s="17"/>
      <c r="P3597" s="17"/>
      <c r="Q3597" s="17"/>
    </row>
    <row r="3598" spans="1:17">
      <c r="A3598" s="556" t="s">
        <v>3652</v>
      </c>
      <c r="B3598" s="557" t="s">
        <v>9436</v>
      </c>
      <c r="C3598" s="558" t="s">
        <v>2717</v>
      </c>
      <c r="D3598" s="556" t="s">
        <v>4426</v>
      </c>
      <c r="E3598" s="17" t="s">
        <v>7013</v>
      </c>
      <c r="F3598" s="17">
        <v>121</v>
      </c>
      <c r="G3598" s="17">
        <v>3</v>
      </c>
      <c r="H3598" s="17" t="s">
        <v>8203</v>
      </c>
      <c r="I3598" s="17">
        <v>0</v>
      </c>
      <c r="J3598" s="17"/>
      <c r="K3598" s="17"/>
      <c r="L3598" s="17"/>
      <c r="M3598" s="17"/>
      <c r="N3598" s="17"/>
      <c r="O3598" s="17"/>
      <c r="P3598" s="17"/>
      <c r="Q3598" s="17"/>
    </row>
    <row r="3599" spans="1:17">
      <c r="A3599" s="556" t="s">
        <v>3652</v>
      </c>
      <c r="B3599" s="557" t="s">
        <v>9436</v>
      </c>
      <c r="C3599" s="558" t="s">
        <v>2717</v>
      </c>
      <c r="D3599" s="556" t="s">
        <v>4324</v>
      </c>
      <c r="E3599" s="17" t="s">
        <v>7014</v>
      </c>
      <c r="F3599" s="17">
        <v>121</v>
      </c>
      <c r="G3599" s="17">
        <v>4</v>
      </c>
      <c r="H3599" s="17" t="s">
        <v>8204</v>
      </c>
      <c r="I3599" s="17"/>
      <c r="J3599" s="17"/>
      <c r="K3599" s="17"/>
      <c r="L3599" s="17"/>
      <c r="M3599" s="17"/>
      <c r="N3599" s="17"/>
      <c r="O3599" s="17"/>
      <c r="P3599" s="17"/>
      <c r="Q3599" s="17"/>
    </row>
    <row r="3600" spans="1:17">
      <c r="A3600" s="556" t="s">
        <v>3652</v>
      </c>
      <c r="B3600" s="557" t="s">
        <v>9437</v>
      </c>
      <c r="C3600" s="558" t="s">
        <v>2718</v>
      </c>
      <c r="D3600" s="556" t="s">
        <v>2623</v>
      </c>
      <c r="E3600" s="17" t="s">
        <v>7015</v>
      </c>
      <c r="F3600" s="17">
        <v>122</v>
      </c>
      <c r="G3600" s="17">
        <v>1</v>
      </c>
      <c r="H3600" s="17" t="s">
        <v>8205</v>
      </c>
      <c r="I3600" s="17"/>
      <c r="J3600" s="17"/>
      <c r="K3600" s="17"/>
      <c r="L3600" s="17"/>
      <c r="M3600" s="17"/>
      <c r="N3600" s="17"/>
      <c r="O3600" s="17"/>
      <c r="P3600" s="17"/>
      <c r="Q3600" s="17"/>
    </row>
    <row r="3601" spans="1:17">
      <c r="A3601" s="556" t="s">
        <v>3652</v>
      </c>
      <c r="B3601" s="557" t="s">
        <v>9437</v>
      </c>
      <c r="C3601" s="558" t="s">
        <v>2718</v>
      </c>
      <c r="D3601" s="556" t="s">
        <v>2624</v>
      </c>
      <c r="E3601" s="17" t="s">
        <v>7016</v>
      </c>
      <c r="F3601" s="17">
        <v>122</v>
      </c>
      <c r="G3601" s="17">
        <v>2</v>
      </c>
      <c r="H3601" s="17" t="s">
        <v>8206</v>
      </c>
      <c r="I3601" s="17"/>
      <c r="J3601" s="17"/>
      <c r="K3601" s="17"/>
      <c r="L3601" s="17"/>
      <c r="M3601" s="17"/>
      <c r="N3601" s="17"/>
      <c r="O3601" s="17"/>
      <c r="P3601" s="17"/>
      <c r="Q3601" s="17"/>
    </row>
    <row r="3602" spans="1:17">
      <c r="A3602" s="556" t="s">
        <v>3652</v>
      </c>
      <c r="B3602" s="557" t="s">
        <v>9437</v>
      </c>
      <c r="C3602" s="558" t="s">
        <v>2718</v>
      </c>
      <c r="D3602" s="556" t="s">
        <v>4426</v>
      </c>
      <c r="E3602" s="17" t="s">
        <v>7017</v>
      </c>
      <c r="F3602" s="17">
        <v>122</v>
      </c>
      <c r="G3602" s="17">
        <v>3</v>
      </c>
      <c r="H3602" s="17" t="s">
        <v>8207</v>
      </c>
      <c r="I3602" s="17">
        <v>0</v>
      </c>
      <c r="J3602" s="17"/>
      <c r="K3602" s="17"/>
      <c r="L3602" s="17"/>
      <c r="M3602" s="17"/>
      <c r="N3602" s="17"/>
      <c r="O3602" s="17"/>
      <c r="P3602" s="17"/>
      <c r="Q3602" s="17"/>
    </row>
    <row r="3603" spans="1:17">
      <c r="A3603" s="556" t="s">
        <v>3652</v>
      </c>
      <c r="B3603" s="557" t="s">
        <v>9437</v>
      </c>
      <c r="C3603" s="558" t="s">
        <v>2718</v>
      </c>
      <c r="D3603" s="556" t="s">
        <v>4324</v>
      </c>
      <c r="E3603" s="17" t="s">
        <v>7018</v>
      </c>
      <c r="F3603" s="17">
        <v>122</v>
      </c>
      <c r="G3603" s="17">
        <v>4</v>
      </c>
      <c r="H3603" s="17" t="s">
        <v>8208</v>
      </c>
      <c r="I3603" s="17"/>
      <c r="J3603" s="17"/>
      <c r="K3603" s="17"/>
      <c r="L3603" s="17"/>
      <c r="M3603" s="17"/>
      <c r="N3603" s="17"/>
      <c r="O3603" s="17"/>
      <c r="P3603" s="17"/>
      <c r="Q3603" s="17"/>
    </row>
    <row r="3604" spans="1:17">
      <c r="A3604" s="556" t="s">
        <v>3652</v>
      </c>
      <c r="B3604" s="557" t="s">
        <v>9438</v>
      </c>
      <c r="C3604" s="558" t="s">
        <v>2719</v>
      </c>
      <c r="D3604" s="556" t="s">
        <v>2623</v>
      </c>
      <c r="E3604" s="17" t="s">
        <v>7019</v>
      </c>
      <c r="F3604" s="17">
        <v>123</v>
      </c>
      <c r="G3604" s="17">
        <v>1</v>
      </c>
      <c r="H3604" s="17" t="s">
        <v>8209</v>
      </c>
      <c r="I3604" s="17"/>
      <c r="J3604" s="17"/>
      <c r="K3604" s="17"/>
      <c r="L3604" s="17"/>
      <c r="M3604" s="17"/>
      <c r="N3604" s="17"/>
      <c r="O3604" s="17"/>
      <c r="P3604" s="17"/>
      <c r="Q3604" s="17"/>
    </row>
    <row r="3605" spans="1:17">
      <c r="A3605" s="556" t="s">
        <v>3652</v>
      </c>
      <c r="B3605" s="557" t="s">
        <v>9438</v>
      </c>
      <c r="C3605" s="558" t="s">
        <v>2719</v>
      </c>
      <c r="D3605" s="556" t="s">
        <v>2624</v>
      </c>
      <c r="E3605" s="17" t="s">
        <v>7020</v>
      </c>
      <c r="F3605" s="17">
        <v>123</v>
      </c>
      <c r="G3605" s="17">
        <v>2</v>
      </c>
      <c r="H3605" s="17" t="s">
        <v>8210</v>
      </c>
      <c r="I3605" s="17"/>
      <c r="J3605" s="17"/>
      <c r="K3605" s="17"/>
      <c r="L3605" s="17"/>
      <c r="M3605" s="17"/>
      <c r="N3605" s="17"/>
      <c r="O3605" s="17"/>
      <c r="P3605" s="17"/>
      <c r="Q3605" s="17"/>
    </row>
    <row r="3606" spans="1:17">
      <c r="A3606" s="556" t="s">
        <v>3652</v>
      </c>
      <c r="B3606" s="557" t="s">
        <v>9438</v>
      </c>
      <c r="C3606" s="558" t="s">
        <v>2719</v>
      </c>
      <c r="D3606" s="556" t="s">
        <v>4426</v>
      </c>
      <c r="E3606" s="17" t="s">
        <v>7021</v>
      </c>
      <c r="F3606" s="17">
        <v>123</v>
      </c>
      <c r="G3606" s="17">
        <v>3</v>
      </c>
      <c r="H3606" s="17" t="s">
        <v>8211</v>
      </c>
      <c r="I3606" s="17">
        <v>0</v>
      </c>
      <c r="J3606" s="17"/>
      <c r="K3606" s="17"/>
      <c r="L3606" s="17"/>
      <c r="M3606" s="17"/>
      <c r="N3606" s="17"/>
      <c r="O3606" s="17"/>
      <c r="P3606" s="17"/>
      <c r="Q3606" s="17"/>
    </row>
    <row r="3607" spans="1:17">
      <c r="A3607" s="556" t="s">
        <v>3652</v>
      </c>
      <c r="B3607" s="557" t="s">
        <v>9438</v>
      </c>
      <c r="C3607" s="558" t="s">
        <v>2719</v>
      </c>
      <c r="D3607" s="556" t="s">
        <v>4324</v>
      </c>
      <c r="E3607" s="17" t="s">
        <v>7022</v>
      </c>
      <c r="F3607" s="17">
        <v>123</v>
      </c>
      <c r="G3607" s="17">
        <v>4</v>
      </c>
      <c r="H3607" s="17" t="s">
        <v>8212</v>
      </c>
      <c r="I3607" s="17"/>
      <c r="J3607" s="17"/>
      <c r="K3607" s="17"/>
      <c r="L3607" s="17"/>
      <c r="M3607" s="17"/>
      <c r="N3607" s="17"/>
      <c r="O3607" s="17"/>
      <c r="P3607" s="17"/>
      <c r="Q3607" s="17"/>
    </row>
    <row r="3608" spans="1:17">
      <c r="A3608" s="556" t="s">
        <v>3652</v>
      </c>
      <c r="B3608" s="557" t="s">
        <v>9439</v>
      </c>
      <c r="C3608" s="558" t="s">
        <v>2208</v>
      </c>
      <c r="D3608" s="556" t="s">
        <v>2623</v>
      </c>
      <c r="E3608" s="17" t="s">
        <v>7023</v>
      </c>
      <c r="F3608" s="17">
        <v>124</v>
      </c>
      <c r="G3608" s="17">
        <v>1</v>
      </c>
      <c r="H3608" s="17" t="s">
        <v>8213</v>
      </c>
      <c r="I3608" s="17"/>
      <c r="J3608" s="17"/>
      <c r="K3608" s="17"/>
      <c r="L3608" s="17"/>
      <c r="M3608" s="17"/>
      <c r="N3608" s="17"/>
      <c r="O3608" s="17"/>
      <c r="P3608" s="17"/>
      <c r="Q3608" s="17"/>
    </row>
    <row r="3609" spans="1:17">
      <c r="A3609" s="556" t="s">
        <v>3652</v>
      </c>
      <c r="B3609" s="557" t="s">
        <v>9439</v>
      </c>
      <c r="C3609" s="558" t="s">
        <v>2208</v>
      </c>
      <c r="D3609" s="556" t="s">
        <v>2624</v>
      </c>
      <c r="E3609" s="17" t="s">
        <v>7024</v>
      </c>
      <c r="F3609" s="17">
        <v>124</v>
      </c>
      <c r="G3609" s="17">
        <v>2</v>
      </c>
      <c r="H3609" s="17" t="s">
        <v>8214</v>
      </c>
      <c r="I3609" s="17"/>
      <c r="J3609" s="17"/>
      <c r="K3609" s="17"/>
      <c r="L3609" s="17"/>
      <c r="M3609" s="17"/>
      <c r="N3609" s="17"/>
      <c r="O3609" s="17"/>
      <c r="P3609" s="17"/>
      <c r="Q3609" s="17"/>
    </row>
    <row r="3610" spans="1:17">
      <c r="A3610" s="556" t="s">
        <v>3652</v>
      </c>
      <c r="B3610" s="557" t="s">
        <v>9439</v>
      </c>
      <c r="C3610" s="558" t="s">
        <v>2208</v>
      </c>
      <c r="D3610" s="556" t="s">
        <v>4426</v>
      </c>
      <c r="E3610" s="17" t="s">
        <v>7025</v>
      </c>
      <c r="F3610" s="17">
        <v>124</v>
      </c>
      <c r="G3610" s="17">
        <v>3</v>
      </c>
      <c r="H3610" s="17" t="s">
        <v>8215</v>
      </c>
      <c r="I3610" s="17">
        <v>0</v>
      </c>
      <c r="J3610" s="17"/>
      <c r="K3610" s="17"/>
      <c r="L3610" s="17"/>
      <c r="M3610" s="17"/>
      <c r="N3610" s="17"/>
      <c r="O3610" s="17"/>
      <c r="P3610" s="17"/>
      <c r="Q3610" s="17"/>
    </row>
    <row r="3611" spans="1:17">
      <c r="A3611" s="556" t="s">
        <v>3652</v>
      </c>
      <c r="B3611" s="557" t="s">
        <v>9439</v>
      </c>
      <c r="C3611" s="558" t="s">
        <v>2208</v>
      </c>
      <c r="D3611" s="556" t="s">
        <v>4324</v>
      </c>
      <c r="E3611" s="17" t="s">
        <v>7026</v>
      </c>
      <c r="F3611" s="17">
        <v>124</v>
      </c>
      <c r="G3611" s="17">
        <v>4</v>
      </c>
      <c r="H3611" s="17" t="s">
        <v>8216</v>
      </c>
      <c r="I3611" s="17"/>
      <c r="J3611" s="17"/>
      <c r="K3611" s="17"/>
      <c r="L3611" s="17"/>
      <c r="M3611" s="17"/>
      <c r="N3611" s="17"/>
      <c r="O3611" s="17"/>
      <c r="P3611" s="17"/>
      <c r="Q3611" s="17"/>
    </row>
    <row r="3612" spans="1:17">
      <c r="A3612" s="556" t="s">
        <v>3652</v>
      </c>
      <c r="B3612" s="557" t="s">
        <v>9440</v>
      </c>
      <c r="C3612" s="558" t="s">
        <v>2720</v>
      </c>
      <c r="D3612" s="556" t="s">
        <v>2623</v>
      </c>
      <c r="E3612" s="17" t="s">
        <v>7027</v>
      </c>
      <c r="F3612" s="17">
        <v>125</v>
      </c>
      <c r="G3612" s="17">
        <v>1</v>
      </c>
      <c r="H3612" s="17" t="s">
        <v>8217</v>
      </c>
      <c r="I3612" s="17"/>
      <c r="J3612" s="17"/>
      <c r="K3612" s="17"/>
      <c r="L3612" s="17"/>
      <c r="M3612" s="17"/>
      <c r="N3612" s="17"/>
      <c r="O3612" s="17"/>
      <c r="P3612" s="17"/>
      <c r="Q3612" s="17"/>
    </row>
    <row r="3613" spans="1:17">
      <c r="A3613" s="556" t="s">
        <v>3652</v>
      </c>
      <c r="B3613" s="557" t="s">
        <v>9440</v>
      </c>
      <c r="C3613" s="558" t="s">
        <v>2720</v>
      </c>
      <c r="D3613" s="556" t="s">
        <v>2624</v>
      </c>
      <c r="E3613" s="17" t="s">
        <v>7028</v>
      </c>
      <c r="F3613" s="17">
        <v>125</v>
      </c>
      <c r="G3613" s="17">
        <v>2</v>
      </c>
      <c r="H3613" s="17" t="s">
        <v>8218</v>
      </c>
      <c r="I3613" s="17"/>
      <c r="J3613" s="17"/>
      <c r="K3613" s="17"/>
      <c r="L3613" s="17"/>
      <c r="M3613" s="17"/>
      <c r="N3613" s="17"/>
      <c r="O3613" s="17"/>
      <c r="P3613" s="17"/>
      <c r="Q3613" s="17"/>
    </row>
    <row r="3614" spans="1:17">
      <c r="A3614" s="556" t="s">
        <v>3652</v>
      </c>
      <c r="B3614" s="557" t="s">
        <v>9440</v>
      </c>
      <c r="C3614" s="558" t="s">
        <v>2720</v>
      </c>
      <c r="D3614" s="556" t="s">
        <v>4426</v>
      </c>
      <c r="E3614" s="17" t="s">
        <v>7029</v>
      </c>
      <c r="F3614" s="17">
        <v>125</v>
      </c>
      <c r="G3614" s="17">
        <v>3</v>
      </c>
      <c r="H3614" s="17" t="s">
        <v>8219</v>
      </c>
      <c r="I3614" s="17">
        <v>0</v>
      </c>
      <c r="J3614" s="17"/>
      <c r="K3614" s="17"/>
      <c r="L3614" s="17"/>
      <c r="M3614" s="17"/>
      <c r="N3614" s="17"/>
      <c r="O3614" s="17"/>
      <c r="P3614" s="17"/>
      <c r="Q3614" s="17"/>
    </row>
    <row r="3615" spans="1:17">
      <c r="A3615" s="556" t="s">
        <v>3652</v>
      </c>
      <c r="B3615" s="557" t="s">
        <v>9440</v>
      </c>
      <c r="C3615" s="558" t="s">
        <v>2720</v>
      </c>
      <c r="D3615" s="556" t="s">
        <v>4324</v>
      </c>
      <c r="E3615" s="17" t="s">
        <v>7030</v>
      </c>
      <c r="F3615" s="17">
        <v>125</v>
      </c>
      <c r="G3615" s="17">
        <v>4</v>
      </c>
      <c r="H3615" s="17" t="s">
        <v>8220</v>
      </c>
      <c r="I3615" s="17"/>
      <c r="J3615" s="17"/>
      <c r="K3615" s="17"/>
      <c r="L3615" s="17"/>
      <c r="M3615" s="17"/>
      <c r="N3615" s="17"/>
      <c r="O3615" s="17"/>
      <c r="P3615" s="17"/>
      <c r="Q3615" s="17"/>
    </row>
    <row r="3616" spans="1:17">
      <c r="A3616" s="556" t="s">
        <v>3652</v>
      </c>
      <c r="B3616" s="557" t="s">
        <v>9441</v>
      </c>
      <c r="C3616" s="558" t="s">
        <v>2721</v>
      </c>
      <c r="D3616" s="556" t="s">
        <v>2623</v>
      </c>
      <c r="E3616" s="17" t="s">
        <v>7031</v>
      </c>
      <c r="F3616" s="17">
        <v>126</v>
      </c>
      <c r="G3616" s="17">
        <v>1</v>
      </c>
      <c r="H3616" s="17" t="s">
        <v>8221</v>
      </c>
      <c r="I3616" s="17"/>
      <c r="J3616" s="17"/>
      <c r="K3616" s="17"/>
      <c r="L3616" s="17"/>
      <c r="M3616" s="17"/>
      <c r="N3616" s="17"/>
      <c r="O3616" s="17"/>
      <c r="P3616" s="17"/>
      <c r="Q3616" s="17"/>
    </row>
    <row r="3617" spans="1:17">
      <c r="A3617" s="556" t="s">
        <v>3652</v>
      </c>
      <c r="B3617" s="557" t="s">
        <v>9441</v>
      </c>
      <c r="C3617" s="558" t="s">
        <v>2721</v>
      </c>
      <c r="D3617" s="556" t="s">
        <v>2624</v>
      </c>
      <c r="E3617" s="17" t="s">
        <v>7032</v>
      </c>
      <c r="F3617" s="17">
        <v>126</v>
      </c>
      <c r="G3617" s="17">
        <v>2</v>
      </c>
      <c r="H3617" s="17" t="s">
        <v>8222</v>
      </c>
      <c r="I3617" s="17"/>
      <c r="J3617" s="17"/>
      <c r="K3617" s="17"/>
      <c r="L3617" s="17"/>
      <c r="M3617" s="17"/>
      <c r="N3617" s="17"/>
      <c r="O3617" s="17"/>
      <c r="P3617" s="17"/>
      <c r="Q3617" s="17"/>
    </row>
    <row r="3618" spans="1:17">
      <c r="A3618" s="556" t="s">
        <v>3652</v>
      </c>
      <c r="B3618" s="557" t="s">
        <v>9441</v>
      </c>
      <c r="C3618" s="558" t="s">
        <v>2721</v>
      </c>
      <c r="D3618" s="556" t="s">
        <v>4426</v>
      </c>
      <c r="E3618" s="17" t="s">
        <v>7033</v>
      </c>
      <c r="F3618" s="17">
        <v>126</v>
      </c>
      <c r="G3618" s="17">
        <v>3</v>
      </c>
      <c r="H3618" s="17" t="s">
        <v>8223</v>
      </c>
      <c r="I3618" s="17">
        <v>0</v>
      </c>
      <c r="J3618" s="17"/>
      <c r="K3618" s="17"/>
      <c r="L3618" s="17"/>
      <c r="M3618" s="17"/>
      <c r="N3618" s="17"/>
      <c r="O3618" s="17"/>
      <c r="P3618" s="17"/>
      <c r="Q3618" s="17"/>
    </row>
    <row r="3619" spans="1:17">
      <c r="A3619" s="556" t="s">
        <v>3652</v>
      </c>
      <c r="B3619" s="557" t="s">
        <v>9441</v>
      </c>
      <c r="C3619" s="558" t="s">
        <v>2721</v>
      </c>
      <c r="D3619" s="556" t="s">
        <v>4324</v>
      </c>
      <c r="E3619" s="17" t="s">
        <v>7034</v>
      </c>
      <c r="F3619" s="17">
        <v>126</v>
      </c>
      <c r="G3619" s="17">
        <v>4</v>
      </c>
      <c r="H3619" s="17" t="s">
        <v>8224</v>
      </c>
      <c r="I3619" s="17"/>
      <c r="J3619" s="17"/>
      <c r="K3619" s="17"/>
      <c r="L3619" s="17"/>
      <c r="M3619" s="17"/>
      <c r="N3619" s="17"/>
      <c r="O3619" s="17"/>
      <c r="P3619" s="17"/>
      <c r="Q3619" s="17"/>
    </row>
    <row r="3620" spans="1:17">
      <c r="A3620" s="556" t="s">
        <v>3652</v>
      </c>
      <c r="B3620" s="557" t="s">
        <v>9442</v>
      </c>
      <c r="C3620" s="558" t="s">
        <v>2722</v>
      </c>
      <c r="D3620" s="556" t="s">
        <v>2623</v>
      </c>
      <c r="E3620" s="17" t="s">
        <v>7035</v>
      </c>
      <c r="F3620" s="17">
        <v>127</v>
      </c>
      <c r="G3620" s="17">
        <v>1</v>
      </c>
      <c r="H3620" s="17" t="s">
        <v>8225</v>
      </c>
      <c r="I3620" s="17"/>
      <c r="J3620" s="17"/>
      <c r="K3620" s="17"/>
      <c r="L3620" s="17"/>
      <c r="M3620" s="17"/>
      <c r="N3620" s="17"/>
      <c r="O3620" s="17"/>
      <c r="P3620" s="17"/>
      <c r="Q3620" s="17"/>
    </row>
    <row r="3621" spans="1:17">
      <c r="A3621" s="556" t="s">
        <v>3652</v>
      </c>
      <c r="B3621" s="557" t="s">
        <v>9442</v>
      </c>
      <c r="C3621" s="558" t="s">
        <v>2722</v>
      </c>
      <c r="D3621" s="556" t="s">
        <v>2624</v>
      </c>
      <c r="E3621" s="17" t="s">
        <v>7036</v>
      </c>
      <c r="F3621" s="17">
        <v>127</v>
      </c>
      <c r="G3621" s="17">
        <v>2</v>
      </c>
      <c r="H3621" s="17" t="s">
        <v>8226</v>
      </c>
      <c r="I3621" s="17"/>
      <c r="J3621" s="17"/>
      <c r="K3621" s="17"/>
      <c r="L3621" s="17"/>
      <c r="M3621" s="17"/>
      <c r="N3621" s="17"/>
      <c r="O3621" s="17"/>
      <c r="P3621" s="17"/>
      <c r="Q3621" s="17"/>
    </row>
    <row r="3622" spans="1:17">
      <c r="A3622" s="556" t="s">
        <v>3652</v>
      </c>
      <c r="B3622" s="557" t="s">
        <v>9442</v>
      </c>
      <c r="C3622" s="558" t="s">
        <v>2722</v>
      </c>
      <c r="D3622" s="556" t="s">
        <v>4426</v>
      </c>
      <c r="E3622" s="17" t="s">
        <v>7037</v>
      </c>
      <c r="F3622" s="17">
        <v>127</v>
      </c>
      <c r="G3622" s="17">
        <v>3</v>
      </c>
      <c r="H3622" s="17" t="s">
        <v>8227</v>
      </c>
      <c r="I3622" s="17">
        <v>0</v>
      </c>
      <c r="J3622" s="17"/>
      <c r="K3622" s="17"/>
      <c r="L3622" s="17"/>
      <c r="M3622" s="17"/>
      <c r="N3622" s="17"/>
      <c r="O3622" s="17"/>
      <c r="P3622" s="17"/>
      <c r="Q3622" s="17"/>
    </row>
    <row r="3623" spans="1:17">
      <c r="A3623" s="556" t="s">
        <v>3652</v>
      </c>
      <c r="B3623" s="557" t="s">
        <v>9442</v>
      </c>
      <c r="C3623" s="558" t="s">
        <v>2722</v>
      </c>
      <c r="D3623" s="556" t="s">
        <v>4324</v>
      </c>
      <c r="E3623" s="17" t="s">
        <v>7038</v>
      </c>
      <c r="F3623" s="17">
        <v>127</v>
      </c>
      <c r="G3623" s="17">
        <v>4</v>
      </c>
      <c r="H3623" s="17" t="s">
        <v>8228</v>
      </c>
      <c r="I3623" s="17"/>
      <c r="J3623" s="17"/>
      <c r="K3623" s="17"/>
      <c r="L3623" s="17"/>
      <c r="M3623" s="17"/>
      <c r="N3623" s="17"/>
      <c r="O3623" s="17"/>
      <c r="P3623" s="17"/>
      <c r="Q3623" s="17"/>
    </row>
    <row r="3624" spans="1:17">
      <c r="A3624" s="556" t="s">
        <v>3652</v>
      </c>
      <c r="B3624" s="557" t="s">
        <v>9443</v>
      </c>
      <c r="C3624" s="558" t="s">
        <v>2723</v>
      </c>
      <c r="D3624" s="556" t="s">
        <v>2623</v>
      </c>
      <c r="E3624" s="17" t="s">
        <v>7039</v>
      </c>
      <c r="F3624" s="17">
        <v>128</v>
      </c>
      <c r="G3624" s="17">
        <v>1</v>
      </c>
      <c r="H3624" s="17" t="s">
        <v>8229</v>
      </c>
      <c r="I3624" s="17"/>
      <c r="J3624" s="17"/>
      <c r="K3624" s="17"/>
      <c r="L3624" s="17"/>
      <c r="M3624" s="17"/>
      <c r="N3624" s="17"/>
      <c r="O3624" s="17"/>
      <c r="P3624" s="17"/>
      <c r="Q3624" s="17"/>
    </row>
    <row r="3625" spans="1:17">
      <c r="A3625" s="556" t="s">
        <v>3652</v>
      </c>
      <c r="B3625" s="557" t="s">
        <v>9443</v>
      </c>
      <c r="C3625" s="558" t="s">
        <v>2723</v>
      </c>
      <c r="D3625" s="556" t="s">
        <v>2624</v>
      </c>
      <c r="E3625" s="17" t="s">
        <v>7040</v>
      </c>
      <c r="F3625" s="17">
        <v>128</v>
      </c>
      <c r="G3625" s="17">
        <v>2</v>
      </c>
      <c r="H3625" s="17" t="s">
        <v>8230</v>
      </c>
      <c r="I3625" s="17"/>
      <c r="J3625" s="17"/>
      <c r="K3625" s="17"/>
      <c r="L3625" s="17"/>
      <c r="M3625" s="17"/>
      <c r="N3625" s="17"/>
      <c r="O3625" s="17"/>
      <c r="P3625" s="17"/>
      <c r="Q3625" s="17"/>
    </row>
    <row r="3626" spans="1:17">
      <c r="A3626" s="556" t="s">
        <v>3652</v>
      </c>
      <c r="B3626" s="557" t="s">
        <v>9443</v>
      </c>
      <c r="C3626" s="558" t="s">
        <v>2723</v>
      </c>
      <c r="D3626" s="556" t="s">
        <v>4426</v>
      </c>
      <c r="E3626" s="17" t="s">
        <v>7041</v>
      </c>
      <c r="F3626" s="17">
        <v>128</v>
      </c>
      <c r="G3626" s="17">
        <v>3</v>
      </c>
      <c r="H3626" s="17" t="s">
        <v>8231</v>
      </c>
      <c r="I3626" s="17">
        <v>0</v>
      </c>
      <c r="J3626" s="17"/>
      <c r="K3626" s="17"/>
      <c r="L3626" s="17"/>
      <c r="M3626" s="17"/>
      <c r="N3626" s="17"/>
      <c r="O3626" s="17"/>
      <c r="P3626" s="17"/>
      <c r="Q3626" s="17"/>
    </row>
    <row r="3627" spans="1:17">
      <c r="A3627" s="556" t="s">
        <v>3652</v>
      </c>
      <c r="B3627" s="557" t="s">
        <v>9443</v>
      </c>
      <c r="C3627" s="558" t="s">
        <v>2723</v>
      </c>
      <c r="D3627" s="556" t="s">
        <v>4324</v>
      </c>
      <c r="E3627" s="17" t="s">
        <v>7042</v>
      </c>
      <c r="F3627" s="17">
        <v>128</v>
      </c>
      <c r="G3627" s="17">
        <v>4</v>
      </c>
      <c r="H3627" s="17" t="s">
        <v>8232</v>
      </c>
      <c r="I3627" s="17"/>
      <c r="J3627" s="17"/>
      <c r="K3627" s="17"/>
      <c r="L3627" s="17"/>
      <c r="M3627" s="17"/>
      <c r="N3627" s="17"/>
      <c r="O3627" s="17"/>
      <c r="P3627" s="17"/>
      <c r="Q3627" s="17"/>
    </row>
    <row r="3628" spans="1:17">
      <c r="A3628" s="556" t="s">
        <v>3652</v>
      </c>
      <c r="B3628" s="557" t="s">
        <v>9444</v>
      </c>
      <c r="C3628" s="558" t="s">
        <v>2724</v>
      </c>
      <c r="D3628" s="556" t="s">
        <v>2623</v>
      </c>
      <c r="E3628" s="17" t="s">
        <v>7043</v>
      </c>
      <c r="F3628" s="17">
        <v>129</v>
      </c>
      <c r="G3628" s="17">
        <v>1</v>
      </c>
      <c r="H3628" s="17" t="s">
        <v>8233</v>
      </c>
      <c r="I3628" s="17"/>
      <c r="J3628" s="17"/>
      <c r="K3628" s="17"/>
      <c r="L3628" s="17"/>
      <c r="M3628" s="17"/>
      <c r="N3628" s="17"/>
      <c r="O3628" s="17"/>
      <c r="P3628" s="17"/>
      <c r="Q3628" s="17"/>
    </row>
    <row r="3629" spans="1:17">
      <c r="A3629" s="556" t="s">
        <v>3652</v>
      </c>
      <c r="B3629" s="557" t="s">
        <v>9444</v>
      </c>
      <c r="C3629" s="558" t="s">
        <v>2724</v>
      </c>
      <c r="D3629" s="556" t="s">
        <v>2624</v>
      </c>
      <c r="E3629" s="17" t="s">
        <v>7044</v>
      </c>
      <c r="F3629" s="17">
        <v>129</v>
      </c>
      <c r="G3629" s="17">
        <v>2</v>
      </c>
      <c r="H3629" s="17" t="s">
        <v>8234</v>
      </c>
      <c r="I3629" s="17"/>
      <c r="J3629" s="17"/>
      <c r="K3629" s="17"/>
      <c r="L3629" s="17"/>
      <c r="M3629" s="17"/>
      <c r="N3629" s="17"/>
      <c r="O3629" s="17"/>
      <c r="P3629" s="17"/>
      <c r="Q3629" s="17"/>
    </row>
    <row r="3630" spans="1:17">
      <c r="A3630" s="556" t="s">
        <v>3652</v>
      </c>
      <c r="B3630" s="557" t="s">
        <v>9444</v>
      </c>
      <c r="C3630" s="558" t="s">
        <v>2724</v>
      </c>
      <c r="D3630" s="556" t="s">
        <v>4426</v>
      </c>
      <c r="E3630" s="17" t="s">
        <v>7045</v>
      </c>
      <c r="F3630" s="17">
        <v>129</v>
      </c>
      <c r="G3630" s="17">
        <v>3</v>
      </c>
      <c r="H3630" s="17" t="s">
        <v>8235</v>
      </c>
      <c r="I3630" s="17">
        <v>0</v>
      </c>
      <c r="J3630" s="17"/>
      <c r="K3630" s="17"/>
      <c r="L3630" s="17"/>
      <c r="M3630" s="17"/>
      <c r="N3630" s="17"/>
      <c r="O3630" s="17"/>
      <c r="P3630" s="17"/>
      <c r="Q3630" s="17"/>
    </row>
    <row r="3631" spans="1:17">
      <c r="A3631" s="556" t="s">
        <v>3652</v>
      </c>
      <c r="B3631" s="557" t="s">
        <v>9444</v>
      </c>
      <c r="C3631" s="558" t="s">
        <v>2724</v>
      </c>
      <c r="D3631" s="556" t="s">
        <v>4324</v>
      </c>
      <c r="E3631" s="17" t="s">
        <v>7046</v>
      </c>
      <c r="F3631" s="17">
        <v>129</v>
      </c>
      <c r="G3631" s="17">
        <v>4</v>
      </c>
      <c r="H3631" s="17" t="s">
        <v>8236</v>
      </c>
      <c r="I3631" s="17"/>
      <c r="J3631" s="17"/>
      <c r="K3631" s="17"/>
      <c r="L3631" s="17"/>
      <c r="M3631" s="17"/>
      <c r="N3631" s="17"/>
      <c r="O3631" s="17"/>
      <c r="P3631" s="17"/>
      <c r="Q3631" s="17"/>
    </row>
    <row r="3632" spans="1:17">
      <c r="A3632" s="556" t="s">
        <v>3652</v>
      </c>
      <c r="B3632" s="557" t="s">
        <v>9445</v>
      </c>
      <c r="C3632" s="558" t="s">
        <v>2725</v>
      </c>
      <c r="D3632" s="556" t="s">
        <v>2623</v>
      </c>
      <c r="E3632" s="17" t="s">
        <v>7047</v>
      </c>
      <c r="F3632" s="17">
        <v>130</v>
      </c>
      <c r="G3632" s="17">
        <v>1</v>
      </c>
      <c r="H3632" s="17" t="s">
        <v>8237</v>
      </c>
      <c r="I3632" s="17"/>
      <c r="J3632" s="17"/>
      <c r="K3632" s="17"/>
      <c r="L3632" s="17"/>
      <c r="M3632" s="17"/>
      <c r="N3632" s="17"/>
      <c r="O3632" s="17"/>
      <c r="P3632" s="17"/>
      <c r="Q3632" s="17"/>
    </row>
    <row r="3633" spans="1:17">
      <c r="A3633" s="556" t="s">
        <v>3652</v>
      </c>
      <c r="B3633" s="557" t="s">
        <v>9445</v>
      </c>
      <c r="C3633" s="558" t="s">
        <v>2725</v>
      </c>
      <c r="D3633" s="556" t="s">
        <v>2624</v>
      </c>
      <c r="E3633" s="17" t="s">
        <v>7048</v>
      </c>
      <c r="F3633" s="17">
        <v>130</v>
      </c>
      <c r="G3633" s="17">
        <v>2</v>
      </c>
      <c r="H3633" s="17" t="s">
        <v>8238</v>
      </c>
      <c r="I3633" s="17"/>
      <c r="J3633" s="17"/>
      <c r="K3633" s="17"/>
      <c r="L3633" s="17"/>
      <c r="M3633" s="17"/>
      <c r="N3633" s="17"/>
      <c r="O3633" s="17"/>
      <c r="P3633" s="17"/>
      <c r="Q3633" s="17"/>
    </row>
    <row r="3634" spans="1:17">
      <c r="A3634" s="556" t="s">
        <v>3652</v>
      </c>
      <c r="B3634" s="557" t="s">
        <v>9445</v>
      </c>
      <c r="C3634" s="558" t="s">
        <v>2725</v>
      </c>
      <c r="D3634" s="556" t="s">
        <v>4426</v>
      </c>
      <c r="E3634" s="17" t="s">
        <v>7049</v>
      </c>
      <c r="F3634" s="17">
        <v>130</v>
      </c>
      <c r="G3634" s="17">
        <v>3</v>
      </c>
      <c r="H3634" s="17" t="s">
        <v>8239</v>
      </c>
      <c r="I3634" s="17">
        <v>0</v>
      </c>
      <c r="J3634" s="17"/>
      <c r="K3634" s="17"/>
      <c r="L3634" s="17"/>
      <c r="M3634" s="17"/>
      <c r="N3634" s="17"/>
      <c r="O3634" s="17"/>
      <c r="P3634" s="17"/>
      <c r="Q3634" s="17"/>
    </row>
    <row r="3635" spans="1:17">
      <c r="A3635" s="556" t="s">
        <v>3652</v>
      </c>
      <c r="B3635" s="557" t="s">
        <v>9445</v>
      </c>
      <c r="C3635" s="558" t="s">
        <v>2725</v>
      </c>
      <c r="D3635" s="556" t="s">
        <v>4324</v>
      </c>
      <c r="E3635" s="17" t="s">
        <v>7050</v>
      </c>
      <c r="F3635" s="17">
        <v>130</v>
      </c>
      <c r="G3635" s="17">
        <v>4</v>
      </c>
      <c r="H3635" s="17" t="s">
        <v>8240</v>
      </c>
      <c r="I3635" s="17"/>
      <c r="J3635" s="17"/>
      <c r="K3635" s="17"/>
      <c r="L3635" s="17"/>
      <c r="M3635" s="17"/>
      <c r="N3635" s="17"/>
      <c r="O3635" s="17"/>
      <c r="P3635" s="17"/>
      <c r="Q3635" s="17"/>
    </row>
    <row r="3636" spans="1:17">
      <c r="A3636" s="556" t="s">
        <v>3652</v>
      </c>
      <c r="B3636" s="557" t="s">
        <v>9446</v>
      </c>
      <c r="C3636" s="558" t="s">
        <v>2726</v>
      </c>
      <c r="D3636" s="556" t="s">
        <v>2623</v>
      </c>
      <c r="E3636" s="17" t="s">
        <v>7051</v>
      </c>
      <c r="F3636" s="17">
        <v>131</v>
      </c>
      <c r="G3636" s="17">
        <v>1</v>
      </c>
      <c r="H3636" s="17" t="s">
        <v>8241</v>
      </c>
      <c r="I3636" s="17"/>
      <c r="J3636" s="17"/>
      <c r="K3636" s="17"/>
      <c r="L3636" s="17"/>
      <c r="M3636" s="17"/>
      <c r="N3636" s="17"/>
      <c r="O3636" s="17"/>
      <c r="P3636" s="17"/>
      <c r="Q3636" s="17"/>
    </row>
    <row r="3637" spans="1:17">
      <c r="A3637" s="556" t="s">
        <v>3652</v>
      </c>
      <c r="B3637" s="557" t="s">
        <v>9446</v>
      </c>
      <c r="C3637" s="558" t="s">
        <v>2726</v>
      </c>
      <c r="D3637" s="556" t="s">
        <v>2624</v>
      </c>
      <c r="E3637" s="17" t="s">
        <v>7052</v>
      </c>
      <c r="F3637" s="17">
        <v>131</v>
      </c>
      <c r="G3637" s="17">
        <v>2</v>
      </c>
      <c r="H3637" s="17" t="s">
        <v>8242</v>
      </c>
      <c r="I3637" s="17"/>
      <c r="J3637" s="17"/>
      <c r="K3637" s="17"/>
      <c r="L3637" s="17"/>
      <c r="M3637" s="17"/>
      <c r="N3637" s="17"/>
      <c r="O3637" s="17"/>
      <c r="P3637" s="17"/>
      <c r="Q3637" s="17"/>
    </row>
    <row r="3638" spans="1:17">
      <c r="A3638" s="556" t="s">
        <v>3652</v>
      </c>
      <c r="B3638" s="557" t="s">
        <v>9446</v>
      </c>
      <c r="C3638" s="558" t="s">
        <v>2726</v>
      </c>
      <c r="D3638" s="556" t="s">
        <v>4426</v>
      </c>
      <c r="E3638" s="17" t="s">
        <v>7053</v>
      </c>
      <c r="F3638" s="17">
        <v>131</v>
      </c>
      <c r="G3638" s="17">
        <v>3</v>
      </c>
      <c r="H3638" s="17" t="s">
        <v>8243</v>
      </c>
      <c r="I3638" s="17">
        <v>0</v>
      </c>
      <c r="J3638" s="17"/>
      <c r="K3638" s="17"/>
      <c r="L3638" s="17"/>
      <c r="M3638" s="17"/>
      <c r="N3638" s="17"/>
      <c r="O3638" s="17"/>
      <c r="P3638" s="17"/>
      <c r="Q3638" s="17"/>
    </row>
    <row r="3639" spans="1:17">
      <c r="A3639" s="556" t="s">
        <v>3652</v>
      </c>
      <c r="B3639" s="557" t="s">
        <v>9446</v>
      </c>
      <c r="C3639" s="558" t="s">
        <v>2726</v>
      </c>
      <c r="D3639" s="556" t="s">
        <v>4324</v>
      </c>
      <c r="E3639" s="17" t="s">
        <v>7054</v>
      </c>
      <c r="F3639" s="17">
        <v>131</v>
      </c>
      <c r="G3639" s="17">
        <v>4</v>
      </c>
      <c r="H3639" s="17" t="s">
        <v>8244</v>
      </c>
      <c r="I3639" s="17"/>
      <c r="J3639" s="17"/>
      <c r="K3639" s="17"/>
      <c r="L3639" s="17"/>
      <c r="M3639" s="17"/>
      <c r="N3639" s="17"/>
      <c r="O3639" s="17"/>
      <c r="P3639" s="17"/>
      <c r="Q3639" s="17"/>
    </row>
    <row r="3640" spans="1:17">
      <c r="A3640" s="556" t="s">
        <v>3652</v>
      </c>
      <c r="B3640" s="557" t="s">
        <v>9447</v>
      </c>
      <c r="C3640" s="558" t="s">
        <v>2727</v>
      </c>
      <c r="D3640" s="556" t="s">
        <v>2623</v>
      </c>
      <c r="E3640" s="17" t="s">
        <v>7055</v>
      </c>
      <c r="F3640" s="17">
        <v>132</v>
      </c>
      <c r="G3640" s="17">
        <v>1</v>
      </c>
      <c r="H3640" s="17" t="s">
        <v>8245</v>
      </c>
      <c r="I3640" s="17"/>
      <c r="J3640" s="17"/>
      <c r="K3640" s="17"/>
      <c r="L3640" s="17"/>
      <c r="M3640" s="17"/>
      <c r="N3640" s="17"/>
      <c r="O3640" s="17"/>
      <c r="P3640" s="17"/>
      <c r="Q3640" s="17"/>
    </row>
    <row r="3641" spans="1:17">
      <c r="A3641" s="556" t="s">
        <v>3652</v>
      </c>
      <c r="B3641" s="557" t="s">
        <v>9447</v>
      </c>
      <c r="C3641" s="558" t="s">
        <v>2727</v>
      </c>
      <c r="D3641" s="556" t="s">
        <v>2624</v>
      </c>
      <c r="E3641" s="17" t="s">
        <v>7056</v>
      </c>
      <c r="F3641" s="17">
        <v>132</v>
      </c>
      <c r="G3641" s="17">
        <v>2</v>
      </c>
      <c r="H3641" s="17" t="s">
        <v>8246</v>
      </c>
      <c r="I3641" s="17"/>
      <c r="J3641" s="17"/>
      <c r="K3641" s="17"/>
      <c r="L3641" s="17"/>
      <c r="M3641" s="17"/>
      <c r="N3641" s="17"/>
      <c r="O3641" s="17"/>
      <c r="P3641" s="17"/>
      <c r="Q3641" s="17"/>
    </row>
    <row r="3642" spans="1:17">
      <c r="A3642" s="556" t="s">
        <v>3652</v>
      </c>
      <c r="B3642" s="557" t="s">
        <v>9447</v>
      </c>
      <c r="C3642" s="558" t="s">
        <v>2727</v>
      </c>
      <c r="D3642" s="556" t="s">
        <v>4426</v>
      </c>
      <c r="E3642" s="17" t="s">
        <v>7057</v>
      </c>
      <c r="F3642" s="17">
        <v>132</v>
      </c>
      <c r="G3642" s="17">
        <v>3</v>
      </c>
      <c r="H3642" s="17" t="s">
        <v>8247</v>
      </c>
      <c r="I3642" s="17">
        <v>0</v>
      </c>
      <c r="J3642" s="17"/>
      <c r="K3642" s="17"/>
      <c r="L3642" s="17"/>
      <c r="M3642" s="17"/>
      <c r="N3642" s="17"/>
      <c r="O3642" s="17"/>
      <c r="P3642" s="17"/>
      <c r="Q3642" s="17"/>
    </row>
    <row r="3643" spans="1:17">
      <c r="A3643" s="556" t="s">
        <v>3652</v>
      </c>
      <c r="B3643" s="557" t="s">
        <v>9447</v>
      </c>
      <c r="C3643" s="558" t="s">
        <v>2727</v>
      </c>
      <c r="D3643" s="556" t="s">
        <v>4324</v>
      </c>
      <c r="E3643" s="17" t="s">
        <v>7058</v>
      </c>
      <c r="F3643" s="17">
        <v>132</v>
      </c>
      <c r="G3643" s="17">
        <v>4</v>
      </c>
      <c r="H3643" s="17" t="s">
        <v>8248</v>
      </c>
      <c r="I3643" s="17"/>
      <c r="J3643" s="17"/>
      <c r="K3643" s="17"/>
      <c r="L3643" s="17"/>
      <c r="M3643" s="17"/>
      <c r="N3643" s="17"/>
      <c r="O3643" s="17"/>
      <c r="P3643" s="17"/>
      <c r="Q3643" s="17"/>
    </row>
    <row r="3644" spans="1:17">
      <c r="A3644" s="556" t="s">
        <v>3652</v>
      </c>
      <c r="B3644" s="557" t="s">
        <v>9448</v>
      </c>
      <c r="C3644" s="558" t="s">
        <v>2728</v>
      </c>
      <c r="D3644" s="556" t="s">
        <v>2623</v>
      </c>
      <c r="E3644" s="17" t="s">
        <v>7059</v>
      </c>
      <c r="F3644" s="17">
        <v>133</v>
      </c>
      <c r="G3644" s="17">
        <v>1</v>
      </c>
      <c r="H3644" s="17" t="s">
        <v>8249</v>
      </c>
      <c r="I3644" s="17"/>
      <c r="J3644" s="17"/>
      <c r="K3644" s="17"/>
      <c r="L3644" s="17"/>
      <c r="M3644" s="17"/>
      <c r="N3644" s="17"/>
      <c r="O3644" s="17"/>
      <c r="P3644" s="17"/>
      <c r="Q3644" s="17"/>
    </row>
    <row r="3645" spans="1:17">
      <c r="A3645" s="556" t="s">
        <v>3652</v>
      </c>
      <c r="B3645" s="557" t="s">
        <v>9448</v>
      </c>
      <c r="C3645" s="558" t="s">
        <v>2728</v>
      </c>
      <c r="D3645" s="556" t="s">
        <v>2624</v>
      </c>
      <c r="E3645" s="17" t="s">
        <v>7060</v>
      </c>
      <c r="F3645" s="17">
        <v>133</v>
      </c>
      <c r="G3645" s="17">
        <v>2</v>
      </c>
      <c r="H3645" s="17" t="s">
        <v>8250</v>
      </c>
      <c r="I3645" s="17"/>
      <c r="J3645" s="17"/>
      <c r="K3645" s="17"/>
      <c r="L3645" s="17"/>
      <c r="M3645" s="17"/>
      <c r="N3645" s="17"/>
      <c r="O3645" s="17"/>
      <c r="P3645" s="17"/>
      <c r="Q3645" s="17"/>
    </row>
    <row r="3646" spans="1:17">
      <c r="A3646" s="556" t="s">
        <v>3652</v>
      </c>
      <c r="B3646" s="557" t="s">
        <v>9448</v>
      </c>
      <c r="C3646" s="558" t="s">
        <v>2728</v>
      </c>
      <c r="D3646" s="556" t="s">
        <v>4426</v>
      </c>
      <c r="E3646" s="17" t="s">
        <v>7061</v>
      </c>
      <c r="F3646" s="17">
        <v>133</v>
      </c>
      <c r="G3646" s="17">
        <v>3</v>
      </c>
      <c r="H3646" s="17" t="s">
        <v>8251</v>
      </c>
      <c r="I3646" s="17">
        <v>0</v>
      </c>
      <c r="J3646" s="17"/>
      <c r="K3646" s="17"/>
      <c r="L3646" s="17"/>
      <c r="M3646" s="17"/>
      <c r="N3646" s="17"/>
      <c r="O3646" s="17"/>
      <c r="P3646" s="17"/>
      <c r="Q3646" s="17"/>
    </row>
    <row r="3647" spans="1:17">
      <c r="A3647" s="556" t="s">
        <v>3652</v>
      </c>
      <c r="B3647" s="557" t="s">
        <v>9448</v>
      </c>
      <c r="C3647" s="558" t="s">
        <v>2728</v>
      </c>
      <c r="D3647" s="556" t="s">
        <v>4324</v>
      </c>
      <c r="E3647" s="17" t="s">
        <v>7062</v>
      </c>
      <c r="F3647" s="17">
        <v>133</v>
      </c>
      <c r="G3647" s="17">
        <v>4</v>
      </c>
      <c r="H3647" s="17" t="s">
        <v>8252</v>
      </c>
      <c r="I3647" s="17"/>
      <c r="J3647" s="17"/>
      <c r="K3647" s="17"/>
      <c r="L3647" s="17"/>
      <c r="M3647" s="17"/>
      <c r="N3647" s="17"/>
      <c r="O3647" s="17"/>
      <c r="P3647" s="17"/>
      <c r="Q3647" s="17"/>
    </row>
    <row r="3648" spans="1:17">
      <c r="A3648" s="556" t="s">
        <v>3652</v>
      </c>
      <c r="B3648" s="557" t="s">
        <v>1302</v>
      </c>
      <c r="C3648" s="558" t="s">
        <v>1303</v>
      </c>
      <c r="D3648" s="556" t="s">
        <v>2623</v>
      </c>
      <c r="E3648" s="17" t="s">
        <v>7063</v>
      </c>
      <c r="F3648" s="17">
        <v>134</v>
      </c>
      <c r="G3648" s="17">
        <v>1</v>
      </c>
      <c r="H3648" s="17" t="s">
        <v>8253</v>
      </c>
      <c r="I3648" s="17">
        <v>0</v>
      </c>
      <c r="J3648" s="17"/>
      <c r="K3648" s="17"/>
      <c r="L3648" s="17"/>
      <c r="M3648" s="17"/>
      <c r="N3648" s="17"/>
      <c r="O3648" s="17"/>
      <c r="P3648" s="17"/>
      <c r="Q3648" s="17"/>
    </row>
    <row r="3649" spans="1:17">
      <c r="A3649" s="556" t="s">
        <v>3652</v>
      </c>
      <c r="B3649" s="557" t="s">
        <v>1302</v>
      </c>
      <c r="C3649" s="558" t="s">
        <v>1303</v>
      </c>
      <c r="D3649" s="556" t="s">
        <v>2624</v>
      </c>
      <c r="E3649" s="17" t="s">
        <v>7064</v>
      </c>
      <c r="F3649" s="17">
        <v>134</v>
      </c>
      <c r="G3649" s="17">
        <v>2</v>
      </c>
      <c r="H3649" s="17" t="s">
        <v>8254</v>
      </c>
      <c r="I3649" s="17">
        <v>0</v>
      </c>
      <c r="J3649" s="17"/>
      <c r="K3649" s="17"/>
      <c r="L3649" s="17"/>
      <c r="M3649" s="17"/>
      <c r="N3649" s="17"/>
      <c r="O3649" s="17"/>
      <c r="P3649" s="17"/>
      <c r="Q3649" s="17"/>
    </row>
    <row r="3650" spans="1:17">
      <c r="A3650" s="556" t="s">
        <v>3652</v>
      </c>
      <c r="B3650" s="557" t="s">
        <v>1302</v>
      </c>
      <c r="C3650" s="558" t="s">
        <v>1303</v>
      </c>
      <c r="D3650" s="556" t="s">
        <v>4426</v>
      </c>
      <c r="E3650" s="17" t="s">
        <v>7065</v>
      </c>
      <c r="F3650" s="17">
        <v>134</v>
      </c>
      <c r="G3650" s="17">
        <v>3</v>
      </c>
      <c r="H3650" s="17" t="s">
        <v>8255</v>
      </c>
      <c r="I3650" s="17">
        <v>0</v>
      </c>
      <c r="J3650" s="17"/>
      <c r="K3650" s="17"/>
      <c r="L3650" s="17"/>
      <c r="M3650" s="17"/>
      <c r="N3650" s="17"/>
      <c r="O3650" s="17"/>
      <c r="P3650" s="17"/>
      <c r="Q3650" s="17"/>
    </row>
    <row r="3651" spans="1:17">
      <c r="A3651" s="556" t="s">
        <v>3652</v>
      </c>
      <c r="B3651" s="557" t="s">
        <v>1302</v>
      </c>
      <c r="C3651" s="558" t="s">
        <v>1303</v>
      </c>
      <c r="D3651" s="556" t="s">
        <v>4324</v>
      </c>
      <c r="E3651" s="17" t="s">
        <v>7066</v>
      </c>
      <c r="F3651" s="17">
        <v>134</v>
      </c>
      <c r="G3651" s="17">
        <v>4</v>
      </c>
      <c r="H3651" s="17" t="s">
        <v>8256</v>
      </c>
      <c r="I3651" s="17"/>
      <c r="J3651" s="17"/>
      <c r="K3651" s="17"/>
      <c r="L3651" s="17"/>
      <c r="M3651" s="17"/>
      <c r="N3651" s="17"/>
      <c r="O3651" s="17"/>
      <c r="P3651" s="17"/>
      <c r="Q3651" s="17"/>
    </row>
    <row r="3652" spans="1:17">
      <c r="A3652" s="556" t="s">
        <v>3652</v>
      </c>
      <c r="B3652" s="557" t="s">
        <v>9449</v>
      </c>
      <c r="C3652" s="558" t="s">
        <v>2729</v>
      </c>
      <c r="D3652" s="556" t="s">
        <v>2623</v>
      </c>
      <c r="E3652" s="17" t="s">
        <v>7067</v>
      </c>
      <c r="F3652" s="17">
        <v>135</v>
      </c>
      <c r="G3652" s="17">
        <v>1</v>
      </c>
      <c r="H3652" s="17" t="s">
        <v>8257</v>
      </c>
      <c r="I3652" s="17"/>
      <c r="J3652" s="17"/>
      <c r="K3652" s="17"/>
      <c r="L3652" s="17"/>
      <c r="M3652" s="17"/>
      <c r="N3652" s="17"/>
      <c r="O3652" s="17"/>
      <c r="P3652" s="17"/>
      <c r="Q3652" s="17"/>
    </row>
    <row r="3653" spans="1:17">
      <c r="A3653" s="556" t="s">
        <v>3652</v>
      </c>
      <c r="B3653" s="557" t="s">
        <v>9449</v>
      </c>
      <c r="C3653" s="558" t="s">
        <v>2729</v>
      </c>
      <c r="D3653" s="556" t="s">
        <v>2624</v>
      </c>
      <c r="E3653" s="17" t="s">
        <v>7068</v>
      </c>
      <c r="F3653" s="17">
        <v>135</v>
      </c>
      <c r="G3653" s="17">
        <v>2</v>
      </c>
      <c r="H3653" s="17" t="s">
        <v>8258</v>
      </c>
      <c r="I3653" s="17"/>
      <c r="J3653" s="17"/>
      <c r="K3653" s="17"/>
      <c r="L3653" s="17"/>
      <c r="M3653" s="17"/>
      <c r="N3653" s="17"/>
      <c r="O3653" s="17"/>
      <c r="P3653" s="17"/>
      <c r="Q3653" s="17"/>
    </row>
    <row r="3654" spans="1:17">
      <c r="A3654" s="556" t="s">
        <v>3652</v>
      </c>
      <c r="B3654" s="557" t="s">
        <v>9449</v>
      </c>
      <c r="C3654" s="558" t="s">
        <v>2729</v>
      </c>
      <c r="D3654" s="556" t="s">
        <v>4426</v>
      </c>
      <c r="E3654" s="17" t="s">
        <v>7069</v>
      </c>
      <c r="F3654" s="17">
        <v>135</v>
      </c>
      <c r="G3654" s="17">
        <v>3</v>
      </c>
      <c r="H3654" s="17" t="s">
        <v>8259</v>
      </c>
      <c r="I3654" s="17">
        <v>0</v>
      </c>
      <c r="J3654" s="17"/>
      <c r="K3654" s="17"/>
      <c r="L3654" s="17"/>
      <c r="M3654" s="17"/>
      <c r="N3654" s="17"/>
      <c r="O3654" s="17"/>
      <c r="P3654" s="17"/>
      <c r="Q3654" s="17"/>
    </row>
    <row r="3655" spans="1:17">
      <c r="A3655" s="556" t="s">
        <v>3652</v>
      </c>
      <c r="B3655" s="557" t="s">
        <v>9449</v>
      </c>
      <c r="C3655" s="558" t="s">
        <v>2729</v>
      </c>
      <c r="D3655" s="556" t="s">
        <v>4324</v>
      </c>
      <c r="E3655" s="17" t="s">
        <v>7070</v>
      </c>
      <c r="F3655" s="17">
        <v>135</v>
      </c>
      <c r="G3655" s="17">
        <v>4</v>
      </c>
      <c r="H3655" s="17" t="s">
        <v>8260</v>
      </c>
      <c r="I3655" s="17"/>
      <c r="J3655" s="17"/>
      <c r="K3655" s="17"/>
      <c r="L3655" s="17"/>
      <c r="M3655" s="17"/>
      <c r="N3655" s="17"/>
      <c r="O3655" s="17"/>
      <c r="P3655" s="17"/>
      <c r="Q3655" s="17"/>
    </row>
    <row r="3656" spans="1:17">
      <c r="A3656" s="556" t="s">
        <v>3652</v>
      </c>
      <c r="B3656" s="557" t="s">
        <v>9450</v>
      </c>
      <c r="C3656" s="558" t="s">
        <v>2730</v>
      </c>
      <c r="D3656" s="556" t="s">
        <v>2623</v>
      </c>
      <c r="E3656" s="17" t="s">
        <v>7071</v>
      </c>
      <c r="F3656" s="17">
        <v>136</v>
      </c>
      <c r="G3656" s="17">
        <v>1</v>
      </c>
      <c r="H3656" s="17" t="s">
        <v>8261</v>
      </c>
      <c r="I3656" s="17"/>
      <c r="J3656" s="17"/>
      <c r="K3656" s="17"/>
      <c r="L3656" s="17"/>
      <c r="M3656" s="17"/>
      <c r="N3656" s="17"/>
      <c r="O3656" s="17"/>
      <c r="P3656" s="17"/>
      <c r="Q3656" s="17"/>
    </row>
    <row r="3657" spans="1:17">
      <c r="A3657" s="556" t="s">
        <v>3652</v>
      </c>
      <c r="B3657" s="557" t="s">
        <v>9450</v>
      </c>
      <c r="C3657" s="558" t="s">
        <v>2730</v>
      </c>
      <c r="D3657" s="556" t="s">
        <v>2624</v>
      </c>
      <c r="E3657" s="17" t="s">
        <v>7072</v>
      </c>
      <c r="F3657" s="17">
        <v>136</v>
      </c>
      <c r="G3657" s="17">
        <v>2</v>
      </c>
      <c r="H3657" s="17" t="s">
        <v>8262</v>
      </c>
      <c r="I3657" s="17"/>
      <c r="J3657" s="17"/>
      <c r="K3657" s="17"/>
      <c r="L3657" s="17"/>
      <c r="M3657" s="17"/>
      <c r="N3657" s="17"/>
      <c r="O3657" s="17"/>
      <c r="P3657" s="17"/>
      <c r="Q3657" s="17"/>
    </row>
    <row r="3658" spans="1:17">
      <c r="A3658" s="556" t="s">
        <v>3652</v>
      </c>
      <c r="B3658" s="557" t="s">
        <v>9450</v>
      </c>
      <c r="C3658" s="558" t="s">
        <v>2730</v>
      </c>
      <c r="D3658" s="556" t="s">
        <v>4426</v>
      </c>
      <c r="E3658" s="17" t="s">
        <v>7073</v>
      </c>
      <c r="F3658" s="17">
        <v>136</v>
      </c>
      <c r="G3658" s="17">
        <v>3</v>
      </c>
      <c r="H3658" s="17" t="s">
        <v>8263</v>
      </c>
      <c r="I3658" s="17">
        <v>0</v>
      </c>
      <c r="J3658" s="17"/>
      <c r="K3658" s="17"/>
      <c r="L3658" s="17"/>
      <c r="M3658" s="17"/>
      <c r="N3658" s="17"/>
      <c r="O3658" s="17"/>
      <c r="P3658" s="17"/>
      <c r="Q3658" s="17"/>
    </row>
    <row r="3659" spans="1:17">
      <c r="A3659" s="556" t="s">
        <v>3652</v>
      </c>
      <c r="B3659" s="557" t="s">
        <v>9450</v>
      </c>
      <c r="C3659" s="558" t="s">
        <v>2730</v>
      </c>
      <c r="D3659" s="556" t="s">
        <v>4324</v>
      </c>
      <c r="E3659" s="17" t="s">
        <v>7074</v>
      </c>
      <c r="F3659" s="17">
        <v>136</v>
      </c>
      <c r="G3659" s="17">
        <v>4</v>
      </c>
      <c r="H3659" s="17" t="s">
        <v>8264</v>
      </c>
      <c r="I3659" s="17"/>
      <c r="J3659" s="17"/>
      <c r="K3659" s="17"/>
      <c r="L3659" s="17"/>
      <c r="M3659" s="17"/>
      <c r="N3659" s="17"/>
      <c r="O3659" s="17"/>
      <c r="P3659" s="17"/>
      <c r="Q3659" s="17"/>
    </row>
    <row r="3660" spans="1:17">
      <c r="A3660" s="556" t="s">
        <v>3652</v>
      </c>
      <c r="B3660" s="557" t="s">
        <v>9451</v>
      </c>
      <c r="C3660" s="558" t="s">
        <v>2731</v>
      </c>
      <c r="D3660" s="556" t="s">
        <v>2623</v>
      </c>
      <c r="E3660" s="17" t="s">
        <v>7075</v>
      </c>
      <c r="F3660" s="17">
        <v>137</v>
      </c>
      <c r="G3660" s="17">
        <v>1</v>
      </c>
      <c r="H3660" s="17" t="s">
        <v>8265</v>
      </c>
      <c r="I3660" s="17"/>
      <c r="J3660" s="17"/>
      <c r="K3660" s="17"/>
      <c r="L3660" s="17"/>
      <c r="M3660" s="17"/>
      <c r="N3660" s="17"/>
      <c r="O3660" s="17"/>
      <c r="P3660" s="17"/>
      <c r="Q3660" s="17"/>
    </row>
    <row r="3661" spans="1:17">
      <c r="A3661" s="556" t="s">
        <v>3652</v>
      </c>
      <c r="B3661" s="557" t="s">
        <v>9451</v>
      </c>
      <c r="C3661" s="558" t="s">
        <v>2731</v>
      </c>
      <c r="D3661" s="556" t="s">
        <v>2624</v>
      </c>
      <c r="E3661" s="17" t="s">
        <v>7076</v>
      </c>
      <c r="F3661" s="17">
        <v>137</v>
      </c>
      <c r="G3661" s="17">
        <v>2</v>
      </c>
      <c r="H3661" s="17" t="s">
        <v>8266</v>
      </c>
      <c r="I3661" s="17"/>
      <c r="J3661" s="17"/>
      <c r="K3661" s="17"/>
      <c r="L3661" s="17"/>
      <c r="M3661" s="17"/>
      <c r="N3661" s="17"/>
      <c r="O3661" s="17"/>
      <c r="P3661" s="17"/>
      <c r="Q3661" s="17"/>
    </row>
    <row r="3662" spans="1:17">
      <c r="A3662" s="556" t="s">
        <v>3652</v>
      </c>
      <c r="B3662" s="557" t="s">
        <v>9451</v>
      </c>
      <c r="C3662" s="558" t="s">
        <v>2731</v>
      </c>
      <c r="D3662" s="556" t="s">
        <v>4426</v>
      </c>
      <c r="E3662" s="17" t="s">
        <v>7077</v>
      </c>
      <c r="F3662" s="17">
        <v>137</v>
      </c>
      <c r="G3662" s="17">
        <v>3</v>
      </c>
      <c r="H3662" s="17" t="s">
        <v>8267</v>
      </c>
      <c r="I3662" s="17">
        <v>0</v>
      </c>
      <c r="J3662" s="17"/>
      <c r="K3662" s="17"/>
      <c r="L3662" s="17"/>
      <c r="M3662" s="17"/>
      <c r="N3662" s="17"/>
      <c r="O3662" s="17"/>
      <c r="P3662" s="17"/>
      <c r="Q3662" s="17"/>
    </row>
    <row r="3663" spans="1:17">
      <c r="A3663" s="556" t="s">
        <v>3652</v>
      </c>
      <c r="B3663" s="557" t="s">
        <v>9451</v>
      </c>
      <c r="C3663" s="558" t="s">
        <v>2731</v>
      </c>
      <c r="D3663" s="556" t="s">
        <v>4324</v>
      </c>
      <c r="E3663" s="17" t="s">
        <v>7078</v>
      </c>
      <c r="F3663" s="17">
        <v>137</v>
      </c>
      <c r="G3663" s="17">
        <v>4</v>
      </c>
      <c r="H3663" s="17" t="s">
        <v>8268</v>
      </c>
      <c r="I3663" s="17"/>
      <c r="J3663" s="17"/>
      <c r="K3663" s="17"/>
      <c r="L3663" s="17"/>
      <c r="M3663" s="17"/>
      <c r="N3663" s="17"/>
      <c r="O3663" s="17"/>
      <c r="P3663" s="17"/>
      <c r="Q3663" s="17"/>
    </row>
    <row r="3664" spans="1:17">
      <c r="A3664" s="556" t="s">
        <v>3652</v>
      </c>
      <c r="B3664" s="557" t="s">
        <v>9452</v>
      </c>
      <c r="C3664" s="558" t="s">
        <v>2732</v>
      </c>
      <c r="D3664" s="556" t="s">
        <v>2623</v>
      </c>
      <c r="E3664" s="17" t="s">
        <v>7079</v>
      </c>
      <c r="F3664" s="17">
        <v>138</v>
      </c>
      <c r="G3664" s="17">
        <v>1</v>
      </c>
      <c r="H3664" s="17" t="s">
        <v>8269</v>
      </c>
      <c r="I3664" s="17"/>
      <c r="J3664" s="17"/>
      <c r="K3664" s="17"/>
      <c r="L3664" s="17"/>
      <c r="M3664" s="17"/>
      <c r="N3664" s="17"/>
      <c r="O3664" s="17"/>
      <c r="P3664" s="17"/>
      <c r="Q3664" s="17"/>
    </row>
    <row r="3665" spans="1:17">
      <c r="A3665" s="556" t="s">
        <v>3652</v>
      </c>
      <c r="B3665" s="557" t="s">
        <v>9452</v>
      </c>
      <c r="C3665" s="558" t="s">
        <v>2732</v>
      </c>
      <c r="D3665" s="556" t="s">
        <v>2624</v>
      </c>
      <c r="E3665" s="17" t="s">
        <v>7080</v>
      </c>
      <c r="F3665" s="17">
        <v>138</v>
      </c>
      <c r="G3665" s="17">
        <v>2</v>
      </c>
      <c r="H3665" s="17" t="s">
        <v>8270</v>
      </c>
      <c r="I3665" s="17"/>
      <c r="J3665" s="17"/>
      <c r="K3665" s="17"/>
      <c r="L3665" s="17"/>
      <c r="M3665" s="17"/>
      <c r="N3665" s="17"/>
      <c r="O3665" s="17"/>
      <c r="P3665" s="17"/>
      <c r="Q3665" s="17"/>
    </row>
    <row r="3666" spans="1:17">
      <c r="A3666" s="556" t="s">
        <v>3652</v>
      </c>
      <c r="B3666" s="557" t="s">
        <v>9452</v>
      </c>
      <c r="C3666" s="558" t="s">
        <v>2732</v>
      </c>
      <c r="D3666" s="556" t="s">
        <v>4426</v>
      </c>
      <c r="E3666" s="17" t="s">
        <v>7081</v>
      </c>
      <c r="F3666" s="17">
        <v>138</v>
      </c>
      <c r="G3666" s="17">
        <v>3</v>
      </c>
      <c r="H3666" s="17" t="s">
        <v>8271</v>
      </c>
      <c r="I3666" s="17">
        <v>0</v>
      </c>
      <c r="J3666" s="17"/>
      <c r="K3666" s="17"/>
      <c r="L3666" s="17"/>
      <c r="M3666" s="17"/>
      <c r="N3666" s="17"/>
      <c r="O3666" s="17"/>
      <c r="P3666" s="17"/>
      <c r="Q3666" s="17"/>
    </row>
    <row r="3667" spans="1:17">
      <c r="A3667" s="556" t="s">
        <v>3652</v>
      </c>
      <c r="B3667" s="557" t="s">
        <v>9452</v>
      </c>
      <c r="C3667" s="558" t="s">
        <v>2732</v>
      </c>
      <c r="D3667" s="556" t="s">
        <v>4324</v>
      </c>
      <c r="E3667" s="17" t="s">
        <v>7082</v>
      </c>
      <c r="F3667" s="17">
        <v>138</v>
      </c>
      <c r="G3667" s="17">
        <v>4</v>
      </c>
      <c r="H3667" s="17" t="s">
        <v>8272</v>
      </c>
      <c r="I3667" s="17"/>
      <c r="J3667" s="17"/>
      <c r="K3667" s="17"/>
      <c r="L3667" s="17"/>
      <c r="M3667" s="17"/>
      <c r="N3667" s="17"/>
      <c r="O3667" s="17"/>
      <c r="P3667" s="17"/>
      <c r="Q3667" s="17"/>
    </row>
    <row r="3668" spans="1:17">
      <c r="A3668" s="556" t="s">
        <v>3652</v>
      </c>
      <c r="B3668" s="557" t="s">
        <v>9453</v>
      </c>
      <c r="C3668" s="558" t="s">
        <v>2734</v>
      </c>
      <c r="D3668" s="556" t="s">
        <v>2623</v>
      </c>
      <c r="E3668" s="17" t="s">
        <v>7083</v>
      </c>
      <c r="F3668" s="17">
        <v>150</v>
      </c>
      <c r="G3668" s="17">
        <v>1</v>
      </c>
      <c r="H3668" s="17" t="s">
        <v>8273</v>
      </c>
      <c r="I3668" s="17"/>
      <c r="J3668" s="17"/>
      <c r="K3668" s="17"/>
      <c r="L3668" s="17"/>
      <c r="M3668" s="17"/>
      <c r="N3668" s="17"/>
      <c r="O3668" s="17"/>
      <c r="P3668" s="17"/>
      <c r="Q3668" s="17"/>
    </row>
    <row r="3669" spans="1:17">
      <c r="A3669" s="556" t="s">
        <v>3652</v>
      </c>
      <c r="B3669" s="557" t="s">
        <v>9453</v>
      </c>
      <c r="C3669" s="558" t="s">
        <v>2734</v>
      </c>
      <c r="D3669" s="556" t="s">
        <v>2624</v>
      </c>
      <c r="E3669" s="17" t="s">
        <v>7084</v>
      </c>
      <c r="F3669" s="17">
        <v>150</v>
      </c>
      <c r="G3669" s="17">
        <v>2</v>
      </c>
      <c r="H3669" s="17" t="s">
        <v>8274</v>
      </c>
      <c r="I3669" s="17"/>
      <c r="J3669" s="17"/>
      <c r="K3669" s="17"/>
      <c r="L3669" s="17"/>
      <c r="M3669" s="17"/>
      <c r="N3669" s="17"/>
      <c r="O3669" s="17"/>
      <c r="P3669" s="17"/>
      <c r="Q3669" s="17"/>
    </row>
    <row r="3670" spans="1:17">
      <c r="A3670" s="556" t="s">
        <v>3652</v>
      </c>
      <c r="B3670" s="557" t="s">
        <v>9453</v>
      </c>
      <c r="C3670" s="558" t="s">
        <v>2734</v>
      </c>
      <c r="D3670" s="556" t="s">
        <v>4426</v>
      </c>
      <c r="E3670" s="17" t="s">
        <v>7085</v>
      </c>
      <c r="F3670" s="17">
        <v>150</v>
      </c>
      <c r="G3670" s="17">
        <v>3</v>
      </c>
      <c r="H3670" s="17" t="s">
        <v>8275</v>
      </c>
      <c r="I3670" s="17">
        <v>0</v>
      </c>
      <c r="J3670" s="17"/>
      <c r="K3670" s="17"/>
      <c r="L3670" s="17"/>
      <c r="M3670" s="17"/>
      <c r="N3670" s="17"/>
      <c r="O3670" s="17"/>
      <c r="P3670" s="17"/>
      <c r="Q3670" s="17"/>
    </row>
    <row r="3671" spans="1:17">
      <c r="A3671" s="556" t="s">
        <v>3652</v>
      </c>
      <c r="B3671" s="557" t="s">
        <v>9453</v>
      </c>
      <c r="C3671" s="558" t="s">
        <v>2734</v>
      </c>
      <c r="D3671" s="556" t="s">
        <v>4324</v>
      </c>
      <c r="E3671" s="17" t="s">
        <v>7086</v>
      </c>
      <c r="F3671" s="17">
        <v>150</v>
      </c>
      <c r="G3671" s="17">
        <v>4</v>
      </c>
      <c r="H3671" s="17" t="s">
        <v>8276</v>
      </c>
      <c r="I3671" s="17"/>
      <c r="J3671" s="17"/>
      <c r="K3671" s="17"/>
      <c r="L3671" s="17"/>
      <c r="M3671" s="17"/>
      <c r="N3671" s="17"/>
      <c r="O3671" s="17"/>
      <c r="P3671" s="17"/>
      <c r="Q3671" s="17"/>
    </row>
    <row r="3672" spans="1:17">
      <c r="A3672" s="556" t="s">
        <v>3652</v>
      </c>
      <c r="B3672" s="557" t="s">
        <v>9454</v>
      </c>
      <c r="C3672" s="558" t="s">
        <v>2735</v>
      </c>
      <c r="D3672" s="556" t="s">
        <v>2623</v>
      </c>
      <c r="E3672" s="17" t="s">
        <v>7087</v>
      </c>
      <c r="F3672" s="17">
        <v>151</v>
      </c>
      <c r="G3672" s="17">
        <v>1</v>
      </c>
      <c r="H3672" s="17" t="s">
        <v>8277</v>
      </c>
      <c r="I3672" s="17"/>
      <c r="J3672" s="17"/>
      <c r="K3672" s="17"/>
      <c r="L3672" s="17"/>
      <c r="M3672" s="17"/>
      <c r="N3672" s="17"/>
      <c r="O3672" s="17"/>
      <c r="P3672" s="17"/>
      <c r="Q3672" s="17"/>
    </row>
    <row r="3673" spans="1:17">
      <c r="A3673" s="556" t="s">
        <v>3652</v>
      </c>
      <c r="B3673" s="557" t="s">
        <v>9454</v>
      </c>
      <c r="C3673" s="558" t="s">
        <v>2735</v>
      </c>
      <c r="D3673" s="556" t="s">
        <v>2624</v>
      </c>
      <c r="E3673" s="17" t="s">
        <v>7088</v>
      </c>
      <c r="F3673" s="17">
        <v>151</v>
      </c>
      <c r="G3673" s="17">
        <v>2</v>
      </c>
      <c r="H3673" s="17" t="s">
        <v>8278</v>
      </c>
      <c r="I3673" s="17"/>
      <c r="J3673" s="17"/>
      <c r="K3673" s="17"/>
      <c r="L3673" s="17"/>
      <c r="M3673" s="17"/>
      <c r="N3673" s="17"/>
      <c r="O3673" s="17"/>
      <c r="P3673" s="17"/>
      <c r="Q3673" s="17"/>
    </row>
    <row r="3674" spans="1:17">
      <c r="A3674" s="556" t="s">
        <v>3652</v>
      </c>
      <c r="B3674" s="557" t="s">
        <v>9454</v>
      </c>
      <c r="C3674" s="558" t="s">
        <v>2735</v>
      </c>
      <c r="D3674" s="556" t="s">
        <v>4426</v>
      </c>
      <c r="E3674" s="17" t="s">
        <v>7089</v>
      </c>
      <c r="F3674" s="17">
        <v>151</v>
      </c>
      <c r="G3674" s="17">
        <v>3</v>
      </c>
      <c r="H3674" s="17" t="s">
        <v>8279</v>
      </c>
      <c r="I3674" s="17">
        <v>0</v>
      </c>
      <c r="J3674" s="17"/>
      <c r="K3674" s="17"/>
      <c r="L3674" s="17"/>
      <c r="M3674" s="17"/>
      <c r="N3674" s="17"/>
      <c r="O3674" s="17"/>
      <c r="P3674" s="17"/>
      <c r="Q3674" s="17"/>
    </row>
    <row r="3675" spans="1:17">
      <c r="A3675" s="556" t="s">
        <v>3652</v>
      </c>
      <c r="B3675" s="557" t="s">
        <v>9454</v>
      </c>
      <c r="C3675" s="558" t="s">
        <v>2735</v>
      </c>
      <c r="D3675" s="556" t="s">
        <v>4324</v>
      </c>
      <c r="E3675" s="17" t="s">
        <v>7090</v>
      </c>
      <c r="F3675" s="17">
        <v>151</v>
      </c>
      <c r="G3675" s="17">
        <v>4</v>
      </c>
      <c r="H3675" s="17" t="s">
        <v>8280</v>
      </c>
      <c r="I3675" s="17"/>
      <c r="J3675" s="17"/>
      <c r="K3675" s="17"/>
      <c r="L3675" s="17"/>
      <c r="M3675" s="17"/>
      <c r="N3675" s="17"/>
      <c r="O3675" s="17"/>
      <c r="P3675" s="17"/>
      <c r="Q3675" s="17"/>
    </row>
    <row r="3676" spans="1:17">
      <c r="A3676" s="556" t="s">
        <v>3652</v>
      </c>
      <c r="B3676" s="557" t="s">
        <v>9455</v>
      </c>
      <c r="C3676" s="558" t="s">
        <v>2214</v>
      </c>
      <c r="D3676" s="556" t="s">
        <v>2623</v>
      </c>
      <c r="E3676" s="17" t="s">
        <v>7091</v>
      </c>
      <c r="F3676" s="17">
        <v>152</v>
      </c>
      <c r="G3676" s="17">
        <v>1</v>
      </c>
      <c r="H3676" s="17" t="s">
        <v>8281</v>
      </c>
      <c r="I3676" s="17"/>
      <c r="J3676" s="17"/>
      <c r="K3676" s="17"/>
      <c r="L3676" s="17"/>
      <c r="M3676" s="17"/>
      <c r="N3676" s="17"/>
      <c r="O3676" s="17"/>
      <c r="P3676" s="17"/>
      <c r="Q3676" s="17"/>
    </row>
    <row r="3677" spans="1:17">
      <c r="A3677" s="556" t="s">
        <v>3652</v>
      </c>
      <c r="B3677" s="557" t="s">
        <v>9455</v>
      </c>
      <c r="C3677" s="558" t="s">
        <v>2214</v>
      </c>
      <c r="D3677" s="556" t="s">
        <v>2624</v>
      </c>
      <c r="E3677" s="17" t="s">
        <v>7092</v>
      </c>
      <c r="F3677" s="17">
        <v>152</v>
      </c>
      <c r="G3677" s="17">
        <v>2</v>
      </c>
      <c r="H3677" s="17" t="s">
        <v>8282</v>
      </c>
      <c r="I3677" s="17"/>
      <c r="J3677" s="17"/>
      <c r="K3677" s="17"/>
      <c r="L3677" s="17"/>
      <c r="M3677" s="17"/>
      <c r="N3677" s="17"/>
      <c r="O3677" s="17"/>
      <c r="P3677" s="17"/>
      <c r="Q3677" s="17"/>
    </row>
    <row r="3678" spans="1:17">
      <c r="A3678" s="556" t="s">
        <v>3652</v>
      </c>
      <c r="B3678" s="557" t="s">
        <v>9455</v>
      </c>
      <c r="C3678" s="558" t="s">
        <v>2214</v>
      </c>
      <c r="D3678" s="556" t="s">
        <v>4426</v>
      </c>
      <c r="E3678" s="17" t="s">
        <v>7093</v>
      </c>
      <c r="F3678" s="17">
        <v>152</v>
      </c>
      <c r="G3678" s="17">
        <v>3</v>
      </c>
      <c r="H3678" s="17" t="s">
        <v>8283</v>
      </c>
      <c r="I3678" s="17">
        <v>0</v>
      </c>
      <c r="J3678" s="17"/>
      <c r="K3678" s="17"/>
      <c r="L3678" s="17"/>
      <c r="M3678" s="17"/>
      <c r="N3678" s="17"/>
      <c r="O3678" s="17"/>
      <c r="P3678" s="17"/>
      <c r="Q3678" s="17"/>
    </row>
    <row r="3679" spans="1:17">
      <c r="A3679" s="556" t="s">
        <v>3652</v>
      </c>
      <c r="B3679" s="557" t="s">
        <v>9455</v>
      </c>
      <c r="C3679" s="558" t="s">
        <v>2214</v>
      </c>
      <c r="D3679" s="556" t="s">
        <v>4324</v>
      </c>
      <c r="E3679" s="17" t="s">
        <v>7094</v>
      </c>
      <c r="F3679" s="17">
        <v>152</v>
      </c>
      <c r="G3679" s="17">
        <v>4</v>
      </c>
      <c r="H3679" s="17" t="s">
        <v>8284</v>
      </c>
      <c r="I3679" s="17"/>
      <c r="J3679" s="17"/>
      <c r="K3679" s="17"/>
      <c r="L3679" s="17"/>
      <c r="M3679" s="17"/>
      <c r="N3679" s="17"/>
      <c r="O3679" s="17"/>
      <c r="P3679" s="17"/>
      <c r="Q3679" s="17"/>
    </row>
    <row r="3680" spans="1:17">
      <c r="A3680" s="556" t="s">
        <v>3652</v>
      </c>
      <c r="B3680" s="557" t="s">
        <v>9456</v>
      </c>
      <c r="C3680" s="558" t="s">
        <v>2736</v>
      </c>
      <c r="D3680" s="556" t="s">
        <v>2623</v>
      </c>
      <c r="E3680" s="17" t="s">
        <v>7095</v>
      </c>
      <c r="F3680" s="17">
        <v>153</v>
      </c>
      <c r="G3680" s="17">
        <v>1</v>
      </c>
      <c r="H3680" s="17" t="s">
        <v>8285</v>
      </c>
      <c r="I3680" s="17"/>
      <c r="J3680" s="17"/>
      <c r="K3680" s="17"/>
      <c r="L3680" s="17"/>
      <c r="M3680" s="17"/>
      <c r="N3680" s="17"/>
      <c r="O3680" s="17"/>
      <c r="P3680" s="17"/>
      <c r="Q3680" s="17"/>
    </row>
    <row r="3681" spans="1:17">
      <c r="A3681" s="556" t="s">
        <v>3652</v>
      </c>
      <c r="B3681" s="557" t="s">
        <v>9456</v>
      </c>
      <c r="C3681" s="558" t="s">
        <v>2736</v>
      </c>
      <c r="D3681" s="556" t="s">
        <v>2624</v>
      </c>
      <c r="E3681" s="17" t="s">
        <v>7096</v>
      </c>
      <c r="F3681" s="17">
        <v>153</v>
      </c>
      <c r="G3681" s="17">
        <v>2</v>
      </c>
      <c r="H3681" s="17" t="s">
        <v>8286</v>
      </c>
      <c r="I3681" s="17"/>
      <c r="J3681" s="17"/>
      <c r="K3681" s="17"/>
      <c r="L3681" s="17"/>
      <c r="M3681" s="17"/>
      <c r="N3681" s="17"/>
      <c r="O3681" s="17"/>
      <c r="P3681" s="17"/>
      <c r="Q3681" s="17"/>
    </row>
    <row r="3682" spans="1:17">
      <c r="A3682" s="556" t="s">
        <v>3652</v>
      </c>
      <c r="B3682" s="557" t="s">
        <v>9456</v>
      </c>
      <c r="C3682" s="558" t="s">
        <v>2736</v>
      </c>
      <c r="D3682" s="556" t="s">
        <v>4426</v>
      </c>
      <c r="E3682" s="17" t="s">
        <v>7097</v>
      </c>
      <c r="F3682" s="17">
        <v>153</v>
      </c>
      <c r="G3682" s="17">
        <v>3</v>
      </c>
      <c r="H3682" s="17" t="s">
        <v>8287</v>
      </c>
      <c r="I3682" s="17">
        <v>0</v>
      </c>
      <c r="J3682" s="17"/>
      <c r="K3682" s="17"/>
      <c r="L3682" s="17"/>
      <c r="M3682" s="17"/>
      <c r="N3682" s="17"/>
      <c r="O3682" s="17"/>
      <c r="P3682" s="17"/>
      <c r="Q3682" s="17"/>
    </row>
    <row r="3683" spans="1:17">
      <c r="A3683" s="556" t="s">
        <v>3652</v>
      </c>
      <c r="B3683" s="557" t="s">
        <v>9456</v>
      </c>
      <c r="C3683" s="558" t="s">
        <v>2736</v>
      </c>
      <c r="D3683" s="556" t="s">
        <v>4324</v>
      </c>
      <c r="E3683" s="17" t="s">
        <v>7098</v>
      </c>
      <c r="F3683" s="17">
        <v>153</v>
      </c>
      <c r="G3683" s="17">
        <v>4</v>
      </c>
      <c r="H3683" s="17" t="s">
        <v>8288</v>
      </c>
      <c r="I3683" s="17"/>
      <c r="J3683" s="17"/>
      <c r="K3683" s="17"/>
      <c r="L3683" s="17"/>
      <c r="M3683" s="17"/>
      <c r="N3683" s="17"/>
      <c r="O3683" s="17"/>
      <c r="P3683" s="17"/>
      <c r="Q3683" s="17"/>
    </row>
    <row r="3684" spans="1:17">
      <c r="A3684" s="556" t="s">
        <v>3652</v>
      </c>
      <c r="B3684" s="557" t="s">
        <v>9457</v>
      </c>
      <c r="C3684" s="558" t="s">
        <v>2737</v>
      </c>
      <c r="D3684" s="556" t="s">
        <v>2623</v>
      </c>
      <c r="E3684" s="17" t="s">
        <v>7099</v>
      </c>
      <c r="F3684" s="17">
        <v>154</v>
      </c>
      <c r="G3684" s="17">
        <v>1</v>
      </c>
      <c r="H3684" s="17" t="s">
        <v>8289</v>
      </c>
      <c r="I3684" s="17"/>
      <c r="J3684" s="17"/>
      <c r="K3684" s="17"/>
      <c r="L3684" s="17"/>
      <c r="M3684" s="17"/>
      <c r="N3684" s="17"/>
      <c r="O3684" s="17"/>
      <c r="P3684" s="17"/>
      <c r="Q3684" s="17"/>
    </row>
    <row r="3685" spans="1:17">
      <c r="A3685" s="556" t="s">
        <v>3652</v>
      </c>
      <c r="B3685" s="557" t="s">
        <v>9457</v>
      </c>
      <c r="C3685" s="558" t="s">
        <v>2737</v>
      </c>
      <c r="D3685" s="556" t="s">
        <v>2624</v>
      </c>
      <c r="E3685" s="17" t="s">
        <v>7100</v>
      </c>
      <c r="F3685" s="17">
        <v>154</v>
      </c>
      <c r="G3685" s="17">
        <v>2</v>
      </c>
      <c r="H3685" s="17" t="s">
        <v>8290</v>
      </c>
      <c r="I3685" s="17"/>
      <c r="J3685" s="17"/>
      <c r="K3685" s="17"/>
      <c r="L3685" s="17"/>
      <c r="M3685" s="17"/>
      <c r="N3685" s="17"/>
      <c r="O3685" s="17"/>
      <c r="P3685" s="17"/>
      <c r="Q3685" s="17"/>
    </row>
    <row r="3686" spans="1:17">
      <c r="A3686" s="556" t="s">
        <v>3652</v>
      </c>
      <c r="B3686" s="557" t="s">
        <v>9457</v>
      </c>
      <c r="C3686" s="558" t="s">
        <v>2737</v>
      </c>
      <c r="D3686" s="556" t="s">
        <v>4426</v>
      </c>
      <c r="E3686" s="17" t="s">
        <v>7101</v>
      </c>
      <c r="F3686" s="17">
        <v>154</v>
      </c>
      <c r="G3686" s="17">
        <v>3</v>
      </c>
      <c r="H3686" s="17" t="s">
        <v>8291</v>
      </c>
      <c r="I3686" s="17">
        <v>0</v>
      </c>
      <c r="J3686" s="17"/>
      <c r="K3686" s="17"/>
      <c r="L3686" s="17"/>
      <c r="M3686" s="17"/>
      <c r="N3686" s="17"/>
      <c r="O3686" s="17"/>
      <c r="P3686" s="17"/>
      <c r="Q3686" s="17"/>
    </row>
    <row r="3687" spans="1:17">
      <c r="A3687" s="556" t="s">
        <v>3652</v>
      </c>
      <c r="B3687" s="557" t="s">
        <v>9457</v>
      </c>
      <c r="C3687" s="558" t="s">
        <v>2737</v>
      </c>
      <c r="D3687" s="556" t="s">
        <v>4324</v>
      </c>
      <c r="E3687" s="17" t="s">
        <v>7102</v>
      </c>
      <c r="F3687" s="17">
        <v>154</v>
      </c>
      <c r="G3687" s="17">
        <v>4</v>
      </c>
      <c r="H3687" s="17" t="s">
        <v>8292</v>
      </c>
      <c r="I3687" s="17"/>
      <c r="J3687" s="17"/>
      <c r="K3687" s="17"/>
      <c r="L3687" s="17"/>
      <c r="M3687" s="17"/>
      <c r="N3687" s="17"/>
      <c r="O3687" s="17"/>
      <c r="P3687" s="17"/>
      <c r="Q3687" s="17"/>
    </row>
    <row r="3688" spans="1:17">
      <c r="A3688" s="556" t="s">
        <v>3652</v>
      </c>
      <c r="B3688" s="557" t="s">
        <v>9458</v>
      </c>
      <c r="C3688" s="558" t="s">
        <v>2738</v>
      </c>
      <c r="D3688" s="556" t="s">
        <v>2623</v>
      </c>
      <c r="E3688" s="17" t="s">
        <v>7103</v>
      </c>
      <c r="F3688" s="17">
        <v>155</v>
      </c>
      <c r="G3688" s="17">
        <v>1</v>
      </c>
      <c r="H3688" s="17" t="s">
        <v>8293</v>
      </c>
      <c r="I3688" s="17"/>
      <c r="J3688" s="17"/>
      <c r="K3688" s="17"/>
      <c r="L3688" s="17"/>
      <c r="M3688" s="17"/>
      <c r="N3688" s="17"/>
      <c r="O3688" s="17"/>
      <c r="P3688" s="17"/>
      <c r="Q3688" s="17"/>
    </row>
    <row r="3689" spans="1:17">
      <c r="A3689" s="556" t="s">
        <v>3652</v>
      </c>
      <c r="B3689" s="557" t="s">
        <v>9458</v>
      </c>
      <c r="C3689" s="558" t="s">
        <v>2738</v>
      </c>
      <c r="D3689" s="556" t="s">
        <v>2624</v>
      </c>
      <c r="E3689" s="17" t="s">
        <v>7104</v>
      </c>
      <c r="F3689" s="17">
        <v>155</v>
      </c>
      <c r="G3689" s="17">
        <v>2</v>
      </c>
      <c r="H3689" s="17" t="s">
        <v>8294</v>
      </c>
      <c r="I3689" s="17"/>
      <c r="J3689" s="17"/>
      <c r="K3689" s="17"/>
      <c r="L3689" s="17"/>
      <c r="M3689" s="17"/>
      <c r="N3689" s="17"/>
      <c r="O3689" s="17"/>
      <c r="P3689" s="17"/>
      <c r="Q3689" s="17"/>
    </row>
    <row r="3690" spans="1:17">
      <c r="A3690" s="556" t="s">
        <v>3652</v>
      </c>
      <c r="B3690" s="557" t="s">
        <v>9458</v>
      </c>
      <c r="C3690" s="558" t="s">
        <v>2738</v>
      </c>
      <c r="D3690" s="556" t="s">
        <v>4426</v>
      </c>
      <c r="E3690" s="17" t="s">
        <v>7105</v>
      </c>
      <c r="F3690" s="17">
        <v>155</v>
      </c>
      <c r="G3690" s="17">
        <v>3</v>
      </c>
      <c r="H3690" s="17" t="s">
        <v>8295</v>
      </c>
      <c r="I3690" s="17">
        <v>0</v>
      </c>
      <c r="J3690" s="17"/>
      <c r="K3690" s="17"/>
      <c r="L3690" s="17"/>
      <c r="M3690" s="17"/>
      <c r="N3690" s="17"/>
      <c r="O3690" s="17"/>
      <c r="P3690" s="17"/>
      <c r="Q3690" s="17"/>
    </row>
    <row r="3691" spans="1:17">
      <c r="A3691" s="556" t="s">
        <v>3652</v>
      </c>
      <c r="B3691" s="557" t="s">
        <v>9458</v>
      </c>
      <c r="C3691" s="558" t="s">
        <v>2738</v>
      </c>
      <c r="D3691" s="556" t="s">
        <v>4324</v>
      </c>
      <c r="E3691" s="17" t="s">
        <v>7106</v>
      </c>
      <c r="F3691" s="17">
        <v>155</v>
      </c>
      <c r="G3691" s="17">
        <v>4</v>
      </c>
      <c r="H3691" s="17" t="s">
        <v>8296</v>
      </c>
      <c r="I3691" s="17"/>
      <c r="J3691" s="17"/>
      <c r="K3691" s="17"/>
      <c r="L3691" s="17"/>
      <c r="M3691" s="17"/>
      <c r="N3691" s="17"/>
      <c r="O3691" s="17"/>
      <c r="P3691" s="17"/>
      <c r="Q3691" s="17"/>
    </row>
    <row r="3692" spans="1:17">
      <c r="A3692" s="556" t="s">
        <v>3652</v>
      </c>
      <c r="B3692" s="557" t="s">
        <v>9459</v>
      </c>
      <c r="C3692" s="558" t="s">
        <v>2739</v>
      </c>
      <c r="D3692" s="556" t="s">
        <v>2623</v>
      </c>
      <c r="E3692" s="17" t="s">
        <v>7107</v>
      </c>
      <c r="F3692" s="17">
        <v>156</v>
      </c>
      <c r="G3692" s="17">
        <v>1</v>
      </c>
      <c r="H3692" s="17" t="s">
        <v>8297</v>
      </c>
      <c r="I3692" s="17"/>
      <c r="J3692" s="17"/>
      <c r="K3692" s="17"/>
      <c r="L3692" s="17"/>
      <c r="M3692" s="17"/>
      <c r="N3692" s="17"/>
      <c r="O3692" s="17"/>
      <c r="P3692" s="17"/>
      <c r="Q3692" s="17"/>
    </row>
    <row r="3693" spans="1:17">
      <c r="A3693" s="556" t="s">
        <v>3652</v>
      </c>
      <c r="B3693" s="557" t="s">
        <v>9459</v>
      </c>
      <c r="C3693" s="558" t="s">
        <v>2739</v>
      </c>
      <c r="D3693" s="556" t="s">
        <v>2624</v>
      </c>
      <c r="E3693" s="17" t="s">
        <v>7108</v>
      </c>
      <c r="F3693" s="17">
        <v>156</v>
      </c>
      <c r="G3693" s="17">
        <v>2</v>
      </c>
      <c r="H3693" s="17" t="s">
        <v>8298</v>
      </c>
      <c r="I3693" s="17"/>
      <c r="J3693" s="17"/>
      <c r="K3693" s="17"/>
      <c r="L3693" s="17"/>
      <c r="M3693" s="17"/>
      <c r="N3693" s="17"/>
      <c r="O3693" s="17"/>
      <c r="P3693" s="17"/>
      <c r="Q3693" s="17"/>
    </row>
    <row r="3694" spans="1:17">
      <c r="A3694" s="556" t="s">
        <v>3652</v>
      </c>
      <c r="B3694" s="557" t="s">
        <v>9459</v>
      </c>
      <c r="C3694" s="558" t="s">
        <v>2739</v>
      </c>
      <c r="D3694" s="556" t="s">
        <v>4426</v>
      </c>
      <c r="E3694" s="17" t="s">
        <v>7109</v>
      </c>
      <c r="F3694" s="17">
        <v>156</v>
      </c>
      <c r="G3694" s="17">
        <v>3</v>
      </c>
      <c r="H3694" s="17" t="s">
        <v>8299</v>
      </c>
      <c r="I3694" s="17">
        <v>0</v>
      </c>
      <c r="J3694" s="17"/>
      <c r="K3694" s="17"/>
      <c r="L3694" s="17"/>
      <c r="M3694" s="17"/>
      <c r="N3694" s="17"/>
      <c r="O3694" s="17"/>
      <c r="P3694" s="17"/>
      <c r="Q3694" s="17"/>
    </row>
    <row r="3695" spans="1:17">
      <c r="A3695" s="556" t="s">
        <v>3652</v>
      </c>
      <c r="B3695" s="557" t="s">
        <v>9459</v>
      </c>
      <c r="C3695" s="558" t="s">
        <v>2739</v>
      </c>
      <c r="D3695" s="556" t="s">
        <v>4324</v>
      </c>
      <c r="E3695" s="17" t="s">
        <v>7110</v>
      </c>
      <c r="F3695" s="17">
        <v>156</v>
      </c>
      <c r="G3695" s="17">
        <v>4</v>
      </c>
      <c r="H3695" s="17" t="s">
        <v>8300</v>
      </c>
      <c r="I3695" s="17"/>
      <c r="J3695" s="17"/>
      <c r="K3695" s="17"/>
      <c r="L3695" s="17"/>
      <c r="M3695" s="17"/>
      <c r="N3695" s="17"/>
      <c r="O3695" s="17"/>
      <c r="P3695" s="17"/>
      <c r="Q3695" s="17"/>
    </row>
    <row r="3696" spans="1:17">
      <c r="A3696" s="556" t="s">
        <v>3652</v>
      </c>
      <c r="B3696" s="557" t="s">
        <v>9460</v>
      </c>
      <c r="C3696" s="558" t="s">
        <v>2740</v>
      </c>
      <c r="D3696" s="556" t="s">
        <v>2623</v>
      </c>
      <c r="E3696" s="17" t="s">
        <v>7111</v>
      </c>
      <c r="F3696" s="17">
        <v>157</v>
      </c>
      <c r="G3696" s="17">
        <v>1</v>
      </c>
      <c r="H3696" s="17" t="s">
        <v>8301</v>
      </c>
      <c r="I3696" s="17"/>
      <c r="J3696" s="17"/>
      <c r="K3696" s="17"/>
      <c r="L3696" s="17"/>
      <c r="M3696" s="17"/>
      <c r="N3696" s="17"/>
      <c r="O3696" s="17"/>
      <c r="P3696" s="17"/>
      <c r="Q3696" s="17"/>
    </row>
    <row r="3697" spans="1:17">
      <c r="A3697" s="556" t="s">
        <v>3652</v>
      </c>
      <c r="B3697" s="557" t="s">
        <v>9460</v>
      </c>
      <c r="C3697" s="558" t="s">
        <v>2740</v>
      </c>
      <c r="D3697" s="556" t="s">
        <v>2624</v>
      </c>
      <c r="E3697" s="17" t="s">
        <v>7112</v>
      </c>
      <c r="F3697" s="17">
        <v>157</v>
      </c>
      <c r="G3697" s="17">
        <v>2</v>
      </c>
      <c r="H3697" s="17" t="s">
        <v>8302</v>
      </c>
      <c r="I3697" s="17"/>
      <c r="J3697" s="17"/>
      <c r="K3697" s="17"/>
      <c r="L3697" s="17"/>
      <c r="M3697" s="17"/>
      <c r="N3697" s="17"/>
      <c r="O3697" s="17"/>
      <c r="P3697" s="17"/>
      <c r="Q3697" s="17"/>
    </row>
    <row r="3698" spans="1:17">
      <c r="A3698" s="556" t="s">
        <v>3652</v>
      </c>
      <c r="B3698" s="557" t="s">
        <v>9460</v>
      </c>
      <c r="C3698" s="558" t="s">
        <v>2740</v>
      </c>
      <c r="D3698" s="556" t="s">
        <v>4426</v>
      </c>
      <c r="E3698" s="17" t="s">
        <v>7113</v>
      </c>
      <c r="F3698" s="17">
        <v>157</v>
      </c>
      <c r="G3698" s="17">
        <v>3</v>
      </c>
      <c r="H3698" s="17" t="s">
        <v>8303</v>
      </c>
      <c r="I3698" s="17">
        <v>0</v>
      </c>
      <c r="J3698" s="17"/>
      <c r="K3698" s="17"/>
      <c r="L3698" s="17"/>
      <c r="M3698" s="17"/>
      <c r="N3698" s="17"/>
      <c r="O3698" s="17"/>
      <c r="P3698" s="17"/>
      <c r="Q3698" s="17"/>
    </row>
    <row r="3699" spans="1:17">
      <c r="A3699" s="556" t="s">
        <v>3652</v>
      </c>
      <c r="B3699" s="557" t="s">
        <v>9460</v>
      </c>
      <c r="C3699" s="558" t="s">
        <v>2740</v>
      </c>
      <c r="D3699" s="556" t="s">
        <v>4324</v>
      </c>
      <c r="E3699" s="17" t="s">
        <v>7114</v>
      </c>
      <c r="F3699" s="17">
        <v>157</v>
      </c>
      <c r="G3699" s="17">
        <v>4</v>
      </c>
      <c r="H3699" s="17" t="s">
        <v>8304</v>
      </c>
      <c r="I3699" s="17"/>
      <c r="J3699" s="17"/>
      <c r="K3699" s="17"/>
      <c r="L3699" s="17"/>
      <c r="M3699" s="17"/>
      <c r="N3699" s="17"/>
      <c r="O3699" s="17"/>
      <c r="P3699" s="17"/>
      <c r="Q3699" s="17"/>
    </row>
    <row r="3700" spans="1:17">
      <c r="A3700" s="556" t="s">
        <v>3652</v>
      </c>
      <c r="B3700" s="557" t="s">
        <v>9461</v>
      </c>
      <c r="C3700" s="558" t="s">
        <v>2741</v>
      </c>
      <c r="D3700" s="556" t="s">
        <v>2623</v>
      </c>
      <c r="E3700" s="17" t="s">
        <v>7115</v>
      </c>
      <c r="F3700" s="17">
        <v>158</v>
      </c>
      <c r="G3700" s="17">
        <v>1</v>
      </c>
      <c r="H3700" s="17" t="s">
        <v>8305</v>
      </c>
      <c r="I3700" s="17"/>
      <c r="J3700" s="17"/>
      <c r="K3700" s="17"/>
      <c r="L3700" s="17"/>
      <c r="M3700" s="17"/>
      <c r="N3700" s="17"/>
      <c r="O3700" s="17"/>
      <c r="P3700" s="17"/>
      <c r="Q3700" s="17"/>
    </row>
    <row r="3701" spans="1:17">
      <c r="A3701" s="556" t="s">
        <v>3652</v>
      </c>
      <c r="B3701" s="557" t="s">
        <v>9461</v>
      </c>
      <c r="C3701" s="558" t="s">
        <v>2741</v>
      </c>
      <c r="D3701" s="556" t="s">
        <v>2624</v>
      </c>
      <c r="E3701" s="17" t="s">
        <v>7116</v>
      </c>
      <c r="F3701" s="17">
        <v>158</v>
      </c>
      <c r="G3701" s="17">
        <v>2</v>
      </c>
      <c r="H3701" s="17" t="s">
        <v>8306</v>
      </c>
      <c r="I3701" s="17"/>
      <c r="J3701" s="17"/>
      <c r="K3701" s="17"/>
      <c r="L3701" s="17"/>
      <c r="M3701" s="17"/>
      <c r="N3701" s="17"/>
      <c r="O3701" s="17"/>
      <c r="P3701" s="17"/>
      <c r="Q3701" s="17"/>
    </row>
    <row r="3702" spans="1:17">
      <c r="A3702" s="556" t="s">
        <v>3652</v>
      </c>
      <c r="B3702" s="557" t="s">
        <v>9461</v>
      </c>
      <c r="C3702" s="558" t="s">
        <v>2741</v>
      </c>
      <c r="D3702" s="556" t="s">
        <v>4426</v>
      </c>
      <c r="E3702" s="17" t="s">
        <v>7117</v>
      </c>
      <c r="F3702" s="17">
        <v>158</v>
      </c>
      <c r="G3702" s="17">
        <v>3</v>
      </c>
      <c r="H3702" s="17" t="s">
        <v>8307</v>
      </c>
      <c r="I3702" s="17">
        <v>0</v>
      </c>
      <c r="J3702" s="17"/>
      <c r="K3702" s="17"/>
      <c r="L3702" s="17"/>
      <c r="M3702" s="17"/>
      <c r="N3702" s="17"/>
      <c r="O3702" s="17"/>
      <c r="P3702" s="17"/>
      <c r="Q3702" s="17"/>
    </row>
    <row r="3703" spans="1:17">
      <c r="A3703" s="556" t="s">
        <v>3652</v>
      </c>
      <c r="B3703" s="557" t="s">
        <v>9461</v>
      </c>
      <c r="C3703" s="558" t="s">
        <v>2741</v>
      </c>
      <c r="D3703" s="556" t="s">
        <v>4324</v>
      </c>
      <c r="E3703" s="17" t="s">
        <v>7118</v>
      </c>
      <c r="F3703" s="17">
        <v>158</v>
      </c>
      <c r="G3703" s="17">
        <v>4</v>
      </c>
      <c r="H3703" s="17" t="s">
        <v>8308</v>
      </c>
      <c r="I3703" s="17"/>
      <c r="J3703" s="17"/>
      <c r="K3703" s="17"/>
      <c r="L3703" s="17"/>
      <c r="M3703" s="17"/>
      <c r="N3703" s="17"/>
      <c r="O3703" s="17"/>
      <c r="P3703" s="17"/>
      <c r="Q3703" s="17"/>
    </row>
    <row r="3704" spans="1:17">
      <c r="A3704" s="556" t="s">
        <v>3652</v>
      </c>
      <c r="B3704" s="557" t="s">
        <v>9462</v>
      </c>
      <c r="C3704" s="558" t="s">
        <v>2742</v>
      </c>
      <c r="D3704" s="556" t="s">
        <v>2623</v>
      </c>
      <c r="E3704" s="17" t="s">
        <v>7119</v>
      </c>
      <c r="F3704" s="17">
        <v>159</v>
      </c>
      <c r="G3704" s="17">
        <v>1</v>
      </c>
      <c r="H3704" s="17" t="s">
        <v>8309</v>
      </c>
      <c r="I3704" s="17"/>
      <c r="J3704" s="17"/>
      <c r="K3704" s="17"/>
      <c r="L3704" s="17"/>
      <c r="M3704" s="17"/>
      <c r="N3704" s="17"/>
      <c r="O3704" s="17"/>
      <c r="P3704" s="17"/>
      <c r="Q3704" s="17"/>
    </row>
    <row r="3705" spans="1:17">
      <c r="A3705" s="556" t="s">
        <v>3652</v>
      </c>
      <c r="B3705" s="557" t="s">
        <v>9462</v>
      </c>
      <c r="C3705" s="558" t="s">
        <v>2742</v>
      </c>
      <c r="D3705" s="556" t="s">
        <v>2624</v>
      </c>
      <c r="E3705" s="17" t="s">
        <v>7120</v>
      </c>
      <c r="F3705" s="17">
        <v>159</v>
      </c>
      <c r="G3705" s="17">
        <v>2</v>
      </c>
      <c r="H3705" s="17" t="s">
        <v>8310</v>
      </c>
      <c r="I3705" s="17"/>
      <c r="J3705" s="17"/>
      <c r="K3705" s="17"/>
      <c r="L3705" s="17"/>
      <c r="M3705" s="17"/>
      <c r="N3705" s="17"/>
      <c r="O3705" s="17"/>
      <c r="P3705" s="17"/>
      <c r="Q3705" s="17"/>
    </row>
    <row r="3706" spans="1:17">
      <c r="A3706" s="556" t="s">
        <v>3652</v>
      </c>
      <c r="B3706" s="557" t="s">
        <v>9462</v>
      </c>
      <c r="C3706" s="558" t="s">
        <v>2742</v>
      </c>
      <c r="D3706" s="556" t="s">
        <v>4426</v>
      </c>
      <c r="E3706" s="17" t="s">
        <v>7121</v>
      </c>
      <c r="F3706" s="17">
        <v>159</v>
      </c>
      <c r="G3706" s="17">
        <v>3</v>
      </c>
      <c r="H3706" s="17" t="s">
        <v>8311</v>
      </c>
      <c r="I3706" s="17">
        <v>0</v>
      </c>
      <c r="J3706" s="17"/>
      <c r="K3706" s="17"/>
      <c r="L3706" s="17"/>
      <c r="M3706" s="17"/>
      <c r="N3706" s="17"/>
      <c r="O3706" s="17"/>
      <c r="P3706" s="17"/>
      <c r="Q3706" s="17"/>
    </row>
    <row r="3707" spans="1:17">
      <c r="A3707" s="556" t="s">
        <v>3652</v>
      </c>
      <c r="B3707" s="557" t="s">
        <v>9462</v>
      </c>
      <c r="C3707" s="558" t="s">
        <v>2742</v>
      </c>
      <c r="D3707" s="556" t="s">
        <v>4324</v>
      </c>
      <c r="E3707" s="17" t="s">
        <v>7122</v>
      </c>
      <c r="F3707" s="17">
        <v>159</v>
      </c>
      <c r="G3707" s="17">
        <v>4</v>
      </c>
      <c r="H3707" s="17" t="s">
        <v>8312</v>
      </c>
      <c r="I3707" s="17"/>
      <c r="J3707" s="17"/>
      <c r="K3707" s="17"/>
      <c r="L3707" s="17"/>
      <c r="M3707" s="17"/>
      <c r="N3707" s="17"/>
      <c r="O3707" s="17"/>
      <c r="P3707" s="17"/>
      <c r="Q3707" s="17"/>
    </row>
    <row r="3708" spans="1:17">
      <c r="A3708" s="556" t="s">
        <v>3652</v>
      </c>
      <c r="B3708" s="557" t="s">
        <v>9463</v>
      </c>
      <c r="C3708" s="558" t="s">
        <v>2743</v>
      </c>
      <c r="D3708" s="556" t="s">
        <v>2623</v>
      </c>
      <c r="E3708" s="17" t="s">
        <v>7123</v>
      </c>
      <c r="F3708" s="17">
        <v>160</v>
      </c>
      <c r="G3708" s="17">
        <v>1</v>
      </c>
      <c r="H3708" s="17" t="s">
        <v>8313</v>
      </c>
      <c r="I3708" s="17"/>
      <c r="J3708" s="17"/>
      <c r="K3708" s="17"/>
      <c r="L3708" s="17"/>
      <c r="M3708" s="17"/>
      <c r="N3708" s="17"/>
      <c r="O3708" s="17"/>
      <c r="P3708" s="17"/>
      <c r="Q3708" s="17"/>
    </row>
    <row r="3709" spans="1:17">
      <c r="A3709" s="556" t="s">
        <v>3652</v>
      </c>
      <c r="B3709" s="557" t="s">
        <v>9463</v>
      </c>
      <c r="C3709" s="558" t="s">
        <v>2743</v>
      </c>
      <c r="D3709" s="556" t="s">
        <v>2624</v>
      </c>
      <c r="E3709" s="17" t="s">
        <v>7124</v>
      </c>
      <c r="F3709" s="17">
        <v>160</v>
      </c>
      <c r="G3709" s="17">
        <v>2</v>
      </c>
      <c r="H3709" s="17" t="s">
        <v>8314</v>
      </c>
      <c r="I3709" s="17"/>
      <c r="J3709" s="17"/>
      <c r="K3709" s="17"/>
      <c r="L3709" s="17"/>
      <c r="M3709" s="17"/>
      <c r="N3709" s="17"/>
      <c r="O3709" s="17"/>
      <c r="P3709" s="17"/>
      <c r="Q3709" s="17"/>
    </row>
    <row r="3710" spans="1:17">
      <c r="A3710" s="556" t="s">
        <v>3652</v>
      </c>
      <c r="B3710" s="557" t="s">
        <v>9463</v>
      </c>
      <c r="C3710" s="558" t="s">
        <v>2743</v>
      </c>
      <c r="D3710" s="556" t="s">
        <v>4426</v>
      </c>
      <c r="E3710" s="17" t="s">
        <v>7125</v>
      </c>
      <c r="F3710" s="17">
        <v>160</v>
      </c>
      <c r="G3710" s="17">
        <v>3</v>
      </c>
      <c r="H3710" s="17" t="s">
        <v>8315</v>
      </c>
      <c r="I3710" s="17">
        <v>0</v>
      </c>
      <c r="J3710" s="17"/>
      <c r="K3710" s="17"/>
      <c r="L3710" s="17"/>
      <c r="M3710" s="17"/>
      <c r="N3710" s="17"/>
      <c r="O3710" s="17"/>
      <c r="P3710" s="17"/>
      <c r="Q3710" s="17"/>
    </row>
    <row r="3711" spans="1:17">
      <c r="A3711" s="556" t="s">
        <v>3652</v>
      </c>
      <c r="B3711" s="557" t="s">
        <v>9463</v>
      </c>
      <c r="C3711" s="558" t="s">
        <v>2743</v>
      </c>
      <c r="D3711" s="556" t="s">
        <v>4324</v>
      </c>
      <c r="E3711" s="17" t="s">
        <v>7126</v>
      </c>
      <c r="F3711" s="17">
        <v>160</v>
      </c>
      <c r="G3711" s="17">
        <v>4</v>
      </c>
      <c r="H3711" s="17" t="s">
        <v>8316</v>
      </c>
      <c r="I3711" s="17"/>
      <c r="J3711" s="17"/>
      <c r="K3711" s="17"/>
      <c r="L3711" s="17"/>
      <c r="M3711" s="17"/>
      <c r="N3711" s="17"/>
      <c r="O3711" s="17"/>
      <c r="P3711" s="17"/>
      <c r="Q3711" s="17"/>
    </row>
    <row r="3712" spans="1:17">
      <c r="A3712" s="556" t="s">
        <v>3652</v>
      </c>
      <c r="B3712" s="557" t="s">
        <v>9464</v>
      </c>
      <c r="C3712" s="558" t="s">
        <v>2744</v>
      </c>
      <c r="D3712" s="556" t="s">
        <v>2623</v>
      </c>
      <c r="E3712" s="17" t="s">
        <v>7127</v>
      </c>
      <c r="F3712" s="17">
        <v>161</v>
      </c>
      <c r="G3712" s="17">
        <v>1</v>
      </c>
      <c r="H3712" s="17" t="s">
        <v>8317</v>
      </c>
      <c r="I3712" s="17"/>
      <c r="J3712" s="17"/>
      <c r="K3712" s="17"/>
      <c r="L3712" s="17"/>
      <c r="M3712" s="17"/>
      <c r="N3712" s="17"/>
      <c r="O3712" s="17"/>
      <c r="P3712" s="17"/>
      <c r="Q3712" s="17"/>
    </row>
    <row r="3713" spans="1:17">
      <c r="A3713" s="556" t="s">
        <v>3652</v>
      </c>
      <c r="B3713" s="557" t="s">
        <v>9464</v>
      </c>
      <c r="C3713" s="558" t="s">
        <v>2744</v>
      </c>
      <c r="D3713" s="556" t="s">
        <v>2624</v>
      </c>
      <c r="E3713" s="17" t="s">
        <v>7128</v>
      </c>
      <c r="F3713" s="17">
        <v>161</v>
      </c>
      <c r="G3713" s="17">
        <v>2</v>
      </c>
      <c r="H3713" s="17" t="s">
        <v>8318</v>
      </c>
      <c r="I3713" s="17"/>
      <c r="J3713" s="17"/>
      <c r="K3713" s="17"/>
      <c r="L3713" s="17"/>
      <c r="M3713" s="17"/>
      <c r="N3713" s="17"/>
      <c r="O3713" s="17"/>
      <c r="P3713" s="17"/>
      <c r="Q3713" s="17"/>
    </row>
    <row r="3714" spans="1:17">
      <c r="A3714" s="556" t="s">
        <v>3652</v>
      </c>
      <c r="B3714" s="557" t="s">
        <v>9464</v>
      </c>
      <c r="C3714" s="558" t="s">
        <v>2744</v>
      </c>
      <c r="D3714" s="556" t="s">
        <v>4426</v>
      </c>
      <c r="E3714" s="17" t="s">
        <v>7129</v>
      </c>
      <c r="F3714" s="17">
        <v>161</v>
      </c>
      <c r="G3714" s="17">
        <v>3</v>
      </c>
      <c r="H3714" s="17" t="s">
        <v>8319</v>
      </c>
      <c r="I3714" s="17">
        <v>0</v>
      </c>
      <c r="J3714" s="17"/>
      <c r="K3714" s="17"/>
      <c r="L3714" s="17"/>
      <c r="M3714" s="17"/>
      <c r="N3714" s="17"/>
      <c r="O3714" s="17"/>
      <c r="P3714" s="17"/>
      <c r="Q3714" s="17"/>
    </row>
    <row r="3715" spans="1:17">
      <c r="A3715" s="556" t="s">
        <v>3652</v>
      </c>
      <c r="B3715" s="557" t="s">
        <v>9464</v>
      </c>
      <c r="C3715" s="558" t="s">
        <v>2744</v>
      </c>
      <c r="D3715" s="556" t="s">
        <v>4324</v>
      </c>
      <c r="E3715" s="17" t="s">
        <v>7130</v>
      </c>
      <c r="F3715" s="17">
        <v>161</v>
      </c>
      <c r="G3715" s="17">
        <v>4</v>
      </c>
      <c r="H3715" s="17" t="s">
        <v>8320</v>
      </c>
      <c r="I3715" s="17"/>
      <c r="J3715" s="17"/>
      <c r="K3715" s="17"/>
      <c r="L3715" s="17"/>
      <c r="M3715" s="17"/>
      <c r="N3715" s="17"/>
      <c r="O3715" s="17"/>
      <c r="P3715" s="17"/>
      <c r="Q3715" s="17"/>
    </row>
    <row r="3716" spans="1:17">
      <c r="A3716" s="556" t="s">
        <v>3652</v>
      </c>
      <c r="B3716" s="557" t="s">
        <v>9465</v>
      </c>
      <c r="C3716" s="558" t="s">
        <v>2745</v>
      </c>
      <c r="D3716" s="556" t="s">
        <v>2623</v>
      </c>
      <c r="E3716" s="17" t="s">
        <v>7131</v>
      </c>
      <c r="F3716" s="17">
        <v>162</v>
      </c>
      <c r="G3716" s="17">
        <v>1</v>
      </c>
      <c r="H3716" s="17" t="s">
        <v>8321</v>
      </c>
      <c r="I3716" s="17"/>
      <c r="J3716" s="17"/>
      <c r="K3716" s="17"/>
      <c r="L3716" s="17"/>
      <c r="M3716" s="17"/>
      <c r="N3716" s="17"/>
      <c r="O3716" s="17"/>
      <c r="P3716" s="17"/>
      <c r="Q3716" s="17"/>
    </row>
    <row r="3717" spans="1:17">
      <c r="A3717" s="556" t="s">
        <v>3652</v>
      </c>
      <c r="B3717" s="557" t="s">
        <v>9465</v>
      </c>
      <c r="C3717" s="558" t="s">
        <v>2745</v>
      </c>
      <c r="D3717" s="556" t="s">
        <v>2624</v>
      </c>
      <c r="E3717" s="17" t="s">
        <v>7132</v>
      </c>
      <c r="F3717" s="17">
        <v>162</v>
      </c>
      <c r="G3717" s="17">
        <v>2</v>
      </c>
      <c r="H3717" s="17" t="s">
        <v>8322</v>
      </c>
      <c r="I3717" s="17"/>
      <c r="J3717" s="17"/>
      <c r="K3717" s="17"/>
      <c r="L3717" s="17"/>
      <c r="M3717" s="17"/>
      <c r="N3717" s="17"/>
      <c r="O3717" s="17"/>
      <c r="P3717" s="17"/>
      <c r="Q3717" s="17"/>
    </row>
    <row r="3718" spans="1:17">
      <c r="A3718" s="556" t="s">
        <v>3652</v>
      </c>
      <c r="B3718" s="557" t="s">
        <v>9465</v>
      </c>
      <c r="C3718" s="558" t="s">
        <v>2745</v>
      </c>
      <c r="D3718" s="556" t="s">
        <v>4426</v>
      </c>
      <c r="E3718" s="17" t="s">
        <v>7133</v>
      </c>
      <c r="F3718" s="17">
        <v>162</v>
      </c>
      <c r="G3718" s="17">
        <v>3</v>
      </c>
      <c r="H3718" s="17" t="s">
        <v>8323</v>
      </c>
      <c r="I3718" s="17">
        <v>0</v>
      </c>
      <c r="J3718" s="17"/>
      <c r="K3718" s="17"/>
      <c r="L3718" s="17"/>
      <c r="M3718" s="17"/>
      <c r="N3718" s="17"/>
      <c r="O3718" s="17"/>
      <c r="P3718" s="17"/>
      <c r="Q3718" s="17"/>
    </row>
    <row r="3719" spans="1:17">
      <c r="A3719" s="556" t="s">
        <v>3652</v>
      </c>
      <c r="B3719" s="557" t="s">
        <v>9465</v>
      </c>
      <c r="C3719" s="558" t="s">
        <v>2745</v>
      </c>
      <c r="D3719" s="556" t="s">
        <v>4324</v>
      </c>
      <c r="E3719" s="17" t="s">
        <v>7134</v>
      </c>
      <c r="F3719" s="17">
        <v>162</v>
      </c>
      <c r="G3719" s="17">
        <v>4</v>
      </c>
      <c r="H3719" s="17" t="s">
        <v>8324</v>
      </c>
      <c r="I3719" s="17"/>
      <c r="J3719" s="17"/>
      <c r="K3719" s="17"/>
      <c r="L3719" s="17"/>
      <c r="M3719" s="17"/>
      <c r="N3719" s="17"/>
      <c r="O3719" s="17"/>
      <c r="P3719" s="17"/>
      <c r="Q3719" s="17"/>
    </row>
    <row r="3720" spans="1:17">
      <c r="A3720" s="556" t="s">
        <v>3652</v>
      </c>
      <c r="B3720" s="557" t="s">
        <v>9466</v>
      </c>
      <c r="C3720" s="558" t="s">
        <v>2217</v>
      </c>
      <c r="D3720" s="556" t="s">
        <v>2623</v>
      </c>
      <c r="E3720" s="17" t="s">
        <v>7135</v>
      </c>
      <c r="F3720" s="17">
        <v>163</v>
      </c>
      <c r="G3720" s="17">
        <v>1</v>
      </c>
      <c r="H3720" s="17" t="s">
        <v>8325</v>
      </c>
      <c r="I3720" s="17"/>
      <c r="J3720" s="17"/>
      <c r="K3720" s="17"/>
      <c r="L3720" s="17"/>
      <c r="M3720" s="17"/>
      <c r="N3720" s="17"/>
      <c r="O3720" s="17"/>
      <c r="P3720" s="17"/>
      <c r="Q3720" s="17"/>
    </row>
    <row r="3721" spans="1:17">
      <c r="A3721" s="556" t="s">
        <v>3652</v>
      </c>
      <c r="B3721" s="557" t="s">
        <v>9466</v>
      </c>
      <c r="C3721" s="558" t="s">
        <v>2217</v>
      </c>
      <c r="D3721" s="556" t="s">
        <v>2624</v>
      </c>
      <c r="E3721" s="17" t="s">
        <v>7136</v>
      </c>
      <c r="F3721" s="17">
        <v>163</v>
      </c>
      <c r="G3721" s="17">
        <v>2</v>
      </c>
      <c r="H3721" s="17" t="s">
        <v>8326</v>
      </c>
      <c r="I3721" s="17"/>
      <c r="J3721" s="17"/>
      <c r="K3721" s="17"/>
      <c r="L3721" s="17"/>
      <c r="M3721" s="17"/>
      <c r="N3721" s="17"/>
      <c r="O3721" s="17"/>
      <c r="P3721" s="17"/>
      <c r="Q3721" s="17"/>
    </row>
    <row r="3722" spans="1:17">
      <c r="A3722" s="556" t="s">
        <v>3652</v>
      </c>
      <c r="B3722" s="557" t="s">
        <v>9466</v>
      </c>
      <c r="C3722" s="558" t="s">
        <v>2217</v>
      </c>
      <c r="D3722" s="556" t="s">
        <v>4426</v>
      </c>
      <c r="E3722" s="17" t="s">
        <v>7137</v>
      </c>
      <c r="F3722" s="17">
        <v>163</v>
      </c>
      <c r="G3722" s="17">
        <v>3</v>
      </c>
      <c r="H3722" s="17" t="s">
        <v>8327</v>
      </c>
      <c r="I3722" s="17">
        <v>0</v>
      </c>
      <c r="J3722" s="17"/>
      <c r="K3722" s="17"/>
      <c r="L3722" s="17"/>
      <c r="M3722" s="17"/>
      <c r="N3722" s="17"/>
      <c r="O3722" s="17"/>
      <c r="P3722" s="17"/>
      <c r="Q3722" s="17"/>
    </row>
    <row r="3723" spans="1:17">
      <c r="A3723" s="556" t="s">
        <v>3652</v>
      </c>
      <c r="B3723" s="557" t="s">
        <v>9466</v>
      </c>
      <c r="C3723" s="558" t="s">
        <v>2217</v>
      </c>
      <c r="D3723" s="556" t="s">
        <v>4324</v>
      </c>
      <c r="E3723" s="17" t="s">
        <v>7138</v>
      </c>
      <c r="F3723" s="17">
        <v>163</v>
      </c>
      <c r="G3723" s="17">
        <v>4</v>
      </c>
      <c r="H3723" s="17" t="s">
        <v>8328</v>
      </c>
      <c r="I3723" s="17"/>
      <c r="J3723" s="17"/>
      <c r="K3723" s="17"/>
      <c r="L3723" s="17"/>
      <c r="M3723" s="17"/>
      <c r="N3723" s="17"/>
      <c r="O3723" s="17"/>
      <c r="P3723" s="17"/>
      <c r="Q3723" s="17"/>
    </row>
    <row r="3724" spans="1:17">
      <c r="A3724" s="556" t="s">
        <v>3652</v>
      </c>
      <c r="B3724" s="557" t="s">
        <v>1304</v>
      </c>
      <c r="C3724" s="558" t="s">
        <v>1305</v>
      </c>
      <c r="D3724" s="556" t="s">
        <v>2623</v>
      </c>
      <c r="E3724" s="17" t="s">
        <v>7139</v>
      </c>
      <c r="F3724" s="17">
        <v>164</v>
      </c>
      <c r="G3724" s="17">
        <v>1</v>
      </c>
      <c r="H3724" s="17" t="s">
        <v>8329</v>
      </c>
      <c r="I3724" s="17">
        <v>0</v>
      </c>
      <c r="J3724" s="17"/>
      <c r="K3724" s="17"/>
      <c r="L3724" s="17"/>
      <c r="M3724" s="17"/>
      <c r="N3724" s="17"/>
      <c r="O3724" s="17"/>
      <c r="P3724" s="17"/>
      <c r="Q3724" s="17"/>
    </row>
    <row r="3725" spans="1:17">
      <c r="A3725" s="556" t="s">
        <v>3652</v>
      </c>
      <c r="B3725" s="557" t="s">
        <v>1304</v>
      </c>
      <c r="C3725" s="558" t="s">
        <v>1305</v>
      </c>
      <c r="D3725" s="556" t="s">
        <v>2624</v>
      </c>
      <c r="E3725" s="17" t="s">
        <v>7140</v>
      </c>
      <c r="F3725" s="17">
        <v>164</v>
      </c>
      <c r="G3725" s="17">
        <v>2</v>
      </c>
      <c r="H3725" s="17" t="s">
        <v>8330</v>
      </c>
      <c r="I3725" s="17">
        <v>0</v>
      </c>
      <c r="J3725" s="17"/>
      <c r="K3725" s="17"/>
      <c r="L3725" s="17"/>
      <c r="M3725" s="17"/>
      <c r="N3725" s="17"/>
      <c r="O3725" s="17"/>
      <c r="P3725" s="17"/>
      <c r="Q3725" s="17"/>
    </row>
    <row r="3726" spans="1:17">
      <c r="A3726" s="556" t="s">
        <v>3652</v>
      </c>
      <c r="B3726" s="557" t="s">
        <v>1304</v>
      </c>
      <c r="C3726" s="558" t="s">
        <v>1305</v>
      </c>
      <c r="D3726" s="556" t="s">
        <v>4426</v>
      </c>
      <c r="E3726" s="17" t="s">
        <v>7141</v>
      </c>
      <c r="F3726" s="17">
        <v>164</v>
      </c>
      <c r="G3726" s="17">
        <v>3</v>
      </c>
      <c r="H3726" s="17" t="s">
        <v>8331</v>
      </c>
      <c r="I3726" s="17">
        <v>0</v>
      </c>
      <c r="J3726" s="17"/>
      <c r="K3726" s="17"/>
      <c r="L3726" s="17"/>
      <c r="M3726" s="17"/>
      <c r="N3726" s="17"/>
      <c r="O3726" s="17"/>
      <c r="P3726" s="17"/>
      <c r="Q3726" s="17"/>
    </row>
    <row r="3727" spans="1:17">
      <c r="A3727" s="556" t="s">
        <v>3652</v>
      </c>
      <c r="B3727" s="557" t="s">
        <v>1304</v>
      </c>
      <c r="C3727" s="558" t="s">
        <v>1305</v>
      </c>
      <c r="D3727" s="556" t="s">
        <v>4324</v>
      </c>
      <c r="E3727" s="17" t="s">
        <v>7142</v>
      </c>
      <c r="F3727" s="17">
        <v>164</v>
      </c>
      <c r="G3727" s="17">
        <v>4</v>
      </c>
      <c r="H3727" s="17" t="s">
        <v>8332</v>
      </c>
      <c r="I3727" s="17"/>
      <c r="J3727" s="17"/>
      <c r="K3727" s="17"/>
      <c r="L3727" s="17"/>
      <c r="M3727" s="17"/>
      <c r="N3727" s="17"/>
      <c r="O3727" s="17"/>
      <c r="P3727" s="17"/>
      <c r="Q3727" s="17"/>
    </row>
    <row r="3728" spans="1:17">
      <c r="A3728" s="556" t="s">
        <v>3652</v>
      </c>
      <c r="B3728" s="557" t="s">
        <v>9467</v>
      </c>
      <c r="C3728" s="558" t="s">
        <v>2221</v>
      </c>
      <c r="D3728" s="556" t="s">
        <v>2623</v>
      </c>
      <c r="E3728" s="17" t="s">
        <v>7143</v>
      </c>
      <c r="F3728" s="17">
        <v>165</v>
      </c>
      <c r="G3728" s="17">
        <v>1</v>
      </c>
      <c r="H3728" s="17" t="s">
        <v>8333</v>
      </c>
      <c r="I3728" s="17"/>
      <c r="J3728" s="17"/>
      <c r="K3728" s="17"/>
      <c r="L3728" s="17"/>
      <c r="M3728" s="17"/>
      <c r="N3728" s="17"/>
      <c r="O3728" s="17"/>
      <c r="P3728" s="17"/>
      <c r="Q3728" s="17"/>
    </row>
    <row r="3729" spans="1:17">
      <c r="A3729" s="556" t="s">
        <v>3652</v>
      </c>
      <c r="B3729" s="557" t="s">
        <v>9467</v>
      </c>
      <c r="C3729" s="558" t="s">
        <v>2221</v>
      </c>
      <c r="D3729" s="556" t="s">
        <v>2624</v>
      </c>
      <c r="E3729" s="17" t="s">
        <v>7144</v>
      </c>
      <c r="F3729" s="17">
        <v>165</v>
      </c>
      <c r="G3729" s="17">
        <v>2</v>
      </c>
      <c r="H3729" s="17" t="s">
        <v>8334</v>
      </c>
      <c r="I3729" s="17"/>
      <c r="J3729" s="17"/>
      <c r="K3729" s="17"/>
      <c r="L3729" s="17"/>
      <c r="M3729" s="17"/>
      <c r="N3729" s="17"/>
      <c r="O3729" s="17"/>
      <c r="P3729" s="17"/>
      <c r="Q3729" s="17"/>
    </row>
    <row r="3730" spans="1:17">
      <c r="A3730" s="556" t="s">
        <v>3652</v>
      </c>
      <c r="B3730" s="557" t="s">
        <v>9467</v>
      </c>
      <c r="C3730" s="558" t="s">
        <v>2221</v>
      </c>
      <c r="D3730" s="556" t="s">
        <v>4426</v>
      </c>
      <c r="E3730" s="17" t="s">
        <v>7145</v>
      </c>
      <c r="F3730" s="17">
        <v>165</v>
      </c>
      <c r="G3730" s="17">
        <v>3</v>
      </c>
      <c r="H3730" s="17" t="s">
        <v>8335</v>
      </c>
      <c r="I3730" s="17">
        <v>0</v>
      </c>
      <c r="J3730" s="17"/>
      <c r="K3730" s="17"/>
      <c r="L3730" s="17"/>
      <c r="M3730" s="17"/>
      <c r="N3730" s="17"/>
      <c r="O3730" s="17"/>
      <c r="P3730" s="17"/>
      <c r="Q3730" s="17"/>
    </row>
    <row r="3731" spans="1:17">
      <c r="A3731" s="556" t="s">
        <v>3652</v>
      </c>
      <c r="B3731" s="557" t="s">
        <v>9467</v>
      </c>
      <c r="C3731" s="558" t="s">
        <v>2221</v>
      </c>
      <c r="D3731" s="556" t="s">
        <v>4324</v>
      </c>
      <c r="E3731" s="17" t="s">
        <v>7146</v>
      </c>
      <c r="F3731" s="17">
        <v>165</v>
      </c>
      <c r="G3731" s="17">
        <v>4</v>
      </c>
      <c r="H3731" s="17" t="s">
        <v>8336</v>
      </c>
      <c r="I3731" s="17"/>
      <c r="J3731" s="17"/>
      <c r="K3731" s="17"/>
      <c r="L3731" s="17"/>
      <c r="M3731" s="17"/>
      <c r="N3731" s="17"/>
      <c r="O3731" s="17"/>
      <c r="P3731" s="17"/>
      <c r="Q3731" s="17"/>
    </row>
    <row r="3732" spans="1:17">
      <c r="A3732" s="556" t="s">
        <v>3652</v>
      </c>
      <c r="B3732" s="557" t="s">
        <v>9468</v>
      </c>
      <c r="C3732" s="558" t="s">
        <v>2222</v>
      </c>
      <c r="D3732" s="556" t="s">
        <v>2623</v>
      </c>
      <c r="E3732" s="17" t="s">
        <v>7147</v>
      </c>
      <c r="F3732" s="17">
        <v>166</v>
      </c>
      <c r="G3732" s="17">
        <v>1</v>
      </c>
      <c r="H3732" s="17" t="s">
        <v>8337</v>
      </c>
      <c r="I3732" s="17"/>
      <c r="J3732" s="17"/>
      <c r="K3732" s="17"/>
      <c r="L3732" s="17"/>
      <c r="M3732" s="17"/>
      <c r="N3732" s="17"/>
      <c r="O3732" s="17"/>
      <c r="P3732" s="17"/>
      <c r="Q3732" s="17"/>
    </row>
    <row r="3733" spans="1:17">
      <c r="A3733" s="556" t="s">
        <v>3652</v>
      </c>
      <c r="B3733" s="557" t="s">
        <v>9468</v>
      </c>
      <c r="C3733" s="558" t="s">
        <v>2222</v>
      </c>
      <c r="D3733" s="556" t="s">
        <v>2624</v>
      </c>
      <c r="E3733" s="17" t="s">
        <v>7148</v>
      </c>
      <c r="F3733" s="17">
        <v>166</v>
      </c>
      <c r="G3733" s="17">
        <v>2</v>
      </c>
      <c r="H3733" s="17" t="s">
        <v>8338</v>
      </c>
      <c r="I3733" s="17"/>
      <c r="J3733" s="17"/>
      <c r="K3733" s="17"/>
      <c r="L3733" s="17"/>
      <c r="M3733" s="17"/>
      <c r="N3733" s="17"/>
      <c r="O3733" s="17"/>
      <c r="P3733" s="17"/>
      <c r="Q3733" s="17"/>
    </row>
    <row r="3734" spans="1:17">
      <c r="A3734" s="556" t="s">
        <v>3652</v>
      </c>
      <c r="B3734" s="557" t="s">
        <v>9468</v>
      </c>
      <c r="C3734" s="558" t="s">
        <v>2222</v>
      </c>
      <c r="D3734" s="556" t="s">
        <v>4426</v>
      </c>
      <c r="E3734" s="17" t="s">
        <v>7149</v>
      </c>
      <c r="F3734" s="17">
        <v>166</v>
      </c>
      <c r="G3734" s="17">
        <v>3</v>
      </c>
      <c r="H3734" s="17" t="s">
        <v>8339</v>
      </c>
      <c r="I3734" s="17">
        <v>0</v>
      </c>
      <c r="J3734" s="17"/>
      <c r="K3734" s="17"/>
      <c r="L3734" s="17"/>
      <c r="M3734" s="17"/>
      <c r="N3734" s="17"/>
      <c r="O3734" s="17"/>
      <c r="P3734" s="17"/>
      <c r="Q3734" s="17"/>
    </row>
    <row r="3735" spans="1:17">
      <c r="A3735" s="556" t="s">
        <v>3652</v>
      </c>
      <c r="B3735" s="557" t="s">
        <v>9468</v>
      </c>
      <c r="C3735" s="558" t="s">
        <v>2222</v>
      </c>
      <c r="D3735" s="556" t="s">
        <v>4324</v>
      </c>
      <c r="E3735" s="17" t="s">
        <v>7150</v>
      </c>
      <c r="F3735" s="17">
        <v>166</v>
      </c>
      <c r="G3735" s="17">
        <v>4</v>
      </c>
      <c r="H3735" s="17" t="s">
        <v>8340</v>
      </c>
      <c r="I3735" s="17"/>
      <c r="J3735" s="17"/>
      <c r="K3735" s="17"/>
      <c r="L3735" s="17"/>
      <c r="M3735" s="17"/>
      <c r="N3735" s="17"/>
      <c r="O3735" s="17"/>
      <c r="P3735" s="17"/>
      <c r="Q3735" s="17"/>
    </row>
    <row r="3736" spans="1:17">
      <c r="A3736" s="556" t="s">
        <v>3652</v>
      </c>
      <c r="B3736" s="557" t="s">
        <v>9469</v>
      </c>
      <c r="C3736" s="558" t="s">
        <v>2746</v>
      </c>
      <c r="D3736" s="556" t="s">
        <v>2623</v>
      </c>
      <c r="E3736" s="17" t="s">
        <v>7151</v>
      </c>
      <c r="F3736" s="17">
        <v>167</v>
      </c>
      <c r="G3736" s="17">
        <v>1</v>
      </c>
      <c r="H3736" s="17" t="s">
        <v>8341</v>
      </c>
      <c r="I3736" s="17"/>
      <c r="J3736" s="17"/>
      <c r="K3736" s="17"/>
      <c r="L3736" s="17"/>
      <c r="M3736" s="17"/>
      <c r="N3736" s="17"/>
      <c r="O3736" s="17"/>
      <c r="P3736" s="17"/>
      <c r="Q3736" s="17"/>
    </row>
    <row r="3737" spans="1:17">
      <c r="A3737" s="556" t="s">
        <v>3652</v>
      </c>
      <c r="B3737" s="557" t="s">
        <v>9469</v>
      </c>
      <c r="C3737" s="558" t="s">
        <v>2746</v>
      </c>
      <c r="D3737" s="556" t="s">
        <v>2624</v>
      </c>
      <c r="E3737" s="17" t="s">
        <v>7152</v>
      </c>
      <c r="F3737" s="17">
        <v>167</v>
      </c>
      <c r="G3737" s="17">
        <v>2</v>
      </c>
      <c r="H3737" s="17" t="s">
        <v>8342</v>
      </c>
      <c r="I3737" s="17"/>
      <c r="J3737" s="17"/>
      <c r="K3737" s="17"/>
      <c r="L3737" s="17"/>
      <c r="M3737" s="17"/>
      <c r="N3737" s="17"/>
      <c r="O3737" s="17"/>
      <c r="P3737" s="17"/>
      <c r="Q3737" s="17"/>
    </row>
    <row r="3738" spans="1:17">
      <c r="A3738" s="556" t="s">
        <v>3652</v>
      </c>
      <c r="B3738" s="557" t="s">
        <v>9469</v>
      </c>
      <c r="C3738" s="558" t="s">
        <v>2746</v>
      </c>
      <c r="D3738" s="556" t="s">
        <v>4426</v>
      </c>
      <c r="E3738" s="17" t="s">
        <v>7153</v>
      </c>
      <c r="F3738" s="17">
        <v>167</v>
      </c>
      <c r="G3738" s="17">
        <v>3</v>
      </c>
      <c r="H3738" s="17" t="s">
        <v>8343</v>
      </c>
      <c r="I3738" s="17">
        <v>0</v>
      </c>
      <c r="J3738" s="17"/>
      <c r="K3738" s="17"/>
      <c r="L3738" s="17"/>
      <c r="M3738" s="17"/>
      <c r="N3738" s="17"/>
      <c r="O3738" s="17"/>
      <c r="P3738" s="17"/>
      <c r="Q3738" s="17"/>
    </row>
    <row r="3739" spans="1:17">
      <c r="A3739" s="556" t="s">
        <v>3652</v>
      </c>
      <c r="B3739" s="557" t="s">
        <v>9469</v>
      </c>
      <c r="C3739" s="558" t="s">
        <v>2746</v>
      </c>
      <c r="D3739" s="556" t="s">
        <v>4324</v>
      </c>
      <c r="E3739" s="17" t="s">
        <v>7154</v>
      </c>
      <c r="F3739" s="17">
        <v>167</v>
      </c>
      <c r="G3739" s="17">
        <v>4</v>
      </c>
      <c r="H3739" s="17" t="s">
        <v>8344</v>
      </c>
      <c r="I3739" s="17"/>
      <c r="J3739" s="17"/>
      <c r="K3739" s="17"/>
      <c r="L3739" s="17"/>
      <c r="M3739" s="17"/>
      <c r="N3739" s="17"/>
      <c r="O3739" s="17"/>
      <c r="P3739" s="17"/>
      <c r="Q3739" s="17"/>
    </row>
    <row r="3740" spans="1:17">
      <c r="A3740" s="556" t="s">
        <v>3652</v>
      </c>
      <c r="B3740" s="557" t="s">
        <v>9470</v>
      </c>
      <c r="C3740" s="558" t="s">
        <v>2747</v>
      </c>
      <c r="D3740" s="556" t="s">
        <v>2623</v>
      </c>
      <c r="E3740" s="17" t="s">
        <v>7155</v>
      </c>
      <c r="F3740" s="17">
        <v>168</v>
      </c>
      <c r="G3740" s="17">
        <v>1</v>
      </c>
      <c r="H3740" s="17" t="s">
        <v>8345</v>
      </c>
      <c r="I3740" s="17"/>
      <c r="J3740" s="17"/>
      <c r="K3740" s="17"/>
      <c r="L3740" s="17"/>
      <c r="M3740" s="17"/>
      <c r="N3740" s="17"/>
      <c r="O3740" s="17"/>
      <c r="P3740" s="17"/>
      <c r="Q3740" s="17"/>
    </row>
    <row r="3741" spans="1:17">
      <c r="A3741" s="556" t="s">
        <v>3652</v>
      </c>
      <c r="B3741" s="557" t="s">
        <v>9470</v>
      </c>
      <c r="C3741" s="558" t="s">
        <v>2747</v>
      </c>
      <c r="D3741" s="556" t="s">
        <v>2624</v>
      </c>
      <c r="E3741" s="17" t="s">
        <v>7156</v>
      </c>
      <c r="F3741" s="17">
        <v>168</v>
      </c>
      <c r="G3741" s="17">
        <v>2</v>
      </c>
      <c r="H3741" s="17" t="s">
        <v>8346</v>
      </c>
      <c r="I3741" s="17"/>
      <c r="J3741" s="17"/>
      <c r="K3741" s="17"/>
      <c r="L3741" s="17"/>
      <c r="M3741" s="17"/>
      <c r="N3741" s="17"/>
      <c r="O3741" s="17"/>
      <c r="P3741" s="17"/>
      <c r="Q3741" s="17"/>
    </row>
    <row r="3742" spans="1:17">
      <c r="A3742" s="556" t="s">
        <v>3652</v>
      </c>
      <c r="B3742" s="557" t="s">
        <v>9470</v>
      </c>
      <c r="C3742" s="558" t="s">
        <v>2747</v>
      </c>
      <c r="D3742" s="556" t="s">
        <v>4426</v>
      </c>
      <c r="E3742" s="17" t="s">
        <v>7157</v>
      </c>
      <c r="F3742" s="17">
        <v>168</v>
      </c>
      <c r="G3742" s="17">
        <v>3</v>
      </c>
      <c r="H3742" s="17" t="s">
        <v>8347</v>
      </c>
      <c r="I3742" s="17">
        <v>0</v>
      </c>
      <c r="J3742" s="17"/>
      <c r="K3742" s="17"/>
      <c r="L3742" s="17"/>
      <c r="M3742" s="17"/>
      <c r="N3742" s="17"/>
      <c r="O3742" s="17"/>
      <c r="P3742" s="17"/>
      <c r="Q3742" s="17"/>
    </row>
    <row r="3743" spans="1:17">
      <c r="A3743" s="556" t="s">
        <v>3652</v>
      </c>
      <c r="B3743" s="557" t="s">
        <v>9470</v>
      </c>
      <c r="C3743" s="558" t="s">
        <v>2747</v>
      </c>
      <c r="D3743" s="556" t="s">
        <v>4324</v>
      </c>
      <c r="E3743" s="17" t="s">
        <v>7158</v>
      </c>
      <c r="F3743" s="17">
        <v>168</v>
      </c>
      <c r="G3743" s="17">
        <v>4</v>
      </c>
      <c r="H3743" s="17" t="s">
        <v>8348</v>
      </c>
      <c r="I3743" s="17"/>
      <c r="J3743" s="17"/>
      <c r="K3743" s="17"/>
      <c r="L3743" s="17"/>
      <c r="M3743" s="17"/>
      <c r="N3743" s="17"/>
      <c r="O3743" s="17"/>
      <c r="P3743" s="17"/>
      <c r="Q3743" s="17"/>
    </row>
    <row r="3744" spans="1:17">
      <c r="A3744" s="556" t="s">
        <v>3652</v>
      </c>
      <c r="B3744" s="557" t="s">
        <v>9471</v>
      </c>
      <c r="C3744" s="558" t="s">
        <v>2748</v>
      </c>
      <c r="D3744" s="556" t="s">
        <v>2623</v>
      </c>
      <c r="E3744" s="17" t="s">
        <v>7159</v>
      </c>
      <c r="F3744" s="17">
        <v>169</v>
      </c>
      <c r="G3744" s="17">
        <v>1</v>
      </c>
      <c r="H3744" s="17" t="s">
        <v>8349</v>
      </c>
      <c r="I3744" s="17"/>
      <c r="J3744" s="17"/>
      <c r="K3744" s="17"/>
      <c r="L3744" s="17"/>
      <c r="M3744" s="17"/>
      <c r="N3744" s="17"/>
      <c r="O3744" s="17"/>
      <c r="P3744" s="17"/>
      <c r="Q3744" s="17"/>
    </row>
    <row r="3745" spans="1:17">
      <c r="A3745" s="556" t="s">
        <v>3652</v>
      </c>
      <c r="B3745" s="557" t="s">
        <v>9471</v>
      </c>
      <c r="C3745" s="558" t="s">
        <v>2748</v>
      </c>
      <c r="D3745" s="556" t="s">
        <v>2624</v>
      </c>
      <c r="E3745" s="17" t="s">
        <v>7160</v>
      </c>
      <c r="F3745" s="17">
        <v>169</v>
      </c>
      <c r="G3745" s="17">
        <v>2</v>
      </c>
      <c r="H3745" s="17" t="s">
        <v>8350</v>
      </c>
      <c r="I3745" s="17"/>
      <c r="J3745" s="17"/>
      <c r="K3745" s="17"/>
      <c r="L3745" s="17"/>
      <c r="M3745" s="17"/>
      <c r="N3745" s="17"/>
      <c r="O3745" s="17"/>
      <c r="P3745" s="17"/>
      <c r="Q3745" s="17"/>
    </row>
    <row r="3746" spans="1:17">
      <c r="A3746" s="556" t="s">
        <v>3652</v>
      </c>
      <c r="B3746" s="557" t="s">
        <v>9471</v>
      </c>
      <c r="C3746" s="558" t="s">
        <v>2748</v>
      </c>
      <c r="D3746" s="556" t="s">
        <v>4426</v>
      </c>
      <c r="E3746" s="17" t="s">
        <v>7161</v>
      </c>
      <c r="F3746" s="17">
        <v>169</v>
      </c>
      <c r="G3746" s="17">
        <v>3</v>
      </c>
      <c r="H3746" s="17" t="s">
        <v>8351</v>
      </c>
      <c r="I3746" s="17">
        <v>0</v>
      </c>
      <c r="J3746" s="17"/>
      <c r="K3746" s="17"/>
      <c r="L3746" s="17"/>
      <c r="M3746" s="17"/>
      <c r="N3746" s="17"/>
      <c r="O3746" s="17"/>
      <c r="P3746" s="17"/>
      <c r="Q3746" s="17"/>
    </row>
    <row r="3747" spans="1:17">
      <c r="A3747" s="556" t="s">
        <v>3652</v>
      </c>
      <c r="B3747" s="557" t="s">
        <v>9471</v>
      </c>
      <c r="C3747" s="558" t="s">
        <v>2748</v>
      </c>
      <c r="D3747" s="556" t="s">
        <v>4324</v>
      </c>
      <c r="E3747" s="17" t="s">
        <v>7162</v>
      </c>
      <c r="F3747" s="17">
        <v>169</v>
      </c>
      <c r="G3747" s="17">
        <v>4</v>
      </c>
      <c r="H3747" s="17" t="s">
        <v>8352</v>
      </c>
      <c r="I3747" s="17"/>
      <c r="J3747" s="17"/>
      <c r="K3747" s="17"/>
      <c r="L3747" s="17"/>
      <c r="M3747" s="17"/>
      <c r="N3747" s="17"/>
      <c r="O3747" s="17"/>
      <c r="P3747" s="17"/>
      <c r="Q3747" s="17"/>
    </row>
    <row r="3748" spans="1:17">
      <c r="A3748" s="556" t="s">
        <v>3652</v>
      </c>
      <c r="B3748" s="557" t="s">
        <v>9472</v>
      </c>
      <c r="C3748" s="558" t="s">
        <v>2749</v>
      </c>
      <c r="D3748" s="556" t="s">
        <v>2623</v>
      </c>
      <c r="E3748" s="17" t="s">
        <v>7163</v>
      </c>
      <c r="F3748" s="17">
        <v>170</v>
      </c>
      <c r="G3748" s="17">
        <v>1</v>
      </c>
      <c r="H3748" s="17" t="s">
        <v>8353</v>
      </c>
      <c r="I3748" s="17"/>
      <c r="J3748" s="17"/>
      <c r="K3748" s="17"/>
      <c r="L3748" s="17"/>
      <c r="M3748" s="17"/>
      <c r="N3748" s="17"/>
      <c r="O3748" s="17"/>
      <c r="P3748" s="17"/>
      <c r="Q3748" s="17"/>
    </row>
    <row r="3749" spans="1:17">
      <c r="A3749" s="556" t="s">
        <v>3652</v>
      </c>
      <c r="B3749" s="557" t="s">
        <v>9472</v>
      </c>
      <c r="C3749" s="558" t="s">
        <v>2749</v>
      </c>
      <c r="D3749" s="556" t="s">
        <v>2624</v>
      </c>
      <c r="E3749" s="17" t="s">
        <v>7164</v>
      </c>
      <c r="F3749" s="17">
        <v>170</v>
      </c>
      <c r="G3749" s="17">
        <v>2</v>
      </c>
      <c r="H3749" s="17" t="s">
        <v>8354</v>
      </c>
      <c r="I3749" s="17"/>
      <c r="J3749" s="17"/>
      <c r="K3749" s="17"/>
      <c r="L3749" s="17"/>
      <c r="M3749" s="17"/>
      <c r="N3749" s="17"/>
      <c r="O3749" s="17"/>
      <c r="P3749" s="17"/>
      <c r="Q3749" s="17"/>
    </row>
    <row r="3750" spans="1:17">
      <c r="A3750" s="556" t="s">
        <v>3652</v>
      </c>
      <c r="B3750" s="557" t="s">
        <v>9472</v>
      </c>
      <c r="C3750" s="558" t="s">
        <v>2749</v>
      </c>
      <c r="D3750" s="556" t="s">
        <v>4426</v>
      </c>
      <c r="E3750" s="17" t="s">
        <v>7165</v>
      </c>
      <c r="F3750" s="17">
        <v>170</v>
      </c>
      <c r="G3750" s="17">
        <v>3</v>
      </c>
      <c r="H3750" s="17" t="s">
        <v>8355</v>
      </c>
      <c r="I3750" s="17">
        <v>0</v>
      </c>
      <c r="J3750" s="17"/>
      <c r="K3750" s="17"/>
      <c r="L3750" s="17"/>
      <c r="M3750" s="17"/>
      <c r="N3750" s="17"/>
      <c r="O3750" s="17"/>
      <c r="P3750" s="17"/>
      <c r="Q3750" s="17"/>
    </row>
    <row r="3751" spans="1:17">
      <c r="A3751" s="556" t="s">
        <v>3652</v>
      </c>
      <c r="B3751" s="557" t="s">
        <v>9472</v>
      </c>
      <c r="C3751" s="558" t="s">
        <v>2749</v>
      </c>
      <c r="D3751" s="556" t="s">
        <v>4324</v>
      </c>
      <c r="E3751" s="17" t="s">
        <v>7166</v>
      </c>
      <c r="F3751" s="17">
        <v>170</v>
      </c>
      <c r="G3751" s="17">
        <v>4</v>
      </c>
      <c r="H3751" s="17" t="s">
        <v>8356</v>
      </c>
      <c r="I3751" s="17"/>
      <c r="J3751" s="17"/>
      <c r="K3751" s="17"/>
      <c r="L3751" s="17"/>
      <c r="M3751" s="17"/>
      <c r="N3751" s="17"/>
      <c r="O3751" s="17"/>
      <c r="P3751" s="17"/>
      <c r="Q3751" s="17"/>
    </row>
    <row r="3752" spans="1:17">
      <c r="A3752" s="556" t="s">
        <v>3652</v>
      </c>
      <c r="B3752" s="557" t="s">
        <v>9473</v>
      </c>
      <c r="C3752" s="558" t="s">
        <v>2225</v>
      </c>
      <c r="D3752" s="556" t="s">
        <v>2623</v>
      </c>
      <c r="E3752" s="17" t="s">
        <v>7167</v>
      </c>
      <c r="F3752" s="17">
        <v>171</v>
      </c>
      <c r="G3752" s="17">
        <v>1</v>
      </c>
      <c r="H3752" s="17" t="s">
        <v>8357</v>
      </c>
      <c r="I3752" s="17"/>
      <c r="J3752" s="17"/>
      <c r="K3752" s="17"/>
      <c r="L3752" s="17"/>
      <c r="M3752" s="17"/>
      <c r="N3752" s="17"/>
      <c r="O3752" s="17"/>
      <c r="P3752" s="17"/>
      <c r="Q3752" s="17"/>
    </row>
    <row r="3753" spans="1:17">
      <c r="A3753" s="556" t="s">
        <v>3652</v>
      </c>
      <c r="B3753" s="557" t="s">
        <v>9473</v>
      </c>
      <c r="C3753" s="558" t="s">
        <v>2225</v>
      </c>
      <c r="D3753" s="556" t="s">
        <v>2624</v>
      </c>
      <c r="E3753" s="17" t="s">
        <v>7168</v>
      </c>
      <c r="F3753" s="17">
        <v>171</v>
      </c>
      <c r="G3753" s="17">
        <v>2</v>
      </c>
      <c r="H3753" s="17" t="s">
        <v>8358</v>
      </c>
      <c r="I3753" s="17"/>
      <c r="J3753" s="17"/>
      <c r="K3753" s="17"/>
      <c r="L3753" s="17"/>
      <c r="M3753" s="17"/>
      <c r="N3753" s="17"/>
      <c r="O3753" s="17"/>
      <c r="P3753" s="17"/>
      <c r="Q3753" s="17"/>
    </row>
    <row r="3754" spans="1:17">
      <c r="A3754" s="556" t="s">
        <v>3652</v>
      </c>
      <c r="B3754" s="557" t="s">
        <v>9473</v>
      </c>
      <c r="C3754" s="558" t="s">
        <v>2225</v>
      </c>
      <c r="D3754" s="556" t="s">
        <v>4426</v>
      </c>
      <c r="E3754" s="17" t="s">
        <v>7169</v>
      </c>
      <c r="F3754" s="17">
        <v>171</v>
      </c>
      <c r="G3754" s="17">
        <v>3</v>
      </c>
      <c r="H3754" s="17" t="s">
        <v>8359</v>
      </c>
      <c r="I3754" s="17">
        <v>0</v>
      </c>
      <c r="J3754" s="17"/>
      <c r="K3754" s="17"/>
      <c r="L3754" s="17"/>
      <c r="M3754" s="17"/>
      <c r="N3754" s="17"/>
      <c r="O3754" s="17"/>
      <c r="P3754" s="17"/>
      <c r="Q3754" s="17"/>
    </row>
    <row r="3755" spans="1:17">
      <c r="A3755" s="556" t="s">
        <v>3652</v>
      </c>
      <c r="B3755" s="557" t="s">
        <v>9473</v>
      </c>
      <c r="C3755" s="558" t="s">
        <v>2225</v>
      </c>
      <c r="D3755" s="556" t="s">
        <v>4324</v>
      </c>
      <c r="E3755" s="17" t="s">
        <v>7170</v>
      </c>
      <c r="F3755" s="17">
        <v>171</v>
      </c>
      <c r="G3755" s="17">
        <v>4</v>
      </c>
      <c r="H3755" s="17" t="s">
        <v>8360</v>
      </c>
      <c r="I3755" s="17"/>
      <c r="J3755" s="17"/>
      <c r="K3755" s="17"/>
      <c r="L3755" s="17"/>
      <c r="M3755" s="17"/>
      <c r="N3755" s="17"/>
      <c r="O3755" s="17"/>
      <c r="P3755" s="17"/>
      <c r="Q3755" s="17"/>
    </row>
    <row r="3756" spans="1:17">
      <c r="A3756" s="556" t="s">
        <v>3652</v>
      </c>
      <c r="B3756" s="557" t="s">
        <v>9474</v>
      </c>
      <c r="C3756" s="558" t="s">
        <v>2226</v>
      </c>
      <c r="D3756" s="556" t="s">
        <v>2623</v>
      </c>
      <c r="E3756" s="17" t="s">
        <v>7171</v>
      </c>
      <c r="F3756" s="17">
        <v>172</v>
      </c>
      <c r="G3756" s="17">
        <v>1</v>
      </c>
      <c r="H3756" s="17" t="s">
        <v>8361</v>
      </c>
      <c r="I3756" s="17"/>
      <c r="J3756" s="17"/>
      <c r="K3756" s="17"/>
      <c r="L3756" s="17"/>
      <c r="M3756" s="17"/>
      <c r="N3756" s="17"/>
      <c r="O3756" s="17"/>
      <c r="P3756" s="17"/>
      <c r="Q3756" s="17"/>
    </row>
    <row r="3757" spans="1:17">
      <c r="A3757" s="556" t="s">
        <v>3652</v>
      </c>
      <c r="B3757" s="557" t="s">
        <v>9474</v>
      </c>
      <c r="C3757" s="558" t="s">
        <v>2226</v>
      </c>
      <c r="D3757" s="556" t="s">
        <v>2624</v>
      </c>
      <c r="E3757" s="17" t="s">
        <v>7172</v>
      </c>
      <c r="F3757" s="17">
        <v>172</v>
      </c>
      <c r="G3757" s="17">
        <v>2</v>
      </c>
      <c r="H3757" s="17" t="s">
        <v>8362</v>
      </c>
      <c r="I3757" s="17"/>
      <c r="J3757" s="17"/>
      <c r="K3757" s="17"/>
      <c r="L3757" s="17"/>
      <c r="M3757" s="17"/>
      <c r="N3757" s="17"/>
      <c r="O3757" s="17"/>
      <c r="P3757" s="17"/>
      <c r="Q3757" s="17"/>
    </row>
    <row r="3758" spans="1:17">
      <c r="A3758" s="556" t="s">
        <v>3652</v>
      </c>
      <c r="B3758" s="557" t="s">
        <v>9474</v>
      </c>
      <c r="C3758" s="558" t="s">
        <v>2226</v>
      </c>
      <c r="D3758" s="556" t="s">
        <v>4426</v>
      </c>
      <c r="E3758" s="17" t="s">
        <v>7173</v>
      </c>
      <c r="F3758" s="17">
        <v>172</v>
      </c>
      <c r="G3758" s="17">
        <v>3</v>
      </c>
      <c r="H3758" s="17" t="s">
        <v>8363</v>
      </c>
      <c r="I3758" s="17">
        <v>0</v>
      </c>
      <c r="J3758" s="17"/>
      <c r="K3758" s="17"/>
      <c r="L3758" s="17"/>
      <c r="M3758" s="17"/>
      <c r="N3758" s="17"/>
      <c r="O3758" s="17"/>
      <c r="P3758" s="17"/>
      <c r="Q3758" s="17"/>
    </row>
    <row r="3759" spans="1:17">
      <c r="A3759" s="556" t="s">
        <v>3652</v>
      </c>
      <c r="B3759" s="557" t="s">
        <v>9474</v>
      </c>
      <c r="C3759" s="558" t="s">
        <v>2226</v>
      </c>
      <c r="D3759" s="556" t="s">
        <v>4324</v>
      </c>
      <c r="E3759" s="17" t="s">
        <v>7174</v>
      </c>
      <c r="F3759" s="17">
        <v>172</v>
      </c>
      <c r="G3759" s="17">
        <v>4</v>
      </c>
      <c r="H3759" s="17" t="s">
        <v>8364</v>
      </c>
      <c r="I3759" s="17"/>
      <c r="J3759" s="17"/>
      <c r="K3759" s="17"/>
      <c r="L3759" s="17"/>
      <c r="M3759" s="17"/>
      <c r="N3759" s="17"/>
      <c r="O3759" s="17"/>
      <c r="P3759" s="17"/>
      <c r="Q3759" s="17"/>
    </row>
    <row r="3760" spans="1:17">
      <c r="A3760" s="556" t="s">
        <v>3652</v>
      </c>
      <c r="B3760" s="557" t="s">
        <v>9475</v>
      </c>
      <c r="C3760" s="558" t="s">
        <v>2227</v>
      </c>
      <c r="D3760" s="556" t="s">
        <v>2623</v>
      </c>
      <c r="E3760" s="17" t="s">
        <v>7175</v>
      </c>
      <c r="F3760" s="17">
        <v>173</v>
      </c>
      <c r="G3760" s="17">
        <v>1</v>
      </c>
      <c r="H3760" s="17" t="s">
        <v>8365</v>
      </c>
      <c r="I3760" s="17"/>
      <c r="J3760" s="17"/>
      <c r="K3760" s="17"/>
      <c r="L3760" s="17"/>
      <c r="M3760" s="17"/>
      <c r="N3760" s="17"/>
      <c r="O3760" s="17"/>
      <c r="P3760" s="17"/>
      <c r="Q3760" s="17"/>
    </row>
    <row r="3761" spans="1:17">
      <c r="A3761" s="556" t="s">
        <v>3652</v>
      </c>
      <c r="B3761" s="557" t="s">
        <v>9475</v>
      </c>
      <c r="C3761" s="558" t="s">
        <v>2227</v>
      </c>
      <c r="D3761" s="556" t="s">
        <v>2624</v>
      </c>
      <c r="E3761" s="17" t="s">
        <v>7176</v>
      </c>
      <c r="F3761" s="17">
        <v>173</v>
      </c>
      <c r="G3761" s="17">
        <v>2</v>
      </c>
      <c r="H3761" s="17" t="s">
        <v>8366</v>
      </c>
      <c r="I3761" s="17"/>
      <c r="J3761" s="17"/>
      <c r="K3761" s="17"/>
      <c r="L3761" s="17"/>
      <c r="M3761" s="17"/>
      <c r="N3761" s="17"/>
      <c r="O3761" s="17"/>
      <c r="P3761" s="17"/>
      <c r="Q3761" s="17"/>
    </row>
    <row r="3762" spans="1:17">
      <c r="A3762" s="556" t="s">
        <v>3652</v>
      </c>
      <c r="B3762" s="557" t="s">
        <v>9475</v>
      </c>
      <c r="C3762" s="558" t="s">
        <v>2227</v>
      </c>
      <c r="D3762" s="556" t="s">
        <v>4426</v>
      </c>
      <c r="E3762" s="17" t="s">
        <v>7177</v>
      </c>
      <c r="F3762" s="17">
        <v>173</v>
      </c>
      <c r="G3762" s="17">
        <v>3</v>
      </c>
      <c r="H3762" s="17" t="s">
        <v>8367</v>
      </c>
      <c r="I3762" s="17">
        <v>0</v>
      </c>
      <c r="J3762" s="17"/>
      <c r="K3762" s="17"/>
      <c r="L3762" s="17"/>
      <c r="M3762" s="17"/>
      <c r="N3762" s="17"/>
      <c r="O3762" s="17"/>
      <c r="P3762" s="17"/>
      <c r="Q3762" s="17"/>
    </row>
    <row r="3763" spans="1:17">
      <c r="A3763" s="556" t="s">
        <v>3652</v>
      </c>
      <c r="B3763" s="557" t="s">
        <v>9475</v>
      </c>
      <c r="C3763" s="558" t="s">
        <v>2227</v>
      </c>
      <c r="D3763" s="556" t="s">
        <v>4324</v>
      </c>
      <c r="E3763" s="17" t="s">
        <v>7178</v>
      </c>
      <c r="F3763" s="17">
        <v>173</v>
      </c>
      <c r="G3763" s="17">
        <v>4</v>
      </c>
      <c r="H3763" s="17" t="s">
        <v>8368</v>
      </c>
      <c r="I3763" s="17"/>
      <c r="J3763" s="17"/>
      <c r="K3763" s="17"/>
      <c r="L3763" s="17"/>
      <c r="M3763" s="17"/>
      <c r="N3763" s="17"/>
      <c r="O3763" s="17"/>
      <c r="P3763" s="17"/>
      <c r="Q3763" s="17"/>
    </row>
    <row r="3764" spans="1:17">
      <c r="A3764" s="556" t="s">
        <v>3652</v>
      </c>
      <c r="B3764" s="557" t="s">
        <v>9476</v>
      </c>
      <c r="C3764" s="558" t="s">
        <v>2750</v>
      </c>
      <c r="D3764" s="556" t="s">
        <v>2623</v>
      </c>
      <c r="E3764" s="17" t="s">
        <v>7179</v>
      </c>
      <c r="F3764" s="17">
        <v>174</v>
      </c>
      <c r="G3764" s="17">
        <v>1</v>
      </c>
      <c r="H3764" s="17" t="s">
        <v>8369</v>
      </c>
      <c r="I3764" s="17"/>
      <c r="J3764" s="17"/>
      <c r="K3764" s="17"/>
      <c r="L3764" s="17"/>
      <c r="M3764" s="17"/>
      <c r="N3764" s="17"/>
      <c r="O3764" s="17"/>
      <c r="P3764" s="17"/>
      <c r="Q3764" s="17"/>
    </row>
    <row r="3765" spans="1:17">
      <c r="A3765" s="556" t="s">
        <v>3652</v>
      </c>
      <c r="B3765" s="557" t="s">
        <v>9476</v>
      </c>
      <c r="C3765" s="558" t="s">
        <v>2750</v>
      </c>
      <c r="D3765" s="556" t="s">
        <v>2624</v>
      </c>
      <c r="E3765" s="17" t="s">
        <v>7180</v>
      </c>
      <c r="F3765" s="17">
        <v>174</v>
      </c>
      <c r="G3765" s="17">
        <v>2</v>
      </c>
      <c r="H3765" s="17" t="s">
        <v>8370</v>
      </c>
      <c r="I3765" s="17"/>
      <c r="J3765" s="17"/>
      <c r="K3765" s="17"/>
      <c r="L3765" s="17"/>
      <c r="M3765" s="17"/>
      <c r="N3765" s="17"/>
      <c r="O3765" s="17"/>
      <c r="P3765" s="17"/>
      <c r="Q3765" s="17"/>
    </row>
    <row r="3766" spans="1:17">
      <c r="A3766" s="556" t="s">
        <v>3652</v>
      </c>
      <c r="B3766" s="557" t="s">
        <v>9476</v>
      </c>
      <c r="C3766" s="558" t="s">
        <v>2750</v>
      </c>
      <c r="D3766" s="556" t="s">
        <v>4426</v>
      </c>
      <c r="E3766" s="17" t="s">
        <v>7181</v>
      </c>
      <c r="F3766" s="17">
        <v>174</v>
      </c>
      <c r="G3766" s="17">
        <v>3</v>
      </c>
      <c r="H3766" s="17" t="s">
        <v>8371</v>
      </c>
      <c r="I3766" s="17">
        <v>0</v>
      </c>
      <c r="J3766" s="17"/>
      <c r="K3766" s="17"/>
      <c r="L3766" s="17"/>
      <c r="M3766" s="17"/>
      <c r="N3766" s="17"/>
      <c r="O3766" s="17"/>
      <c r="P3766" s="17"/>
      <c r="Q3766" s="17"/>
    </row>
    <row r="3767" spans="1:17">
      <c r="A3767" s="556" t="s">
        <v>3652</v>
      </c>
      <c r="B3767" s="557" t="s">
        <v>9476</v>
      </c>
      <c r="C3767" s="558" t="s">
        <v>2750</v>
      </c>
      <c r="D3767" s="556" t="s">
        <v>4324</v>
      </c>
      <c r="E3767" s="17" t="s">
        <v>7182</v>
      </c>
      <c r="F3767" s="17">
        <v>174</v>
      </c>
      <c r="G3767" s="17">
        <v>4</v>
      </c>
      <c r="H3767" s="17" t="s">
        <v>8372</v>
      </c>
      <c r="I3767" s="17"/>
      <c r="J3767" s="17"/>
      <c r="K3767" s="17"/>
      <c r="L3767" s="17"/>
      <c r="M3767" s="17"/>
      <c r="N3767" s="17"/>
      <c r="O3767" s="17"/>
      <c r="P3767" s="17"/>
      <c r="Q3767" s="17"/>
    </row>
    <row r="3768" spans="1:17">
      <c r="A3768" s="556" t="s">
        <v>3652</v>
      </c>
      <c r="B3768" s="557" t="s">
        <v>9477</v>
      </c>
      <c r="C3768" s="558" t="s">
        <v>2751</v>
      </c>
      <c r="D3768" s="556" t="s">
        <v>2623</v>
      </c>
      <c r="E3768" s="17" t="s">
        <v>7183</v>
      </c>
      <c r="F3768" s="17">
        <v>175</v>
      </c>
      <c r="G3768" s="17">
        <v>1</v>
      </c>
      <c r="H3768" s="17" t="s">
        <v>8373</v>
      </c>
      <c r="I3768" s="17"/>
      <c r="J3768" s="17"/>
      <c r="K3768" s="17"/>
      <c r="L3768" s="17"/>
      <c r="M3768" s="17"/>
      <c r="N3768" s="17"/>
      <c r="O3768" s="17"/>
      <c r="P3768" s="17"/>
      <c r="Q3768" s="17"/>
    </row>
    <row r="3769" spans="1:17">
      <c r="A3769" s="556" t="s">
        <v>3652</v>
      </c>
      <c r="B3769" s="557" t="s">
        <v>9477</v>
      </c>
      <c r="C3769" s="558" t="s">
        <v>2751</v>
      </c>
      <c r="D3769" s="556" t="s">
        <v>2624</v>
      </c>
      <c r="E3769" s="17" t="s">
        <v>7184</v>
      </c>
      <c r="F3769" s="17">
        <v>175</v>
      </c>
      <c r="G3769" s="17">
        <v>2</v>
      </c>
      <c r="H3769" s="17" t="s">
        <v>8374</v>
      </c>
      <c r="I3769" s="17"/>
      <c r="J3769" s="17"/>
      <c r="K3769" s="17"/>
      <c r="L3769" s="17"/>
      <c r="M3769" s="17"/>
      <c r="N3769" s="17"/>
      <c r="O3769" s="17"/>
      <c r="P3769" s="17"/>
      <c r="Q3769" s="17"/>
    </row>
    <row r="3770" spans="1:17">
      <c r="A3770" s="556" t="s">
        <v>3652</v>
      </c>
      <c r="B3770" s="557" t="s">
        <v>9477</v>
      </c>
      <c r="C3770" s="558" t="s">
        <v>2751</v>
      </c>
      <c r="D3770" s="556" t="s">
        <v>4426</v>
      </c>
      <c r="E3770" s="17" t="s">
        <v>7185</v>
      </c>
      <c r="F3770" s="17">
        <v>175</v>
      </c>
      <c r="G3770" s="17">
        <v>3</v>
      </c>
      <c r="H3770" s="17" t="s">
        <v>8375</v>
      </c>
      <c r="I3770" s="17">
        <v>0</v>
      </c>
      <c r="J3770" s="17"/>
      <c r="K3770" s="17"/>
      <c r="L3770" s="17"/>
      <c r="M3770" s="17"/>
      <c r="N3770" s="17"/>
      <c r="O3770" s="17"/>
      <c r="P3770" s="17"/>
      <c r="Q3770" s="17"/>
    </row>
    <row r="3771" spans="1:17">
      <c r="A3771" s="556" t="s">
        <v>3652</v>
      </c>
      <c r="B3771" s="557" t="s">
        <v>9477</v>
      </c>
      <c r="C3771" s="558" t="s">
        <v>2751</v>
      </c>
      <c r="D3771" s="556" t="s">
        <v>4324</v>
      </c>
      <c r="E3771" s="17" t="s">
        <v>7186</v>
      </c>
      <c r="F3771" s="17">
        <v>175</v>
      </c>
      <c r="G3771" s="17">
        <v>4</v>
      </c>
      <c r="H3771" s="17" t="s">
        <v>8376</v>
      </c>
      <c r="I3771" s="17"/>
      <c r="J3771" s="17"/>
      <c r="K3771" s="17"/>
      <c r="L3771" s="17"/>
      <c r="M3771" s="17"/>
      <c r="N3771" s="17"/>
      <c r="O3771" s="17"/>
      <c r="P3771" s="17"/>
      <c r="Q3771" s="17"/>
    </row>
    <row r="3772" spans="1:17">
      <c r="A3772" s="556" t="s">
        <v>3652</v>
      </c>
      <c r="B3772" s="557" t="s">
        <v>9478</v>
      </c>
      <c r="C3772" s="558" t="s">
        <v>2229</v>
      </c>
      <c r="D3772" s="556" t="s">
        <v>2623</v>
      </c>
      <c r="E3772" s="17" t="s">
        <v>7187</v>
      </c>
      <c r="F3772" s="17">
        <v>176</v>
      </c>
      <c r="G3772" s="17">
        <v>1</v>
      </c>
      <c r="H3772" s="17" t="s">
        <v>8377</v>
      </c>
      <c r="I3772" s="17"/>
      <c r="J3772" s="17"/>
      <c r="K3772" s="17"/>
      <c r="L3772" s="17"/>
      <c r="M3772" s="17"/>
      <c r="N3772" s="17"/>
      <c r="O3772" s="17"/>
      <c r="P3772" s="17"/>
      <c r="Q3772" s="17"/>
    </row>
    <row r="3773" spans="1:17">
      <c r="A3773" s="556" t="s">
        <v>3652</v>
      </c>
      <c r="B3773" s="557" t="s">
        <v>9478</v>
      </c>
      <c r="C3773" s="558" t="s">
        <v>2229</v>
      </c>
      <c r="D3773" s="556" t="s">
        <v>2624</v>
      </c>
      <c r="E3773" s="17" t="s">
        <v>7188</v>
      </c>
      <c r="F3773" s="17">
        <v>176</v>
      </c>
      <c r="G3773" s="17">
        <v>2</v>
      </c>
      <c r="H3773" s="17" t="s">
        <v>8378</v>
      </c>
      <c r="I3773" s="17"/>
      <c r="J3773" s="17"/>
      <c r="K3773" s="17"/>
      <c r="L3773" s="17"/>
      <c r="M3773" s="17"/>
      <c r="N3773" s="17"/>
      <c r="O3773" s="17"/>
      <c r="P3773" s="17"/>
      <c r="Q3773" s="17"/>
    </row>
    <row r="3774" spans="1:17">
      <c r="A3774" s="556" t="s">
        <v>3652</v>
      </c>
      <c r="B3774" s="557" t="s">
        <v>9478</v>
      </c>
      <c r="C3774" s="558" t="s">
        <v>2229</v>
      </c>
      <c r="D3774" s="556" t="s">
        <v>4426</v>
      </c>
      <c r="E3774" s="17" t="s">
        <v>7189</v>
      </c>
      <c r="F3774" s="17">
        <v>176</v>
      </c>
      <c r="G3774" s="17">
        <v>3</v>
      </c>
      <c r="H3774" s="17" t="s">
        <v>8379</v>
      </c>
      <c r="I3774" s="17">
        <v>0</v>
      </c>
      <c r="J3774" s="17"/>
      <c r="K3774" s="17"/>
      <c r="L3774" s="17"/>
      <c r="M3774" s="17"/>
      <c r="N3774" s="17"/>
      <c r="O3774" s="17"/>
      <c r="P3774" s="17"/>
      <c r="Q3774" s="17"/>
    </row>
    <row r="3775" spans="1:17">
      <c r="A3775" s="556" t="s">
        <v>3652</v>
      </c>
      <c r="B3775" s="557" t="s">
        <v>9478</v>
      </c>
      <c r="C3775" s="558" t="s">
        <v>2229</v>
      </c>
      <c r="D3775" s="556" t="s">
        <v>4324</v>
      </c>
      <c r="E3775" s="17" t="s">
        <v>7190</v>
      </c>
      <c r="F3775" s="17">
        <v>176</v>
      </c>
      <c r="G3775" s="17">
        <v>4</v>
      </c>
      <c r="H3775" s="17" t="s">
        <v>8380</v>
      </c>
      <c r="I3775" s="17"/>
      <c r="J3775" s="17"/>
      <c r="K3775" s="17"/>
      <c r="L3775" s="17"/>
      <c r="M3775" s="17"/>
      <c r="N3775" s="17"/>
      <c r="O3775" s="17"/>
      <c r="P3775" s="17"/>
      <c r="Q3775" s="17"/>
    </row>
    <row r="3776" spans="1:17">
      <c r="A3776" s="556" t="s">
        <v>3652</v>
      </c>
      <c r="B3776" s="557" t="s">
        <v>9479</v>
      </c>
      <c r="C3776" s="558" t="s">
        <v>2752</v>
      </c>
      <c r="D3776" s="556" t="s">
        <v>2623</v>
      </c>
      <c r="E3776" s="17" t="s">
        <v>7191</v>
      </c>
      <c r="F3776" s="17">
        <v>177</v>
      </c>
      <c r="G3776" s="17">
        <v>1</v>
      </c>
      <c r="H3776" s="17" t="s">
        <v>8381</v>
      </c>
      <c r="I3776" s="17"/>
      <c r="J3776" s="17"/>
      <c r="K3776" s="17"/>
      <c r="L3776" s="17"/>
      <c r="M3776" s="17"/>
      <c r="N3776" s="17"/>
      <c r="O3776" s="17"/>
      <c r="P3776" s="17"/>
      <c r="Q3776" s="17"/>
    </row>
    <row r="3777" spans="1:17">
      <c r="A3777" s="556" t="s">
        <v>3652</v>
      </c>
      <c r="B3777" s="557" t="s">
        <v>9479</v>
      </c>
      <c r="C3777" s="558" t="s">
        <v>2752</v>
      </c>
      <c r="D3777" s="556" t="s">
        <v>2624</v>
      </c>
      <c r="E3777" s="17" t="s">
        <v>7192</v>
      </c>
      <c r="F3777" s="17">
        <v>177</v>
      </c>
      <c r="G3777" s="17">
        <v>2</v>
      </c>
      <c r="H3777" s="17" t="s">
        <v>8382</v>
      </c>
      <c r="I3777" s="17"/>
      <c r="J3777" s="17"/>
      <c r="K3777" s="17"/>
      <c r="L3777" s="17"/>
      <c r="M3777" s="17"/>
      <c r="N3777" s="17"/>
      <c r="O3777" s="17"/>
      <c r="P3777" s="17"/>
      <c r="Q3777" s="17"/>
    </row>
    <row r="3778" spans="1:17">
      <c r="A3778" s="556" t="s">
        <v>3652</v>
      </c>
      <c r="B3778" s="557" t="s">
        <v>9479</v>
      </c>
      <c r="C3778" s="558" t="s">
        <v>2752</v>
      </c>
      <c r="D3778" s="556" t="s">
        <v>4426</v>
      </c>
      <c r="E3778" s="17" t="s">
        <v>7193</v>
      </c>
      <c r="F3778" s="17">
        <v>177</v>
      </c>
      <c r="G3778" s="17">
        <v>3</v>
      </c>
      <c r="H3778" s="17" t="s">
        <v>8383</v>
      </c>
      <c r="I3778" s="17">
        <v>0</v>
      </c>
      <c r="J3778" s="17"/>
      <c r="K3778" s="17"/>
      <c r="L3778" s="17"/>
      <c r="M3778" s="17"/>
      <c r="N3778" s="17"/>
      <c r="O3778" s="17"/>
      <c r="P3778" s="17"/>
      <c r="Q3778" s="17"/>
    </row>
    <row r="3779" spans="1:17">
      <c r="A3779" s="556" t="s">
        <v>3652</v>
      </c>
      <c r="B3779" s="557" t="s">
        <v>9479</v>
      </c>
      <c r="C3779" s="558" t="s">
        <v>2752</v>
      </c>
      <c r="D3779" s="556" t="s">
        <v>4324</v>
      </c>
      <c r="E3779" s="17" t="s">
        <v>7194</v>
      </c>
      <c r="F3779" s="17">
        <v>177</v>
      </c>
      <c r="G3779" s="17">
        <v>4</v>
      </c>
      <c r="H3779" s="17" t="s">
        <v>8384</v>
      </c>
      <c r="I3779" s="17"/>
      <c r="J3779" s="17"/>
      <c r="K3779" s="17"/>
      <c r="L3779" s="17"/>
      <c r="M3779" s="17"/>
      <c r="N3779" s="17"/>
      <c r="O3779" s="17"/>
      <c r="P3779" s="17"/>
      <c r="Q3779" s="17"/>
    </row>
    <row r="3780" spans="1:17">
      <c r="A3780" s="556" t="s">
        <v>3652</v>
      </c>
      <c r="B3780" s="557" t="s">
        <v>9480</v>
      </c>
      <c r="C3780" s="558" t="s">
        <v>2753</v>
      </c>
      <c r="D3780" s="556" t="s">
        <v>2623</v>
      </c>
      <c r="E3780" s="17" t="s">
        <v>7195</v>
      </c>
      <c r="F3780" s="17">
        <v>178</v>
      </c>
      <c r="G3780" s="17">
        <v>1</v>
      </c>
      <c r="H3780" s="17" t="s">
        <v>8385</v>
      </c>
      <c r="I3780" s="17"/>
      <c r="J3780" s="17"/>
      <c r="K3780" s="17"/>
      <c r="L3780" s="17"/>
      <c r="M3780" s="17"/>
      <c r="N3780" s="17"/>
      <c r="O3780" s="17"/>
      <c r="P3780" s="17"/>
      <c r="Q3780" s="17"/>
    </row>
    <row r="3781" spans="1:17">
      <c r="A3781" s="556" t="s">
        <v>3652</v>
      </c>
      <c r="B3781" s="557" t="s">
        <v>9480</v>
      </c>
      <c r="C3781" s="558" t="s">
        <v>2753</v>
      </c>
      <c r="D3781" s="556" t="s">
        <v>2624</v>
      </c>
      <c r="E3781" s="17" t="s">
        <v>7196</v>
      </c>
      <c r="F3781" s="17">
        <v>178</v>
      </c>
      <c r="G3781" s="17">
        <v>2</v>
      </c>
      <c r="H3781" s="17" t="s">
        <v>8386</v>
      </c>
      <c r="I3781" s="17"/>
      <c r="J3781" s="17"/>
      <c r="K3781" s="17"/>
      <c r="L3781" s="17"/>
      <c r="M3781" s="17"/>
      <c r="N3781" s="17"/>
      <c r="O3781" s="17"/>
      <c r="P3781" s="17"/>
      <c r="Q3781" s="17"/>
    </row>
    <row r="3782" spans="1:17">
      <c r="A3782" s="556" t="s">
        <v>3652</v>
      </c>
      <c r="B3782" s="557" t="s">
        <v>9480</v>
      </c>
      <c r="C3782" s="558" t="s">
        <v>2753</v>
      </c>
      <c r="D3782" s="556" t="s">
        <v>4426</v>
      </c>
      <c r="E3782" s="17" t="s">
        <v>7197</v>
      </c>
      <c r="F3782" s="17">
        <v>178</v>
      </c>
      <c r="G3782" s="17">
        <v>3</v>
      </c>
      <c r="H3782" s="17" t="s">
        <v>8387</v>
      </c>
      <c r="I3782" s="17">
        <v>0</v>
      </c>
      <c r="J3782" s="17"/>
      <c r="K3782" s="17"/>
      <c r="L3782" s="17"/>
      <c r="M3782" s="17"/>
      <c r="N3782" s="17"/>
      <c r="O3782" s="17"/>
      <c r="P3782" s="17"/>
      <c r="Q3782" s="17"/>
    </row>
    <row r="3783" spans="1:17">
      <c r="A3783" s="556" t="s">
        <v>3652</v>
      </c>
      <c r="B3783" s="557" t="s">
        <v>9480</v>
      </c>
      <c r="C3783" s="558" t="s">
        <v>2753</v>
      </c>
      <c r="D3783" s="556" t="s">
        <v>4324</v>
      </c>
      <c r="E3783" s="17" t="s">
        <v>7198</v>
      </c>
      <c r="F3783" s="17">
        <v>178</v>
      </c>
      <c r="G3783" s="17">
        <v>4</v>
      </c>
      <c r="H3783" s="17" t="s">
        <v>8388</v>
      </c>
      <c r="I3783" s="17"/>
      <c r="J3783" s="17"/>
      <c r="K3783" s="17"/>
      <c r="L3783" s="17"/>
      <c r="M3783" s="17"/>
      <c r="N3783" s="17"/>
      <c r="O3783" s="17"/>
      <c r="P3783" s="17"/>
      <c r="Q3783" s="17"/>
    </row>
    <row r="3784" spans="1:17">
      <c r="A3784" s="556" t="s">
        <v>3652</v>
      </c>
      <c r="B3784" s="557" t="s">
        <v>9481</v>
      </c>
      <c r="C3784" s="558" t="s">
        <v>2754</v>
      </c>
      <c r="D3784" s="556" t="s">
        <v>2623</v>
      </c>
      <c r="E3784" s="17" t="s">
        <v>7199</v>
      </c>
      <c r="F3784" s="17">
        <v>179</v>
      </c>
      <c r="G3784" s="17">
        <v>1</v>
      </c>
      <c r="H3784" s="17" t="s">
        <v>8389</v>
      </c>
      <c r="I3784" s="17"/>
      <c r="J3784" s="17"/>
      <c r="K3784" s="17"/>
      <c r="L3784" s="17"/>
      <c r="M3784" s="17"/>
      <c r="N3784" s="17"/>
      <c r="O3784" s="17"/>
      <c r="P3784" s="17"/>
      <c r="Q3784" s="17"/>
    </row>
    <row r="3785" spans="1:17">
      <c r="A3785" s="556" t="s">
        <v>3652</v>
      </c>
      <c r="B3785" s="557" t="s">
        <v>9481</v>
      </c>
      <c r="C3785" s="558" t="s">
        <v>2754</v>
      </c>
      <c r="D3785" s="556" t="s">
        <v>2624</v>
      </c>
      <c r="E3785" s="17" t="s">
        <v>7200</v>
      </c>
      <c r="F3785" s="17">
        <v>179</v>
      </c>
      <c r="G3785" s="17">
        <v>2</v>
      </c>
      <c r="H3785" s="17" t="s">
        <v>8390</v>
      </c>
      <c r="I3785" s="17"/>
      <c r="J3785" s="17"/>
      <c r="K3785" s="17"/>
      <c r="L3785" s="17"/>
      <c r="M3785" s="17"/>
      <c r="N3785" s="17"/>
      <c r="O3785" s="17"/>
      <c r="P3785" s="17"/>
      <c r="Q3785" s="17"/>
    </row>
    <row r="3786" spans="1:17">
      <c r="A3786" s="556" t="s">
        <v>3652</v>
      </c>
      <c r="B3786" s="557" t="s">
        <v>9481</v>
      </c>
      <c r="C3786" s="558" t="s">
        <v>2754</v>
      </c>
      <c r="D3786" s="556" t="s">
        <v>4426</v>
      </c>
      <c r="E3786" s="17" t="s">
        <v>7201</v>
      </c>
      <c r="F3786" s="17">
        <v>179</v>
      </c>
      <c r="G3786" s="17">
        <v>3</v>
      </c>
      <c r="H3786" s="17" t="s">
        <v>8391</v>
      </c>
      <c r="I3786" s="17">
        <v>0</v>
      </c>
      <c r="J3786" s="17"/>
      <c r="K3786" s="17"/>
      <c r="L3786" s="17"/>
      <c r="M3786" s="17"/>
      <c r="N3786" s="17"/>
      <c r="O3786" s="17"/>
      <c r="P3786" s="17"/>
      <c r="Q3786" s="17"/>
    </row>
    <row r="3787" spans="1:17">
      <c r="A3787" s="556" t="s">
        <v>3652</v>
      </c>
      <c r="B3787" s="557" t="s">
        <v>9481</v>
      </c>
      <c r="C3787" s="558" t="s">
        <v>2754</v>
      </c>
      <c r="D3787" s="556" t="s">
        <v>4324</v>
      </c>
      <c r="E3787" s="17" t="s">
        <v>7202</v>
      </c>
      <c r="F3787" s="17">
        <v>179</v>
      </c>
      <c r="G3787" s="17">
        <v>4</v>
      </c>
      <c r="H3787" s="17" t="s">
        <v>8392</v>
      </c>
      <c r="I3787" s="17"/>
      <c r="J3787" s="17"/>
      <c r="K3787" s="17"/>
      <c r="L3787" s="17"/>
      <c r="M3787" s="17"/>
      <c r="N3787" s="17"/>
      <c r="O3787" s="17"/>
      <c r="P3787" s="17"/>
      <c r="Q3787" s="17"/>
    </row>
    <row r="3788" spans="1:17">
      <c r="A3788" s="556" t="s">
        <v>3652</v>
      </c>
      <c r="B3788" s="557" t="s">
        <v>9482</v>
      </c>
      <c r="C3788" s="558" t="s">
        <v>2755</v>
      </c>
      <c r="D3788" s="556" t="s">
        <v>2623</v>
      </c>
      <c r="E3788" s="17" t="s">
        <v>7203</v>
      </c>
      <c r="F3788" s="17">
        <v>180</v>
      </c>
      <c r="G3788" s="17">
        <v>1</v>
      </c>
      <c r="H3788" s="17" t="s">
        <v>8393</v>
      </c>
      <c r="I3788" s="17"/>
      <c r="J3788" s="17"/>
      <c r="K3788" s="17"/>
      <c r="L3788" s="17"/>
      <c r="M3788" s="17"/>
      <c r="N3788" s="17"/>
      <c r="O3788" s="17"/>
      <c r="P3788" s="17"/>
      <c r="Q3788" s="17"/>
    </row>
    <row r="3789" spans="1:17">
      <c r="A3789" s="556" t="s">
        <v>3652</v>
      </c>
      <c r="B3789" s="557" t="s">
        <v>9482</v>
      </c>
      <c r="C3789" s="558" t="s">
        <v>2755</v>
      </c>
      <c r="D3789" s="556" t="s">
        <v>2624</v>
      </c>
      <c r="E3789" s="17" t="s">
        <v>7204</v>
      </c>
      <c r="F3789" s="17">
        <v>180</v>
      </c>
      <c r="G3789" s="17">
        <v>2</v>
      </c>
      <c r="H3789" s="17" t="s">
        <v>8394</v>
      </c>
      <c r="I3789" s="17"/>
      <c r="J3789" s="17"/>
      <c r="K3789" s="17"/>
      <c r="L3789" s="17"/>
      <c r="M3789" s="17"/>
      <c r="N3789" s="17"/>
      <c r="O3789" s="17"/>
      <c r="P3789" s="17"/>
      <c r="Q3789" s="17"/>
    </row>
    <row r="3790" spans="1:17">
      <c r="A3790" s="556" t="s">
        <v>3652</v>
      </c>
      <c r="B3790" s="557" t="s">
        <v>9482</v>
      </c>
      <c r="C3790" s="558" t="s">
        <v>2755</v>
      </c>
      <c r="D3790" s="556" t="s">
        <v>4426</v>
      </c>
      <c r="E3790" s="17" t="s">
        <v>7205</v>
      </c>
      <c r="F3790" s="17">
        <v>180</v>
      </c>
      <c r="G3790" s="17">
        <v>3</v>
      </c>
      <c r="H3790" s="17" t="s">
        <v>8395</v>
      </c>
      <c r="I3790" s="17">
        <v>0</v>
      </c>
      <c r="J3790" s="17"/>
      <c r="K3790" s="17"/>
      <c r="L3790" s="17"/>
      <c r="M3790" s="17"/>
      <c r="N3790" s="17"/>
      <c r="O3790" s="17"/>
      <c r="P3790" s="17"/>
      <c r="Q3790" s="17"/>
    </row>
    <row r="3791" spans="1:17">
      <c r="A3791" s="556" t="s">
        <v>3652</v>
      </c>
      <c r="B3791" s="557" t="s">
        <v>9482</v>
      </c>
      <c r="C3791" s="558" t="s">
        <v>2755</v>
      </c>
      <c r="D3791" s="556" t="s">
        <v>4324</v>
      </c>
      <c r="E3791" s="17" t="s">
        <v>7206</v>
      </c>
      <c r="F3791" s="17">
        <v>180</v>
      </c>
      <c r="G3791" s="17">
        <v>4</v>
      </c>
      <c r="H3791" s="17" t="s">
        <v>8396</v>
      </c>
      <c r="I3791" s="17"/>
      <c r="J3791" s="17"/>
      <c r="K3791" s="17"/>
      <c r="L3791" s="17"/>
      <c r="M3791" s="17"/>
      <c r="N3791" s="17"/>
      <c r="O3791" s="17"/>
      <c r="P3791" s="17"/>
      <c r="Q3791" s="17"/>
    </row>
    <row r="3792" spans="1:17">
      <c r="A3792" s="556" t="s">
        <v>3652</v>
      </c>
      <c r="B3792" s="557" t="s">
        <v>1306</v>
      </c>
      <c r="C3792" s="558" t="s">
        <v>1307</v>
      </c>
      <c r="D3792" s="556" t="s">
        <v>2623</v>
      </c>
      <c r="E3792" s="17" t="s">
        <v>7207</v>
      </c>
      <c r="F3792" s="17">
        <v>181</v>
      </c>
      <c r="G3792" s="17">
        <v>1</v>
      </c>
      <c r="H3792" s="17" t="s">
        <v>8397</v>
      </c>
      <c r="I3792" s="17">
        <v>0</v>
      </c>
      <c r="J3792" s="17"/>
      <c r="K3792" s="17"/>
      <c r="L3792" s="17"/>
      <c r="M3792" s="17"/>
      <c r="N3792" s="17"/>
      <c r="O3792" s="17"/>
      <c r="P3792" s="17"/>
      <c r="Q3792" s="17"/>
    </row>
    <row r="3793" spans="1:17">
      <c r="A3793" s="556" t="s">
        <v>3652</v>
      </c>
      <c r="B3793" s="557" t="s">
        <v>1306</v>
      </c>
      <c r="C3793" s="558" t="s">
        <v>1307</v>
      </c>
      <c r="D3793" s="556" t="s">
        <v>2624</v>
      </c>
      <c r="E3793" s="17" t="s">
        <v>7208</v>
      </c>
      <c r="F3793" s="17">
        <v>181</v>
      </c>
      <c r="G3793" s="17">
        <v>2</v>
      </c>
      <c r="H3793" s="17" t="s">
        <v>8398</v>
      </c>
      <c r="I3793" s="17">
        <v>0</v>
      </c>
      <c r="J3793" s="17"/>
      <c r="K3793" s="17"/>
      <c r="L3793" s="17"/>
      <c r="M3793" s="17"/>
      <c r="N3793" s="17"/>
      <c r="O3793" s="17"/>
      <c r="P3793" s="17"/>
      <c r="Q3793" s="17"/>
    </row>
    <row r="3794" spans="1:17">
      <c r="A3794" s="556" t="s">
        <v>3652</v>
      </c>
      <c r="B3794" s="557" t="s">
        <v>1306</v>
      </c>
      <c r="C3794" s="558" t="s">
        <v>1307</v>
      </c>
      <c r="D3794" s="556" t="s">
        <v>4426</v>
      </c>
      <c r="E3794" s="17" t="s">
        <v>7209</v>
      </c>
      <c r="F3794" s="17">
        <v>181</v>
      </c>
      <c r="G3794" s="17">
        <v>3</v>
      </c>
      <c r="H3794" s="17" t="s">
        <v>8399</v>
      </c>
      <c r="I3794" s="17">
        <v>0</v>
      </c>
      <c r="J3794" s="17"/>
      <c r="K3794" s="17"/>
      <c r="L3794" s="17"/>
      <c r="M3794" s="17"/>
      <c r="N3794" s="17"/>
      <c r="O3794" s="17"/>
      <c r="P3794" s="17"/>
      <c r="Q3794" s="17"/>
    </row>
    <row r="3795" spans="1:17">
      <c r="A3795" s="556" t="s">
        <v>3652</v>
      </c>
      <c r="B3795" s="557" t="s">
        <v>1306</v>
      </c>
      <c r="C3795" s="558" t="s">
        <v>1307</v>
      </c>
      <c r="D3795" s="556" t="s">
        <v>4324</v>
      </c>
      <c r="E3795" s="17" t="s">
        <v>7210</v>
      </c>
      <c r="F3795" s="17">
        <v>181</v>
      </c>
      <c r="G3795" s="17">
        <v>4</v>
      </c>
      <c r="H3795" s="17" t="s">
        <v>8400</v>
      </c>
      <c r="I3795" s="17"/>
      <c r="J3795" s="17"/>
      <c r="K3795" s="17"/>
      <c r="L3795" s="17"/>
      <c r="M3795" s="17"/>
      <c r="N3795" s="17"/>
      <c r="O3795" s="17"/>
      <c r="P3795" s="17"/>
      <c r="Q3795" s="17"/>
    </row>
    <row r="3796" spans="1:17">
      <c r="A3796" s="556" t="s">
        <v>3652</v>
      </c>
      <c r="B3796" s="557" t="s">
        <v>9483</v>
      </c>
      <c r="C3796" s="558" t="s">
        <v>2756</v>
      </c>
      <c r="D3796" s="556" t="s">
        <v>2623</v>
      </c>
      <c r="E3796" s="17" t="s">
        <v>7211</v>
      </c>
      <c r="F3796" s="17">
        <v>182</v>
      </c>
      <c r="G3796" s="17">
        <v>1</v>
      </c>
      <c r="H3796" s="17" t="s">
        <v>8401</v>
      </c>
      <c r="I3796" s="17"/>
      <c r="J3796" s="17"/>
      <c r="K3796" s="17"/>
      <c r="L3796" s="17"/>
      <c r="M3796" s="17"/>
      <c r="N3796" s="17"/>
      <c r="O3796" s="17"/>
      <c r="P3796" s="17"/>
      <c r="Q3796" s="17"/>
    </row>
    <row r="3797" spans="1:17">
      <c r="A3797" s="556" t="s">
        <v>3652</v>
      </c>
      <c r="B3797" s="557" t="s">
        <v>9483</v>
      </c>
      <c r="C3797" s="558" t="s">
        <v>2756</v>
      </c>
      <c r="D3797" s="556" t="s">
        <v>2624</v>
      </c>
      <c r="E3797" s="17" t="s">
        <v>7212</v>
      </c>
      <c r="F3797" s="17">
        <v>182</v>
      </c>
      <c r="G3797" s="17">
        <v>2</v>
      </c>
      <c r="H3797" s="17" t="s">
        <v>8402</v>
      </c>
      <c r="I3797" s="17"/>
      <c r="J3797" s="17"/>
      <c r="K3797" s="17"/>
      <c r="L3797" s="17"/>
      <c r="M3797" s="17"/>
      <c r="N3797" s="17"/>
      <c r="O3797" s="17"/>
      <c r="P3797" s="17"/>
      <c r="Q3797" s="17"/>
    </row>
    <row r="3798" spans="1:17">
      <c r="A3798" s="556" t="s">
        <v>3652</v>
      </c>
      <c r="B3798" s="557" t="s">
        <v>9483</v>
      </c>
      <c r="C3798" s="558" t="s">
        <v>2756</v>
      </c>
      <c r="D3798" s="556" t="s">
        <v>4426</v>
      </c>
      <c r="E3798" s="17" t="s">
        <v>7213</v>
      </c>
      <c r="F3798" s="17">
        <v>182</v>
      </c>
      <c r="G3798" s="17">
        <v>3</v>
      </c>
      <c r="H3798" s="17" t="s">
        <v>8403</v>
      </c>
      <c r="I3798" s="17">
        <v>0</v>
      </c>
      <c r="J3798" s="17"/>
      <c r="K3798" s="17"/>
      <c r="L3798" s="17"/>
      <c r="M3798" s="17"/>
      <c r="N3798" s="17"/>
      <c r="O3798" s="17"/>
      <c r="P3798" s="17"/>
      <c r="Q3798" s="17"/>
    </row>
    <row r="3799" spans="1:17">
      <c r="A3799" s="556" t="s">
        <v>3652</v>
      </c>
      <c r="B3799" s="557" t="s">
        <v>9483</v>
      </c>
      <c r="C3799" s="558" t="s">
        <v>2756</v>
      </c>
      <c r="D3799" s="556" t="s">
        <v>4324</v>
      </c>
      <c r="E3799" s="17" t="s">
        <v>7214</v>
      </c>
      <c r="F3799" s="17">
        <v>182</v>
      </c>
      <c r="G3799" s="17">
        <v>4</v>
      </c>
      <c r="H3799" s="17" t="s">
        <v>8404</v>
      </c>
      <c r="I3799" s="17"/>
      <c r="J3799" s="17"/>
      <c r="K3799" s="17"/>
      <c r="L3799" s="17"/>
      <c r="M3799" s="17"/>
      <c r="N3799" s="17"/>
      <c r="O3799" s="17"/>
      <c r="P3799" s="17"/>
      <c r="Q3799" s="17"/>
    </row>
    <row r="3800" spans="1:17">
      <c r="A3800" s="556" t="s">
        <v>3652</v>
      </c>
      <c r="B3800" s="557" t="s">
        <v>9484</v>
      </c>
      <c r="C3800" s="558" t="s">
        <v>2757</v>
      </c>
      <c r="D3800" s="556" t="s">
        <v>2623</v>
      </c>
      <c r="E3800" s="17" t="s">
        <v>7215</v>
      </c>
      <c r="F3800" s="17">
        <v>183</v>
      </c>
      <c r="G3800" s="17">
        <v>1</v>
      </c>
      <c r="H3800" s="17" t="s">
        <v>8405</v>
      </c>
      <c r="I3800" s="17"/>
      <c r="J3800" s="17"/>
      <c r="K3800" s="17"/>
      <c r="L3800" s="17"/>
      <c r="M3800" s="17"/>
      <c r="N3800" s="17"/>
      <c r="O3800" s="17"/>
      <c r="P3800" s="17"/>
      <c r="Q3800" s="17"/>
    </row>
    <row r="3801" spans="1:17">
      <c r="A3801" s="556" t="s">
        <v>3652</v>
      </c>
      <c r="B3801" s="557" t="s">
        <v>9484</v>
      </c>
      <c r="C3801" s="558" t="s">
        <v>2757</v>
      </c>
      <c r="D3801" s="556" t="s">
        <v>2624</v>
      </c>
      <c r="E3801" s="17" t="s">
        <v>7216</v>
      </c>
      <c r="F3801" s="17">
        <v>183</v>
      </c>
      <c r="G3801" s="17">
        <v>2</v>
      </c>
      <c r="H3801" s="17" t="s">
        <v>8406</v>
      </c>
      <c r="I3801" s="17"/>
      <c r="J3801" s="17"/>
      <c r="K3801" s="17"/>
      <c r="L3801" s="17"/>
      <c r="M3801" s="17"/>
      <c r="N3801" s="17"/>
      <c r="O3801" s="17"/>
      <c r="P3801" s="17"/>
      <c r="Q3801" s="17"/>
    </row>
    <row r="3802" spans="1:17">
      <c r="A3802" s="556" t="s">
        <v>3652</v>
      </c>
      <c r="B3802" s="557" t="s">
        <v>9484</v>
      </c>
      <c r="C3802" s="558" t="s">
        <v>2757</v>
      </c>
      <c r="D3802" s="556" t="s">
        <v>4426</v>
      </c>
      <c r="E3802" s="17" t="s">
        <v>7217</v>
      </c>
      <c r="F3802" s="17">
        <v>183</v>
      </c>
      <c r="G3802" s="17">
        <v>3</v>
      </c>
      <c r="H3802" s="17" t="s">
        <v>8407</v>
      </c>
      <c r="I3802" s="17">
        <v>0</v>
      </c>
      <c r="J3802" s="17"/>
      <c r="K3802" s="17"/>
      <c r="L3802" s="17"/>
      <c r="M3802" s="17"/>
      <c r="N3802" s="17"/>
      <c r="O3802" s="17"/>
      <c r="P3802" s="17"/>
      <c r="Q3802" s="17"/>
    </row>
    <row r="3803" spans="1:17">
      <c r="A3803" s="556" t="s">
        <v>3652</v>
      </c>
      <c r="B3803" s="557" t="s">
        <v>9484</v>
      </c>
      <c r="C3803" s="558" t="s">
        <v>2757</v>
      </c>
      <c r="D3803" s="556" t="s">
        <v>4324</v>
      </c>
      <c r="E3803" s="17" t="s">
        <v>7218</v>
      </c>
      <c r="F3803" s="17">
        <v>183</v>
      </c>
      <c r="G3803" s="17">
        <v>4</v>
      </c>
      <c r="H3803" s="17" t="s">
        <v>8408</v>
      </c>
      <c r="I3803" s="17"/>
      <c r="J3803" s="17"/>
      <c r="K3803" s="17"/>
      <c r="L3803" s="17"/>
      <c r="M3803" s="17"/>
      <c r="N3803" s="17"/>
      <c r="O3803" s="17"/>
      <c r="P3803" s="17"/>
      <c r="Q3803" s="17"/>
    </row>
    <row r="3804" spans="1:17">
      <c r="A3804" s="556" t="s">
        <v>3652</v>
      </c>
      <c r="B3804" s="557" t="s">
        <v>9485</v>
      </c>
      <c r="C3804" s="558" t="s">
        <v>2758</v>
      </c>
      <c r="D3804" s="556" t="s">
        <v>2623</v>
      </c>
      <c r="E3804" s="17" t="s">
        <v>7219</v>
      </c>
      <c r="F3804" s="17">
        <v>184</v>
      </c>
      <c r="G3804" s="17">
        <v>1</v>
      </c>
      <c r="H3804" s="17" t="s">
        <v>8409</v>
      </c>
      <c r="I3804" s="17"/>
      <c r="J3804" s="17"/>
      <c r="K3804" s="17"/>
      <c r="L3804" s="17"/>
      <c r="M3804" s="17"/>
      <c r="N3804" s="17"/>
      <c r="O3804" s="17"/>
      <c r="P3804" s="17"/>
      <c r="Q3804" s="17"/>
    </row>
    <row r="3805" spans="1:17">
      <c r="A3805" s="556" t="s">
        <v>3652</v>
      </c>
      <c r="B3805" s="557" t="s">
        <v>9485</v>
      </c>
      <c r="C3805" s="558" t="s">
        <v>2758</v>
      </c>
      <c r="D3805" s="556" t="s">
        <v>2624</v>
      </c>
      <c r="E3805" s="17" t="s">
        <v>7220</v>
      </c>
      <c r="F3805" s="17">
        <v>184</v>
      </c>
      <c r="G3805" s="17">
        <v>2</v>
      </c>
      <c r="H3805" s="17" t="s">
        <v>8410</v>
      </c>
      <c r="I3805" s="17"/>
      <c r="J3805" s="17"/>
      <c r="K3805" s="17"/>
      <c r="L3805" s="17"/>
      <c r="M3805" s="17"/>
      <c r="N3805" s="17"/>
      <c r="O3805" s="17"/>
      <c r="P3805" s="17"/>
      <c r="Q3805" s="17"/>
    </row>
    <row r="3806" spans="1:17">
      <c r="A3806" s="556" t="s">
        <v>3652</v>
      </c>
      <c r="B3806" s="557" t="s">
        <v>9485</v>
      </c>
      <c r="C3806" s="558" t="s">
        <v>2758</v>
      </c>
      <c r="D3806" s="556" t="s">
        <v>4426</v>
      </c>
      <c r="E3806" s="17" t="s">
        <v>7221</v>
      </c>
      <c r="F3806" s="17">
        <v>184</v>
      </c>
      <c r="G3806" s="17">
        <v>3</v>
      </c>
      <c r="H3806" s="17" t="s">
        <v>8411</v>
      </c>
      <c r="I3806" s="17">
        <v>0</v>
      </c>
      <c r="J3806" s="17"/>
      <c r="K3806" s="17"/>
      <c r="L3806" s="17"/>
      <c r="M3806" s="17"/>
      <c r="N3806" s="17"/>
      <c r="O3806" s="17"/>
      <c r="P3806" s="17"/>
      <c r="Q3806" s="17"/>
    </row>
    <row r="3807" spans="1:17">
      <c r="A3807" s="556" t="s">
        <v>3652</v>
      </c>
      <c r="B3807" s="557" t="s">
        <v>9485</v>
      </c>
      <c r="C3807" s="558" t="s">
        <v>2758</v>
      </c>
      <c r="D3807" s="556" t="s">
        <v>4324</v>
      </c>
      <c r="E3807" s="17" t="s">
        <v>7222</v>
      </c>
      <c r="F3807" s="17">
        <v>184</v>
      </c>
      <c r="G3807" s="17">
        <v>4</v>
      </c>
      <c r="H3807" s="17" t="s">
        <v>8412</v>
      </c>
      <c r="I3807" s="17"/>
      <c r="J3807" s="17"/>
      <c r="K3807" s="17"/>
      <c r="L3807" s="17"/>
      <c r="M3807" s="17"/>
      <c r="N3807" s="17"/>
      <c r="O3807" s="17"/>
      <c r="P3807" s="17"/>
      <c r="Q3807" s="17"/>
    </row>
    <row r="3808" spans="1:17">
      <c r="A3808" s="556" t="s">
        <v>3652</v>
      </c>
      <c r="B3808" s="557" t="s">
        <v>9486</v>
      </c>
      <c r="C3808" s="558" t="s">
        <v>2759</v>
      </c>
      <c r="D3808" s="556" t="s">
        <v>2623</v>
      </c>
      <c r="E3808" s="17" t="s">
        <v>7223</v>
      </c>
      <c r="F3808" s="17">
        <v>185</v>
      </c>
      <c r="G3808" s="17">
        <v>1</v>
      </c>
      <c r="H3808" s="17" t="s">
        <v>8413</v>
      </c>
      <c r="I3808" s="17"/>
      <c r="J3808" s="17"/>
      <c r="K3808" s="17"/>
      <c r="L3808" s="17"/>
      <c r="M3808" s="17"/>
      <c r="N3808" s="17"/>
      <c r="O3808" s="17"/>
      <c r="P3808" s="17"/>
      <c r="Q3808" s="17"/>
    </row>
    <row r="3809" spans="1:17">
      <c r="A3809" s="556" t="s">
        <v>3652</v>
      </c>
      <c r="B3809" s="557" t="s">
        <v>9486</v>
      </c>
      <c r="C3809" s="558" t="s">
        <v>2759</v>
      </c>
      <c r="D3809" s="556" t="s">
        <v>2624</v>
      </c>
      <c r="E3809" s="17" t="s">
        <v>7224</v>
      </c>
      <c r="F3809" s="17">
        <v>185</v>
      </c>
      <c r="G3809" s="17">
        <v>2</v>
      </c>
      <c r="H3809" s="17" t="s">
        <v>8414</v>
      </c>
      <c r="I3809" s="17"/>
      <c r="J3809" s="17"/>
      <c r="K3809" s="17"/>
      <c r="L3809" s="17"/>
      <c r="M3809" s="17"/>
      <c r="N3809" s="17"/>
      <c r="O3809" s="17"/>
      <c r="P3809" s="17"/>
      <c r="Q3809" s="17"/>
    </row>
    <row r="3810" spans="1:17">
      <c r="A3810" s="556" t="s">
        <v>3652</v>
      </c>
      <c r="B3810" s="557" t="s">
        <v>9486</v>
      </c>
      <c r="C3810" s="558" t="s">
        <v>2759</v>
      </c>
      <c r="D3810" s="556" t="s">
        <v>4426</v>
      </c>
      <c r="E3810" s="17" t="s">
        <v>7225</v>
      </c>
      <c r="F3810" s="17">
        <v>185</v>
      </c>
      <c r="G3810" s="17">
        <v>3</v>
      </c>
      <c r="H3810" s="17" t="s">
        <v>8415</v>
      </c>
      <c r="I3810" s="17">
        <v>0</v>
      </c>
      <c r="J3810" s="17"/>
      <c r="K3810" s="17"/>
      <c r="L3810" s="17"/>
      <c r="M3810" s="17"/>
      <c r="N3810" s="17"/>
      <c r="O3810" s="17"/>
      <c r="P3810" s="17"/>
      <c r="Q3810" s="17"/>
    </row>
    <row r="3811" spans="1:17">
      <c r="A3811" s="556" t="s">
        <v>3652</v>
      </c>
      <c r="B3811" s="557" t="s">
        <v>9486</v>
      </c>
      <c r="C3811" s="558" t="s">
        <v>2759</v>
      </c>
      <c r="D3811" s="556" t="s">
        <v>4324</v>
      </c>
      <c r="E3811" s="17" t="s">
        <v>7226</v>
      </c>
      <c r="F3811" s="17">
        <v>185</v>
      </c>
      <c r="G3811" s="17">
        <v>4</v>
      </c>
      <c r="H3811" s="17" t="s">
        <v>8416</v>
      </c>
      <c r="I3811" s="17"/>
      <c r="J3811" s="17"/>
      <c r="K3811" s="17"/>
      <c r="L3811" s="17"/>
      <c r="M3811" s="17"/>
      <c r="N3811" s="17"/>
      <c r="O3811" s="17"/>
      <c r="P3811" s="17"/>
      <c r="Q3811" s="17"/>
    </row>
    <row r="3812" spans="1:17">
      <c r="A3812" s="556" t="s">
        <v>3652</v>
      </c>
      <c r="B3812" s="557" t="s">
        <v>9487</v>
      </c>
      <c r="C3812" s="558" t="s">
        <v>2760</v>
      </c>
      <c r="D3812" s="556" t="s">
        <v>2623</v>
      </c>
      <c r="E3812" s="17" t="s">
        <v>7227</v>
      </c>
      <c r="F3812" s="17">
        <v>186</v>
      </c>
      <c r="G3812" s="17">
        <v>1</v>
      </c>
      <c r="H3812" s="17" t="s">
        <v>8417</v>
      </c>
      <c r="I3812" s="17"/>
      <c r="J3812" s="17"/>
      <c r="K3812" s="17"/>
      <c r="L3812" s="17"/>
      <c r="M3812" s="17"/>
      <c r="N3812" s="17"/>
      <c r="O3812" s="17"/>
      <c r="P3812" s="17"/>
      <c r="Q3812" s="17"/>
    </row>
    <row r="3813" spans="1:17">
      <c r="A3813" s="556" t="s">
        <v>3652</v>
      </c>
      <c r="B3813" s="557" t="s">
        <v>9487</v>
      </c>
      <c r="C3813" s="558" t="s">
        <v>2760</v>
      </c>
      <c r="D3813" s="556" t="s">
        <v>2624</v>
      </c>
      <c r="E3813" s="17" t="s">
        <v>7228</v>
      </c>
      <c r="F3813" s="17">
        <v>186</v>
      </c>
      <c r="G3813" s="17">
        <v>2</v>
      </c>
      <c r="H3813" s="17" t="s">
        <v>8418</v>
      </c>
      <c r="I3813" s="17"/>
      <c r="J3813" s="17"/>
      <c r="K3813" s="17"/>
      <c r="L3813" s="17"/>
      <c r="M3813" s="17"/>
      <c r="N3813" s="17"/>
      <c r="O3813" s="17"/>
      <c r="P3813" s="17"/>
      <c r="Q3813" s="17"/>
    </row>
    <row r="3814" spans="1:17">
      <c r="A3814" s="556" t="s">
        <v>3652</v>
      </c>
      <c r="B3814" s="557" t="s">
        <v>9487</v>
      </c>
      <c r="C3814" s="558" t="s">
        <v>2760</v>
      </c>
      <c r="D3814" s="556" t="s">
        <v>4426</v>
      </c>
      <c r="E3814" s="17" t="s">
        <v>7229</v>
      </c>
      <c r="F3814" s="17">
        <v>186</v>
      </c>
      <c r="G3814" s="17">
        <v>3</v>
      </c>
      <c r="H3814" s="17" t="s">
        <v>8419</v>
      </c>
      <c r="I3814" s="17">
        <v>0</v>
      </c>
      <c r="J3814" s="17"/>
      <c r="K3814" s="17"/>
      <c r="L3814" s="17"/>
      <c r="M3814" s="17"/>
      <c r="N3814" s="17"/>
      <c r="O3814" s="17"/>
      <c r="P3814" s="17"/>
      <c r="Q3814" s="17"/>
    </row>
    <row r="3815" spans="1:17">
      <c r="A3815" s="556" t="s">
        <v>3652</v>
      </c>
      <c r="B3815" s="557" t="s">
        <v>9487</v>
      </c>
      <c r="C3815" s="558" t="s">
        <v>2760</v>
      </c>
      <c r="D3815" s="556" t="s">
        <v>4324</v>
      </c>
      <c r="E3815" s="17" t="s">
        <v>7230</v>
      </c>
      <c r="F3815" s="17">
        <v>186</v>
      </c>
      <c r="G3815" s="17">
        <v>4</v>
      </c>
      <c r="H3815" s="17" t="s">
        <v>8420</v>
      </c>
      <c r="I3815" s="17"/>
      <c r="J3815" s="17"/>
      <c r="K3815" s="17"/>
      <c r="L3815" s="17"/>
      <c r="M3815" s="17"/>
      <c r="N3815" s="17"/>
      <c r="O3815" s="17"/>
      <c r="P3815" s="17"/>
      <c r="Q3815" s="17"/>
    </row>
    <row r="3816" spans="1:17">
      <c r="A3816" s="556" t="s">
        <v>3652</v>
      </c>
      <c r="B3816" s="557" t="s">
        <v>9488</v>
      </c>
      <c r="C3816" s="558" t="s">
        <v>2761</v>
      </c>
      <c r="D3816" s="556" t="s">
        <v>2623</v>
      </c>
      <c r="E3816" s="17" t="s">
        <v>7231</v>
      </c>
      <c r="F3816" s="17">
        <v>187</v>
      </c>
      <c r="G3816" s="17">
        <v>1</v>
      </c>
      <c r="H3816" s="17" t="s">
        <v>8421</v>
      </c>
      <c r="I3816" s="17"/>
      <c r="J3816" s="17"/>
      <c r="K3816" s="17"/>
      <c r="L3816" s="17"/>
      <c r="M3816" s="17"/>
      <c r="N3816" s="17"/>
      <c r="O3816" s="17"/>
      <c r="P3816" s="17"/>
      <c r="Q3816" s="17"/>
    </row>
    <row r="3817" spans="1:17">
      <c r="A3817" s="556" t="s">
        <v>3652</v>
      </c>
      <c r="B3817" s="557" t="s">
        <v>9488</v>
      </c>
      <c r="C3817" s="558" t="s">
        <v>2761</v>
      </c>
      <c r="D3817" s="556" t="s">
        <v>2624</v>
      </c>
      <c r="E3817" s="17" t="s">
        <v>7232</v>
      </c>
      <c r="F3817" s="17">
        <v>187</v>
      </c>
      <c r="G3817" s="17">
        <v>2</v>
      </c>
      <c r="H3817" s="17" t="s">
        <v>8422</v>
      </c>
      <c r="I3817" s="17"/>
      <c r="J3817" s="17"/>
      <c r="K3817" s="17"/>
      <c r="L3817" s="17"/>
      <c r="M3817" s="17"/>
      <c r="N3817" s="17"/>
      <c r="O3817" s="17"/>
      <c r="P3817" s="17"/>
      <c r="Q3817" s="17"/>
    </row>
    <row r="3818" spans="1:17">
      <c r="A3818" s="556" t="s">
        <v>3652</v>
      </c>
      <c r="B3818" s="557" t="s">
        <v>9488</v>
      </c>
      <c r="C3818" s="558" t="s">
        <v>2761</v>
      </c>
      <c r="D3818" s="556" t="s">
        <v>4426</v>
      </c>
      <c r="E3818" s="17" t="s">
        <v>7233</v>
      </c>
      <c r="F3818" s="17">
        <v>187</v>
      </c>
      <c r="G3818" s="17">
        <v>3</v>
      </c>
      <c r="H3818" s="17" t="s">
        <v>8423</v>
      </c>
      <c r="I3818" s="17">
        <v>0</v>
      </c>
      <c r="J3818" s="17"/>
      <c r="K3818" s="17"/>
      <c r="L3818" s="17"/>
      <c r="M3818" s="17"/>
      <c r="N3818" s="17"/>
      <c r="O3818" s="17"/>
      <c r="P3818" s="17"/>
      <c r="Q3818" s="17"/>
    </row>
    <row r="3819" spans="1:17">
      <c r="A3819" s="556" t="s">
        <v>3652</v>
      </c>
      <c r="B3819" s="557" t="s">
        <v>9488</v>
      </c>
      <c r="C3819" s="558" t="s">
        <v>2761</v>
      </c>
      <c r="D3819" s="556" t="s">
        <v>4324</v>
      </c>
      <c r="E3819" s="17" t="s">
        <v>7234</v>
      </c>
      <c r="F3819" s="17">
        <v>187</v>
      </c>
      <c r="G3819" s="17">
        <v>4</v>
      </c>
      <c r="H3819" s="17" t="s">
        <v>8424</v>
      </c>
      <c r="I3819" s="17"/>
      <c r="J3819" s="17"/>
      <c r="K3819" s="17"/>
      <c r="L3819" s="17"/>
      <c r="M3819" s="17"/>
      <c r="N3819" s="17"/>
      <c r="O3819" s="17"/>
      <c r="P3819" s="17"/>
      <c r="Q3819" s="17"/>
    </row>
    <row r="3820" spans="1:17">
      <c r="A3820" s="556" t="s">
        <v>3652</v>
      </c>
      <c r="B3820" s="557" t="s">
        <v>9489</v>
      </c>
      <c r="C3820" s="558" t="s">
        <v>2762</v>
      </c>
      <c r="D3820" s="556" t="s">
        <v>2623</v>
      </c>
      <c r="E3820" s="17" t="s">
        <v>7235</v>
      </c>
      <c r="F3820" s="17">
        <v>188</v>
      </c>
      <c r="G3820" s="17">
        <v>1</v>
      </c>
      <c r="H3820" s="17" t="s">
        <v>8425</v>
      </c>
      <c r="I3820" s="17"/>
      <c r="J3820" s="17"/>
      <c r="K3820" s="17"/>
      <c r="L3820" s="17"/>
      <c r="M3820" s="17"/>
      <c r="N3820" s="17"/>
      <c r="O3820" s="17"/>
      <c r="P3820" s="17"/>
      <c r="Q3820" s="17"/>
    </row>
    <row r="3821" spans="1:17">
      <c r="A3821" s="556" t="s">
        <v>3652</v>
      </c>
      <c r="B3821" s="557" t="s">
        <v>9489</v>
      </c>
      <c r="C3821" s="558" t="s">
        <v>2762</v>
      </c>
      <c r="D3821" s="556" t="s">
        <v>2624</v>
      </c>
      <c r="E3821" s="17" t="s">
        <v>7236</v>
      </c>
      <c r="F3821" s="17">
        <v>188</v>
      </c>
      <c r="G3821" s="17">
        <v>2</v>
      </c>
      <c r="H3821" s="17" t="s">
        <v>8426</v>
      </c>
      <c r="I3821" s="17"/>
      <c r="J3821" s="17"/>
      <c r="K3821" s="17"/>
      <c r="L3821" s="17"/>
      <c r="M3821" s="17"/>
      <c r="N3821" s="17"/>
      <c r="O3821" s="17"/>
      <c r="P3821" s="17"/>
      <c r="Q3821" s="17"/>
    </row>
    <row r="3822" spans="1:17">
      <c r="A3822" s="556" t="s">
        <v>3652</v>
      </c>
      <c r="B3822" s="557" t="s">
        <v>9489</v>
      </c>
      <c r="C3822" s="558" t="s">
        <v>2762</v>
      </c>
      <c r="D3822" s="556" t="s">
        <v>4426</v>
      </c>
      <c r="E3822" s="17" t="s">
        <v>7237</v>
      </c>
      <c r="F3822" s="17">
        <v>188</v>
      </c>
      <c r="G3822" s="17">
        <v>3</v>
      </c>
      <c r="H3822" s="17" t="s">
        <v>8427</v>
      </c>
      <c r="I3822" s="17">
        <v>0</v>
      </c>
      <c r="J3822" s="17"/>
      <c r="K3822" s="17"/>
      <c r="L3822" s="17"/>
      <c r="M3822" s="17"/>
      <c r="N3822" s="17"/>
      <c r="O3822" s="17"/>
      <c r="P3822" s="17"/>
      <c r="Q3822" s="17"/>
    </row>
    <row r="3823" spans="1:17">
      <c r="A3823" s="556" t="s">
        <v>3652</v>
      </c>
      <c r="B3823" s="557" t="s">
        <v>9489</v>
      </c>
      <c r="C3823" s="558" t="s">
        <v>2762</v>
      </c>
      <c r="D3823" s="556" t="s">
        <v>4324</v>
      </c>
      <c r="E3823" s="17" t="s">
        <v>7238</v>
      </c>
      <c r="F3823" s="17">
        <v>188</v>
      </c>
      <c r="G3823" s="17">
        <v>4</v>
      </c>
      <c r="H3823" s="17" t="s">
        <v>8428</v>
      </c>
      <c r="I3823" s="17"/>
      <c r="J3823" s="17"/>
      <c r="K3823" s="17"/>
      <c r="L3823" s="17"/>
      <c r="M3823" s="17"/>
      <c r="N3823" s="17"/>
      <c r="O3823" s="17"/>
      <c r="P3823" s="17"/>
      <c r="Q3823" s="17"/>
    </row>
    <row r="3824" spans="1:17">
      <c r="A3824" s="556" t="s">
        <v>3652</v>
      </c>
      <c r="B3824" s="557" t="s">
        <v>9490</v>
      </c>
      <c r="C3824" s="558" t="s">
        <v>2763</v>
      </c>
      <c r="D3824" s="556" t="s">
        <v>2623</v>
      </c>
      <c r="E3824" s="17" t="s">
        <v>7239</v>
      </c>
      <c r="F3824" s="17">
        <v>189</v>
      </c>
      <c r="G3824" s="17">
        <v>1</v>
      </c>
      <c r="H3824" s="17" t="s">
        <v>8429</v>
      </c>
      <c r="I3824" s="17"/>
      <c r="J3824" s="17"/>
      <c r="K3824" s="17"/>
      <c r="L3824" s="17"/>
      <c r="M3824" s="17"/>
      <c r="N3824" s="17"/>
      <c r="O3824" s="17"/>
      <c r="P3824" s="17"/>
      <c r="Q3824" s="17"/>
    </row>
    <row r="3825" spans="1:17">
      <c r="A3825" s="556" t="s">
        <v>3652</v>
      </c>
      <c r="B3825" s="557" t="s">
        <v>9490</v>
      </c>
      <c r="C3825" s="558" t="s">
        <v>2763</v>
      </c>
      <c r="D3825" s="556" t="s">
        <v>2624</v>
      </c>
      <c r="E3825" s="17" t="s">
        <v>7240</v>
      </c>
      <c r="F3825" s="17">
        <v>189</v>
      </c>
      <c r="G3825" s="17">
        <v>2</v>
      </c>
      <c r="H3825" s="17" t="s">
        <v>8430</v>
      </c>
      <c r="I3825" s="17"/>
      <c r="J3825" s="17"/>
      <c r="K3825" s="17"/>
      <c r="L3825" s="17"/>
      <c r="M3825" s="17"/>
      <c r="N3825" s="17"/>
      <c r="O3825" s="17"/>
      <c r="P3825" s="17"/>
      <c r="Q3825" s="17"/>
    </row>
    <row r="3826" spans="1:17">
      <c r="A3826" s="556" t="s">
        <v>3652</v>
      </c>
      <c r="B3826" s="557" t="s">
        <v>9490</v>
      </c>
      <c r="C3826" s="558" t="s">
        <v>2763</v>
      </c>
      <c r="D3826" s="556" t="s">
        <v>4426</v>
      </c>
      <c r="E3826" s="17" t="s">
        <v>7241</v>
      </c>
      <c r="F3826" s="17">
        <v>189</v>
      </c>
      <c r="G3826" s="17">
        <v>3</v>
      </c>
      <c r="H3826" s="17" t="s">
        <v>8431</v>
      </c>
      <c r="I3826" s="17">
        <v>0</v>
      </c>
      <c r="J3826" s="17"/>
      <c r="K3826" s="17"/>
      <c r="L3826" s="17"/>
      <c r="M3826" s="17"/>
      <c r="N3826" s="17"/>
      <c r="O3826" s="17"/>
      <c r="P3826" s="17"/>
      <c r="Q3826" s="17"/>
    </row>
    <row r="3827" spans="1:17">
      <c r="A3827" s="556" t="s">
        <v>3652</v>
      </c>
      <c r="B3827" s="557" t="s">
        <v>9490</v>
      </c>
      <c r="C3827" s="558" t="s">
        <v>2763</v>
      </c>
      <c r="D3827" s="556" t="s">
        <v>4324</v>
      </c>
      <c r="E3827" s="17" t="s">
        <v>7242</v>
      </c>
      <c r="F3827" s="17">
        <v>189</v>
      </c>
      <c r="G3827" s="17">
        <v>4</v>
      </c>
      <c r="H3827" s="17" t="s">
        <v>8432</v>
      </c>
      <c r="I3827" s="17"/>
      <c r="J3827" s="17"/>
      <c r="K3827" s="17"/>
      <c r="L3827" s="17"/>
      <c r="M3827" s="17"/>
      <c r="N3827" s="17"/>
      <c r="O3827" s="17"/>
      <c r="P3827" s="17"/>
      <c r="Q3827" s="17"/>
    </row>
    <row r="3828" spans="1:17">
      <c r="A3828" s="556" t="s">
        <v>3652</v>
      </c>
      <c r="B3828" s="557" t="s">
        <v>9491</v>
      </c>
      <c r="C3828" s="558" t="s">
        <v>2764</v>
      </c>
      <c r="D3828" s="556" t="s">
        <v>2623</v>
      </c>
      <c r="E3828" s="17" t="s">
        <v>7243</v>
      </c>
      <c r="F3828" s="17">
        <v>190</v>
      </c>
      <c r="G3828" s="17">
        <v>1</v>
      </c>
      <c r="H3828" s="17" t="s">
        <v>8433</v>
      </c>
      <c r="I3828" s="17"/>
      <c r="J3828" s="17"/>
      <c r="K3828" s="17"/>
      <c r="L3828" s="17"/>
      <c r="M3828" s="17"/>
      <c r="N3828" s="17"/>
      <c r="O3828" s="17"/>
      <c r="P3828" s="17"/>
      <c r="Q3828" s="17"/>
    </row>
    <row r="3829" spans="1:17">
      <c r="A3829" s="556" t="s">
        <v>3652</v>
      </c>
      <c r="B3829" s="557" t="s">
        <v>9491</v>
      </c>
      <c r="C3829" s="558" t="s">
        <v>2764</v>
      </c>
      <c r="D3829" s="556" t="s">
        <v>2624</v>
      </c>
      <c r="E3829" s="17" t="s">
        <v>7244</v>
      </c>
      <c r="F3829" s="17">
        <v>190</v>
      </c>
      <c r="G3829" s="17">
        <v>2</v>
      </c>
      <c r="H3829" s="17" t="s">
        <v>8434</v>
      </c>
      <c r="I3829" s="17"/>
      <c r="J3829" s="17"/>
      <c r="K3829" s="17"/>
      <c r="L3829" s="17"/>
      <c r="M3829" s="17"/>
      <c r="N3829" s="17"/>
      <c r="O3829" s="17"/>
      <c r="P3829" s="17"/>
      <c r="Q3829" s="17"/>
    </row>
    <row r="3830" spans="1:17">
      <c r="A3830" s="556" t="s">
        <v>3652</v>
      </c>
      <c r="B3830" s="557" t="s">
        <v>9491</v>
      </c>
      <c r="C3830" s="558" t="s">
        <v>2764</v>
      </c>
      <c r="D3830" s="556" t="s">
        <v>4426</v>
      </c>
      <c r="E3830" s="17" t="s">
        <v>7245</v>
      </c>
      <c r="F3830" s="17">
        <v>190</v>
      </c>
      <c r="G3830" s="17">
        <v>3</v>
      </c>
      <c r="H3830" s="17" t="s">
        <v>8435</v>
      </c>
      <c r="I3830" s="17">
        <v>0</v>
      </c>
      <c r="J3830" s="17"/>
      <c r="K3830" s="17"/>
      <c r="L3830" s="17"/>
      <c r="M3830" s="17"/>
      <c r="N3830" s="17"/>
      <c r="O3830" s="17"/>
      <c r="P3830" s="17"/>
      <c r="Q3830" s="17"/>
    </row>
    <row r="3831" spans="1:17">
      <c r="A3831" s="556" t="s">
        <v>3652</v>
      </c>
      <c r="B3831" s="557" t="s">
        <v>9491</v>
      </c>
      <c r="C3831" s="558" t="s">
        <v>2764</v>
      </c>
      <c r="D3831" s="556" t="s">
        <v>4324</v>
      </c>
      <c r="E3831" s="17" t="s">
        <v>7246</v>
      </c>
      <c r="F3831" s="17">
        <v>190</v>
      </c>
      <c r="G3831" s="17">
        <v>4</v>
      </c>
      <c r="H3831" s="17" t="s">
        <v>8436</v>
      </c>
      <c r="I3831" s="17"/>
      <c r="J3831" s="17"/>
      <c r="K3831" s="17"/>
      <c r="L3831" s="17"/>
      <c r="M3831" s="17"/>
      <c r="N3831" s="17"/>
      <c r="O3831" s="17"/>
      <c r="P3831" s="17"/>
      <c r="Q3831" s="17"/>
    </row>
    <row r="3832" spans="1:17">
      <c r="A3832" s="556" t="s">
        <v>3652</v>
      </c>
      <c r="B3832" s="557" t="s">
        <v>9492</v>
      </c>
      <c r="C3832" s="558" t="s">
        <v>2765</v>
      </c>
      <c r="D3832" s="556" t="s">
        <v>2623</v>
      </c>
      <c r="E3832" s="17" t="s">
        <v>7247</v>
      </c>
      <c r="F3832" s="17">
        <v>191</v>
      </c>
      <c r="G3832" s="17">
        <v>1</v>
      </c>
      <c r="H3832" s="17" t="s">
        <v>8437</v>
      </c>
      <c r="I3832" s="17"/>
      <c r="J3832" s="17"/>
      <c r="K3832" s="17"/>
      <c r="L3832" s="17"/>
      <c r="M3832" s="17"/>
      <c r="N3832" s="17"/>
      <c r="O3832" s="17"/>
      <c r="P3832" s="17"/>
      <c r="Q3832" s="17"/>
    </row>
    <row r="3833" spans="1:17">
      <c r="A3833" s="556" t="s">
        <v>3652</v>
      </c>
      <c r="B3833" s="557" t="s">
        <v>9492</v>
      </c>
      <c r="C3833" s="558" t="s">
        <v>2765</v>
      </c>
      <c r="D3833" s="556" t="s">
        <v>2624</v>
      </c>
      <c r="E3833" s="17" t="s">
        <v>7248</v>
      </c>
      <c r="F3833" s="17">
        <v>191</v>
      </c>
      <c r="G3833" s="17">
        <v>2</v>
      </c>
      <c r="H3833" s="17" t="s">
        <v>8438</v>
      </c>
      <c r="I3833" s="17"/>
      <c r="J3833" s="17"/>
      <c r="K3833" s="17"/>
      <c r="L3833" s="17"/>
      <c r="M3833" s="17"/>
      <c r="N3833" s="17"/>
      <c r="O3833" s="17"/>
      <c r="P3833" s="17"/>
      <c r="Q3833" s="17"/>
    </row>
    <row r="3834" spans="1:17">
      <c r="A3834" s="556" t="s">
        <v>3652</v>
      </c>
      <c r="B3834" s="557" t="s">
        <v>9492</v>
      </c>
      <c r="C3834" s="558" t="s">
        <v>2765</v>
      </c>
      <c r="D3834" s="556" t="s">
        <v>4426</v>
      </c>
      <c r="E3834" s="17" t="s">
        <v>7249</v>
      </c>
      <c r="F3834" s="17">
        <v>191</v>
      </c>
      <c r="G3834" s="17">
        <v>3</v>
      </c>
      <c r="H3834" s="17" t="s">
        <v>8439</v>
      </c>
      <c r="I3834" s="17">
        <v>0</v>
      </c>
      <c r="J3834" s="17"/>
      <c r="K3834" s="17"/>
      <c r="L3834" s="17"/>
      <c r="M3834" s="17"/>
      <c r="N3834" s="17"/>
      <c r="O3834" s="17"/>
      <c r="P3834" s="17"/>
      <c r="Q3834" s="17"/>
    </row>
    <row r="3835" spans="1:17">
      <c r="A3835" s="556" t="s">
        <v>3652</v>
      </c>
      <c r="B3835" s="557" t="s">
        <v>9492</v>
      </c>
      <c r="C3835" s="558" t="s">
        <v>2765</v>
      </c>
      <c r="D3835" s="556" t="s">
        <v>4324</v>
      </c>
      <c r="E3835" s="17" t="s">
        <v>7250</v>
      </c>
      <c r="F3835" s="17">
        <v>191</v>
      </c>
      <c r="G3835" s="17">
        <v>4</v>
      </c>
      <c r="H3835" s="17" t="s">
        <v>8440</v>
      </c>
      <c r="I3835" s="17"/>
      <c r="J3835" s="17"/>
      <c r="K3835" s="17"/>
      <c r="L3835" s="17"/>
      <c r="M3835" s="17"/>
      <c r="N3835" s="17"/>
      <c r="O3835" s="17"/>
      <c r="P3835" s="17"/>
      <c r="Q3835" s="17"/>
    </row>
    <row r="3836" spans="1:17">
      <c r="A3836" s="556" t="s">
        <v>3652</v>
      </c>
      <c r="B3836" s="557" t="s">
        <v>9493</v>
      </c>
      <c r="C3836" s="558" t="s">
        <v>2766</v>
      </c>
      <c r="D3836" s="556" t="s">
        <v>2623</v>
      </c>
      <c r="E3836" s="17" t="s">
        <v>7251</v>
      </c>
      <c r="F3836" s="17">
        <v>192</v>
      </c>
      <c r="G3836" s="17">
        <v>1</v>
      </c>
      <c r="H3836" s="17" t="s">
        <v>8441</v>
      </c>
      <c r="I3836" s="17"/>
      <c r="J3836" s="17"/>
      <c r="K3836" s="17"/>
      <c r="L3836" s="17"/>
      <c r="M3836" s="17"/>
      <c r="N3836" s="17"/>
      <c r="O3836" s="17"/>
      <c r="P3836" s="17"/>
      <c r="Q3836" s="17"/>
    </row>
    <row r="3837" spans="1:17">
      <c r="A3837" s="556" t="s">
        <v>3652</v>
      </c>
      <c r="B3837" s="557" t="s">
        <v>9493</v>
      </c>
      <c r="C3837" s="558" t="s">
        <v>2766</v>
      </c>
      <c r="D3837" s="556" t="s">
        <v>2624</v>
      </c>
      <c r="E3837" s="17" t="s">
        <v>7252</v>
      </c>
      <c r="F3837" s="17">
        <v>192</v>
      </c>
      <c r="G3837" s="17">
        <v>2</v>
      </c>
      <c r="H3837" s="17" t="s">
        <v>8442</v>
      </c>
      <c r="I3837" s="17"/>
      <c r="J3837" s="17"/>
      <c r="K3837" s="17"/>
      <c r="L3837" s="17"/>
      <c r="M3837" s="17"/>
      <c r="N3837" s="17"/>
      <c r="O3837" s="17"/>
      <c r="P3837" s="17"/>
      <c r="Q3837" s="17"/>
    </row>
    <row r="3838" spans="1:17">
      <c r="A3838" s="556" t="s">
        <v>3652</v>
      </c>
      <c r="B3838" s="557" t="s">
        <v>9493</v>
      </c>
      <c r="C3838" s="558" t="s">
        <v>2766</v>
      </c>
      <c r="D3838" s="556" t="s">
        <v>4426</v>
      </c>
      <c r="E3838" s="17" t="s">
        <v>7253</v>
      </c>
      <c r="F3838" s="17">
        <v>192</v>
      </c>
      <c r="G3838" s="17">
        <v>3</v>
      </c>
      <c r="H3838" s="17" t="s">
        <v>8443</v>
      </c>
      <c r="I3838" s="17">
        <v>0</v>
      </c>
      <c r="J3838" s="17"/>
      <c r="K3838" s="17"/>
      <c r="L3838" s="17"/>
      <c r="M3838" s="17"/>
      <c r="N3838" s="17"/>
      <c r="O3838" s="17"/>
      <c r="P3838" s="17"/>
      <c r="Q3838" s="17"/>
    </row>
    <row r="3839" spans="1:17">
      <c r="A3839" s="556" t="s">
        <v>3652</v>
      </c>
      <c r="B3839" s="557" t="s">
        <v>9493</v>
      </c>
      <c r="C3839" s="558" t="s">
        <v>2766</v>
      </c>
      <c r="D3839" s="556" t="s">
        <v>4324</v>
      </c>
      <c r="E3839" s="17" t="s">
        <v>7254</v>
      </c>
      <c r="F3839" s="17">
        <v>192</v>
      </c>
      <c r="G3839" s="17">
        <v>4</v>
      </c>
      <c r="H3839" s="17" t="s">
        <v>8444</v>
      </c>
      <c r="I3839" s="17"/>
      <c r="J3839" s="17"/>
      <c r="K3839" s="17"/>
      <c r="L3839" s="17"/>
      <c r="M3839" s="17"/>
      <c r="N3839" s="17"/>
      <c r="O3839" s="17"/>
      <c r="P3839" s="17"/>
      <c r="Q3839" s="17"/>
    </row>
    <row r="3840" spans="1:17">
      <c r="A3840" s="556" t="s">
        <v>3652</v>
      </c>
      <c r="B3840" s="557" t="s">
        <v>9494</v>
      </c>
      <c r="C3840" s="558" t="s">
        <v>2767</v>
      </c>
      <c r="D3840" s="556" t="s">
        <v>2623</v>
      </c>
      <c r="E3840" s="17" t="s">
        <v>7255</v>
      </c>
      <c r="F3840" s="17">
        <v>193</v>
      </c>
      <c r="G3840" s="17">
        <v>1</v>
      </c>
      <c r="H3840" s="17" t="s">
        <v>8445</v>
      </c>
      <c r="I3840" s="17"/>
      <c r="J3840" s="17"/>
      <c r="K3840" s="17"/>
      <c r="L3840" s="17"/>
      <c r="M3840" s="17"/>
      <c r="N3840" s="17"/>
      <c r="O3840" s="17"/>
      <c r="P3840" s="17"/>
      <c r="Q3840" s="17"/>
    </row>
    <row r="3841" spans="1:17">
      <c r="A3841" s="556" t="s">
        <v>3652</v>
      </c>
      <c r="B3841" s="557" t="s">
        <v>9494</v>
      </c>
      <c r="C3841" s="558" t="s">
        <v>2767</v>
      </c>
      <c r="D3841" s="556" t="s">
        <v>2624</v>
      </c>
      <c r="E3841" s="17" t="s">
        <v>7256</v>
      </c>
      <c r="F3841" s="17">
        <v>193</v>
      </c>
      <c r="G3841" s="17">
        <v>2</v>
      </c>
      <c r="H3841" s="17" t="s">
        <v>8446</v>
      </c>
      <c r="I3841" s="17"/>
      <c r="J3841" s="17"/>
      <c r="K3841" s="17"/>
      <c r="L3841" s="17"/>
      <c r="M3841" s="17"/>
      <c r="N3841" s="17"/>
      <c r="O3841" s="17"/>
      <c r="P3841" s="17"/>
      <c r="Q3841" s="17"/>
    </row>
    <row r="3842" spans="1:17">
      <c r="A3842" s="556" t="s">
        <v>3652</v>
      </c>
      <c r="B3842" s="557" t="s">
        <v>9494</v>
      </c>
      <c r="C3842" s="558" t="s">
        <v>2767</v>
      </c>
      <c r="D3842" s="556" t="s">
        <v>4426</v>
      </c>
      <c r="E3842" s="17" t="s">
        <v>7257</v>
      </c>
      <c r="F3842" s="17">
        <v>193</v>
      </c>
      <c r="G3842" s="17">
        <v>3</v>
      </c>
      <c r="H3842" s="17" t="s">
        <v>8447</v>
      </c>
      <c r="I3842" s="17">
        <v>0</v>
      </c>
      <c r="J3842" s="17"/>
      <c r="K3842" s="17"/>
      <c r="L3842" s="17"/>
      <c r="M3842" s="17"/>
      <c r="N3842" s="17"/>
      <c r="O3842" s="17"/>
      <c r="P3842" s="17"/>
      <c r="Q3842" s="17"/>
    </row>
    <row r="3843" spans="1:17">
      <c r="A3843" s="556" t="s">
        <v>3652</v>
      </c>
      <c r="B3843" s="557" t="s">
        <v>9494</v>
      </c>
      <c r="C3843" s="558" t="s">
        <v>2767</v>
      </c>
      <c r="D3843" s="556" t="s">
        <v>4324</v>
      </c>
      <c r="E3843" s="17" t="s">
        <v>7258</v>
      </c>
      <c r="F3843" s="17">
        <v>193</v>
      </c>
      <c r="G3843" s="17">
        <v>4</v>
      </c>
      <c r="H3843" s="17" t="s">
        <v>8448</v>
      </c>
      <c r="I3843" s="17"/>
      <c r="J3843" s="17"/>
      <c r="K3843" s="17"/>
      <c r="L3843" s="17"/>
      <c r="M3843" s="17"/>
      <c r="N3843" s="17"/>
      <c r="O3843" s="17"/>
      <c r="P3843" s="17"/>
      <c r="Q3843" s="17"/>
    </row>
    <row r="3844" spans="1:17">
      <c r="A3844" s="556" t="s">
        <v>3652</v>
      </c>
      <c r="B3844" s="557" t="s">
        <v>9495</v>
      </c>
      <c r="C3844" s="558" t="s">
        <v>2768</v>
      </c>
      <c r="D3844" s="556" t="s">
        <v>2623</v>
      </c>
      <c r="E3844" s="17" t="s">
        <v>7259</v>
      </c>
      <c r="F3844" s="17">
        <v>194</v>
      </c>
      <c r="G3844" s="17">
        <v>1</v>
      </c>
      <c r="H3844" s="17" t="s">
        <v>8449</v>
      </c>
      <c r="I3844" s="17"/>
      <c r="J3844" s="17"/>
      <c r="K3844" s="17"/>
      <c r="L3844" s="17"/>
      <c r="M3844" s="17"/>
      <c r="N3844" s="17"/>
      <c r="O3844" s="17"/>
      <c r="P3844" s="17"/>
      <c r="Q3844" s="17"/>
    </row>
    <row r="3845" spans="1:17">
      <c r="A3845" s="556" t="s">
        <v>3652</v>
      </c>
      <c r="B3845" s="557" t="s">
        <v>9495</v>
      </c>
      <c r="C3845" s="558" t="s">
        <v>2768</v>
      </c>
      <c r="D3845" s="556" t="s">
        <v>2624</v>
      </c>
      <c r="E3845" s="17" t="s">
        <v>7260</v>
      </c>
      <c r="F3845" s="17">
        <v>194</v>
      </c>
      <c r="G3845" s="17">
        <v>2</v>
      </c>
      <c r="H3845" s="17" t="s">
        <v>8450</v>
      </c>
      <c r="I3845" s="17"/>
      <c r="J3845" s="17"/>
      <c r="K3845" s="17"/>
      <c r="L3845" s="17"/>
      <c r="M3845" s="17"/>
      <c r="N3845" s="17"/>
      <c r="O3845" s="17"/>
      <c r="P3845" s="17"/>
      <c r="Q3845" s="17"/>
    </row>
    <row r="3846" spans="1:17">
      <c r="A3846" s="556" t="s">
        <v>3652</v>
      </c>
      <c r="B3846" s="557" t="s">
        <v>9495</v>
      </c>
      <c r="C3846" s="558" t="s">
        <v>2768</v>
      </c>
      <c r="D3846" s="556" t="s">
        <v>4426</v>
      </c>
      <c r="E3846" s="17" t="s">
        <v>7261</v>
      </c>
      <c r="F3846" s="17">
        <v>194</v>
      </c>
      <c r="G3846" s="17">
        <v>3</v>
      </c>
      <c r="H3846" s="17" t="s">
        <v>8451</v>
      </c>
      <c r="I3846" s="17">
        <v>0</v>
      </c>
      <c r="J3846" s="17"/>
      <c r="K3846" s="17"/>
      <c r="L3846" s="17"/>
      <c r="M3846" s="17"/>
      <c r="N3846" s="17"/>
      <c r="O3846" s="17"/>
      <c r="P3846" s="17"/>
      <c r="Q3846" s="17"/>
    </row>
    <row r="3847" spans="1:17">
      <c r="A3847" s="556" t="s">
        <v>3652</v>
      </c>
      <c r="B3847" s="557" t="s">
        <v>9495</v>
      </c>
      <c r="C3847" s="558" t="s">
        <v>2768</v>
      </c>
      <c r="D3847" s="556" t="s">
        <v>4324</v>
      </c>
      <c r="E3847" s="17" t="s">
        <v>7262</v>
      </c>
      <c r="F3847" s="17">
        <v>194</v>
      </c>
      <c r="G3847" s="17">
        <v>4</v>
      </c>
      <c r="H3847" s="17" t="s">
        <v>8452</v>
      </c>
      <c r="I3847" s="17"/>
      <c r="J3847" s="17"/>
      <c r="K3847" s="17"/>
      <c r="L3847" s="17"/>
      <c r="M3847" s="17"/>
      <c r="N3847" s="17"/>
      <c r="O3847" s="17"/>
      <c r="P3847" s="17"/>
      <c r="Q3847" s="17"/>
    </row>
    <row r="3848" spans="1:17">
      <c r="A3848" s="556" t="s">
        <v>3652</v>
      </c>
      <c r="B3848" s="557" t="s">
        <v>9496</v>
      </c>
      <c r="C3848" s="558" t="s">
        <v>2769</v>
      </c>
      <c r="D3848" s="556" t="s">
        <v>2623</v>
      </c>
      <c r="E3848" s="17" t="s">
        <v>7263</v>
      </c>
      <c r="F3848" s="17">
        <v>195</v>
      </c>
      <c r="G3848" s="17">
        <v>1</v>
      </c>
      <c r="H3848" s="17" t="s">
        <v>8453</v>
      </c>
      <c r="I3848" s="17"/>
      <c r="J3848" s="17"/>
      <c r="K3848" s="17"/>
      <c r="L3848" s="17"/>
      <c r="M3848" s="17"/>
      <c r="N3848" s="17"/>
      <c r="O3848" s="17"/>
      <c r="P3848" s="17"/>
      <c r="Q3848" s="17"/>
    </row>
    <row r="3849" spans="1:17">
      <c r="A3849" s="556" t="s">
        <v>3652</v>
      </c>
      <c r="B3849" s="557" t="s">
        <v>9496</v>
      </c>
      <c r="C3849" s="558" t="s">
        <v>2769</v>
      </c>
      <c r="D3849" s="556" t="s">
        <v>2624</v>
      </c>
      <c r="E3849" s="17" t="s">
        <v>7264</v>
      </c>
      <c r="F3849" s="17">
        <v>195</v>
      </c>
      <c r="G3849" s="17">
        <v>2</v>
      </c>
      <c r="H3849" s="17" t="s">
        <v>8454</v>
      </c>
      <c r="I3849" s="17"/>
      <c r="J3849" s="17"/>
      <c r="K3849" s="17"/>
      <c r="L3849" s="17"/>
      <c r="M3849" s="17"/>
      <c r="N3849" s="17"/>
      <c r="O3849" s="17"/>
      <c r="P3849" s="17"/>
      <c r="Q3849" s="17"/>
    </row>
    <row r="3850" spans="1:17">
      <c r="A3850" s="556" t="s">
        <v>3652</v>
      </c>
      <c r="B3850" s="557" t="s">
        <v>9496</v>
      </c>
      <c r="C3850" s="558" t="s">
        <v>2769</v>
      </c>
      <c r="D3850" s="556" t="s">
        <v>4426</v>
      </c>
      <c r="E3850" s="17" t="s">
        <v>7265</v>
      </c>
      <c r="F3850" s="17">
        <v>195</v>
      </c>
      <c r="G3850" s="17">
        <v>3</v>
      </c>
      <c r="H3850" s="17" t="s">
        <v>8455</v>
      </c>
      <c r="I3850" s="17">
        <v>0</v>
      </c>
      <c r="J3850" s="17"/>
      <c r="K3850" s="17"/>
      <c r="L3850" s="17"/>
      <c r="M3850" s="17"/>
      <c r="N3850" s="17"/>
      <c r="O3850" s="17"/>
      <c r="P3850" s="17"/>
      <c r="Q3850" s="17"/>
    </row>
    <row r="3851" spans="1:17">
      <c r="A3851" s="556" t="s">
        <v>3652</v>
      </c>
      <c r="B3851" s="557" t="s">
        <v>9496</v>
      </c>
      <c r="C3851" s="558" t="s">
        <v>2769</v>
      </c>
      <c r="D3851" s="556" t="s">
        <v>4324</v>
      </c>
      <c r="E3851" s="17" t="s">
        <v>7266</v>
      </c>
      <c r="F3851" s="17">
        <v>195</v>
      </c>
      <c r="G3851" s="17">
        <v>4</v>
      </c>
      <c r="H3851" s="17" t="s">
        <v>8456</v>
      </c>
      <c r="I3851" s="17"/>
      <c r="J3851" s="17"/>
      <c r="K3851" s="17"/>
      <c r="L3851" s="17"/>
      <c r="M3851" s="17"/>
      <c r="N3851" s="17"/>
      <c r="O3851" s="17"/>
      <c r="P3851" s="17"/>
      <c r="Q3851" s="17"/>
    </row>
    <row r="3852" spans="1:17">
      <c r="A3852" s="556" t="s">
        <v>3652</v>
      </c>
      <c r="B3852" s="557" t="s">
        <v>9497</v>
      </c>
      <c r="C3852" s="558" t="s">
        <v>2770</v>
      </c>
      <c r="D3852" s="556" t="s">
        <v>2623</v>
      </c>
      <c r="E3852" s="17" t="s">
        <v>7267</v>
      </c>
      <c r="F3852" s="17">
        <v>196</v>
      </c>
      <c r="G3852" s="17">
        <v>1</v>
      </c>
      <c r="H3852" s="17" t="s">
        <v>8457</v>
      </c>
      <c r="I3852" s="17"/>
      <c r="J3852" s="17"/>
      <c r="K3852" s="17"/>
      <c r="L3852" s="17"/>
      <c r="M3852" s="17"/>
      <c r="N3852" s="17"/>
      <c r="O3852" s="17"/>
      <c r="P3852" s="17"/>
      <c r="Q3852" s="17"/>
    </row>
    <row r="3853" spans="1:17">
      <c r="A3853" s="556" t="s">
        <v>3652</v>
      </c>
      <c r="B3853" s="557" t="s">
        <v>9497</v>
      </c>
      <c r="C3853" s="558" t="s">
        <v>2770</v>
      </c>
      <c r="D3853" s="556" t="s">
        <v>2624</v>
      </c>
      <c r="E3853" s="17" t="s">
        <v>7268</v>
      </c>
      <c r="F3853" s="17">
        <v>196</v>
      </c>
      <c r="G3853" s="17">
        <v>2</v>
      </c>
      <c r="H3853" s="17" t="s">
        <v>8458</v>
      </c>
      <c r="I3853" s="17"/>
      <c r="J3853" s="17"/>
      <c r="K3853" s="17"/>
      <c r="L3853" s="17"/>
      <c r="M3853" s="17"/>
      <c r="N3853" s="17"/>
      <c r="O3853" s="17"/>
      <c r="P3853" s="17"/>
      <c r="Q3853" s="17"/>
    </row>
    <row r="3854" spans="1:17">
      <c r="A3854" s="556" t="s">
        <v>3652</v>
      </c>
      <c r="B3854" s="557" t="s">
        <v>9497</v>
      </c>
      <c r="C3854" s="558" t="s">
        <v>2770</v>
      </c>
      <c r="D3854" s="556" t="s">
        <v>4426</v>
      </c>
      <c r="E3854" s="17" t="s">
        <v>7269</v>
      </c>
      <c r="F3854" s="17">
        <v>196</v>
      </c>
      <c r="G3854" s="17">
        <v>3</v>
      </c>
      <c r="H3854" s="17" t="s">
        <v>8459</v>
      </c>
      <c r="I3854" s="17">
        <v>0</v>
      </c>
      <c r="J3854" s="17"/>
      <c r="K3854" s="17"/>
      <c r="L3854" s="17"/>
      <c r="M3854" s="17"/>
      <c r="N3854" s="17"/>
      <c r="O3854" s="17"/>
      <c r="P3854" s="17"/>
      <c r="Q3854" s="17"/>
    </row>
    <row r="3855" spans="1:17">
      <c r="A3855" s="556" t="s">
        <v>3652</v>
      </c>
      <c r="B3855" s="557" t="s">
        <v>9497</v>
      </c>
      <c r="C3855" s="558" t="s">
        <v>2770</v>
      </c>
      <c r="D3855" s="556" t="s">
        <v>4324</v>
      </c>
      <c r="E3855" s="17" t="s">
        <v>7270</v>
      </c>
      <c r="F3855" s="17">
        <v>196</v>
      </c>
      <c r="G3855" s="17">
        <v>4</v>
      </c>
      <c r="H3855" s="17" t="s">
        <v>8460</v>
      </c>
      <c r="I3855" s="17"/>
      <c r="J3855" s="17"/>
      <c r="K3855" s="17"/>
      <c r="L3855" s="17"/>
      <c r="M3855" s="17"/>
      <c r="N3855" s="17"/>
      <c r="O3855" s="17"/>
      <c r="P3855" s="17"/>
      <c r="Q3855" s="17"/>
    </row>
    <row r="3856" spans="1:17">
      <c r="A3856" s="556" t="s">
        <v>3652</v>
      </c>
      <c r="B3856" s="557" t="s">
        <v>9498</v>
      </c>
      <c r="C3856" s="558" t="s">
        <v>2771</v>
      </c>
      <c r="D3856" s="556" t="s">
        <v>2623</v>
      </c>
      <c r="E3856" s="17" t="s">
        <v>7271</v>
      </c>
      <c r="F3856" s="17">
        <v>197</v>
      </c>
      <c r="G3856" s="17">
        <v>1</v>
      </c>
      <c r="H3856" s="17" t="s">
        <v>8461</v>
      </c>
      <c r="I3856" s="17"/>
      <c r="J3856" s="17"/>
      <c r="K3856" s="17"/>
      <c r="L3856" s="17"/>
      <c r="M3856" s="17"/>
      <c r="N3856" s="17"/>
      <c r="O3856" s="17"/>
      <c r="P3856" s="17"/>
      <c r="Q3856" s="17"/>
    </row>
    <row r="3857" spans="1:17">
      <c r="A3857" s="556" t="s">
        <v>3652</v>
      </c>
      <c r="B3857" s="557" t="s">
        <v>9498</v>
      </c>
      <c r="C3857" s="558" t="s">
        <v>2771</v>
      </c>
      <c r="D3857" s="556" t="s">
        <v>2624</v>
      </c>
      <c r="E3857" s="17" t="s">
        <v>7272</v>
      </c>
      <c r="F3857" s="17">
        <v>197</v>
      </c>
      <c r="G3857" s="17">
        <v>2</v>
      </c>
      <c r="H3857" s="17" t="s">
        <v>8462</v>
      </c>
      <c r="I3857" s="17"/>
      <c r="J3857" s="17"/>
      <c r="K3857" s="17"/>
      <c r="L3857" s="17"/>
      <c r="M3857" s="17"/>
      <c r="N3857" s="17"/>
      <c r="O3857" s="17"/>
      <c r="P3857" s="17"/>
      <c r="Q3857" s="17"/>
    </row>
    <row r="3858" spans="1:17">
      <c r="A3858" s="556" t="s">
        <v>3652</v>
      </c>
      <c r="B3858" s="557" t="s">
        <v>9498</v>
      </c>
      <c r="C3858" s="558" t="s">
        <v>2771</v>
      </c>
      <c r="D3858" s="556" t="s">
        <v>4426</v>
      </c>
      <c r="E3858" s="17" t="s">
        <v>7273</v>
      </c>
      <c r="F3858" s="17">
        <v>197</v>
      </c>
      <c r="G3858" s="17">
        <v>3</v>
      </c>
      <c r="H3858" s="17" t="s">
        <v>8463</v>
      </c>
      <c r="I3858" s="17">
        <v>0</v>
      </c>
      <c r="J3858" s="17"/>
      <c r="K3858" s="17"/>
      <c r="L3858" s="17"/>
      <c r="M3858" s="17"/>
      <c r="N3858" s="17"/>
      <c r="O3858" s="17"/>
      <c r="P3858" s="17"/>
      <c r="Q3858" s="17"/>
    </row>
    <row r="3859" spans="1:17">
      <c r="A3859" s="556" t="s">
        <v>3652</v>
      </c>
      <c r="B3859" s="557" t="s">
        <v>9498</v>
      </c>
      <c r="C3859" s="558" t="s">
        <v>2771</v>
      </c>
      <c r="D3859" s="556" t="s">
        <v>4324</v>
      </c>
      <c r="E3859" s="17" t="s">
        <v>7274</v>
      </c>
      <c r="F3859" s="17">
        <v>197</v>
      </c>
      <c r="G3859" s="17">
        <v>4</v>
      </c>
      <c r="H3859" s="17" t="s">
        <v>8464</v>
      </c>
      <c r="I3859" s="17"/>
      <c r="J3859" s="17"/>
      <c r="K3859" s="17"/>
      <c r="L3859" s="17"/>
      <c r="M3859" s="17"/>
      <c r="N3859" s="17"/>
      <c r="O3859" s="17"/>
      <c r="P3859" s="17"/>
      <c r="Q3859" s="17"/>
    </row>
    <row r="3860" spans="1:17">
      <c r="A3860" s="556" t="s">
        <v>3652</v>
      </c>
      <c r="B3860" s="557" t="s">
        <v>9499</v>
      </c>
      <c r="C3860" s="558" t="s">
        <v>2772</v>
      </c>
      <c r="D3860" s="556" t="s">
        <v>2623</v>
      </c>
      <c r="E3860" s="17" t="s">
        <v>7275</v>
      </c>
      <c r="F3860" s="17">
        <v>198</v>
      </c>
      <c r="G3860" s="17">
        <v>1</v>
      </c>
      <c r="H3860" s="17" t="s">
        <v>8465</v>
      </c>
      <c r="I3860" s="17"/>
      <c r="J3860" s="17"/>
      <c r="K3860" s="17"/>
      <c r="L3860" s="17"/>
      <c r="M3860" s="17"/>
      <c r="N3860" s="17"/>
      <c r="O3860" s="17"/>
      <c r="P3860" s="17"/>
      <c r="Q3860" s="17"/>
    </row>
    <row r="3861" spans="1:17">
      <c r="A3861" s="556" t="s">
        <v>3652</v>
      </c>
      <c r="B3861" s="557" t="s">
        <v>9499</v>
      </c>
      <c r="C3861" s="558" t="s">
        <v>2772</v>
      </c>
      <c r="D3861" s="556" t="s">
        <v>2624</v>
      </c>
      <c r="E3861" s="17" t="s">
        <v>7276</v>
      </c>
      <c r="F3861" s="17">
        <v>198</v>
      </c>
      <c r="G3861" s="17">
        <v>2</v>
      </c>
      <c r="H3861" s="17" t="s">
        <v>8466</v>
      </c>
      <c r="I3861" s="17"/>
      <c r="J3861" s="17"/>
      <c r="K3861" s="17"/>
      <c r="L3861" s="17"/>
      <c r="M3861" s="17"/>
      <c r="N3861" s="17"/>
      <c r="O3861" s="17"/>
      <c r="P3861" s="17"/>
      <c r="Q3861" s="17"/>
    </row>
    <row r="3862" spans="1:17">
      <c r="A3862" s="556" t="s">
        <v>3652</v>
      </c>
      <c r="B3862" s="557" t="s">
        <v>9499</v>
      </c>
      <c r="C3862" s="558" t="s">
        <v>2772</v>
      </c>
      <c r="D3862" s="556" t="s">
        <v>4426</v>
      </c>
      <c r="E3862" s="17" t="s">
        <v>7277</v>
      </c>
      <c r="F3862" s="17">
        <v>198</v>
      </c>
      <c r="G3862" s="17">
        <v>3</v>
      </c>
      <c r="H3862" s="17" t="s">
        <v>8467</v>
      </c>
      <c r="I3862" s="17">
        <v>0</v>
      </c>
      <c r="J3862" s="17"/>
      <c r="K3862" s="17"/>
      <c r="L3862" s="17"/>
      <c r="M3862" s="17"/>
      <c r="N3862" s="17"/>
      <c r="O3862" s="17"/>
      <c r="P3862" s="17"/>
      <c r="Q3862" s="17"/>
    </row>
    <row r="3863" spans="1:17">
      <c r="A3863" s="556" t="s">
        <v>3652</v>
      </c>
      <c r="B3863" s="557" t="s">
        <v>9499</v>
      </c>
      <c r="C3863" s="558" t="s">
        <v>2772</v>
      </c>
      <c r="D3863" s="556" t="s">
        <v>4324</v>
      </c>
      <c r="E3863" s="17" t="s">
        <v>7278</v>
      </c>
      <c r="F3863" s="17">
        <v>198</v>
      </c>
      <c r="G3863" s="17">
        <v>4</v>
      </c>
      <c r="H3863" s="17" t="s">
        <v>8468</v>
      </c>
      <c r="I3863" s="17"/>
      <c r="J3863" s="17"/>
      <c r="K3863" s="17"/>
      <c r="L3863" s="17"/>
      <c r="M3863" s="17"/>
      <c r="N3863" s="17"/>
      <c r="O3863" s="17"/>
      <c r="P3863" s="17"/>
      <c r="Q3863" s="17"/>
    </row>
    <row r="3864" spans="1:17">
      <c r="A3864" s="556" t="s">
        <v>3652</v>
      </c>
      <c r="B3864" s="557" t="s">
        <v>9500</v>
      </c>
      <c r="C3864" s="558" t="s">
        <v>2773</v>
      </c>
      <c r="D3864" s="556" t="s">
        <v>2623</v>
      </c>
      <c r="E3864" s="17" t="s">
        <v>7279</v>
      </c>
      <c r="F3864" s="17">
        <v>199</v>
      </c>
      <c r="G3864" s="17">
        <v>1</v>
      </c>
      <c r="H3864" s="17" t="s">
        <v>8469</v>
      </c>
      <c r="I3864" s="17"/>
      <c r="J3864" s="17"/>
      <c r="K3864" s="17"/>
      <c r="L3864" s="17"/>
      <c r="M3864" s="17"/>
      <c r="N3864" s="17"/>
      <c r="O3864" s="17"/>
      <c r="P3864" s="17"/>
      <c r="Q3864" s="17"/>
    </row>
    <row r="3865" spans="1:17">
      <c r="A3865" s="556" t="s">
        <v>3652</v>
      </c>
      <c r="B3865" s="557" t="s">
        <v>9500</v>
      </c>
      <c r="C3865" s="558" t="s">
        <v>2773</v>
      </c>
      <c r="D3865" s="556" t="s">
        <v>2624</v>
      </c>
      <c r="E3865" s="17" t="s">
        <v>7280</v>
      </c>
      <c r="F3865" s="17">
        <v>199</v>
      </c>
      <c r="G3865" s="17">
        <v>2</v>
      </c>
      <c r="H3865" s="17" t="s">
        <v>8470</v>
      </c>
      <c r="I3865" s="17"/>
      <c r="J3865" s="17"/>
      <c r="K3865" s="17"/>
      <c r="L3865" s="17"/>
      <c r="M3865" s="17"/>
      <c r="N3865" s="17"/>
      <c r="O3865" s="17"/>
      <c r="P3865" s="17"/>
      <c r="Q3865" s="17"/>
    </row>
    <row r="3866" spans="1:17">
      <c r="A3866" s="556" t="s">
        <v>3652</v>
      </c>
      <c r="B3866" s="557" t="s">
        <v>9500</v>
      </c>
      <c r="C3866" s="558" t="s">
        <v>2773</v>
      </c>
      <c r="D3866" s="556" t="s">
        <v>4426</v>
      </c>
      <c r="E3866" s="17" t="s">
        <v>7281</v>
      </c>
      <c r="F3866" s="17">
        <v>199</v>
      </c>
      <c r="G3866" s="17">
        <v>3</v>
      </c>
      <c r="H3866" s="17" t="s">
        <v>8471</v>
      </c>
      <c r="I3866" s="17">
        <v>0</v>
      </c>
      <c r="J3866" s="17"/>
      <c r="K3866" s="17"/>
      <c r="L3866" s="17"/>
      <c r="M3866" s="17"/>
      <c r="N3866" s="17"/>
      <c r="O3866" s="17"/>
      <c r="P3866" s="17"/>
      <c r="Q3866" s="17"/>
    </row>
    <row r="3867" spans="1:17">
      <c r="A3867" s="556" t="s">
        <v>3652</v>
      </c>
      <c r="B3867" s="557" t="s">
        <v>9500</v>
      </c>
      <c r="C3867" s="558" t="s">
        <v>2773</v>
      </c>
      <c r="D3867" s="556" t="s">
        <v>4324</v>
      </c>
      <c r="E3867" s="17" t="s">
        <v>7282</v>
      </c>
      <c r="F3867" s="17">
        <v>199</v>
      </c>
      <c r="G3867" s="17">
        <v>4</v>
      </c>
      <c r="H3867" s="17" t="s">
        <v>8472</v>
      </c>
      <c r="I3867" s="17"/>
      <c r="J3867" s="17"/>
      <c r="K3867" s="17"/>
      <c r="L3867" s="17"/>
      <c r="M3867" s="17"/>
      <c r="N3867" s="17"/>
      <c r="O3867" s="17"/>
      <c r="P3867" s="17"/>
      <c r="Q3867" s="17"/>
    </row>
    <row r="3868" spans="1:17">
      <c r="A3868" s="556" t="s">
        <v>3652</v>
      </c>
      <c r="B3868" s="557" t="s">
        <v>9501</v>
      </c>
      <c r="C3868" s="558" t="s">
        <v>2774</v>
      </c>
      <c r="D3868" s="556" t="s">
        <v>2623</v>
      </c>
      <c r="E3868" s="17" t="s">
        <v>7283</v>
      </c>
      <c r="F3868" s="17">
        <v>200</v>
      </c>
      <c r="G3868" s="17">
        <v>1</v>
      </c>
      <c r="H3868" s="17" t="s">
        <v>8473</v>
      </c>
      <c r="I3868" s="17"/>
      <c r="J3868" s="17"/>
      <c r="K3868" s="17"/>
      <c r="L3868" s="17"/>
      <c r="M3868" s="17"/>
      <c r="N3868" s="17"/>
      <c r="O3868" s="17"/>
      <c r="P3868" s="17"/>
      <c r="Q3868" s="17"/>
    </row>
    <row r="3869" spans="1:17">
      <c r="A3869" s="556" t="s">
        <v>3652</v>
      </c>
      <c r="B3869" s="557" t="s">
        <v>9501</v>
      </c>
      <c r="C3869" s="558" t="s">
        <v>2774</v>
      </c>
      <c r="D3869" s="556" t="s">
        <v>2624</v>
      </c>
      <c r="E3869" s="17" t="s">
        <v>7284</v>
      </c>
      <c r="F3869" s="17">
        <v>200</v>
      </c>
      <c r="G3869" s="17">
        <v>2</v>
      </c>
      <c r="H3869" s="17" t="s">
        <v>8474</v>
      </c>
      <c r="I3869" s="17"/>
      <c r="J3869" s="17"/>
      <c r="K3869" s="17"/>
      <c r="L3869" s="17"/>
      <c r="M3869" s="17"/>
      <c r="N3869" s="17"/>
      <c r="O3869" s="17"/>
      <c r="P3869" s="17"/>
      <c r="Q3869" s="17"/>
    </row>
    <row r="3870" spans="1:17">
      <c r="A3870" s="556" t="s">
        <v>3652</v>
      </c>
      <c r="B3870" s="557" t="s">
        <v>9501</v>
      </c>
      <c r="C3870" s="558" t="s">
        <v>2774</v>
      </c>
      <c r="D3870" s="556" t="s">
        <v>4426</v>
      </c>
      <c r="E3870" s="17" t="s">
        <v>7285</v>
      </c>
      <c r="F3870" s="17">
        <v>200</v>
      </c>
      <c r="G3870" s="17">
        <v>3</v>
      </c>
      <c r="H3870" s="17" t="s">
        <v>8475</v>
      </c>
      <c r="I3870" s="17">
        <v>0</v>
      </c>
      <c r="J3870" s="17"/>
      <c r="K3870" s="17"/>
      <c r="L3870" s="17"/>
      <c r="M3870" s="17"/>
      <c r="N3870" s="17"/>
      <c r="O3870" s="17"/>
      <c r="P3870" s="17"/>
      <c r="Q3870" s="17"/>
    </row>
    <row r="3871" spans="1:17">
      <c r="A3871" s="556" t="s">
        <v>3652</v>
      </c>
      <c r="B3871" s="557" t="s">
        <v>9501</v>
      </c>
      <c r="C3871" s="558" t="s">
        <v>2774</v>
      </c>
      <c r="D3871" s="556" t="s">
        <v>4324</v>
      </c>
      <c r="E3871" s="17" t="s">
        <v>7286</v>
      </c>
      <c r="F3871" s="17">
        <v>200</v>
      </c>
      <c r="G3871" s="17">
        <v>4</v>
      </c>
      <c r="H3871" s="17" t="s">
        <v>8476</v>
      </c>
      <c r="I3871" s="17"/>
      <c r="J3871" s="17"/>
      <c r="K3871" s="17"/>
      <c r="L3871" s="17"/>
      <c r="M3871" s="17"/>
      <c r="N3871" s="17"/>
      <c r="O3871" s="17"/>
      <c r="P3871" s="17"/>
      <c r="Q3871" s="17"/>
    </row>
    <row r="3872" spans="1:17">
      <c r="A3872" s="556" t="s">
        <v>3652</v>
      </c>
      <c r="B3872" s="557" t="s">
        <v>9502</v>
      </c>
      <c r="C3872" s="558" t="s">
        <v>2775</v>
      </c>
      <c r="D3872" s="556" t="s">
        <v>2623</v>
      </c>
      <c r="E3872" s="17" t="s">
        <v>7287</v>
      </c>
      <c r="F3872" s="17">
        <v>201</v>
      </c>
      <c r="G3872" s="17">
        <v>1</v>
      </c>
      <c r="H3872" s="17" t="s">
        <v>8477</v>
      </c>
      <c r="I3872" s="17"/>
      <c r="J3872" s="17"/>
      <c r="K3872" s="17"/>
      <c r="L3872" s="17"/>
      <c r="M3872" s="17"/>
      <c r="N3872" s="17"/>
      <c r="O3872" s="17"/>
      <c r="P3872" s="17"/>
      <c r="Q3872" s="17"/>
    </row>
    <row r="3873" spans="1:17">
      <c r="A3873" s="556" t="s">
        <v>3652</v>
      </c>
      <c r="B3873" s="557" t="s">
        <v>9502</v>
      </c>
      <c r="C3873" s="558" t="s">
        <v>2775</v>
      </c>
      <c r="D3873" s="556" t="s">
        <v>2624</v>
      </c>
      <c r="E3873" s="17" t="s">
        <v>7288</v>
      </c>
      <c r="F3873" s="17">
        <v>201</v>
      </c>
      <c r="G3873" s="17">
        <v>2</v>
      </c>
      <c r="H3873" s="17" t="s">
        <v>8478</v>
      </c>
      <c r="I3873" s="17"/>
      <c r="J3873" s="17"/>
      <c r="K3873" s="17"/>
      <c r="L3873" s="17"/>
      <c r="M3873" s="17"/>
      <c r="N3873" s="17"/>
      <c r="O3873" s="17"/>
      <c r="P3873" s="17"/>
      <c r="Q3873" s="17"/>
    </row>
    <row r="3874" spans="1:17">
      <c r="A3874" s="556" t="s">
        <v>3652</v>
      </c>
      <c r="B3874" s="557" t="s">
        <v>9502</v>
      </c>
      <c r="C3874" s="558" t="s">
        <v>2775</v>
      </c>
      <c r="D3874" s="556" t="s">
        <v>4426</v>
      </c>
      <c r="E3874" s="17" t="s">
        <v>7289</v>
      </c>
      <c r="F3874" s="17">
        <v>201</v>
      </c>
      <c r="G3874" s="17">
        <v>3</v>
      </c>
      <c r="H3874" s="17" t="s">
        <v>8479</v>
      </c>
      <c r="I3874" s="17">
        <v>0</v>
      </c>
      <c r="J3874" s="17"/>
      <c r="K3874" s="17"/>
      <c r="L3874" s="17"/>
      <c r="M3874" s="17"/>
      <c r="N3874" s="17"/>
      <c r="O3874" s="17"/>
      <c r="P3874" s="17"/>
      <c r="Q3874" s="17"/>
    </row>
    <row r="3875" spans="1:17">
      <c r="A3875" s="556" t="s">
        <v>3652</v>
      </c>
      <c r="B3875" s="557" t="s">
        <v>9502</v>
      </c>
      <c r="C3875" s="558" t="s">
        <v>2775</v>
      </c>
      <c r="D3875" s="556" t="s">
        <v>4324</v>
      </c>
      <c r="E3875" s="17" t="s">
        <v>7290</v>
      </c>
      <c r="F3875" s="17">
        <v>201</v>
      </c>
      <c r="G3875" s="17">
        <v>4</v>
      </c>
      <c r="H3875" s="17" t="s">
        <v>8480</v>
      </c>
      <c r="I3875" s="17"/>
      <c r="J3875" s="17"/>
      <c r="K3875" s="17"/>
      <c r="L3875" s="17"/>
      <c r="M3875" s="17"/>
      <c r="N3875" s="17"/>
      <c r="O3875" s="17"/>
      <c r="P3875" s="17"/>
      <c r="Q3875" s="17"/>
    </row>
    <row r="3876" spans="1:17">
      <c r="A3876" s="556" t="s">
        <v>3652</v>
      </c>
      <c r="B3876" s="557" t="s">
        <v>9503</v>
      </c>
      <c r="C3876" s="558" t="s">
        <v>2776</v>
      </c>
      <c r="D3876" s="556" t="s">
        <v>2623</v>
      </c>
      <c r="E3876" s="17" t="s">
        <v>7291</v>
      </c>
      <c r="F3876" s="17">
        <v>202</v>
      </c>
      <c r="G3876" s="17">
        <v>1</v>
      </c>
      <c r="H3876" s="17" t="s">
        <v>8481</v>
      </c>
      <c r="I3876" s="17"/>
      <c r="J3876" s="17"/>
      <c r="K3876" s="17"/>
      <c r="L3876" s="17"/>
      <c r="M3876" s="17"/>
      <c r="N3876" s="17"/>
      <c r="O3876" s="17"/>
      <c r="P3876" s="17"/>
      <c r="Q3876" s="17"/>
    </row>
    <row r="3877" spans="1:17">
      <c r="A3877" s="556" t="s">
        <v>3652</v>
      </c>
      <c r="B3877" s="557" t="s">
        <v>9503</v>
      </c>
      <c r="C3877" s="558" t="s">
        <v>2776</v>
      </c>
      <c r="D3877" s="556" t="s">
        <v>2624</v>
      </c>
      <c r="E3877" s="17" t="s">
        <v>7292</v>
      </c>
      <c r="F3877" s="17">
        <v>202</v>
      </c>
      <c r="G3877" s="17">
        <v>2</v>
      </c>
      <c r="H3877" s="17" t="s">
        <v>8482</v>
      </c>
      <c r="I3877" s="17"/>
      <c r="J3877" s="17"/>
      <c r="K3877" s="17"/>
      <c r="L3877" s="17"/>
      <c r="M3877" s="17"/>
      <c r="N3877" s="17"/>
      <c r="O3877" s="17"/>
      <c r="P3877" s="17"/>
      <c r="Q3877" s="17"/>
    </row>
    <row r="3878" spans="1:17">
      <c r="A3878" s="556" t="s">
        <v>3652</v>
      </c>
      <c r="B3878" s="557" t="s">
        <v>9503</v>
      </c>
      <c r="C3878" s="558" t="s">
        <v>2776</v>
      </c>
      <c r="D3878" s="556" t="s">
        <v>4426</v>
      </c>
      <c r="E3878" s="17" t="s">
        <v>7293</v>
      </c>
      <c r="F3878" s="17">
        <v>202</v>
      </c>
      <c r="G3878" s="17">
        <v>3</v>
      </c>
      <c r="H3878" s="17" t="s">
        <v>8483</v>
      </c>
      <c r="I3878" s="17">
        <v>0</v>
      </c>
      <c r="J3878" s="17"/>
      <c r="K3878" s="17"/>
      <c r="L3878" s="17"/>
      <c r="M3878" s="17"/>
      <c r="N3878" s="17"/>
      <c r="O3878" s="17"/>
      <c r="P3878" s="17"/>
      <c r="Q3878" s="17"/>
    </row>
    <row r="3879" spans="1:17">
      <c r="A3879" s="556" t="s">
        <v>3652</v>
      </c>
      <c r="B3879" s="557" t="s">
        <v>9503</v>
      </c>
      <c r="C3879" s="558" t="s">
        <v>2776</v>
      </c>
      <c r="D3879" s="556" t="s">
        <v>4324</v>
      </c>
      <c r="E3879" s="17" t="s">
        <v>7294</v>
      </c>
      <c r="F3879" s="17">
        <v>202</v>
      </c>
      <c r="G3879" s="17">
        <v>4</v>
      </c>
      <c r="H3879" s="17" t="s">
        <v>8484</v>
      </c>
      <c r="I3879" s="17"/>
      <c r="J3879" s="17"/>
      <c r="K3879" s="17"/>
      <c r="L3879" s="17"/>
      <c r="M3879" s="17"/>
      <c r="N3879" s="17"/>
      <c r="O3879" s="17"/>
      <c r="P3879" s="17"/>
      <c r="Q3879" s="17"/>
    </row>
    <row r="3880" spans="1:17">
      <c r="A3880" s="556" t="s">
        <v>3652</v>
      </c>
      <c r="B3880" s="557" t="s">
        <v>9504</v>
      </c>
      <c r="C3880" s="558" t="s">
        <v>2777</v>
      </c>
      <c r="D3880" s="556" t="s">
        <v>2623</v>
      </c>
      <c r="E3880" s="17" t="s">
        <v>7295</v>
      </c>
      <c r="F3880" s="17">
        <v>203</v>
      </c>
      <c r="G3880" s="17">
        <v>1</v>
      </c>
      <c r="H3880" s="17" t="s">
        <v>8485</v>
      </c>
      <c r="I3880" s="17"/>
      <c r="J3880" s="17"/>
      <c r="K3880" s="17"/>
      <c r="L3880" s="17"/>
      <c r="M3880" s="17"/>
      <c r="N3880" s="17"/>
      <c r="O3880" s="17"/>
      <c r="P3880" s="17"/>
      <c r="Q3880" s="17"/>
    </row>
    <row r="3881" spans="1:17">
      <c r="A3881" s="556" t="s">
        <v>3652</v>
      </c>
      <c r="B3881" s="557" t="s">
        <v>9504</v>
      </c>
      <c r="C3881" s="558" t="s">
        <v>2777</v>
      </c>
      <c r="D3881" s="556" t="s">
        <v>2624</v>
      </c>
      <c r="E3881" s="17" t="s">
        <v>7296</v>
      </c>
      <c r="F3881" s="17">
        <v>203</v>
      </c>
      <c r="G3881" s="17">
        <v>2</v>
      </c>
      <c r="H3881" s="17" t="s">
        <v>8486</v>
      </c>
      <c r="I3881" s="17"/>
      <c r="J3881" s="17"/>
      <c r="K3881" s="17"/>
      <c r="L3881" s="17"/>
      <c r="M3881" s="17"/>
      <c r="N3881" s="17"/>
      <c r="O3881" s="17"/>
      <c r="P3881" s="17"/>
      <c r="Q3881" s="17"/>
    </row>
    <row r="3882" spans="1:17">
      <c r="A3882" s="556" t="s">
        <v>3652</v>
      </c>
      <c r="B3882" s="557" t="s">
        <v>9504</v>
      </c>
      <c r="C3882" s="558" t="s">
        <v>2777</v>
      </c>
      <c r="D3882" s="556" t="s">
        <v>4426</v>
      </c>
      <c r="E3882" s="17" t="s">
        <v>7297</v>
      </c>
      <c r="F3882" s="17">
        <v>203</v>
      </c>
      <c r="G3882" s="17">
        <v>3</v>
      </c>
      <c r="H3882" s="17" t="s">
        <v>8487</v>
      </c>
      <c r="I3882" s="17">
        <v>0</v>
      </c>
      <c r="J3882" s="17"/>
      <c r="K3882" s="17"/>
      <c r="L3882" s="17"/>
      <c r="M3882" s="17"/>
      <c r="N3882" s="17"/>
      <c r="O3882" s="17"/>
      <c r="P3882" s="17"/>
      <c r="Q3882" s="17"/>
    </row>
    <row r="3883" spans="1:17">
      <c r="A3883" s="556" t="s">
        <v>3652</v>
      </c>
      <c r="B3883" s="557" t="s">
        <v>9504</v>
      </c>
      <c r="C3883" s="558" t="s">
        <v>2777</v>
      </c>
      <c r="D3883" s="556" t="s">
        <v>4324</v>
      </c>
      <c r="E3883" s="17" t="s">
        <v>7298</v>
      </c>
      <c r="F3883" s="17">
        <v>203</v>
      </c>
      <c r="G3883" s="17">
        <v>4</v>
      </c>
      <c r="H3883" s="17" t="s">
        <v>8488</v>
      </c>
      <c r="I3883" s="17"/>
      <c r="J3883" s="17"/>
      <c r="K3883" s="17"/>
      <c r="L3883" s="17"/>
      <c r="M3883" s="17"/>
      <c r="N3883" s="17"/>
      <c r="O3883" s="17"/>
      <c r="P3883" s="17"/>
      <c r="Q3883" s="17"/>
    </row>
    <row r="3884" spans="1:17">
      <c r="A3884" s="556" t="s">
        <v>3652</v>
      </c>
      <c r="B3884" s="557" t="s">
        <v>9505</v>
      </c>
      <c r="C3884" s="558" t="s">
        <v>2778</v>
      </c>
      <c r="D3884" s="556" t="s">
        <v>2623</v>
      </c>
      <c r="E3884" s="17" t="s">
        <v>7299</v>
      </c>
      <c r="F3884" s="17">
        <v>204</v>
      </c>
      <c r="G3884" s="17">
        <v>1</v>
      </c>
      <c r="H3884" s="17" t="s">
        <v>8489</v>
      </c>
      <c r="I3884" s="17"/>
      <c r="J3884" s="17"/>
      <c r="K3884" s="17"/>
      <c r="L3884" s="17"/>
      <c r="M3884" s="17"/>
      <c r="N3884" s="17"/>
      <c r="O3884" s="17"/>
      <c r="P3884" s="17"/>
      <c r="Q3884" s="17"/>
    </row>
    <row r="3885" spans="1:17">
      <c r="A3885" s="556" t="s">
        <v>3652</v>
      </c>
      <c r="B3885" s="557" t="s">
        <v>9505</v>
      </c>
      <c r="C3885" s="558" t="s">
        <v>2778</v>
      </c>
      <c r="D3885" s="556" t="s">
        <v>2624</v>
      </c>
      <c r="E3885" s="17" t="s">
        <v>7300</v>
      </c>
      <c r="F3885" s="17">
        <v>204</v>
      </c>
      <c r="G3885" s="17">
        <v>2</v>
      </c>
      <c r="H3885" s="17" t="s">
        <v>8490</v>
      </c>
      <c r="I3885" s="17"/>
      <c r="J3885" s="17"/>
      <c r="K3885" s="17"/>
      <c r="L3885" s="17"/>
      <c r="M3885" s="17"/>
      <c r="N3885" s="17"/>
      <c r="O3885" s="17"/>
      <c r="P3885" s="17"/>
      <c r="Q3885" s="17"/>
    </row>
    <row r="3886" spans="1:17">
      <c r="A3886" s="556" t="s">
        <v>3652</v>
      </c>
      <c r="B3886" s="557" t="s">
        <v>9505</v>
      </c>
      <c r="C3886" s="558" t="s">
        <v>2778</v>
      </c>
      <c r="D3886" s="556" t="s">
        <v>4426</v>
      </c>
      <c r="E3886" s="17" t="s">
        <v>7301</v>
      </c>
      <c r="F3886" s="17">
        <v>204</v>
      </c>
      <c r="G3886" s="17">
        <v>3</v>
      </c>
      <c r="H3886" s="17" t="s">
        <v>8491</v>
      </c>
      <c r="I3886" s="17">
        <v>0</v>
      </c>
      <c r="J3886" s="17"/>
      <c r="K3886" s="17"/>
      <c r="L3886" s="17"/>
      <c r="M3886" s="17"/>
      <c r="N3886" s="17"/>
      <c r="O3886" s="17"/>
      <c r="P3886" s="17"/>
      <c r="Q3886" s="17"/>
    </row>
    <row r="3887" spans="1:17">
      <c r="A3887" s="556" t="s">
        <v>3652</v>
      </c>
      <c r="B3887" s="557" t="s">
        <v>9505</v>
      </c>
      <c r="C3887" s="558" t="s">
        <v>2778</v>
      </c>
      <c r="D3887" s="556" t="s">
        <v>4324</v>
      </c>
      <c r="E3887" s="17" t="s">
        <v>7302</v>
      </c>
      <c r="F3887" s="17">
        <v>204</v>
      </c>
      <c r="G3887" s="17">
        <v>4</v>
      </c>
      <c r="H3887" s="17" t="s">
        <v>8492</v>
      </c>
      <c r="I3887" s="17"/>
      <c r="J3887" s="17"/>
      <c r="K3887" s="17"/>
      <c r="L3887" s="17"/>
      <c r="M3887" s="17"/>
      <c r="N3887" s="17"/>
      <c r="O3887" s="17"/>
      <c r="P3887" s="17"/>
      <c r="Q3887" s="17"/>
    </row>
    <row r="3888" spans="1:17">
      <c r="A3888" s="556" t="s">
        <v>3652</v>
      </c>
      <c r="B3888" s="557" t="s">
        <v>9506</v>
      </c>
      <c r="C3888" s="558" t="s">
        <v>2779</v>
      </c>
      <c r="D3888" s="556" t="s">
        <v>2623</v>
      </c>
      <c r="E3888" s="17" t="s">
        <v>7303</v>
      </c>
      <c r="F3888" s="17">
        <v>205</v>
      </c>
      <c r="G3888" s="17">
        <v>1</v>
      </c>
      <c r="H3888" s="17" t="s">
        <v>8493</v>
      </c>
      <c r="I3888" s="17"/>
      <c r="J3888" s="17"/>
      <c r="K3888" s="17"/>
      <c r="L3888" s="17"/>
      <c r="M3888" s="17"/>
      <c r="N3888" s="17"/>
      <c r="O3888" s="17"/>
      <c r="P3888" s="17"/>
      <c r="Q3888" s="17"/>
    </row>
    <row r="3889" spans="1:17">
      <c r="A3889" s="556" t="s">
        <v>3652</v>
      </c>
      <c r="B3889" s="557" t="s">
        <v>9506</v>
      </c>
      <c r="C3889" s="558" t="s">
        <v>2779</v>
      </c>
      <c r="D3889" s="556" t="s">
        <v>2624</v>
      </c>
      <c r="E3889" s="17" t="s">
        <v>7304</v>
      </c>
      <c r="F3889" s="17">
        <v>205</v>
      </c>
      <c r="G3889" s="17">
        <v>2</v>
      </c>
      <c r="H3889" s="17" t="s">
        <v>8494</v>
      </c>
      <c r="I3889" s="17"/>
      <c r="J3889" s="17"/>
      <c r="K3889" s="17"/>
      <c r="L3889" s="17"/>
      <c r="M3889" s="17"/>
      <c r="N3889" s="17"/>
      <c r="O3889" s="17"/>
      <c r="P3889" s="17"/>
      <c r="Q3889" s="17"/>
    </row>
    <row r="3890" spans="1:17">
      <c r="A3890" s="556" t="s">
        <v>3652</v>
      </c>
      <c r="B3890" s="557" t="s">
        <v>9506</v>
      </c>
      <c r="C3890" s="558" t="s">
        <v>2779</v>
      </c>
      <c r="D3890" s="556" t="s">
        <v>4426</v>
      </c>
      <c r="E3890" s="17" t="s">
        <v>7305</v>
      </c>
      <c r="F3890" s="17">
        <v>205</v>
      </c>
      <c r="G3890" s="17">
        <v>3</v>
      </c>
      <c r="H3890" s="17" t="s">
        <v>8495</v>
      </c>
      <c r="I3890" s="17">
        <v>0</v>
      </c>
      <c r="J3890" s="17"/>
      <c r="K3890" s="17"/>
      <c r="L3890" s="17"/>
      <c r="M3890" s="17"/>
      <c r="N3890" s="17"/>
      <c r="O3890" s="17"/>
      <c r="P3890" s="17"/>
      <c r="Q3890" s="17"/>
    </row>
    <row r="3891" spans="1:17">
      <c r="A3891" s="556" t="s">
        <v>3652</v>
      </c>
      <c r="B3891" s="557" t="s">
        <v>9506</v>
      </c>
      <c r="C3891" s="558" t="s">
        <v>2779</v>
      </c>
      <c r="D3891" s="556" t="s">
        <v>4324</v>
      </c>
      <c r="E3891" s="17" t="s">
        <v>7306</v>
      </c>
      <c r="F3891" s="17">
        <v>205</v>
      </c>
      <c r="G3891" s="17">
        <v>4</v>
      </c>
      <c r="H3891" s="17" t="s">
        <v>8496</v>
      </c>
      <c r="I3891" s="17"/>
      <c r="J3891" s="17"/>
      <c r="K3891" s="17"/>
      <c r="L3891" s="17"/>
      <c r="M3891" s="17"/>
      <c r="N3891" s="17"/>
      <c r="O3891" s="17"/>
      <c r="P3891" s="17"/>
      <c r="Q3891" s="17"/>
    </row>
    <row r="3892" spans="1:17">
      <c r="A3892" s="556" t="s">
        <v>3652</v>
      </c>
      <c r="B3892" s="557" t="s">
        <v>9507</v>
      </c>
      <c r="C3892" s="558" t="s">
        <v>2780</v>
      </c>
      <c r="D3892" s="556" t="s">
        <v>2623</v>
      </c>
      <c r="E3892" s="17" t="s">
        <v>7307</v>
      </c>
      <c r="F3892" s="17">
        <v>206</v>
      </c>
      <c r="G3892" s="17">
        <v>1</v>
      </c>
      <c r="H3892" s="17" t="s">
        <v>8497</v>
      </c>
      <c r="I3892" s="17"/>
      <c r="J3892" s="17"/>
      <c r="K3892" s="17"/>
      <c r="L3892" s="17"/>
      <c r="M3892" s="17"/>
      <c r="N3892" s="17"/>
      <c r="O3892" s="17"/>
      <c r="P3892" s="17"/>
      <c r="Q3892" s="17"/>
    </row>
    <row r="3893" spans="1:17">
      <c r="A3893" s="556" t="s">
        <v>3652</v>
      </c>
      <c r="B3893" s="557" t="s">
        <v>9507</v>
      </c>
      <c r="C3893" s="558" t="s">
        <v>2780</v>
      </c>
      <c r="D3893" s="556" t="s">
        <v>2624</v>
      </c>
      <c r="E3893" s="17" t="s">
        <v>7308</v>
      </c>
      <c r="F3893" s="17">
        <v>206</v>
      </c>
      <c r="G3893" s="17">
        <v>2</v>
      </c>
      <c r="H3893" s="17" t="s">
        <v>8498</v>
      </c>
      <c r="I3893" s="17"/>
      <c r="J3893" s="17"/>
      <c r="K3893" s="17"/>
      <c r="L3893" s="17"/>
      <c r="M3893" s="17"/>
      <c r="N3893" s="17"/>
      <c r="O3893" s="17"/>
      <c r="P3893" s="17"/>
      <c r="Q3893" s="17"/>
    </row>
    <row r="3894" spans="1:17">
      <c r="A3894" s="556" t="s">
        <v>3652</v>
      </c>
      <c r="B3894" s="557" t="s">
        <v>9507</v>
      </c>
      <c r="C3894" s="558" t="s">
        <v>2780</v>
      </c>
      <c r="D3894" s="556" t="s">
        <v>4426</v>
      </c>
      <c r="E3894" s="17" t="s">
        <v>7309</v>
      </c>
      <c r="F3894" s="17">
        <v>206</v>
      </c>
      <c r="G3894" s="17">
        <v>3</v>
      </c>
      <c r="H3894" s="17" t="s">
        <v>8499</v>
      </c>
      <c r="I3894" s="17">
        <v>0</v>
      </c>
      <c r="J3894" s="17"/>
      <c r="K3894" s="17"/>
      <c r="L3894" s="17"/>
      <c r="M3894" s="17"/>
      <c r="N3894" s="17"/>
      <c r="O3894" s="17"/>
      <c r="P3894" s="17"/>
      <c r="Q3894" s="17"/>
    </row>
    <row r="3895" spans="1:17">
      <c r="A3895" s="556" t="s">
        <v>3652</v>
      </c>
      <c r="B3895" s="557" t="s">
        <v>9507</v>
      </c>
      <c r="C3895" s="558" t="s">
        <v>2780</v>
      </c>
      <c r="D3895" s="556" t="s">
        <v>4324</v>
      </c>
      <c r="E3895" s="17" t="s">
        <v>7310</v>
      </c>
      <c r="F3895" s="17">
        <v>206</v>
      </c>
      <c r="G3895" s="17">
        <v>4</v>
      </c>
      <c r="H3895" s="17" t="s">
        <v>8500</v>
      </c>
      <c r="I3895" s="17"/>
      <c r="J3895" s="17"/>
      <c r="K3895" s="17"/>
      <c r="L3895" s="17"/>
      <c r="M3895" s="17"/>
      <c r="N3895" s="17"/>
      <c r="O3895" s="17"/>
      <c r="P3895" s="17"/>
      <c r="Q3895" s="17"/>
    </row>
    <row r="3896" spans="1:17">
      <c r="A3896" s="556" t="s">
        <v>3652</v>
      </c>
      <c r="B3896" s="557" t="s">
        <v>9508</v>
      </c>
      <c r="C3896" s="558" t="s">
        <v>2781</v>
      </c>
      <c r="D3896" s="556" t="s">
        <v>2623</v>
      </c>
      <c r="E3896" s="17" t="s">
        <v>7311</v>
      </c>
      <c r="F3896" s="17">
        <v>207</v>
      </c>
      <c r="G3896" s="17">
        <v>1</v>
      </c>
      <c r="H3896" s="17" t="s">
        <v>8501</v>
      </c>
      <c r="I3896" s="17"/>
      <c r="J3896" s="17"/>
      <c r="K3896" s="17"/>
      <c r="L3896" s="17"/>
      <c r="M3896" s="17"/>
      <c r="N3896" s="17"/>
      <c r="O3896" s="17"/>
      <c r="P3896" s="17"/>
      <c r="Q3896" s="17"/>
    </row>
    <row r="3897" spans="1:17">
      <c r="A3897" s="556" t="s">
        <v>3652</v>
      </c>
      <c r="B3897" s="557" t="s">
        <v>9508</v>
      </c>
      <c r="C3897" s="558" t="s">
        <v>2781</v>
      </c>
      <c r="D3897" s="556" t="s">
        <v>2624</v>
      </c>
      <c r="E3897" s="17" t="s">
        <v>7312</v>
      </c>
      <c r="F3897" s="17">
        <v>207</v>
      </c>
      <c r="G3897" s="17">
        <v>2</v>
      </c>
      <c r="H3897" s="17" t="s">
        <v>8502</v>
      </c>
      <c r="I3897" s="17"/>
      <c r="J3897" s="17"/>
      <c r="K3897" s="17"/>
      <c r="L3897" s="17"/>
      <c r="M3897" s="17"/>
      <c r="N3897" s="17"/>
      <c r="O3897" s="17"/>
      <c r="P3897" s="17"/>
      <c r="Q3897" s="17"/>
    </row>
    <row r="3898" spans="1:17">
      <c r="A3898" s="556" t="s">
        <v>3652</v>
      </c>
      <c r="B3898" s="557" t="s">
        <v>9508</v>
      </c>
      <c r="C3898" s="558" t="s">
        <v>2781</v>
      </c>
      <c r="D3898" s="556" t="s">
        <v>4426</v>
      </c>
      <c r="E3898" s="17" t="s">
        <v>7313</v>
      </c>
      <c r="F3898" s="17">
        <v>207</v>
      </c>
      <c r="G3898" s="17">
        <v>3</v>
      </c>
      <c r="H3898" s="17" t="s">
        <v>8503</v>
      </c>
      <c r="I3898" s="17">
        <v>0</v>
      </c>
      <c r="J3898" s="17"/>
      <c r="K3898" s="17"/>
      <c r="L3898" s="17"/>
      <c r="M3898" s="17"/>
      <c r="N3898" s="17"/>
      <c r="O3898" s="17"/>
      <c r="P3898" s="17"/>
      <c r="Q3898" s="17"/>
    </row>
    <row r="3899" spans="1:17">
      <c r="A3899" s="556" t="s">
        <v>3652</v>
      </c>
      <c r="B3899" s="557" t="s">
        <v>9508</v>
      </c>
      <c r="C3899" s="558" t="s">
        <v>2781</v>
      </c>
      <c r="D3899" s="556" t="s">
        <v>4324</v>
      </c>
      <c r="E3899" s="17" t="s">
        <v>7314</v>
      </c>
      <c r="F3899" s="17">
        <v>207</v>
      </c>
      <c r="G3899" s="17">
        <v>4</v>
      </c>
      <c r="H3899" s="17" t="s">
        <v>8504</v>
      </c>
      <c r="I3899" s="17"/>
      <c r="J3899" s="17"/>
      <c r="K3899" s="17"/>
      <c r="L3899" s="17"/>
      <c r="M3899" s="17"/>
      <c r="N3899" s="17"/>
      <c r="O3899" s="17"/>
      <c r="P3899" s="17"/>
      <c r="Q3899" s="17"/>
    </row>
    <row r="3900" spans="1:17">
      <c r="A3900" s="556" t="s">
        <v>3652</v>
      </c>
      <c r="B3900" s="557" t="s">
        <v>9509</v>
      </c>
      <c r="C3900" s="558" t="s">
        <v>2782</v>
      </c>
      <c r="D3900" s="556" t="s">
        <v>2623</v>
      </c>
      <c r="E3900" s="17" t="s">
        <v>7315</v>
      </c>
      <c r="F3900" s="17">
        <v>208</v>
      </c>
      <c r="G3900" s="17">
        <v>1</v>
      </c>
      <c r="H3900" s="17" t="s">
        <v>8505</v>
      </c>
      <c r="I3900" s="17"/>
      <c r="J3900" s="17"/>
      <c r="K3900" s="17"/>
      <c r="L3900" s="17"/>
      <c r="M3900" s="17"/>
      <c r="N3900" s="17"/>
      <c r="O3900" s="17"/>
      <c r="P3900" s="17"/>
      <c r="Q3900" s="17"/>
    </row>
    <row r="3901" spans="1:17">
      <c r="A3901" s="556" t="s">
        <v>3652</v>
      </c>
      <c r="B3901" s="557" t="s">
        <v>9509</v>
      </c>
      <c r="C3901" s="558" t="s">
        <v>2782</v>
      </c>
      <c r="D3901" s="556" t="s">
        <v>2624</v>
      </c>
      <c r="E3901" s="17" t="s">
        <v>7316</v>
      </c>
      <c r="F3901" s="17">
        <v>208</v>
      </c>
      <c r="G3901" s="17">
        <v>2</v>
      </c>
      <c r="H3901" s="17" t="s">
        <v>8506</v>
      </c>
      <c r="I3901" s="17"/>
      <c r="J3901" s="17"/>
      <c r="K3901" s="17"/>
      <c r="L3901" s="17"/>
      <c r="M3901" s="17"/>
      <c r="N3901" s="17"/>
      <c r="O3901" s="17"/>
      <c r="P3901" s="17"/>
      <c r="Q3901" s="17"/>
    </row>
    <row r="3902" spans="1:17">
      <c r="A3902" s="556" t="s">
        <v>3652</v>
      </c>
      <c r="B3902" s="557" t="s">
        <v>9509</v>
      </c>
      <c r="C3902" s="558" t="s">
        <v>2782</v>
      </c>
      <c r="D3902" s="556" t="s">
        <v>4426</v>
      </c>
      <c r="E3902" s="17" t="s">
        <v>7317</v>
      </c>
      <c r="F3902" s="17">
        <v>208</v>
      </c>
      <c r="G3902" s="17">
        <v>3</v>
      </c>
      <c r="H3902" s="17" t="s">
        <v>8507</v>
      </c>
      <c r="I3902" s="17">
        <v>0</v>
      </c>
      <c r="J3902" s="17"/>
      <c r="K3902" s="17"/>
      <c r="L3902" s="17"/>
      <c r="M3902" s="17"/>
      <c r="N3902" s="17"/>
      <c r="O3902" s="17"/>
      <c r="P3902" s="17"/>
      <c r="Q3902" s="17"/>
    </row>
    <row r="3903" spans="1:17">
      <c r="A3903" s="556" t="s">
        <v>3652</v>
      </c>
      <c r="B3903" s="557" t="s">
        <v>9509</v>
      </c>
      <c r="C3903" s="558" t="s">
        <v>2782</v>
      </c>
      <c r="D3903" s="556" t="s">
        <v>4324</v>
      </c>
      <c r="E3903" s="17" t="s">
        <v>7318</v>
      </c>
      <c r="F3903" s="17">
        <v>208</v>
      </c>
      <c r="G3903" s="17">
        <v>4</v>
      </c>
      <c r="H3903" s="17" t="s">
        <v>8508</v>
      </c>
      <c r="I3903" s="17"/>
      <c r="J3903" s="17"/>
      <c r="K3903" s="17"/>
      <c r="L3903" s="17"/>
      <c r="M3903" s="17"/>
      <c r="N3903" s="17"/>
      <c r="O3903" s="17"/>
      <c r="P3903" s="17"/>
      <c r="Q3903" s="17"/>
    </row>
    <row r="3904" spans="1:17">
      <c r="A3904" s="556" t="s">
        <v>3652</v>
      </c>
      <c r="B3904" s="557" t="s">
        <v>9510</v>
      </c>
      <c r="C3904" s="558" t="s">
        <v>2783</v>
      </c>
      <c r="D3904" s="556" t="s">
        <v>2623</v>
      </c>
      <c r="E3904" s="17" t="s">
        <v>7319</v>
      </c>
      <c r="F3904" s="17">
        <v>209</v>
      </c>
      <c r="G3904" s="17">
        <v>1</v>
      </c>
      <c r="H3904" s="17" t="s">
        <v>8509</v>
      </c>
      <c r="I3904" s="17"/>
      <c r="J3904" s="17"/>
      <c r="K3904" s="17"/>
      <c r="L3904" s="17"/>
      <c r="M3904" s="17"/>
      <c r="N3904" s="17"/>
      <c r="O3904" s="17"/>
      <c r="P3904" s="17"/>
      <c r="Q3904" s="17"/>
    </row>
    <row r="3905" spans="1:17">
      <c r="A3905" s="556" t="s">
        <v>3652</v>
      </c>
      <c r="B3905" s="557" t="s">
        <v>9510</v>
      </c>
      <c r="C3905" s="558" t="s">
        <v>2783</v>
      </c>
      <c r="D3905" s="556" t="s">
        <v>2624</v>
      </c>
      <c r="E3905" s="17" t="s">
        <v>7320</v>
      </c>
      <c r="F3905" s="17">
        <v>209</v>
      </c>
      <c r="G3905" s="17">
        <v>2</v>
      </c>
      <c r="H3905" s="17" t="s">
        <v>8510</v>
      </c>
      <c r="I3905" s="17"/>
      <c r="J3905" s="17"/>
      <c r="K3905" s="17"/>
      <c r="L3905" s="17"/>
      <c r="M3905" s="17"/>
      <c r="N3905" s="17"/>
      <c r="O3905" s="17"/>
      <c r="P3905" s="17"/>
      <c r="Q3905" s="17"/>
    </row>
    <row r="3906" spans="1:17">
      <c r="A3906" s="556" t="s">
        <v>3652</v>
      </c>
      <c r="B3906" s="557" t="s">
        <v>9510</v>
      </c>
      <c r="C3906" s="558" t="s">
        <v>2783</v>
      </c>
      <c r="D3906" s="556" t="s">
        <v>4426</v>
      </c>
      <c r="E3906" s="17" t="s">
        <v>7321</v>
      </c>
      <c r="F3906" s="17">
        <v>209</v>
      </c>
      <c r="G3906" s="17">
        <v>3</v>
      </c>
      <c r="H3906" s="17" t="s">
        <v>8511</v>
      </c>
      <c r="I3906" s="17">
        <v>0</v>
      </c>
      <c r="J3906" s="17"/>
      <c r="K3906" s="17"/>
      <c r="L3906" s="17"/>
      <c r="M3906" s="17"/>
      <c r="N3906" s="17"/>
      <c r="O3906" s="17"/>
      <c r="P3906" s="17"/>
      <c r="Q3906" s="17"/>
    </row>
    <row r="3907" spans="1:17">
      <c r="A3907" s="556" t="s">
        <v>3652</v>
      </c>
      <c r="B3907" s="557" t="s">
        <v>9510</v>
      </c>
      <c r="C3907" s="558" t="s">
        <v>2783</v>
      </c>
      <c r="D3907" s="556" t="s">
        <v>4324</v>
      </c>
      <c r="E3907" s="17" t="s">
        <v>7322</v>
      </c>
      <c r="F3907" s="17">
        <v>209</v>
      </c>
      <c r="G3907" s="17">
        <v>4</v>
      </c>
      <c r="H3907" s="17" t="s">
        <v>8512</v>
      </c>
      <c r="I3907" s="17"/>
      <c r="J3907" s="17"/>
      <c r="K3907" s="17"/>
      <c r="L3907" s="17"/>
      <c r="M3907" s="17"/>
      <c r="N3907" s="17"/>
      <c r="O3907" s="17"/>
      <c r="P3907" s="17"/>
      <c r="Q3907" s="17"/>
    </row>
    <row r="3908" spans="1:17">
      <c r="A3908" s="556" t="s">
        <v>3652</v>
      </c>
      <c r="B3908" s="557" t="s">
        <v>9511</v>
      </c>
      <c r="C3908" s="558" t="s">
        <v>2784</v>
      </c>
      <c r="D3908" s="556" t="s">
        <v>2623</v>
      </c>
      <c r="E3908" s="17" t="s">
        <v>7323</v>
      </c>
      <c r="F3908" s="17">
        <v>210</v>
      </c>
      <c r="G3908" s="17">
        <v>1</v>
      </c>
      <c r="H3908" s="17" t="s">
        <v>8513</v>
      </c>
      <c r="I3908" s="17"/>
      <c r="J3908" s="17"/>
      <c r="K3908" s="17"/>
      <c r="L3908" s="17"/>
      <c r="M3908" s="17"/>
      <c r="N3908" s="17"/>
      <c r="O3908" s="17"/>
      <c r="P3908" s="17"/>
      <c r="Q3908" s="17"/>
    </row>
    <row r="3909" spans="1:17">
      <c r="A3909" s="556" t="s">
        <v>3652</v>
      </c>
      <c r="B3909" s="557" t="s">
        <v>9511</v>
      </c>
      <c r="C3909" s="558" t="s">
        <v>2784</v>
      </c>
      <c r="D3909" s="556" t="s">
        <v>2624</v>
      </c>
      <c r="E3909" s="17" t="s">
        <v>7324</v>
      </c>
      <c r="F3909" s="17">
        <v>210</v>
      </c>
      <c r="G3909" s="17">
        <v>2</v>
      </c>
      <c r="H3909" s="17" t="s">
        <v>8514</v>
      </c>
      <c r="I3909" s="17"/>
      <c r="J3909" s="17"/>
      <c r="K3909" s="17"/>
      <c r="L3909" s="17"/>
      <c r="M3909" s="17"/>
      <c r="N3909" s="17"/>
      <c r="O3909" s="17"/>
      <c r="P3909" s="17"/>
      <c r="Q3909" s="17"/>
    </row>
    <row r="3910" spans="1:17">
      <c r="A3910" s="556" t="s">
        <v>3652</v>
      </c>
      <c r="B3910" s="557" t="s">
        <v>9511</v>
      </c>
      <c r="C3910" s="558" t="s">
        <v>2784</v>
      </c>
      <c r="D3910" s="556" t="s">
        <v>4426</v>
      </c>
      <c r="E3910" s="17" t="s">
        <v>7325</v>
      </c>
      <c r="F3910" s="17">
        <v>210</v>
      </c>
      <c r="G3910" s="17">
        <v>3</v>
      </c>
      <c r="H3910" s="17" t="s">
        <v>8515</v>
      </c>
      <c r="I3910" s="17">
        <v>0</v>
      </c>
      <c r="J3910" s="17"/>
      <c r="K3910" s="17"/>
      <c r="L3910" s="17"/>
      <c r="M3910" s="17"/>
      <c r="N3910" s="17"/>
      <c r="O3910" s="17"/>
      <c r="P3910" s="17"/>
      <c r="Q3910" s="17"/>
    </row>
    <row r="3911" spans="1:17">
      <c r="A3911" s="556" t="s">
        <v>3652</v>
      </c>
      <c r="B3911" s="557" t="s">
        <v>9511</v>
      </c>
      <c r="C3911" s="558" t="s">
        <v>2784</v>
      </c>
      <c r="D3911" s="556" t="s">
        <v>4324</v>
      </c>
      <c r="E3911" s="17" t="s">
        <v>7326</v>
      </c>
      <c r="F3911" s="17">
        <v>210</v>
      </c>
      <c r="G3911" s="17">
        <v>4</v>
      </c>
      <c r="H3911" s="17" t="s">
        <v>8516</v>
      </c>
      <c r="I3911" s="17"/>
      <c r="J3911" s="17"/>
      <c r="K3911" s="17"/>
      <c r="L3911" s="17"/>
      <c r="M3911" s="17"/>
      <c r="N3911" s="17"/>
      <c r="O3911" s="17"/>
      <c r="P3911" s="17"/>
      <c r="Q3911" s="17"/>
    </row>
    <row r="3912" spans="1:17">
      <c r="A3912" s="556" t="s">
        <v>3652</v>
      </c>
      <c r="B3912" s="557" t="s">
        <v>9512</v>
      </c>
      <c r="C3912" s="558" t="s">
        <v>2785</v>
      </c>
      <c r="D3912" s="556" t="s">
        <v>2623</v>
      </c>
      <c r="E3912" s="17" t="s">
        <v>7327</v>
      </c>
      <c r="F3912" s="17">
        <v>211</v>
      </c>
      <c r="G3912" s="17">
        <v>1</v>
      </c>
      <c r="H3912" s="17" t="s">
        <v>8517</v>
      </c>
      <c r="I3912" s="17"/>
      <c r="J3912" s="17"/>
      <c r="K3912" s="17"/>
      <c r="L3912" s="17"/>
      <c r="M3912" s="17"/>
      <c r="N3912" s="17"/>
      <c r="O3912" s="17"/>
      <c r="P3912" s="17"/>
      <c r="Q3912" s="17"/>
    </row>
    <row r="3913" spans="1:17">
      <c r="A3913" s="556" t="s">
        <v>3652</v>
      </c>
      <c r="B3913" s="557" t="s">
        <v>9512</v>
      </c>
      <c r="C3913" s="558" t="s">
        <v>2785</v>
      </c>
      <c r="D3913" s="556" t="s">
        <v>2624</v>
      </c>
      <c r="E3913" s="17" t="s">
        <v>7328</v>
      </c>
      <c r="F3913" s="17">
        <v>211</v>
      </c>
      <c r="G3913" s="17">
        <v>2</v>
      </c>
      <c r="H3913" s="17" t="s">
        <v>8518</v>
      </c>
      <c r="I3913" s="17"/>
      <c r="J3913" s="17"/>
      <c r="K3913" s="17"/>
      <c r="L3913" s="17"/>
      <c r="M3913" s="17"/>
      <c r="N3913" s="17"/>
      <c r="O3913" s="17"/>
      <c r="P3913" s="17"/>
      <c r="Q3913" s="17"/>
    </row>
    <row r="3914" spans="1:17">
      <c r="A3914" s="556" t="s">
        <v>3652</v>
      </c>
      <c r="B3914" s="557" t="s">
        <v>9512</v>
      </c>
      <c r="C3914" s="558" t="s">
        <v>2785</v>
      </c>
      <c r="D3914" s="556" t="s">
        <v>4426</v>
      </c>
      <c r="E3914" s="17" t="s">
        <v>7329</v>
      </c>
      <c r="F3914" s="17">
        <v>211</v>
      </c>
      <c r="G3914" s="17">
        <v>3</v>
      </c>
      <c r="H3914" s="17" t="s">
        <v>8519</v>
      </c>
      <c r="I3914" s="17">
        <v>0</v>
      </c>
      <c r="J3914" s="17"/>
      <c r="K3914" s="17"/>
      <c r="L3914" s="17"/>
      <c r="M3914" s="17"/>
      <c r="N3914" s="17"/>
      <c r="O3914" s="17"/>
      <c r="P3914" s="17"/>
      <c r="Q3914" s="17"/>
    </row>
    <row r="3915" spans="1:17">
      <c r="A3915" s="556" t="s">
        <v>3652</v>
      </c>
      <c r="B3915" s="557" t="s">
        <v>9512</v>
      </c>
      <c r="C3915" s="558" t="s">
        <v>2785</v>
      </c>
      <c r="D3915" s="556" t="s">
        <v>4324</v>
      </c>
      <c r="E3915" s="17" t="s">
        <v>7330</v>
      </c>
      <c r="F3915" s="17">
        <v>211</v>
      </c>
      <c r="G3915" s="17">
        <v>4</v>
      </c>
      <c r="H3915" s="17" t="s">
        <v>8520</v>
      </c>
      <c r="I3915" s="17"/>
      <c r="J3915" s="17"/>
      <c r="K3915" s="17"/>
      <c r="L3915" s="17"/>
      <c r="M3915" s="17"/>
      <c r="N3915" s="17"/>
      <c r="O3915" s="17"/>
      <c r="P3915" s="17"/>
      <c r="Q3915" s="17"/>
    </row>
    <row r="3916" spans="1:17">
      <c r="A3916" s="556" t="s">
        <v>3652</v>
      </c>
      <c r="B3916" s="557" t="s">
        <v>9513</v>
      </c>
      <c r="C3916" s="558" t="s">
        <v>2787</v>
      </c>
      <c r="D3916" s="556" t="s">
        <v>2623</v>
      </c>
      <c r="E3916" s="17" t="s">
        <v>7331</v>
      </c>
      <c r="F3916" s="17">
        <v>223</v>
      </c>
      <c r="G3916" s="17">
        <v>1</v>
      </c>
      <c r="H3916" s="17" t="s">
        <v>8521</v>
      </c>
      <c r="I3916" s="17"/>
      <c r="J3916" s="17"/>
      <c r="K3916" s="17"/>
      <c r="L3916" s="17"/>
      <c r="M3916" s="17"/>
      <c r="N3916" s="17"/>
      <c r="O3916" s="17"/>
      <c r="P3916" s="17"/>
      <c r="Q3916" s="17"/>
    </row>
    <row r="3917" spans="1:17">
      <c r="A3917" s="556" t="s">
        <v>3652</v>
      </c>
      <c r="B3917" s="557" t="s">
        <v>9513</v>
      </c>
      <c r="C3917" s="558" t="s">
        <v>2787</v>
      </c>
      <c r="D3917" s="556" t="s">
        <v>2624</v>
      </c>
      <c r="E3917" s="17" t="s">
        <v>7332</v>
      </c>
      <c r="F3917" s="17">
        <v>223</v>
      </c>
      <c r="G3917" s="17">
        <v>2</v>
      </c>
      <c r="H3917" s="17" t="s">
        <v>8522</v>
      </c>
      <c r="I3917" s="17"/>
      <c r="J3917" s="17"/>
      <c r="K3917" s="17"/>
      <c r="L3917" s="17"/>
      <c r="M3917" s="17"/>
      <c r="N3917" s="17"/>
      <c r="O3917" s="17"/>
      <c r="P3917" s="17"/>
      <c r="Q3917" s="17"/>
    </row>
    <row r="3918" spans="1:17">
      <c r="A3918" s="556" t="s">
        <v>3652</v>
      </c>
      <c r="B3918" s="557" t="s">
        <v>9513</v>
      </c>
      <c r="C3918" s="558" t="s">
        <v>2787</v>
      </c>
      <c r="D3918" s="556" t="s">
        <v>4426</v>
      </c>
      <c r="E3918" s="17" t="s">
        <v>7333</v>
      </c>
      <c r="F3918" s="17">
        <v>223</v>
      </c>
      <c r="G3918" s="17">
        <v>3</v>
      </c>
      <c r="H3918" s="17" t="s">
        <v>8523</v>
      </c>
      <c r="I3918" s="17">
        <v>0</v>
      </c>
      <c r="J3918" s="17"/>
      <c r="K3918" s="17"/>
      <c r="L3918" s="17"/>
      <c r="M3918" s="17"/>
      <c r="N3918" s="17"/>
      <c r="O3918" s="17"/>
      <c r="P3918" s="17"/>
      <c r="Q3918" s="17"/>
    </row>
    <row r="3919" spans="1:17">
      <c r="A3919" s="556" t="s">
        <v>3652</v>
      </c>
      <c r="B3919" s="557" t="s">
        <v>9513</v>
      </c>
      <c r="C3919" s="558" t="s">
        <v>2787</v>
      </c>
      <c r="D3919" s="556" t="s">
        <v>4324</v>
      </c>
      <c r="E3919" s="17" t="s">
        <v>7334</v>
      </c>
      <c r="F3919" s="17">
        <v>223</v>
      </c>
      <c r="G3919" s="17">
        <v>4</v>
      </c>
      <c r="H3919" s="17" t="s">
        <v>8524</v>
      </c>
      <c r="I3919" s="17"/>
      <c r="J3919" s="17"/>
      <c r="K3919" s="17"/>
      <c r="L3919" s="17"/>
      <c r="M3919" s="17"/>
      <c r="N3919" s="17"/>
      <c r="O3919" s="17"/>
      <c r="P3919" s="17"/>
      <c r="Q3919" s="17"/>
    </row>
    <row r="3920" spans="1:17">
      <c r="A3920" s="556" t="s">
        <v>3652</v>
      </c>
      <c r="B3920" s="557" t="s">
        <v>9514</v>
      </c>
      <c r="C3920" s="558" t="s">
        <v>2788</v>
      </c>
      <c r="D3920" s="556" t="s">
        <v>2623</v>
      </c>
      <c r="E3920" s="17" t="s">
        <v>7335</v>
      </c>
      <c r="F3920" s="17">
        <v>224</v>
      </c>
      <c r="G3920" s="17">
        <v>1</v>
      </c>
      <c r="H3920" s="17" t="s">
        <v>8525</v>
      </c>
      <c r="I3920" s="17"/>
      <c r="J3920" s="17"/>
      <c r="K3920" s="17"/>
      <c r="L3920" s="17"/>
      <c r="M3920" s="17"/>
      <c r="N3920" s="17"/>
      <c r="O3920" s="17"/>
      <c r="P3920" s="17"/>
      <c r="Q3920" s="17"/>
    </row>
    <row r="3921" spans="1:17">
      <c r="A3921" s="556" t="s">
        <v>3652</v>
      </c>
      <c r="B3921" s="557" t="s">
        <v>9514</v>
      </c>
      <c r="C3921" s="558" t="s">
        <v>2788</v>
      </c>
      <c r="D3921" s="556" t="s">
        <v>2624</v>
      </c>
      <c r="E3921" s="17" t="s">
        <v>7336</v>
      </c>
      <c r="F3921" s="17">
        <v>224</v>
      </c>
      <c r="G3921" s="17">
        <v>2</v>
      </c>
      <c r="H3921" s="17" t="s">
        <v>8526</v>
      </c>
      <c r="I3921" s="17"/>
      <c r="J3921" s="17"/>
      <c r="K3921" s="17"/>
      <c r="L3921" s="17"/>
      <c r="M3921" s="17"/>
      <c r="N3921" s="17"/>
      <c r="O3921" s="17"/>
      <c r="P3921" s="17"/>
      <c r="Q3921" s="17"/>
    </row>
    <row r="3922" spans="1:17">
      <c r="A3922" s="556" t="s">
        <v>3652</v>
      </c>
      <c r="B3922" s="557" t="s">
        <v>9514</v>
      </c>
      <c r="C3922" s="558" t="s">
        <v>2788</v>
      </c>
      <c r="D3922" s="556" t="s">
        <v>4426</v>
      </c>
      <c r="E3922" s="17" t="s">
        <v>7337</v>
      </c>
      <c r="F3922" s="17">
        <v>224</v>
      </c>
      <c r="G3922" s="17">
        <v>3</v>
      </c>
      <c r="H3922" s="17" t="s">
        <v>8527</v>
      </c>
      <c r="I3922" s="17">
        <v>0</v>
      </c>
      <c r="J3922" s="17"/>
      <c r="K3922" s="17"/>
      <c r="L3922" s="17"/>
      <c r="M3922" s="17"/>
      <c r="N3922" s="17"/>
      <c r="O3922" s="17"/>
      <c r="P3922" s="17"/>
      <c r="Q3922" s="17"/>
    </row>
    <row r="3923" spans="1:17">
      <c r="A3923" s="556" t="s">
        <v>3652</v>
      </c>
      <c r="B3923" s="557" t="s">
        <v>9514</v>
      </c>
      <c r="C3923" s="558" t="s">
        <v>2788</v>
      </c>
      <c r="D3923" s="556" t="s">
        <v>4324</v>
      </c>
      <c r="E3923" s="17" t="s">
        <v>7338</v>
      </c>
      <c r="F3923" s="17">
        <v>224</v>
      </c>
      <c r="G3923" s="17">
        <v>4</v>
      </c>
      <c r="H3923" s="17" t="s">
        <v>8528</v>
      </c>
      <c r="I3923" s="17"/>
      <c r="J3923" s="17"/>
      <c r="K3923" s="17"/>
      <c r="L3923" s="17"/>
      <c r="M3923" s="17"/>
      <c r="N3923" s="17"/>
      <c r="O3923" s="17"/>
      <c r="P3923" s="17"/>
      <c r="Q3923" s="17"/>
    </row>
    <row r="3924" spans="1:17">
      <c r="A3924" s="556" t="s">
        <v>3652</v>
      </c>
      <c r="B3924" s="557" t="s">
        <v>9515</v>
      </c>
      <c r="C3924" s="558" t="s">
        <v>2789</v>
      </c>
      <c r="D3924" s="556" t="s">
        <v>2623</v>
      </c>
      <c r="E3924" s="17" t="s">
        <v>7339</v>
      </c>
      <c r="F3924" s="17">
        <v>225</v>
      </c>
      <c r="G3924" s="17">
        <v>1</v>
      </c>
      <c r="H3924" s="17" t="s">
        <v>8529</v>
      </c>
      <c r="I3924" s="17"/>
      <c r="J3924" s="17"/>
      <c r="K3924" s="17"/>
      <c r="L3924" s="17"/>
      <c r="M3924" s="17"/>
      <c r="N3924" s="17"/>
      <c r="O3924" s="17"/>
      <c r="P3924" s="17"/>
      <c r="Q3924" s="17"/>
    </row>
    <row r="3925" spans="1:17">
      <c r="A3925" s="556" t="s">
        <v>3652</v>
      </c>
      <c r="B3925" s="557" t="s">
        <v>9515</v>
      </c>
      <c r="C3925" s="558" t="s">
        <v>2789</v>
      </c>
      <c r="D3925" s="556" t="s">
        <v>2624</v>
      </c>
      <c r="E3925" s="17" t="s">
        <v>7340</v>
      </c>
      <c r="F3925" s="17">
        <v>225</v>
      </c>
      <c r="G3925" s="17">
        <v>2</v>
      </c>
      <c r="H3925" s="17" t="s">
        <v>8530</v>
      </c>
      <c r="I3925" s="17"/>
      <c r="J3925" s="17"/>
      <c r="K3925" s="17"/>
      <c r="L3925" s="17"/>
      <c r="M3925" s="17"/>
      <c r="N3925" s="17"/>
      <c r="O3925" s="17"/>
      <c r="P3925" s="17"/>
      <c r="Q3925" s="17"/>
    </row>
    <row r="3926" spans="1:17">
      <c r="A3926" s="556" t="s">
        <v>3652</v>
      </c>
      <c r="B3926" s="557" t="s">
        <v>9515</v>
      </c>
      <c r="C3926" s="558" t="s">
        <v>2789</v>
      </c>
      <c r="D3926" s="556" t="s">
        <v>4426</v>
      </c>
      <c r="E3926" s="17" t="s">
        <v>7341</v>
      </c>
      <c r="F3926" s="17">
        <v>225</v>
      </c>
      <c r="G3926" s="17">
        <v>3</v>
      </c>
      <c r="H3926" s="17" t="s">
        <v>8531</v>
      </c>
      <c r="I3926" s="17">
        <v>0</v>
      </c>
      <c r="J3926" s="17"/>
      <c r="K3926" s="17"/>
      <c r="L3926" s="17"/>
      <c r="M3926" s="17"/>
      <c r="N3926" s="17"/>
      <c r="O3926" s="17"/>
      <c r="P3926" s="17"/>
      <c r="Q3926" s="17"/>
    </row>
    <row r="3927" spans="1:17">
      <c r="A3927" s="556" t="s">
        <v>3652</v>
      </c>
      <c r="B3927" s="557" t="s">
        <v>9515</v>
      </c>
      <c r="C3927" s="558" t="s">
        <v>2789</v>
      </c>
      <c r="D3927" s="556" t="s">
        <v>4324</v>
      </c>
      <c r="E3927" s="17" t="s">
        <v>7342</v>
      </c>
      <c r="F3927" s="17">
        <v>225</v>
      </c>
      <c r="G3927" s="17">
        <v>4</v>
      </c>
      <c r="H3927" s="17" t="s">
        <v>8532</v>
      </c>
      <c r="I3927" s="17"/>
      <c r="J3927" s="17"/>
      <c r="K3927" s="17"/>
      <c r="L3927" s="17"/>
      <c r="M3927" s="17"/>
      <c r="N3927" s="17"/>
      <c r="O3927" s="17"/>
      <c r="P3927" s="17"/>
      <c r="Q3927" s="17"/>
    </row>
    <row r="3928" spans="1:17">
      <c r="A3928" s="556" t="s">
        <v>3652</v>
      </c>
      <c r="B3928" s="557" t="s">
        <v>9516</v>
      </c>
      <c r="C3928" s="558" t="s">
        <v>2790</v>
      </c>
      <c r="D3928" s="556" t="s">
        <v>2623</v>
      </c>
      <c r="E3928" s="17" t="s">
        <v>7343</v>
      </c>
      <c r="F3928" s="17">
        <v>226</v>
      </c>
      <c r="G3928" s="17">
        <v>1</v>
      </c>
      <c r="H3928" s="17" t="s">
        <v>8533</v>
      </c>
      <c r="I3928" s="17"/>
      <c r="J3928" s="17"/>
      <c r="K3928" s="17"/>
      <c r="L3928" s="17"/>
      <c r="M3928" s="17"/>
      <c r="N3928" s="17"/>
      <c r="O3928" s="17"/>
      <c r="P3928" s="17"/>
      <c r="Q3928" s="17"/>
    </row>
    <row r="3929" spans="1:17">
      <c r="A3929" s="556" t="s">
        <v>3652</v>
      </c>
      <c r="B3929" s="557" t="s">
        <v>9516</v>
      </c>
      <c r="C3929" s="558" t="s">
        <v>2790</v>
      </c>
      <c r="D3929" s="556" t="s">
        <v>2624</v>
      </c>
      <c r="E3929" s="17" t="s">
        <v>7344</v>
      </c>
      <c r="F3929" s="17">
        <v>226</v>
      </c>
      <c r="G3929" s="17">
        <v>2</v>
      </c>
      <c r="H3929" s="17" t="s">
        <v>8534</v>
      </c>
      <c r="I3929" s="17"/>
      <c r="J3929" s="17"/>
      <c r="K3929" s="17"/>
      <c r="L3929" s="17"/>
      <c r="M3929" s="17"/>
      <c r="N3929" s="17"/>
      <c r="O3929" s="17"/>
      <c r="P3929" s="17"/>
      <c r="Q3929" s="17"/>
    </row>
    <row r="3930" spans="1:17">
      <c r="A3930" s="556" t="s">
        <v>3652</v>
      </c>
      <c r="B3930" s="557" t="s">
        <v>9516</v>
      </c>
      <c r="C3930" s="558" t="s">
        <v>2790</v>
      </c>
      <c r="D3930" s="556" t="s">
        <v>4426</v>
      </c>
      <c r="E3930" s="17" t="s">
        <v>7345</v>
      </c>
      <c r="F3930" s="17">
        <v>226</v>
      </c>
      <c r="G3930" s="17">
        <v>3</v>
      </c>
      <c r="H3930" s="17" t="s">
        <v>8535</v>
      </c>
      <c r="I3930" s="17">
        <v>0</v>
      </c>
      <c r="J3930" s="17"/>
      <c r="K3930" s="17"/>
      <c r="L3930" s="17"/>
      <c r="M3930" s="17"/>
      <c r="N3930" s="17"/>
      <c r="O3930" s="17"/>
      <c r="P3930" s="17"/>
      <c r="Q3930" s="17"/>
    </row>
    <row r="3931" spans="1:17">
      <c r="A3931" s="556" t="s">
        <v>3652</v>
      </c>
      <c r="B3931" s="557" t="s">
        <v>9516</v>
      </c>
      <c r="C3931" s="558" t="s">
        <v>2790</v>
      </c>
      <c r="D3931" s="556" t="s">
        <v>4324</v>
      </c>
      <c r="E3931" s="17" t="s">
        <v>7346</v>
      </c>
      <c r="F3931" s="17">
        <v>226</v>
      </c>
      <c r="G3931" s="17">
        <v>4</v>
      </c>
      <c r="H3931" s="17" t="s">
        <v>8536</v>
      </c>
      <c r="I3931" s="17"/>
      <c r="J3931" s="17"/>
      <c r="K3931" s="17"/>
      <c r="L3931" s="17"/>
      <c r="M3931" s="17"/>
      <c r="N3931" s="17"/>
      <c r="O3931" s="17"/>
      <c r="P3931" s="17"/>
      <c r="Q3931" s="17"/>
    </row>
    <row r="3932" spans="1:17">
      <c r="A3932" s="556" t="s">
        <v>3652</v>
      </c>
      <c r="B3932" s="557" t="s">
        <v>9517</v>
      </c>
      <c r="C3932" s="558" t="s">
        <v>2791</v>
      </c>
      <c r="D3932" s="556" t="s">
        <v>2623</v>
      </c>
      <c r="E3932" s="17" t="s">
        <v>7347</v>
      </c>
      <c r="F3932" s="17">
        <v>227</v>
      </c>
      <c r="G3932" s="17">
        <v>1</v>
      </c>
      <c r="H3932" s="17" t="s">
        <v>8537</v>
      </c>
      <c r="I3932" s="17"/>
      <c r="J3932" s="17"/>
      <c r="K3932" s="17"/>
      <c r="L3932" s="17"/>
      <c r="M3932" s="17"/>
      <c r="N3932" s="17"/>
      <c r="O3932" s="17"/>
      <c r="P3932" s="17"/>
      <c r="Q3932" s="17"/>
    </row>
    <row r="3933" spans="1:17">
      <c r="A3933" s="556" t="s">
        <v>3652</v>
      </c>
      <c r="B3933" s="557" t="s">
        <v>9517</v>
      </c>
      <c r="C3933" s="558" t="s">
        <v>2791</v>
      </c>
      <c r="D3933" s="556" t="s">
        <v>2624</v>
      </c>
      <c r="E3933" s="17" t="s">
        <v>7348</v>
      </c>
      <c r="F3933" s="17">
        <v>227</v>
      </c>
      <c r="G3933" s="17">
        <v>2</v>
      </c>
      <c r="H3933" s="17" t="s">
        <v>8538</v>
      </c>
      <c r="I3933" s="17"/>
      <c r="J3933" s="17"/>
      <c r="K3933" s="17"/>
      <c r="L3933" s="17"/>
      <c r="M3933" s="17"/>
      <c r="N3933" s="17"/>
      <c r="O3933" s="17"/>
      <c r="P3933" s="17"/>
      <c r="Q3933" s="17"/>
    </row>
    <row r="3934" spans="1:17">
      <c r="A3934" s="556" t="s">
        <v>3652</v>
      </c>
      <c r="B3934" s="557" t="s">
        <v>9517</v>
      </c>
      <c r="C3934" s="558" t="s">
        <v>2791</v>
      </c>
      <c r="D3934" s="556" t="s">
        <v>4426</v>
      </c>
      <c r="E3934" s="17" t="s">
        <v>7349</v>
      </c>
      <c r="F3934" s="17">
        <v>227</v>
      </c>
      <c r="G3934" s="17">
        <v>3</v>
      </c>
      <c r="H3934" s="17" t="s">
        <v>8539</v>
      </c>
      <c r="I3934" s="17">
        <v>0</v>
      </c>
      <c r="J3934" s="17"/>
      <c r="K3934" s="17"/>
      <c r="L3934" s="17"/>
      <c r="M3934" s="17"/>
      <c r="N3934" s="17"/>
      <c r="O3934" s="17"/>
      <c r="P3934" s="17"/>
      <c r="Q3934" s="17"/>
    </row>
    <row r="3935" spans="1:17">
      <c r="A3935" s="556" t="s">
        <v>3652</v>
      </c>
      <c r="B3935" s="557" t="s">
        <v>9517</v>
      </c>
      <c r="C3935" s="558" t="s">
        <v>2791</v>
      </c>
      <c r="D3935" s="556" t="s">
        <v>4324</v>
      </c>
      <c r="E3935" s="17" t="s">
        <v>7350</v>
      </c>
      <c r="F3935" s="17">
        <v>227</v>
      </c>
      <c r="G3935" s="17">
        <v>4</v>
      </c>
      <c r="H3935" s="17" t="s">
        <v>8540</v>
      </c>
      <c r="I3935" s="17"/>
      <c r="J3935" s="17"/>
      <c r="K3935" s="17"/>
      <c r="L3935" s="17"/>
      <c r="M3935" s="17"/>
      <c r="N3935" s="17"/>
      <c r="O3935" s="17"/>
      <c r="P3935" s="17"/>
      <c r="Q3935" s="17"/>
    </row>
    <row r="3936" spans="1:17">
      <c r="A3936" s="556" t="s">
        <v>3652</v>
      </c>
      <c r="B3936" s="557" t="s">
        <v>1310</v>
      </c>
      <c r="C3936" s="558" t="s">
        <v>1311</v>
      </c>
      <c r="D3936" s="556" t="s">
        <v>2623</v>
      </c>
      <c r="E3936" s="17" t="s">
        <v>7351</v>
      </c>
      <c r="F3936" s="17">
        <v>228</v>
      </c>
      <c r="G3936" s="17">
        <v>1</v>
      </c>
      <c r="H3936" s="17" t="s">
        <v>8541</v>
      </c>
      <c r="I3936" s="17">
        <v>0</v>
      </c>
      <c r="J3936" s="17"/>
      <c r="K3936" s="17"/>
      <c r="L3936" s="17"/>
      <c r="M3936" s="17"/>
      <c r="N3936" s="17"/>
      <c r="O3936" s="17"/>
      <c r="P3936" s="17"/>
      <c r="Q3936" s="17"/>
    </row>
    <row r="3937" spans="1:17">
      <c r="A3937" s="556" t="s">
        <v>3652</v>
      </c>
      <c r="B3937" s="557" t="s">
        <v>1310</v>
      </c>
      <c r="C3937" s="558" t="s">
        <v>1311</v>
      </c>
      <c r="D3937" s="556" t="s">
        <v>2624</v>
      </c>
      <c r="E3937" s="17" t="s">
        <v>7352</v>
      </c>
      <c r="F3937" s="17">
        <v>228</v>
      </c>
      <c r="G3937" s="17">
        <v>2</v>
      </c>
      <c r="H3937" s="17" t="s">
        <v>8542</v>
      </c>
      <c r="I3937" s="17">
        <v>0</v>
      </c>
      <c r="J3937" s="17"/>
      <c r="K3937" s="17"/>
      <c r="L3937" s="17"/>
      <c r="M3937" s="17"/>
      <c r="N3937" s="17"/>
      <c r="O3937" s="17"/>
      <c r="P3937" s="17"/>
      <c r="Q3937" s="17"/>
    </row>
    <row r="3938" spans="1:17">
      <c r="A3938" s="556" t="s">
        <v>3652</v>
      </c>
      <c r="B3938" s="557" t="s">
        <v>1310</v>
      </c>
      <c r="C3938" s="558" t="s">
        <v>1311</v>
      </c>
      <c r="D3938" s="556" t="s">
        <v>4426</v>
      </c>
      <c r="E3938" s="17" t="s">
        <v>7353</v>
      </c>
      <c r="F3938" s="17">
        <v>228</v>
      </c>
      <c r="G3938" s="17">
        <v>3</v>
      </c>
      <c r="H3938" s="17" t="s">
        <v>8543</v>
      </c>
      <c r="I3938" s="17">
        <v>0</v>
      </c>
      <c r="J3938" s="17"/>
      <c r="K3938" s="17"/>
      <c r="L3938" s="17"/>
      <c r="M3938" s="17"/>
      <c r="N3938" s="17"/>
      <c r="O3938" s="17"/>
      <c r="P3938" s="17"/>
      <c r="Q3938" s="17"/>
    </row>
    <row r="3939" spans="1:17">
      <c r="A3939" s="556" t="s">
        <v>3652</v>
      </c>
      <c r="B3939" s="557" t="s">
        <v>1310</v>
      </c>
      <c r="C3939" s="558" t="s">
        <v>1311</v>
      </c>
      <c r="D3939" s="556" t="s">
        <v>4324</v>
      </c>
      <c r="E3939" s="17" t="s">
        <v>7354</v>
      </c>
      <c r="F3939" s="17">
        <v>228</v>
      </c>
      <c r="G3939" s="17">
        <v>4</v>
      </c>
      <c r="H3939" s="17" t="s">
        <v>8544</v>
      </c>
      <c r="I3939" s="17"/>
      <c r="J3939" s="17"/>
      <c r="K3939" s="17"/>
      <c r="L3939" s="17"/>
      <c r="M3939" s="17"/>
      <c r="N3939" s="17"/>
      <c r="O3939" s="17"/>
      <c r="P3939" s="17"/>
      <c r="Q3939" s="17"/>
    </row>
    <row r="3940" spans="1:17">
      <c r="A3940" s="556" t="s">
        <v>3652</v>
      </c>
      <c r="B3940" s="557" t="s">
        <v>9518</v>
      </c>
      <c r="C3940" s="558" t="s">
        <v>2792</v>
      </c>
      <c r="D3940" s="556" t="s">
        <v>2623</v>
      </c>
      <c r="E3940" s="17" t="s">
        <v>7355</v>
      </c>
      <c r="F3940" s="17">
        <v>229</v>
      </c>
      <c r="G3940" s="17">
        <v>1</v>
      </c>
      <c r="H3940" s="17" t="s">
        <v>8545</v>
      </c>
      <c r="I3940" s="17"/>
      <c r="J3940" s="17"/>
      <c r="K3940" s="17"/>
      <c r="L3940" s="17"/>
      <c r="M3940" s="17"/>
      <c r="N3940" s="17"/>
      <c r="O3940" s="17"/>
      <c r="P3940" s="17"/>
      <c r="Q3940" s="17"/>
    </row>
    <row r="3941" spans="1:17">
      <c r="A3941" s="556" t="s">
        <v>3652</v>
      </c>
      <c r="B3941" s="557" t="s">
        <v>9518</v>
      </c>
      <c r="C3941" s="558" t="s">
        <v>2792</v>
      </c>
      <c r="D3941" s="556" t="s">
        <v>2624</v>
      </c>
      <c r="E3941" s="17" t="s">
        <v>7356</v>
      </c>
      <c r="F3941" s="17">
        <v>229</v>
      </c>
      <c r="G3941" s="17">
        <v>2</v>
      </c>
      <c r="H3941" s="17" t="s">
        <v>8546</v>
      </c>
      <c r="I3941" s="17"/>
      <c r="J3941" s="17"/>
      <c r="K3941" s="17"/>
      <c r="L3941" s="17"/>
      <c r="M3941" s="17"/>
      <c r="N3941" s="17"/>
      <c r="O3941" s="17"/>
      <c r="P3941" s="17"/>
      <c r="Q3941" s="17"/>
    </row>
    <row r="3942" spans="1:17">
      <c r="A3942" s="556" t="s">
        <v>3652</v>
      </c>
      <c r="B3942" s="557" t="s">
        <v>9518</v>
      </c>
      <c r="C3942" s="558" t="s">
        <v>2792</v>
      </c>
      <c r="D3942" s="556" t="s">
        <v>4426</v>
      </c>
      <c r="E3942" s="17" t="s">
        <v>7357</v>
      </c>
      <c r="F3942" s="17">
        <v>229</v>
      </c>
      <c r="G3942" s="17">
        <v>3</v>
      </c>
      <c r="H3942" s="17" t="s">
        <v>8547</v>
      </c>
      <c r="I3942" s="17">
        <v>0</v>
      </c>
      <c r="J3942" s="17"/>
      <c r="K3942" s="17"/>
      <c r="L3942" s="17"/>
      <c r="M3942" s="17"/>
      <c r="N3942" s="17"/>
      <c r="O3942" s="17"/>
      <c r="P3942" s="17"/>
      <c r="Q3942" s="17"/>
    </row>
    <row r="3943" spans="1:17">
      <c r="A3943" s="556" t="s">
        <v>3652</v>
      </c>
      <c r="B3943" s="557" t="s">
        <v>9518</v>
      </c>
      <c r="C3943" s="558" t="s">
        <v>2792</v>
      </c>
      <c r="D3943" s="556" t="s">
        <v>4324</v>
      </c>
      <c r="E3943" s="17" t="s">
        <v>7358</v>
      </c>
      <c r="F3943" s="17">
        <v>229</v>
      </c>
      <c r="G3943" s="17">
        <v>4</v>
      </c>
      <c r="H3943" s="17" t="s">
        <v>8548</v>
      </c>
      <c r="I3943" s="17"/>
      <c r="J3943" s="17"/>
      <c r="K3943" s="17"/>
      <c r="L3943" s="17"/>
      <c r="M3943" s="17"/>
      <c r="N3943" s="17"/>
      <c r="O3943" s="17"/>
      <c r="P3943" s="17"/>
      <c r="Q3943" s="17"/>
    </row>
    <row r="3944" spans="1:17">
      <c r="A3944" s="556" t="s">
        <v>3652</v>
      </c>
      <c r="B3944" s="557" t="s">
        <v>9519</v>
      </c>
      <c r="C3944" s="558" t="s">
        <v>2793</v>
      </c>
      <c r="D3944" s="556" t="s">
        <v>2623</v>
      </c>
      <c r="E3944" s="17" t="s">
        <v>7359</v>
      </c>
      <c r="F3944" s="17">
        <v>230</v>
      </c>
      <c r="G3944" s="17">
        <v>1</v>
      </c>
      <c r="H3944" s="17" t="s">
        <v>8549</v>
      </c>
      <c r="I3944" s="17"/>
      <c r="J3944" s="17"/>
      <c r="K3944" s="17"/>
      <c r="L3944" s="17"/>
      <c r="M3944" s="17"/>
      <c r="N3944" s="17"/>
      <c r="O3944" s="17"/>
      <c r="P3944" s="17"/>
      <c r="Q3944" s="17"/>
    </row>
    <row r="3945" spans="1:17">
      <c r="A3945" s="556" t="s">
        <v>3652</v>
      </c>
      <c r="B3945" s="557" t="s">
        <v>9519</v>
      </c>
      <c r="C3945" s="558" t="s">
        <v>2793</v>
      </c>
      <c r="D3945" s="556" t="s">
        <v>2624</v>
      </c>
      <c r="E3945" s="17" t="s">
        <v>7360</v>
      </c>
      <c r="F3945" s="17">
        <v>230</v>
      </c>
      <c r="G3945" s="17">
        <v>2</v>
      </c>
      <c r="H3945" s="17" t="s">
        <v>8550</v>
      </c>
      <c r="I3945" s="17"/>
      <c r="J3945" s="17"/>
      <c r="K3945" s="17"/>
      <c r="L3945" s="17"/>
      <c r="M3945" s="17"/>
      <c r="N3945" s="17"/>
      <c r="O3945" s="17"/>
      <c r="P3945" s="17"/>
      <c r="Q3945" s="17"/>
    </row>
    <row r="3946" spans="1:17">
      <c r="A3946" s="556" t="s">
        <v>3652</v>
      </c>
      <c r="B3946" s="557" t="s">
        <v>9519</v>
      </c>
      <c r="C3946" s="558" t="s">
        <v>2793</v>
      </c>
      <c r="D3946" s="556" t="s">
        <v>4426</v>
      </c>
      <c r="E3946" s="17" t="s">
        <v>7361</v>
      </c>
      <c r="F3946" s="17">
        <v>230</v>
      </c>
      <c r="G3946" s="17">
        <v>3</v>
      </c>
      <c r="H3946" s="17" t="s">
        <v>8551</v>
      </c>
      <c r="I3946" s="17">
        <v>0</v>
      </c>
      <c r="J3946" s="17"/>
      <c r="K3946" s="17"/>
      <c r="L3946" s="17"/>
      <c r="M3946" s="17"/>
      <c r="N3946" s="17"/>
      <c r="O3946" s="17"/>
      <c r="P3946" s="17"/>
      <c r="Q3946" s="17"/>
    </row>
    <row r="3947" spans="1:17">
      <c r="A3947" s="556" t="s">
        <v>3652</v>
      </c>
      <c r="B3947" s="557" t="s">
        <v>9519</v>
      </c>
      <c r="C3947" s="558" t="s">
        <v>2793</v>
      </c>
      <c r="D3947" s="556" t="s">
        <v>4324</v>
      </c>
      <c r="E3947" s="17" t="s">
        <v>7362</v>
      </c>
      <c r="F3947" s="17">
        <v>230</v>
      </c>
      <c r="G3947" s="17">
        <v>4</v>
      </c>
      <c r="H3947" s="17" t="s">
        <v>8552</v>
      </c>
      <c r="I3947" s="17"/>
      <c r="J3947" s="17"/>
      <c r="K3947" s="17"/>
      <c r="L3947" s="17"/>
      <c r="M3947" s="17"/>
      <c r="N3947" s="17"/>
      <c r="O3947" s="17"/>
      <c r="P3947" s="17"/>
      <c r="Q3947" s="17"/>
    </row>
    <row r="3948" spans="1:17">
      <c r="A3948" s="556" t="s">
        <v>3652</v>
      </c>
      <c r="B3948" s="557" t="s">
        <v>9520</v>
      </c>
      <c r="C3948" s="558" t="s">
        <v>2794</v>
      </c>
      <c r="D3948" s="556" t="s">
        <v>2623</v>
      </c>
      <c r="E3948" s="17" t="s">
        <v>7363</v>
      </c>
      <c r="F3948" s="17">
        <v>231</v>
      </c>
      <c r="G3948" s="17">
        <v>1</v>
      </c>
      <c r="H3948" s="17" t="s">
        <v>8553</v>
      </c>
      <c r="I3948" s="17"/>
      <c r="J3948" s="17"/>
      <c r="K3948" s="17"/>
      <c r="L3948" s="17"/>
      <c r="M3948" s="17"/>
      <c r="N3948" s="17"/>
      <c r="O3948" s="17"/>
      <c r="P3948" s="17"/>
      <c r="Q3948" s="17"/>
    </row>
    <row r="3949" spans="1:17">
      <c r="A3949" s="556" t="s">
        <v>3652</v>
      </c>
      <c r="B3949" s="557" t="s">
        <v>9520</v>
      </c>
      <c r="C3949" s="558" t="s">
        <v>2794</v>
      </c>
      <c r="D3949" s="556" t="s">
        <v>2624</v>
      </c>
      <c r="E3949" s="17" t="s">
        <v>7364</v>
      </c>
      <c r="F3949" s="17">
        <v>231</v>
      </c>
      <c r="G3949" s="17">
        <v>2</v>
      </c>
      <c r="H3949" s="17" t="s">
        <v>8554</v>
      </c>
      <c r="I3949" s="17"/>
      <c r="J3949" s="17"/>
      <c r="K3949" s="17"/>
      <c r="L3949" s="17"/>
      <c r="M3949" s="17"/>
      <c r="N3949" s="17"/>
      <c r="O3949" s="17"/>
      <c r="P3949" s="17"/>
      <c r="Q3949" s="17"/>
    </row>
    <row r="3950" spans="1:17">
      <c r="A3950" s="556" t="s">
        <v>3652</v>
      </c>
      <c r="B3950" s="557" t="s">
        <v>9520</v>
      </c>
      <c r="C3950" s="558" t="s">
        <v>2794</v>
      </c>
      <c r="D3950" s="556" t="s">
        <v>4426</v>
      </c>
      <c r="E3950" s="17" t="s">
        <v>7365</v>
      </c>
      <c r="F3950" s="17">
        <v>231</v>
      </c>
      <c r="G3950" s="17">
        <v>3</v>
      </c>
      <c r="H3950" s="17" t="s">
        <v>8555</v>
      </c>
      <c r="I3950" s="17">
        <v>0</v>
      </c>
      <c r="J3950" s="17"/>
      <c r="K3950" s="17"/>
      <c r="L3950" s="17"/>
      <c r="M3950" s="17"/>
      <c r="N3950" s="17"/>
      <c r="O3950" s="17"/>
      <c r="P3950" s="17"/>
      <c r="Q3950" s="17"/>
    </row>
    <row r="3951" spans="1:17">
      <c r="A3951" s="556" t="s">
        <v>3652</v>
      </c>
      <c r="B3951" s="557" t="s">
        <v>9520</v>
      </c>
      <c r="C3951" s="558" t="s">
        <v>2794</v>
      </c>
      <c r="D3951" s="556" t="s">
        <v>4324</v>
      </c>
      <c r="E3951" s="17" t="s">
        <v>7366</v>
      </c>
      <c r="F3951" s="17">
        <v>231</v>
      </c>
      <c r="G3951" s="17">
        <v>4</v>
      </c>
      <c r="H3951" s="17" t="s">
        <v>8556</v>
      </c>
      <c r="I3951" s="17"/>
      <c r="J3951" s="17"/>
      <c r="K3951" s="17"/>
      <c r="L3951" s="17"/>
      <c r="M3951" s="17"/>
      <c r="N3951" s="17"/>
      <c r="O3951" s="17"/>
      <c r="P3951" s="17"/>
      <c r="Q3951" s="17"/>
    </row>
    <row r="3952" spans="1:17">
      <c r="A3952" s="556" t="s">
        <v>3652</v>
      </c>
      <c r="B3952" s="557" t="s">
        <v>9521</v>
      </c>
      <c r="C3952" s="558" t="s">
        <v>2795</v>
      </c>
      <c r="D3952" s="556" t="s">
        <v>2623</v>
      </c>
      <c r="E3952" s="17" t="s">
        <v>7367</v>
      </c>
      <c r="F3952" s="17">
        <v>232</v>
      </c>
      <c r="G3952" s="17">
        <v>1</v>
      </c>
      <c r="H3952" s="17" t="s">
        <v>8766</v>
      </c>
      <c r="I3952" s="17"/>
      <c r="J3952" s="17"/>
      <c r="K3952" s="17"/>
      <c r="L3952" s="17"/>
      <c r="M3952" s="17"/>
      <c r="N3952" s="17"/>
      <c r="O3952" s="17"/>
      <c r="P3952" s="17"/>
      <c r="Q3952" s="17"/>
    </row>
    <row r="3953" spans="1:17">
      <c r="A3953" s="556" t="s">
        <v>3652</v>
      </c>
      <c r="B3953" s="557" t="s">
        <v>9521</v>
      </c>
      <c r="C3953" s="558" t="s">
        <v>2795</v>
      </c>
      <c r="D3953" s="556" t="s">
        <v>2624</v>
      </c>
      <c r="E3953" s="17" t="s">
        <v>7368</v>
      </c>
      <c r="F3953" s="17">
        <v>232</v>
      </c>
      <c r="G3953" s="17">
        <v>2</v>
      </c>
      <c r="H3953" s="17" t="s">
        <v>8767</v>
      </c>
      <c r="I3953" s="17"/>
      <c r="J3953" s="17"/>
      <c r="K3953" s="17"/>
      <c r="L3953" s="17"/>
      <c r="M3953" s="17"/>
      <c r="N3953" s="17"/>
      <c r="O3953" s="17"/>
      <c r="P3953" s="17"/>
      <c r="Q3953" s="17"/>
    </row>
    <row r="3954" spans="1:17">
      <c r="A3954" s="556" t="s">
        <v>3652</v>
      </c>
      <c r="B3954" s="557" t="s">
        <v>9521</v>
      </c>
      <c r="C3954" s="558" t="s">
        <v>2795</v>
      </c>
      <c r="D3954" s="556" t="s">
        <v>4426</v>
      </c>
      <c r="E3954" s="17" t="s">
        <v>7369</v>
      </c>
      <c r="F3954" s="17">
        <v>232</v>
      </c>
      <c r="G3954" s="17">
        <v>3</v>
      </c>
      <c r="H3954" s="17" t="s">
        <v>8768</v>
      </c>
      <c r="I3954" s="17">
        <v>0</v>
      </c>
      <c r="J3954" s="17"/>
      <c r="K3954" s="17"/>
      <c r="L3954" s="17"/>
      <c r="M3954" s="17"/>
      <c r="N3954" s="17"/>
      <c r="O3954" s="17"/>
      <c r="P3954" s="17"/>
      <c r="Q3954" s="17"/>
    </row>
    <row r="3955" spans="1:17">
      <c r="A3955" s="556" t="s">
        <v>3652</v>
      </c>
      <c r="B3955" s="557" t="s">
        <v>9521</v>
      </c>
      <c r="C3955" s="558" t="s">
        <v>2795</v>
      </c>
      <c r="D3955" s="556" t="s">
        <v>4324</v>
      </c>
      <c r="E3955" s="17" t="s">
        <v>7370</v>
      </c>
      <c r="F3955" s="17">
        <v>232</v>
      </c>
      <c r="G3955" s="17">
        <v>4</v>
      </c>
      <c r="H3955" s="17" t="s">
        <v>8769</v>
      </c>
      <c r="I3955" s="17"/>
      <c r="J3955" s="17"/>
      <c r="K3955" s="17"/>
      <c r="L3955" s="17"/>
      <c r="M3955" s="17"/>
      <c r="N3955" s="17"/>
      <c r="O3955" s="17"/>
      <c r="P3955" s="17"/>
      <c r="Q3955" s="17"/>
    </row>
    <row r="3956" spans="1:17">
      <c r="A3956" s="556" t="s">
        <v>3652</v>
      </c>
      <c r="B3956" s="557" t="s">
        <v>9522</v>
      </c>
      <c r="C3956" s="558" t="s">
        <v>2796</v>
      </c>
      <c r="D3956" s="556" t="s">
        <v>2623</v>
      </c>
      <c r="E3956" s="17" t="s">
        <v>7371</v>
      </c>
      <c r="F3956" s="17">
        <v>233</v>
      </c>
      <c r="G3956" s="17">
        <v>1</v>
      </c>
      <c r="H3956" s="17" t="s">
        <v>8770</v>
      </c>
      <c r="I3956" s="17"/>
      <c r="J3956" s="17"/>
      <c r="K3956" s="17"/>
      <c r="L3956" s="17"/>
      <c r="M3956" s="17"/>
      <c r="N3956" s="17"/>
      <c r="O3956" s="17"/>
      <c r="P3956" s="17"/>
      <c r="Q3956" s="17"/>
    </row>
    <row r="3957" spans="1:17">
      <c r="A3957" s="556" t="s">
        <v>3652</v>
      </c>
      <c r="B3957" s="557" t="s">
        <v>9522</v>
      </c>
      <c r="C3957" s="558" t="s">
        <v>2796</v>
      </c>
      <c r="D3957" s="556" t="s">
        <v>2624</v>
      </c>
      <c r="E3957" s="17" t="s">
        <v>7372</v>
      </c>
      <c r="F3957" s="17">
        <v>233</v>
      </c>
      <c r="G3957" s="17">
        <v>2</v>
      </c>
      <c r="H3957" s="17" t="s">
        <v>8771</v>
      </c>
      <c r="I3957" s="17"/>
      <c r="J3957" s="17"/>
      <c r="K3957" s="17"/>
      <c r="L3957" s="17"/>
      <c r="M3957" s="17"/>
      <c r="N3957" s="17"/>
      <c r="O3957" s="17"/>
      <c r="P3957" s="17"/>
      <c r="Q3957" s="17"/>
    </row>
    <row r="3958" spans="1:17">
      <c r="A3958" s="556" t="s">
        <v>3652</v>
      </c>
      <c r="B3958" s="557" t="s">
        <v>9522</v>
      </c>
      <c r="C3958" s="558" t="s">
        <v>2796</v>
      </c>
      <c r="D3958" s="556" t="s">
        <v>4426</v>
      </c>
      <c r="E3958" s="17" t="s">
        <v>7373</v>
      </c>
      <c r="F3958" s="17">
        <v>233</v>
      </c>
      <c r="G3958" s="17">
        <v>3</v>
      </c>
      <c r="H3958" s="17" t="s">
        <v>8772</v>
      </c>
      <c r="I3958" s="17">
        <v>0</v>
      </c>
      <c r="J3958" s="17"/>
      <c r="K3958" s="17"/>
      <c r="L3958" s="17"/>
      <c r="M3958" s="17"/>
      <c r="N3958" s="17"/>
      <c r="O3958" s="17"/>
      <c r="P3958" s="17"/>
      <c r="Q3958" s="17"/>
    </row>
    <row r="3959" spans="1:17">
      <c r="A3959" s="556" t="s">
        <v>3652</v>
      </c>
      <c r="B3959" s="557" t="s">
        <v>9522</v>
      </c>
      <c r="C3959" s="558" t="s">
        <v>2796</v>
      </c>
      <c r="D3959" s="556" t="s">
        <v>4324</v>
      </c>
      <c r="E3959" s="17" t="s">
        <v>7374</v>
      </c>
      <c r="F3959" s="17">
        <v>233</v>
      </c>
      <c r="G3959" s="17">
        <v>4</v>
      </c>
      <c r="H3959" s="17" t="s">
        <v>8773</v>
      </c>
      <c r="I3959" s="17"/>
      <c r="J3959" s="17"/>
      <c r="K3959" s="17"/>
      <c r="L3959" s="17"/>
      <c r="M3959" s="17"/>
      <c r="N3959" s="17"/>
      <c r="O3959" s="17"/>
      <c r="P3959" s="17"/>
      <c r="Q3959" s="17"/>
    </row>
    <row r="3960" spans="1:17">
      <c r="A3960" s="556" t="s">
        <v>3652</v>
      </c>
      <c r="B3960" s="557" t="s">
        <v>9523</v>
      </c>
      <c r="C3960" s="558" t="s">
        <v>2797</v>
      </c>
      <c r="D3960" s="556" t="s">
        <v>2623</v>
      </c>
      <c r="E3960" s="17" t="s">
        <v>7375</v>
      </c>
      <c r="F3960" s="17">
        <v>234</v>
      </c>
      <c r="G3960" s="17">
        <v>1</v>
      </c>
      <c r="H3960" s="17" t="s">
        <v>8774</v>
      </c>
      <c r="I3960" s="17"/>
      <c r="J3960" s="17"/>
      <c r="K3960" s="17"/>
      <c r="L3960" s="17"/>
      <c r="M3960" s="17"/>
      <c r="N3960" s="17"/>
      <c r="O3960" s="17"/>
      <c r="P3960" s="17"/>
      <c r="Q3960" s="17"/>
    </row>
    <row r="3961" spans="1:17">
      <c r="A3961" s="556" t="s">
        <v>3652</v>
      </c>
      <c r="B3961" s="557" t="s">
        <v>9523</v>
      </c>
      <c r="C3961" s="558" t="s">
        <v>2797</v>
      </c>
      <c r="D3961" s="556" t="s">
        <v>2624</v>
      </c>
      <c r="E3961" s="17" t="s">
        <v>7376</v>
      </c>
      <c r="F3961" s="17">
        <v>234</v>
      </c>
      <c r="G3961" s="17">
        <v>2</v>
      </c>
      <c r="H3961" s="17" t="s">
        <v>8775</v>
      </c>
      <c r="I3961" s="17"/>
      <c r="J3961" s="17"/>
      <c r="K3961" s="17"/>
      <c r="L3961" s="17"/>
      <c r="M3961" s="17"/>
      <c r="N3961" s="17"/>
      <c r="O3961" s="17"/>
      <c r="P3961" s="17"/>
      <c r="Q3961" s="17"/>
    </row>
    <row r="3962" spans="1:17">
      <c r="A3962" s="556" t="s">
        <v>3652</v>
      </c>
      <c r="B3962" s="557" t="s">
        <v>9523</v>
      </c>
      <c r="C3962" s="558" t="s">
        <v>2797</v>
      </c>
      <c r="D3962" s="556" t="s">
        <v>4426</v>
      </c>
      <c r="E3962" s="17" t="s">
        <v>7377</v>
      </c>
      <c r="F3962" s="17">
        <v>234</v>
      </c>
      <c r="G3962" s="17">
        <v>3</v>
      </c>
      <c r="H3962" s="17" t="s">
        <v>8776</v>
      </c>
      <c r="I3962" s="17">
        <v>0</v>
      </c>
      <c r="J3962" s="17"/>
      <c r="K3962" s="17"/>
      <c r="L3962" s="17"/>
      <c r="M3962" s="17"/>
      <c r="N3962" s="17"/>
      <c r="O3962" s="17"/>
      <c r="P3962" s="17"/>
      <c r="Q3962" s="17"/>
    </row>
    <row r="3963" spans="1:17">
      <c r="A3963" s="556" t="s">
        <v>3652</v>
      </c>
      <c r="B3963" s="557" t="s">
        <v>9523</v>
      </c>
      <c r="C3963" s="558" t="s">
        <v>2797</v>
      </c>
      <c r="D3963" s="556" t="s">
        <v>4324</v>
      </c>
      <c r="E3963" s="17" t="s">
        <v>7378</v>
      </c>
      <c r="F3963" s="17">
        <v>234</v>
      </c>
      <c r="G3963" s="17">
        <v>4</v>
      </c>
      <c r="H3963" s="17" t="s">
        <v>8777</v>
      </c>
      <c r="I3963" s="17"/>
      <c r="J3963" s="17"/>
      <c r="K3963" s="17"/>
      <c r="L3963" s="17"/>
      <c r="M3963" s="17"/>
      <c r="N3963" s="17"/>
      <c r="O3963" s="17"/>
      <c r="P3963" s="17"/>
      <c r="Q3963" s="17"/>
    </row>
    <row r="3964" spans="1:17">
      <c r="A3964" s="556" t="s">
        <v>3652</v>
      </c>
      <c r="B3964" s="557" t="s">
        <v>9524</v>
      </c>
      <c r="C3964" s="558" t="s">
        <v>2798</v>
      </c>
      <c r="D3964" s="556" t="s">
        <v>2623</v>
      </c>
      <c r="E3964" s="17" t="s">
        <v>7379</v>
      </c>
      <c r="F3964" s="17">
        <v>235</v>
      </c>
      <c r="G3964" s="17">
        <v>1</v>
      </c>
      <c r="H3964" s="17" t="s">
        <v>8778</v>
      </c>
      <c r="I3964" s="17"/>
      <c r="J3964" s="17"/>
      <c r="K3964" s="17"/>
      <c r="L3964" s="17"/>
      <c r="M3964" s="17"/>
      <c r="N3964" s="17"/>
      <c r="O3964" s="17"/>
      <c r="P3964" s="17"/>
      <c r="Q3964" s="17"/>
    </row>
    <row r="3965" spans="1:17">
      <c r="A3965" s="556" t="s">
        <v>3652</v>
      </c>
      <c r="B3965" s="557" t="s">
        <v>9524</v>
      </c>
      <c r="C3965" s="558" t="s">
        <v>2798</v>
      </c>
      <c r="D3965" s="556" t="s">
        <v>2624</v>
      </c>
      <c r="E3965" s="17" t="s">
        <v>7380</v>
      </c>
      <c r="F3965" s="17">
        <v>235</v>
      </c>
      <c r="G3965" s="17">
        <v>2</v>
      </c>
      <c r="H3965" s="17" t="s">
        <v>8779</v>
      </c>
      <c r="I3965" s="17"/>
      <c r="J3965" s="17"/>
      <c r="K3965" s="17"/>
      <c r="L3965" s="17"/>
      <c r="M3965" s="17"/>
      <c r="N3965" s="17"/>
      <c r="O3965" s="17"/>
      <c r="P3965" s="17"/>
      <c r="Q3965" s="17"/>
    </row>
    <row r="3966" spans="1:17">
      <c r="A3966" s="556" t="s">
        <v>3652</v>
      </c>
      <c r="B3966" s="557" t="s">
        <v>9524</v>
      </c>
      <c r="C3966" s="558" t="s">
        <v>2798</v>
      </c>
      <c r="D3966" s="556" t="s">
        <v>4426</v>
      </c>
      <c r="E3966" s="17" t="s">
        <v>7381</v>
      </c>
      <c r="F3966" s="17">
        <v>235</v>
      </c>
      <c r="G3966" s="17">
        <v>3</v>
      </c>
      <c r="H3966" s="17" t="s">
        <v>8780</v>
      </c>
      <c r="I3966" s="17">
        <v>0</v>
      </c>
      <c r="J3966" s="17"/>
      <c r="K3966" s="17"/>
      <c r="L3966" s="17"/>
      <c r="M3966" s="17"/>
      <c r="N3966" s="17"/>
      <c r="O3966" s="17"/>
      <c r="P3966" s="17"/>
      <c r="Q3966" s="17"/>
    </row>
    <row r="3967" spans="1:17">
      <c r="A3967" s="556" t="s">
        <v>3652</v>
      </c>
      <c r="B3967" s="557" t="s">
        <v>9524</v>
      </c>
      <c r="C3967" s="558" t="s">
        <v>2798</v>
      </c>
      <c r="D3967" s="556" t="s">
        <v>4324</v>
      </c>
      <c r="E3967" s="17" t="s">
        <v>7382</v>
      </c>
      <c r="F3967" s="17">
        <v>235</v>
      </c>
      <c r="G3967" s="17">
        <v>4</v>
      </c>
      <c r="H3967" s="17" t="s">
        <v>8781</v>
      </c>
      <c r="I3967" s="17"/>
      <c r="J3967" s="17"/>
      <c r="K3967" s="17"/>
      <c r="L3967" s="17"/>
      <c r="M3967" s="17"/>
      <c r="N3967" s="17"/>
      <c r="O3967" s="17"/>
      <c r="P3967" s="17"/>
      <c r="Q3967" s="17"/>
    </row>
    <row r="3968" spans="1:17">
      <c r="A3968" s="556" t="s">
        <v>3652</v>
      </c>
      <c r="B3968" s="557" t="s">
        <v>9525</v>
      </c>
      <c r="C3968" s="558" t="s">
        <v>2799</v>
      </c>
      <c r="D3968" s="556" t="s">
        <v>2623</v>
      </c>
      <c r="E3968" s="17" t="s">
        <v>7383</v>
      </c>
      <c r="F3968" s="17">
        <v>236</v>
      </c>
      <c r="G3968" s="17">
        <v>1</v>
      </c>
      <c r="H3968" s="17" t="s">
        <v>8782</v>
      </c>
      <c r="I3968" s="17"/>
      <c r="J3968" s="17"/>
      <c r="K3968" s="17"/>
      <c r="L3968" s="17"/>
      <c r="M3968" s="17"/>
      <c r="N3968" s="17"/>
      <c r="O3968" s="17"/>
      <c r="P3968" s="17"/>
      <c r="Q3968" s="17"/>
    </row>
    <row r="3969" spans="1:17">
      <c r="A3969" s="556" t="s">
        <v>3652</v>
      </c>
      <c r="B3969" s="557" t="s">
        <v>9525</v>
      </c>
      <c r="C3969" s="558" t="s">
        <v>2799</v>
      </c>
      <c r="D3969" s="556" t="s">
        <v>2624</v>
      </c>
      <c r="E3969" s="17" t="s">
        <v>7384</v>
      </c>
      <c r="F3969" s="17">
        <v>236</v>
      </c>
      <c r="G3969" s="17">
        <v>2</v>
      </c>
      <c r="H3969" s="17" t="s">
        <v>8783</v>
      </c>
      <c r="I3969" s="17"/>
      <c r="J3969" s="17"/>
      <c r="K3969" s="17"/>
      <c r="L3969" s="17"/>
      <c r="M3969" s="17"/>
      <c r="N3969" s="17"/>
      <c r="O3969" s="17"/>
      <c r="P3969" s="17"/>
      <c r="Q3969" s="17"/>
    </row>
    <row r="3970" spans="1:17">
      <c r="A3970" s="556" t="s">
        <v>3652</v>
      </c>
      <c r="B3970" s="557" t="s">
        <v>9525</v>
      </c>
      <c r="C3970" s="558" t="s">
        <v>2799</v>
      </c>
      <c r="D3970" s="556" t="s">
        <v>4426</v>
      </c>
      <c r="E3970" s="17" t="s">
        <v>7385</v>
      </c>
      <c r="F3970" s="17">
        <v>236</v>
      </c>
      <c r="G3970" s="17">
        <v>3</v>
      </c>
      <c r="H3970" s="17" t="s">
        <v>8784</v>
      </c>
      <c r="I3970" s="17">
        <v>0</v>
      </c>
      <c r="J3970" s="17"/>
      <c r="K3970" s="17"/>
      <c r="L3970" s="17"/>
      <c r="M3970" s="17"/>
      <c r="N3970" s="17"/>
      <c r="O3970" s="17"/>
      <c r="P3970" s="17"/>
      <c r="Q3970" s="17"/>
    </row>
    <row r="3971" spans="1:17">
      <c r="A3971" s="556" t="s">
        <v>3652</v>
      </c>
      <c r="B3971" s="557" t="s">
        <v>9525</v>
      </c>
      <c r="C3971" s="558" t="s">
        <v>2799</v>
      </c>
      <c r="D3971" s="556" t="s">
        <v>4324</v>
      </c>
      <c r="E3971" s="17" t="s">
        <v>7386</v>
      </c>
      <c r="F3971" s="17">
        <v>236</v>
      </c>
      <c r="G3971" s="17">
        <v>4</v>
      </c>
      <c r="H3971" s="17" t="s">
        <v>8785</v>
      </c>
      <c r="I3971" s="17"/>
      <c r="J3971" s="17"/>
      <c r="K3971" s="17"/>
      <c r="L3971" s="17"/>
      <c r="M3971" s="17"/>
      <c r="N3971" s="17"/>
      <c r="O3971" s="17"/>
      <c r="P3971" s="17"/>
      <c r="Q3971" s="17"/>
    </row>
    <row r="3972" spans="1:17">
      <c r="A3972" s="556" t="s">
        <v>3652</v>
      </c>
      <c r="B3972" s="557" t="s">
        <v>9526</v>
      </c>
      <c r="C3972" s="558" t="s">
        <v>2324</v>
      </c>
      <c r="D3972" s="556" t="s">
        <v>2623</v>
      </c>
      <c r="E3972" s="17" t="s">
        <v>7387</v>
      </c>
      <c r="F3972" s="17">
        <v>237</v>
      </c>
      <c r="G3972" s="17">
        <v>1</v>
      </c>
      <c r="H3972" s="17" t="s">
        <v>8786</v>
      </c>
      <c r="I3972" s="17"/>
      <c r="J3972" s="17"/>
      <c r="K3972" s="17"/>
      <c r="L3972" s="17"/>
      <c r="M3972" s="17"/>
      <c r="N3972" s="17"/>
      <c r="O3972" s="17"/>
      <c r="P3972" s="17"/>
      <c r="Q3972" s="17"/>
    </row>
    <row r="3973" spans="1:17">
      <c r="A3973" s="556" t="s">
        <v>3652</v>
      </c>
      <c r="B3973" s="557" t="s">
        <v>9526</v>
      </c>
      <c r="C3973" s="558" t="s">
        <v>2324</v>
      </c>
      <c r="D3973" s="556" t="s">
        <v>2624</v>
      </c>
      <c r="E3973" s="17" t="s">
        <v>7388</v>
      </c>
      <c r="F3973" s="17">
        <v>237</v>
      </c>
      <c r="G3973" s="17">
        <v>2</v>
      </c>
      <c r="H3973" s="17" t="s">
        <v>8787</v>
      </c>
      <c r="I3973" s="17"/>
      <c r="J3973" s="17"/>
      <c r="K3973" s="17"/>
      <c r="L3973" s="17"/>
      <c r="M3973" s="17"/>
      <c r="N3973" s="17"/>
      <c r="O3973" s="17"/>
      <c r="P3973" s="17"/>
      <c r="Q3973" s="17"/>
    </row>
    <row r="3974" spans="1:17">
      <c r="A3974" s="556" t="s">
        <v>3652</v>
      </c>
      <c r="B3974" s="557" t="s">
        <v>9526</v>
      </c>
      <c r="C3974" s="558" t="s">
        <v>2324</v>
      </c>
      <c r="D3974" s="556" t="s">
        <v>4426</v>
      </c>
      <c r="E3974" s="17" t="s">
        <v>7389</v>
      </c>
      <c r="F3974" s="17">
        <v>237</v>
      </c>
      <c r="G3974" s="17">
        <v>3</v>
      </c>
      <c r="H3974" s="17" t="s">
        <v>8788</v>
      </c>
      <c r="I3974" s="17">
        <v>0</v>
      </c>
      <c r="J3974" s="17"/>
      <c r="K3974" s="17"/>
      <c r="L3974" s="17"/>
      <c r="M3974" s="17"/>
      <c r="N3974" s="17"/>
      <c r="O3974" s="17"/>
      <c r="P3974" s="17"/>
      <c r="Q3974" s="17"/>
    </row>
    <row r="3975" spans="1:17">
      <c r="A3975" s="556" t="s">
        <v>3652</v>
      </c>
      <c r="B3975" s="557" t="s">
        <v>9526</v>
      </c>
      <c r="C3975" s="558" t="s">
        <v>2324</v>
      </c>
      <c r="D3975" s="556" t="s">
        <v>4324</v>
      </c>
      <c r="E3975" s="17" t="s">
        <v>7390</v>
      </c>
      <c r="F3975" s="17">
        <v>237</v>
      </c>
      <c r="G3975" s="17">
        <v>4</v>
      </c>
      <c r="H3975" s="17" t="s">
        <v>8789</v>
      </c>
      <c r="I3975" s="17"/>
      <c r="J3975" s="17"/>
      <c r="K3975" s="17"/>
      <c r="L3975" s="17"/>
      <c r="M3975" s="17"/>
      <c r="N3975" s="17"/>
      <c r="O3975" s="17"/>
      <c r="P3975" s="17"/>
      <c r="Q3975" s="17"/>
    </row>
    <row r="3976" spans="1:17">
      <c r="A3976" s="556" t="s">
        <v>3652</v>
      </c>
      <c r="B3976" s="557" t="s">
        <v>9527</v>
      </c>
      <c r="C3976" s="558" t="s">
        <v>2800</v>
      </c>
      <c r="D3976" s="556" t="s">
        <v>2623</v>
      </c>
      <c r="E3976" s="17" t="s">
        <v>7391</v>
      </c>
      <c r="F3976" s="17">
        <v>238</v>
      </c>
      <c r="G3976" s="17">
        <v>1</v>
      </c>
      <c r="H3976" s="17" t="s">
        <v>8790</v>
      </c>
      <c r="I3976" s="17"/>
      <c r="J3976" s="17"/>
      <c r="K3976" s="17"/>
      <c r="L3976" s="17"/>
      <c r="M3976" s="17"/>
      <c r="N3976" s="17"/>
      <c r="O3976" s="17"/>
      <c r="P3976" s="17"/>
      <c r="Q3976" s="17"/>
    </row>
    <row r="3977" spans="1:17">
      <c r="A3977" s="556" t="s">
        <v>3652</v>
      </c>
      <c r="B3977" s="557" t="s">
        <v>9527</v>
      </c>
      <c r="C3977" s="558" t="s">
        <v>2800</v>
      </c>
      <c r="D3977" s="556" t="s">
        <v>2624</v>
      </c>
      <c r="E3977" s="17" t="s">
        <v>7392</v>
      </c>
      <c r="F3977" s="17">
        <v>238</v>
      </c>
      <c r="G3977" s="17">
        <v>2</v>
      </c>
      <c r="H3977" s="17" t="s">
        <v>8791</v>
      </c>
      <c r="I3977" s="17"/>
      <c r="J3977" s="17"/>
      <c r="K3977" s="17"/>
      <c r="L3977" s="17"/>
      <c r="M3977" s="17"/>
      <c r="N3977" s="17"/>
      <c r="O3977" s="17"/>
      <c r="P3977" s="17"/>
      <c r="Q3977" s="17"/>
    </row>
    <row r="3978" spans="1:17">
      <c r="A3978" s="556" t="s">
        <v>3652</v>
      </c>
      <c r="B3978" s="557" t="s">
        <v>9527</v>
      </c>
      <c r="C3978" s="558" t="s">
        <v>2800</v>
      </c>
      <c r="D3978" s="556" t="s">
        <v>4426</v>
      </c>
      <c r="E3978" s="17" t="s">
        <v>7393</v>
      </c>
      <c r="F3978" s="17">
        <v>238</v>
      </c>
      <c r="G3978" s="17">
        <v>3</v>
      </c>
      <c r="H3978" s="17" t="s">
        <v>8792</v>
      </c>
      <c r="I3978" s="17">
        <v>0</v>
      </c>
      <c r="J3978" s="17"/>
      <c r="K3978" s="17"/>
      <c r="L3978" s="17"/>
      <c r="M3978" s="17"/>
      <c r="N3978" s="17"/>
      <c r="O3978" s="17"/>
      <c r="P3978" s="17"/>
      <c r="Q3978" s="17"/>
    </row>
    <row r="3979" spans="1:17">
      <c r="A3979" s="556" t="s">
        <v>3652</v>
      </c>
      <c r="B3979" s="557" t="s">
        <v>9527</v>
      </c>
      <c r="C3979" s="558" t="s">
        <v>2800</v>
      </c>
      <c r="D3979" s="556" t="s">
        <v>4324</v>
      </c>
      <c r="E3979" s="17" t="s">
        <v>7394</v>
      </c>
      <c r="F3979" s="17">
        <v>238</v>
      </c>
      <c r="G3979" s="17">
        <v>4</v>
      </c>
      <c r="H3979" s="17" t="s">
        <v>8793</v>
      </c>
      <c r="I3979" s="17"/>
      <c r="J3979" s="17"/>
      <c r="K3979" s="17"/>
      <c r="L3979" s="17"/>
      <c r="M3979" s="17"/>
      <c r="N3979" s="17"/>
      <c r="O3979" s="17"/>
      <c r="P3979" s="17"/>
      <c r="Q3979" s="17"/>
    </row>
    <row r="3980" spans="1:17">
      <c r="A3980" s="556" t="s">
        <v>3652</v>
      </c>
      <c r="B3980" s="557" t="s">
        <v>9528</v>
      </c>
      <c r="C3980" s="558" t="s">
        <v>2801</v>
      </c>
      <c r="D3980" s="556" t="s">
        <v>2623</v>
      </c>
      <c r="E3980" s="17" t="s">
        <v>7395</v>
      </c>
      <c r="F3980" s="17">
        <v>239</v>
      </c>
      <c r="G3980" s="17">
        <v>1</v>
      </c>
      <c r="H3980" s="17" t="s">
        <v>8794</v>
      </c>
      <c r="I3980" s="17"/>
      <c r="J3980" s="17"/>
      <c r="K3980" s="17"/>
      <c r="L3980" s="17"/>
      <c r="M3980" s="17"/>
      <c r="N3980" s="17"/>
      <c r="O3980" s="17"/>
      <c r="P3980" s="17"/>
      <c r="Q3980" s="17"/>
    </row>
    <row r="3981" spans="1:17">
      <c r="A3981" s="556" t="s">
        <v>3652</v>
      </c>
      <c r="B3981" s="557" t="s">
        <v>9528</v>
      </c>
      <c r="C3981" s="558" t="s">
        <v>2801</v>
      </c>
      <c r="D3981" s="556" t="s">
        <v>2624</v>
      </c>
      <c r="E3981" s="17" t="s">
        <v>7396</v>
      </c>
      <c r="F3981" s="17">
        <v>239</v>
      </c>
      <c r="G3981" s="17">
        <v>2</v>
      </c>
      <c r="H3981" s="17" t="s">
        <v>8795</v>
      </c>
      <c r="I3981" s="17"/>
      <c r="J3981" s="17"/>
      <c r="K3981" s="17"/>
      <c r="L3981" s="17"/>
      <c r="M3981" s="17"/>
      <c r="N3981" s="17"/>
      <c r="O3981" s="17"/>
      <c r="P3981" s="17"/>
      <c r="Q3981" s="17"/>
    </row>
    <row r="3982" spans="1:17">
      <c r="A3982" s="556" t="s">
        <v>3652</v>
      </c>
      <c r="B3982" s="557" t="s">
        <v>9528</v>
      </c>
      <c r="C3982" s="558" t="s">
        <v>2801</v>
      </c>
      <c r="D3982" s="556" t="s">
        <v>4426</v>
      </c>
      <c r="E3982" s="17" t="s">
        <v>7397</v>
      </c>
      <c r="F3982" s="17">
        <v>239</v>
      </c>
      <c r="G3982" s="17">
        <v>3</v>
      </c>
      <c r="H3982" s="17" t="s">
        <v>8796</v>
      </c>
      <c r="I3982" s="17">
        <v>0</v>
      </c>
      <c r="J3982" s="17"/>
      <c r="K3982" s="17"/>
      <c r="L3982" s="17"/>
      <c r="M3982" s="17"/>
      <c r="N3982" s="17"/>
      <c r="O3982" s="17"/>
      <c r="P3982" s="17"/>
      <c r="Q3982" s="17"/>
    </row>
    <row r="3983" spans="1:17">
      <c r="A3983" s="556" t="s">
        <v>3652</v>
      </c>
      <c r="B3983" s="557" t="s">
        <v>9528</v>
      </c>
      <c r="C3983" s="558" t="s">
        <v>2801</v>
      </c>
      <c r="D3983" s="556" t="s">
        <v>4324</v>
      </c>
      <c r="E3983" s="17" t="s">
        <v>7398</v>
      </c>
      <c r="F3983" s="17">
        <v>239</v>
      </c>
      <c r="G3983" s="17">
        <v>4</v>
      </c>
      <c r="H3983" s="17" t="s">
        <v>8797</v>
      </c>
      <c r="I3983" s="17"/>
      <c r="J3983" s="17"/>
      <c r="K3983" s="17"/>
      <c r="L3983" s="17"/>
      <c r="M3983" s="17"/>
      <c r="N3983" s="17"/>
      <c r="O3983" s="17"/>
      <c r="P3983" s="17"/>
      <c r="Q3983" s="17"/>
    </row>
    <row r="3984" spans="1:17">
      <c r="A3984" s="556" t="s">
        <v>3652</v>
      </c>
      <c r="B3984" s="557" t="s">
        <v>9529</v>
      </c>
      <c r="C3984" s="558" t="s">
        <v>2802</v>
      </c>
      <c r="D3984" s="556" t="s">
        <v>2623</v>
      </c>
      <c r="E3984" s="17" t="s">
        <v>7399</v>
      </c>
      <c r="F3984" s="17">
        <v>240</v>
      </c>
      <c r="G3984" s="17">
        <v>1</v>
      </c>
      <c r="H3984" s="17" t="s">
        <v>8798</v>
      </c>
      <c r="I3984" s="17"/>
      <c r="J3984" s="17"/>
      <c r="K3984" s="17"/>
      <c r="L3984" s="17"/>
      <c r="M3984" s="17"/>
      <c r="N3984" s="17"/>
      <c r="O3984" s="17"/>
      <c r="P3984" s="17"/>
      <c r="Q3984" s="17"/>
    </row>
    <row r="3985" spans="1:17">
      <c r="A3985" s="556" t="s">
        <v>3652</v>
      </c>
      <c r="B3985" s="557" t="s">
        <v>9529</v>
      </c>
      <c r="C3985" s="558" t="s">
        <v>2802</v>
      </c>
      <c r="D3985" s="556" t="s">
        <v>2624</v>
      </c>
      <c r="E3985" s="17" t="s">
        <v>7400</v>
      </c>
      <c r="F3985" s="17">
        <v>240</v>
      </c>
      <c r="G3985" s="17">
        <v>2</v>
      </c>
      <c r="H3985" s="17" t="s">
        <v>8799</v>
      </c>
      <c r="I3985" s="17"/>
      <c r="J3985" s="17"/>
      <c r="K3985" s="17"/>
      <c r="L3985" s="17"/>
      <c r="M3985" s="17"/>
      <c r="N3985" s="17"/>
      <c r="O3985" s="17"/>
      <c r="P3985" s="17"/>
      <c r="Q3985" s="17"/>
    </row>
    <row r="3986" spans="1:17">
      <c r="A3986" s="556" t="s">
        <v>3652</v>
      </c>
      <c r="B3986" s="557" t="s">
        <v>9529</v>
      </c>
      <c r="C3986" s="558" t="s">
        <v>2802</v>
      </c>
      <c r="D3986" s="556" t="s">
        <v>4426</v>
      </c>
      <c r="E3986" s="17" t="s">
        <v>7401</v>
      </c>
      <c r="F3986" s="17">
        <v>240</v>
      </c>
      <c r="G3986" s="17">
        <v>3</v>
      </c>
      <c r="H3986" s="17" t="s">
        <v>8800</v>
      </c>
      <c r="I3986" s="17">
        <v>0</v>
      </c>
      <c r="J3986" s="17"/>
      <c r="K3986" s="17"/>
      <c r="L3986" s="17"/>
      <c r="M3986" s="17"/>
      <c r="N3986" s="17"/>
      <c r="O3986" s="17"/>
      <c r="P3986" s="17"/>
      <c r="Q3986" s="17"/>
    </row>
    <row r="3987" spans="1:17">
      <c r="A3987" s="556" t="s">
        <v>3652</v>
      </c>
      <c r="B3987" s="557" t="s">
        <v>9529</v>
      </c>
      <c r="C3987" s="558" t="s">
        <v>2802</v>
      </c>
      <c r="D3987" s="556" t="s">
        <v>4324</v>
      </c>
      <c r="E3987" s="17" t="s">
        <v>7402</v>
      </c>
      <c r="F3987" s="17">
        <v>240</v>
      </c>
      <c r="G3987" s="17">
        <v>4</v>
      </c>
      <c r="H3987" s="17" t="s">
        <v>8801</v>
      </c>
      <c r="I3987" s="17"/>
      <c r="J3987" s="17"/>
      <c r="K3987" s="17"/>
      <c r="L3987" s="17"/>
      <c r="M3987" s="17"/>
      <c r="N3987" s="17"/>
      <c r="O3987" s="17"/>
      <c r="P3987" s="17"/>
      <c r="Q3987" s="17"/>
    </row>
    <row r="3988" spans="1:17">
      <c r="A3988" s="556" t="s">
        <v>3652</v>
      </c>
      <c r="B3988" s="557" t="s">
        <v>9530</v>
      </c>
      <c r="C3988" s="558" t="s">
        <v>2803</v>
      </c>
      <c r="D3988" s="556" t="s">
        <v>2623</v>
      </c>
      <c r="E3988" s="17" t="s">
        <v>7403</v>
      </c>
      <c r="F3988" s="17">
        <v>241</v>
      </c>
      <c r="G3988" s="17">
        <v>1</v>
      </c>
      <c r="H3988" s="17" t="s">
        <v>8802</v>
      </c>
      <c r="I3988" s="17"/>
      <c r="J3988" s="17"/>
      <c r="K3988" s="17"/>
      <c r="L3988" s="17"/>
      <c r="M3988" s="17"/>
      <c r="N3988" s="17"/>
      <c r="O3988" s="17"/>
      <c r="P3988" s="17"/>
      <c r="Q3988" s="17"/>
    </row>
    <row r="3989" spans="1:17">
      <c r="A3989" s="556" t="s">
        <v>3652</v>
      </c>
      <c r="B3989" s="557" t="s">
        <v>9530</v>
      </c>
      <c r="C3989" s="558" t="s">
        <v>2803</v>
      </c>
      <c r="D3989" s="556" t="s">
        <v>2624</v>
      </c>
      <c r="E3989" s="17" t="s">
        <v>7404</v>
      </c>
      <c r="F3989" s="17">
        <v>241</v>
      </c>
      <c r="G3989" s="17">
        <v>2</v>
      </c>
      <c r="H3989" s="17" t="s">
        <v>8803</v>
      </c>
      <c r="I3989" s="17"/>
      <c r="J3989" s="17"/>
      <c r="K3989" s="17"/>
      <c r="L3989" s="17"/>
      <c r="M3989" s="17"/>
      <c r="N3989" s="17"/>
      <c r="O3989" s="17"/>
      <c r="P3989" s="17"/>
      <c r="Q3989" s="17"/>
    </row>
    <row r="3990" spans="1:17">
      <c r="A3990" s="556" t="s">
        <v>3652</v>
      </c>
      <c r="B3990" s="557" t="s">
        <v>9530</v>
      </c>
      <c r="C3990" s="558" t="s">
        <v>2803</v>
      </c>
      <c r="D3990" s="556" t="s">
        <v>4426</v>
      </c>
      <c r="E3990" s="17" t="s">
        <v>7405</v>
      </c>
      <c r="F3990" s="17">
        <v>241</v>
      </c>
      <c r="G3990" s="17">
        <v>3</v>
      </c>
      <c r="H3990" s="17" t="s">
        <v>8804</v>
      </c>
      <c r="I3990" s="17">
        <v>0</v>
      </c>
      <c r="J3990" s="17"/>
      <c r="K3990" s="17"/>
      <c r="L3990" s="17"/>
      <c r="M3990" s="17"/>
      <c r="N3990" s="17"/>
      <c r="O3990" s="17"/>
      <c r="P3990" s="17"/>
      <c r="Q3990" s="17"/>
    </row>
    <row r="3991" spans="1:17">
      <c r="A3991" s="556" t="s">
        <v>3652</v>
      </c>
      <c r="B3991" s="557" t="s">
        <v>9530</v>
      </c>
      <c r="C3991" s="558" t="s">
        <v>2803</v>
      </c>
      <c r="D3991" s="556" t="s">
        <v>4324</v>
      </c>
      <c r="E3991" s="17" t="s">
        <v>7406</v>
      </c>
      <c r="F3991" s="17">
        <v>241</v>
      </c>
      <c r="G3991" s="17">
        <v>4</v>
      </c>
      <c r="H3991" s="17" t="s">
        <v>8805</v>
      </c>
      <c r="I3991" s="17"/>
      <c r="J3991" s="17"/>
      <c r="K3991" s="17"/>
      <c r="L3991" s="17"/>
      <c r="M3991" s="17"/>
      <c r="N3991" s="17"/>
      <c r="O3991" s="17"/>
      <c r="P3991" s="17"/>
      <c r="Q3991" s="17"/>
    </row>
    <row r="3992" spans="1:17">
      <c r="A3992" s="556" t="s">
        <v>3652</v>
      </c>
      <c r="B3992" s="557" t="s">
        <v>9531</v>
      </c>
      <c r="C3992" s="558" t="s">
        <v>9532</v>
      </c>
      <c r="D3992" s="556" t="s">
        <v>2623</v>
      </c>
      <c r="E3992" s="17" t="s">
        <v>7407</v>
      </c>
      <c r="F3992" s="17">
        <v>242</v>
      </c>
      <c r="G3992" s="17">
        <v>1</v>
      </c>
      <c r="H3992" s="17" t="s">
        <v>8806</v>
      </c>
      <c r="I3992" s="17"/>
      <c r="J3992" s="17"/>
      <c r="K3992" s="17"/>
      <c r="L3992" s="17"/>
      <c r="M3992" s="17"/>
      <c r="N3992" s="17"/>
      <c r="O3992" s="17"/>
      <c r="P3992" s="17"/>
      <c r="Q3992" s="17"/>
    </row>
    <row r="3993" spans="1:17">
      <c r="A3993" s="556" t="s">
        <v>3652</v>
      </c>
      <c r="B3993" s="557" t="s">
        <v>9531</v>
      </c>
      <c r="C3993" s="558" t="s">
        <v>9532</v>
      </c>
      <c r="D3993" s="556" t="s">
        <v>2624</v>
      </c>
      <c r="E3993" s="17" t="s">
        <v>7408</v>
      </c>
      <c r="F3993" s="17">
        <v>242</v>
      </c>
      <c r="G3993" s="17">
        <v>2</v>
      </c>
      <c r="H3993" s="17" t="s">
        <v>8807</v>
      </c>
      <c r="I3993" s="17"/>
      <c r="J3993" s="17"/>
      <c r="K3993" s="17"/>
      <c r="L3993" s="17"/>
      <c r="M3993" s="17"/>
      <c r="N3993" s="17"/>
      <c r="O3993" s="17"/>
      <c r="P3993" s="17"/>
      <c r="Q3993" s="17"/>
    </row>
    <row r="3994" spans="1:17">
      <c r="A3994" s="556" t="s">
        <v>3652</v>
      </c>
      <c r="B3994" s="557" t="s">
        <v>9531</v>
      </c>
      <c r="C3994" s="558" t="s">
        <v>9532</v>
      </c>
      <c r="D3994" s="556" t="s">
        <v>4426</v>
      </c>
      <c r="E3994" s="17" t="s">
        <v>7409</v>
      </c>
      <c r="F3994" s="17">
        <v>242</v>
      </c>
      <c r="G3994" s="17">
        <v>3</v>
      </c>
      <c r="H3994" s="17" t="s">
        <v>8808</v>
      </c>
      <c r="I3994" s="17">
        <v>0</v>
      </c>
      <c r="J3994" s="17"/>
      <c r="K3994" s="17"/>
      <c r="L3994" s="17"/>
      <c r="M3994" s="17"/>
      <c r="N3994" s="17"/>
      <c r="O3994" s="17"/>
      <c r="P3994" s="17"/>
      <c r="Q3994" s="17"/>
    </row>
    <row r="3995" spans="1:17">
      <c r="A3995" s="556" t="s">
        <v>3652</v>
      </c>
      <c r="B3995" s="557" t="s">
        <v>9531</v>
      </c>
      <c r="C3995" s="558" t="s">
        <v>9532</v>
      </c>
      <c r="D3995" s="556" t="s">
        <v>4324</v>
      </c>
      <c r="E3995" s="17" t="s">
        <v>7410</v>
      </c>
      <c r="F3995" s="17">
        <v>242</v>
      </c>
      <c r="G3995" s="17">
        <v>4</v>
      </c>
      <c r="H3995" s="17" t="s">
        <v>8809</v>
      </c>
      <c r="I3995" s="17"/>
      <c r="J3995" s="17"/>
      <c r="K3995" s="17"/>
      <c r="L3995" s="17"/>
      <c r="M3995" s="17"/>
      <c r="N3995" s="17"/>
      <c r="O3995" s="17"/>
      <c r="P3995" s="17"/>
      <c r="Q3995" s="17"/>
    </row>
    <row r="3996" spans="1:17">
      <c r="A3996" s="556" t="s">
        <v>3652</v>
      </c>
      <c r="B3996" s="557" t="s">
        <v>9533</v>
      </c>
      <c r="C3996" s="558" t="s">
        <v>2805</v>
      </c>
      <c r="D3996" s="556" t="s">
        <v>2623</v>
      </c>
      <c r="E3996" s="17" t="s">
        <v>7411</v>
      </c>
      <c r="F3996" s="17">
        <v>243</v>
      </c>
      <c r="G3996" s="17">
        <v>1</v>
      </c>
      <c r="H3996" s="17" t="s">
        <v>8810</v>
      </c>
      <c r="I3996" s="17"/>
      <c r="J3996" s="17"/>
      <c r="K3996" s="17"/>
      <c r="L3996" s="17"/>
      <c r="M3996" s="17"/>
      <c r="N3996" s="17"/>
      <c r="O3996" s="17"/>
      <c r="P3996" s="17"/>
      <c r="Q3996" s="17"/>
    </row>
    <row r="3997" spans="1:17">
      <c r="A3997" s="556" t="s">
        <v>3652</v>
      </c>
      <c r="B3997" s="557" t="s">
        <v>9533</v>
      </c>
      <c r="C3997" s="558" t="s">
        <v>2805</v>
      </c>
      <c r="D3997" s="556" t="s">
        <v>2624</v>
      </c>
      <c r="E3997" s="17" t="s">
        <v>7412</v>
      </c>
      <c r="F3997" s="17">
        <v>243</v>
      </c>
      <c r="G3997" s="17">
        <v>2</v>
      </c>
      <c r="H3997" s="17" t="s">
        <v>8811</v>
      </c>
      <c r="I3997" s="17"/>
      <c r="J3997" s="17"/>
      <c r="K3997" s="17"/>
      <c r="L3997" s="17"/>
      <c r="M3997" s="17"/>
      <c r="N3997" s="17"/>
      <c r="O3997" s="17"/>
      <c r="P3997" s="17"/>
      <c r="Q3997" s="17"/>
    </row>
    <row r="3998" spans="1:17">
      <c r="A3998" s="556" t="s">
        <v>3652</v>
      </c>
      <c r="B3998" s="557" t="s">
        <v>9533</v>
      </c>
      <c r="C3998" s="558" t="s">
        <v>2805</v>
      </c>
      <c r="D3998" s="556" t="s">
        <v>4426</v>
      </c>
      <c r="E3998" s="17" t="s">
        <v>7413</v>
      </c>
      <c r="F3998" s="17">
        <v>243</v>
      </c>
      <c r="G3998" s="17">
        <v>3</v>
      </c>
      <c r="H3998" s="17" t="s">
        <v>8812</v>
      </c>
      <c r="I3998" s="17">
        <v>0</v>
      </c>
      <c r="J3998" s="17"/>
      <c r="K3998" s="17"/>
      <c r="L3998" s="17"/>
      <c r="M3998" s="17"/>
      <c r="N3998" s="17"/>
      <c r="O3998" s="17"/>
      <c r="P3998" s="17"/>
      <c r="Q3998" s="17"/>
    </row>
    <row r="3999" spans="1:17">
      <c r="A3999" s="556" t="s">
        <v>3652</v>
      </c>
      <c r="B3999" s="557" t="s">
        <v>9533</v>
      </c>
      <c r="C3999" s="558" t="s">
        <v>2805</v>
      </c>
      <c r="D3999" s="556" t="s">
        <v>4324</v>
      </c>
      <c r="E3999" s="17" t="s">
        <v>7414</v>
      </c>
      <c r="F3999" s="17">
        <v>243</v>
      </c>
      <c r="G3999" s="17">
        <v>4</v>
      </c>
      <c r="H3999" s="17" t="s">
        <v>8813</v>
      </c>
      <c r="I3999" s="17"/>
      <c r="J3999" s="17"/>
      <c r="K3999" s="17"/>
      <c r="L3999" s="17"/>
      <c r="M3999" s="17"/>
      <c r="N3999" s="17"/>
      <c r="O3999" s="17"/>
      <c r="P3999" s="17"/>
      <c r="Q3999" s="17"/>
    </row>
    <row r="4000" spans="1:17">
      <c r="A4000" s="556" t="s">
        <v>3652</v>
      </c>
      <c r="B4000" s="557" t="s">
        <v>9534</v>
      </c>
      <c r="C4000" s="558" t="s">
        <v>2326</v>
      </c>
      <c r="D4000" s="556" t="s">
        <v>2623</v>
      </c>
      <c r="E4000" s="17" t="s">
        <v>7415</v>
      </c>
      <c r="F4000" s="17">
        <v>244</v>
      </c>
      <c r="G4000" s="17">
        <v>1</v>
      </c>
      <c r="H4000" s="17" t="s">
        <v>8814</v>
      </c>
      <c r="I4000" s="17"/>
      <c r="J4000" s="17"/>
      <c r="K4000" s="17"/>
      <c r="L4000" s="17"/>
      <c r="M4000" s="17"/>
      <c r="N4000" s="17"/>
      <c r="O4000" s="17"/>
      <c r="P4000" s="17"/>
      <c r="Q4000" s="17"/>
    </row>
    <row r="4001" spans="1:17">
      <c r="A4001" s="556" t="s">
        <v>3652</v>
      </c>
      <c r="B4001" s="557" t="s">
        <v>9534</v>
      </c>
      <c r="C4001" s="558" t="s">
        <v>2326</v>
      </c>
      <c r="D4001" s="556" t="s">
        <v>2624</v>
      </c>
      <c r="E4001" s="17" t="s">
        <v>7416</v>
      </c>
      <c r="F4001" s="17">
        <v>244</v>
      </c>
      <c r="G4001" s="17">
        <v>2</v>
      </c>
      <c r="H4001" s="17" t="s">
        <v>8815</v>
      </c>
      <c r="I4001" s="17"/>
      <c r="J4001" s="17"/>
      <c r="K4001" s="17"/>
      <c r="L4001" s="17"/>
      <c r="M4001" s="17"/>
      <c r="N4001" s="17"/>
      <c r="O4001" s="17"/>
      <c r="P4001" s="17"/>
      <c r="Q4001" s="17"/>
    </row>
    <row r="4002" spans="1:17">
      <c r="A4002" s="556" t="s">
        <v>3652</v>
      </c>
      <c r="B4002" s="557" t="s">
        <v>9534</v>
      </c>
      <c r="C4002" s="558" t="s">
        <v>2326</v>
      </c>
      <c r="D4002" s="556" t="s">
        <v>4426</v>
      </c>
      <c r="E4002" s="17" t="s">
        <v>7417</v>
      </c>
      <c r="F4002" s="17">
        <v>244</v>
      </c>
      <c r="G4002" s="17">
        <v>3</v>
      </c>
      <c r="H4002" s="17" t="s">
        <v>8816</v>
      </c>
      <c r="I4002" s="17">
        <v>0</v>
      </c>
      <c r="J4002" s="17"/>
      <c r="K4002" s="17"/>
      <c r="L4002" s="17"/>
      <c r="M4002" s="17"/>
      <c r="N4002" s="17"/>
      <c r="O4002" s="17"/>
      <c r="P4002" s="17"/>
      <c r="Q4002" s="17"/>
    </row>
    <row r="4003" spans="1:17">
      <c r="A4003" s="556" t="s">
        <v>3652</v>
      </c>
      <c r="B4003" s="557" t="s">
        <v>9534</v>
      </c>
      <c r="C4003" s="558" t="s">
        <v>2326</v>
      </c>
      <c r="D4003" s="556" t="s">
        <v>4324</v>
      </c>
      <c r="E4003" s="17" t="s">
        <v>7418</v>
      </c>
      <c r="F4003" s="17">
        <v>244</v>
      </c>
      <c r="G4003" s="17">
        <v>4</v>
      </c>
      <c r="H4003" s="17" t="s">
        <v>8817</v>
      </c>
      <c r="I4003" s="17"/>
      <c r="J4003" s="17"/>
      <c r="K4003" s="17"/>
      <c r="L4003" s="17"/>
      <c r="M4003" s="17"/>
      <c r="N4003" s="17"/>
      <c r="O4003" s="17"/>
      <c r="P4003" s="17"/>
      <c r="Q4003" s="17"/>
    </row>
    <row r="4004" spans="1:17">
      <c r="A4004" s="556" t="s">
        <v>3652</v>
      </c>
      <c r="B4004" s="557" t="s">
        <v>9535</v>
      </c>
      <c r="C4004" s="558" t="s">
        <v>2327</v>
      </c>
      <c r="D4004" s="556" t="s">
        <v>2623</v>
      </c>
      <c r="E4004" s="17" t="s">
        <v>7419</v>
      </c>
      <c r="F4004" s="17">
        <v>245</v>
      </c>
      <c r="G4004" s="17">
        <v>1</v>
      </c>
      <c r="H4004" s="17" t="s">
        <v>8818</v>
      </c>
      <c r="I4004" s="17"/>
      <c r="J4004" s="17"/>
      <c r="K4004" s="17"/>
      <c r="L4004" s="17"/>
      <c r="M4004" s="17"/>
      <c r="N4004" s="17"/>
      <c r="O4004" s="17"/>
      <c r="P4004" s="17"/>
      <c r="Q4004" s="17"/>
    </row>
    <row r="4005" spans="1:17">
      <c r="A4005" s="556" t="s">
        <v>3652</v>
      </c>
      <c r="B4005" s="557" t="s">
        <v>9535</v>
      </c>
      <c r="C4005" s="558" t="s">
        <v>2327</v>
      </c>
      <c r="D4005" s="556" t="s">
        <v>2624</v>
      </c>
      <c r="E4005" s="17" t="s">
        <v>7420</v>
      </c>
      <c r="F4005" s="17">
        <v>245</v>
      </c>
      <c r="G4005" s="17">
        <v>2</v>
      </c>
      <c r="H4005" s="17" t="s">
        <v>8819</v>
      </c>
      <c r="I4005" s="17"/>
      <c r="J4005" s="17"/>
      <c r="K4005" s="17"/>
      <c r="L4005" s="17"/>
      <c r="M4005" s="17"/>
      <c r="N4005" s="17"/>
      <c r="O4005" s="17"/>
      <c r="P4005" s="17"/>
      <c r="Q4005" s="17"/>
    </row>
    <row r="4006" spans="1:17">
      <c r="A4006" s="556" t="s">
        <v>3652</v>
      </c>
      <c r="B4006" s="557" t="s">
        <v>9535</v>
      </c>
      <c r="C4006" s="558" t="s">
        <v>2327</v>
      </c>
      <c r="D4006" s="556" t="s">
        <v>4426</v>
      </c>
      <c r="E4006" s="17" t="s">
        <v>7421</v>
      </c>
      <c r="F4006" s="17">
        <v>245</v>
      </c>
      <c r="G4006" s="17">
        <v>3</v>
      </c>
      <c r="H4006" s="17" t="s">
        <v>8820</v>
      </c>
      <c r="I4006" s="17">
        <v>0</v>
      </c>
      <c r="J4006" s="17"/>
      <c r="K4006" s="17"/>
      <c r="L4006" s="17"/>
      <c r="M4006" s="17"/>
      <c r="N4006" s="17"/>
      <c r="O4006" s="17"/>
      <c r="P4006" s="17"/>
      <c r="Q4006" s="17"/>
    </row>
    <row r="4007" spans="1:17">
      <c r="A4007" s="556" t="s">
        <v>3652</v>
      </c>
      <c r="B4007" s="557" t="s">
        <v>9535</v>
      </c>
      <c r="C4007" s="558" t="s">
        <v>2327</v>
      </c>
      <c r="D4007" s="556" t="s">
        <v>4324</v>
      </c>
      <c r="E4007" s="17" t="s">
        <v>7422</v>
      </c>
      <c r="F4007" s="17">
        <v>245</v>
      </c>
      <c r="G4007" s="17">
        <v>4</v>
      </c>
      <c r="H4007" s="17" t="s">
        <v>8821</v>
      </c>
      <c r="I4007" s="17"/>
      <c r="J4007" s="17"/>
      <c r="K4007" s="17"/>
      <c r="L4007" s="17"/>
      <c r="M4007" s="17"/>
      <c r="N4007" s="17"/>
      <c r="O4007" s="17"/>
      <c r="P4007" s="17"/>
      <c r="Q4007" s="17"/>
    </row>
    <row r="4008" spans="1:17">
      <c r="A4008" s="556" t="s">
        <v>3652</v>
      </c>
      <c r="B4008" s="557" t="s">
        <v>9536</v>
      </c>
      <c r="C4008" s="558" t="s">
        <v>2806</v>
      </c>
      <c r="D4008" s="556" t="s">
        <v>2623</v>
      </c>
      <c r="E4008" s="17" t="s">
        <v>7423</v>
      </c>
      <c r="F4008" s="17">
        <v>246</v>
      </c>
      <c r="G4008" s="17">
        <v>1</v>
      </c>
      <c r="H4008" s="17" t="s">
        <v>8822</v>
      </c>
      <c r="I4008" s="17"/>
      <c r="J4008" s="17"/>
      <c r="K4008" s="17"/>
      <c r="L4008" s="17"/>
      <c r="M4008" s="17"/>
      <c r="N4008" s="17"/>
      <c r="O4008" s="17"/>
      <c r="P4008" s="17"/>
      <c r="Q4008" s="17"/>
    </row>
    <row r="4009" spans="1:17">
      <c r="A4009" s="556" t="s">
        <v>3652</v>
      </c>
      <c r="B4009" s="557" t="s">
        <v>9536</v>
      </c>
      <c r="C4009" s="558" t="s">
        <v>2806</v>
      </c>
      <c r="D4009" s="556" t="s">
        <v>2624</v>
      </c>
      <c r="E4009" s="17" t="s">
        <v>7424</v>
      </c>
      <c r="F4009" s="17">
        <v>246</v>
      </c>
      <c r="G4009" s="17">
        <v>2</v>
      </c>
      <c r="H4009" s="17" t="s">
        <v>8823</v>
      </c>
      <c r="I4009" s="17"/>
      <c r="J4009" s="17"/>
      <c r="K4009" s="17"/>
      <c r="L4009" s="17"/>
      <c r="M4009" s="17"/>
      <c r="N4009" s="17"/>
      <c r="O4009" s="17"/>
      <c r="P4009" s="17"/>
      <c r="Q4009" s="17"/>
    </row>
    <row r="4010" spans="1:17">
      <c r="A4010" s="556" t="s">
        <v>3652</v>
      </c>
      <c r="B4010" s="557" t="s">
        <v>9536</v>
      </c>
      <c r="C4010" s="558" t="s">
        <v>2806</v>
      </c>
      <c r="D4010" s="556" t="s">
        <v>4426</v>
      </c>
      <c r="E4010" s="17" t="s">
        <v>7425</v>
      </c>
      <c r="F4010" s="17">
        <v>246</v>
      </c>
      <c r="G4010" s="17">
        <v>3</v>
      </c>
      <c r="H4010" s="17" t="s">
        <v>8824</v>
      </c>
      <c r="I4010" s="17">
        <v>0</v>
      </c>
      <c r="J4010" s="17"/>
      <c r="K4010" s="17"/>
      <c r="L4010" s="17"/>
      <c r="M4010" s="17"/>
      <c r="N4010" s="17"/>
      <c r="O4010" s="17"/>
      <c r="P4010" s="17"/>
      <c r="Q4010" s="17"/>
    </row>
    <row r="4011" spans="1:17">
      <c r="A4011" s="556" t="s">
        <v>3652</v>
      </c>
      <c r="B4011" s="557" t="s">
        <v>9536</v>
      </c>
      <c r="C4011" s="558" t="s">
        <v>2806</v>
      </c>
      <c r="D4011" s="556" t="s">
        <v>4324</v>
      </c>
      <c r="E4011" s="17" t="s">
        <v>7426</v>
      </c>
      <c r="F4011" s="17">
        <v>246</v>
      </c>
      <c r="G4011" s="17">
        <v>4</v>
      </c>
      <c r="H4011" s="17" t="s">
        <v>8825</v>
      </c>
      <c r="I4011" s="17"/>
      <c r="J4011" s="17"/>
      <c r="K4011" s="17"/>
      <c r="L4011" s="17"/>
      <c r="M4011" s="17"/>
      <c r="N4011" s="17"/>
      <c r="O4011" s="17"/>
      <c r="P4011" s="17"/>
      <c r="Q4011" s="17"/>
    </row>
    <row r="4012" spans="1:17">
      <c r="A4012" s="556" t="s">
        <v>3652</v>
      </c>
      <c r="B4012" s="557" t="s">
        <v>9537</v>
      </c>
      <c r="C4012" s="558" t="s">
        <v>8760</v>
      </c>
      <c r="D4012" s="556" t="s">
        <v>2623</v>
      </c>
      <c r="E4012" s="17" t="s">
        <v>7427</v>
      </c>
      <c r="F4012" s="17">
        <v>247</v>
      </c>
      <c r="G4012" s="17">
        <v>1</v>
      </c>
      <c r="H4012" s="17" t="s">
        <v>8826</v>
      </c>
      <c r="I4012" s="17"/>
      <c r="J4012" s="17"/>
      <c r="K4012" s="17"/>
      <c r="L4012" s="17"/>
      <c r="M4012" s="17"/>
      <c r="N4012" s="17"/>
      <c r="O4012" s="17"/>
      <c r="P4012" s="17"/>
      <c r="Q4012" s="17"/>
    </row>
    <row r="4013" spans="1:17">
      <c r="A4013" s="556" t="s">
        <v>3652</v>
      </c>
      <c r="B4013" s="557" t="s">
        <v>9537</v>
      </c>
      <c r="C4013" s="558" t="s">
        <v>8760</v>
      </c>
      <c r="D4013" s="556" t="s">
        <v>2624</v>
      </c>
      <c r="E4013" s="17" t="s">
        <v>7428</v>
      </c>
      <c r="F4013" s="17">
        <v>247</v>
      </c>
      <c r="G4013" s="17">
        <v>2</v>
      </c>
      <c r="H4013" s="17" t="s">
        <v>8827</v>
      </c>
      <c r="I4013" s="17"/>
      <c r="J4013" s="17"/>
      <c r="K4013" s="17"/>
      <c r="L4013" s="17"/>
      <c r="M4013" s="17"/>
      <c r="N4013" s="17"/>
      <c r="O4013" s="17"/>
      <c r="P4013" s="17"/>
      <c r="Q4013" s="17"/>
    </row>
    <row r="4014" spans="1:17">
      <c r="A4014" s="556" t="s">
        <v>3652</v>
      </c>
      <c r="B4014" s="557" t="s">
        <v>9537</v>
      </c>
      <c r="C4014" s="558" t="s">
        <v>8760</v>
      </c>
      <c r="D4014" s="556" t="s">
        <v>4426</v>
      </c>
      <c r="E4014" s="17" t="s">
        <v>7429</v>
      </c>
      <c r="F4014" s="17">
        <v>247</v>
      </c>
      <c r="G4014" s="17">
        <v>3</v>
      </c>
      <c r="H4014" s="17" t="s">
        <v>8828</v>
      </c>
      <c r="I4014" s="17">
        <v>0</v>
      </c>
      <c r="J4014" s="17"/>
      <c r="K4014" s="17"/>
      <c r="L4014" s="17"/>
      <c r="M4014" s="17"/>
      <c r="N4014" s="17"/>
      <c r="O4014" s="17"/>
      <c r="P4014" s="17"/>
      <c r="Q4014" s="17"/>
    </row>
    <row r="4015" spans="1:17">
      <c r="A4015" s="556" t="s">
        <v>3652</v>
      </c>
      <c r="B4015" s="557" t="s">
        <v>9537</v>
      </c>
      <c r="C4015" s="558" t="s">
        <v>8760</v>
      </c>
      <c r="D4015" s="556" t="s">
        <v>4324</v>
      </c>
      <c r="E4015" s="17" t="s">
        <v>7430</v>
      </c>
      <c r="F4015" s="17">
        <v>247</v>
      </c>
      <c r="G4015" s="17">
        <v>4</v>
      </c>
      <c r="H4015" s="17" t="s">
        <v>8829</v>
      </c>
      <c r="I4015" s="17"/>
      <c r="J4015" s="17"/>
      <c r="K4015" s="17"/>
      <c r="L4015" s="17"/>
      <c r="M4015" s="17"/>
      <c r="N4015" s="17"/>
      <c r="O4015" s="17"/>
      <c r="P4015" s="17"/>
      <c r="Q4015" s="17"/>
    </row>
    <row r="4016" spans="1:17">
      <c r="A4016" s="556" t="s">
        <v>3652</v>
      </c>
      <c r="B4016" s="557" t="s">
        <v>9538</v>
      </c>
      <c r="C4016" s="558" t="s">
        <v>2807</v>
      </c>
      <c r="D4016" s="556" t="s">
        <v>2623</v>
      </c>
      <c r="E4016" s="17" t="s">
        <v>7431</v>
      </c>
      <c r="F4016" s="17">
        <v>248</v>
      </c>
      <c r="G4016" s="17">
        <v>1</v>
      </c>
      <c r="H4016" s="17" t="s">
        <v>8830</v>
      </c>
      <c r="I4016" s="17"/>
      <c r="J4016" s="17"/>
      <c r="K4016" s="17"/>
      <c r="L4016" s="17"/>
      <c r="M4016" s="17"/>
      <c r="N4016" s="17"/>
      <c r="O4016" s="17"/>
      <c r="P4016" s="17"/>
      <c r="Q4016" s="17"/>
    </row>
    <row r="4017" spans="1:17">
      <c r="A4017" s="556" t="s">
        <v>3652</v>
      </c>
      <c r="B4017" s="557" t="s">
        <v>9538</v>
      </c>
      <c r="C4017" s="558" t="s">
        <v>2807</v>
      </c>
      <c r="D4017" s="556" t="s">
        <v>2624</v>
      </c>
      <c r="E4017" s="17" t="s">
        <v>7432</v>
      </c>
      <c r="F4017" s="17">
        <v>248</v>
      </c>
      <c r="G4017" s="17">
        <v>2</v>
      </c>
      <c r="H4017" s="17" t="s">
        <v>8831</v>
      </c>
      <c r="I4017" s="17"/>
      <c r="J4017" s="17"/>
      <c r="K4017" s="17"/>
      <c r="L4017" s="17"/>
      <c r="M4017" s="17"/>
      <c r="N4017" s="17"/>
      <c r="O4017" s="17"/>
      <c r="P4017" s="17"/>
      <c r="Q4017" s="17"/>
    </row>
    <row r="4018" spans="1:17">
      <c r="A4018" s="556" t="s">
        <v>3652</v>
      </c>
      <c r="B4018" s="557" t="s">
        <v>9538</v>
      </c>
      <c r="C4018" s="558" t="s">
        <v>2807</v>
      </c>
      <c r="D4018" s="556" t="s">
        <v>4426</v>
      </c>
      <c r="E4018" s="17" t="s">
        <v>7433</v>
      </c>
      <c r="F4018" s="17">
        <v>248</v>
      </c>
      <c r="G4018" s="17">
        <v>3</v>
      </c>
      <c r="H4018" s="17" t="s">
        <v>8832</v>
      </c>
      <c r="I4018" s="17">
        <v>0</v>
      </c>
      <c r="J4018" s="17"/>
      <c r="K4018" s="17"/>
      <c r="L4018" s="17"/>
      <c r="M4018" s="17"/>
      <c r="N4018" s="17"/>
      <c r="O4018" s="17"/>
      <c r="P4018" s="17"/>
      <c r="Q4018" s="17"/>
    </row>
    <row r="4019" spans="1:17">
      <c r="A4019" s="556" t="s">
        <v>3652</v>
      </c>
      <c r="B4019" s="557" t="s">
        <v>9538</v>
      </c>
      <c r="C4019" s="558" t="s">
        <v>2807</v>
      </c>
      <c r="D4019" s="556" t="s">
        <v>4324</v>
      </c>
      <c r="E4019" s="17" t="s">
        <v>7434</v>
      </c>
      <c r="F4019" s="17">
        <v>248</v>
      </c>
      <c r="G4019" s="17">
        <v>4</v>
      </c>
      <c r="H4019" s="17" t="s">
        <v>8833</v>
      </c>
      <c r="I4019" s="17"/>
      <c r="J4019" s="17"/>
      <c r="K4019" s="17"/>
      <c r="L4019" s="17"/>
      <c r="M4019" s="17"/>
      <c r="N4019" s="17"/>
      <c r="O4019" s="17"/>
      <c r="P4019" s="17"/>
      <c r="Q4019" s="17"/>
    </row>
    <row r="4020" spans="1:17">
      <c r="A4020" s="556" t="s">
        <v>3652</v>
      </c>
      <c r="B4020" s="557" t="s">
        <v>9539</v>
      </c>
      <c r="C4020" s="558" t="s">
        <v>2808</v>
      </c>
      <c r="D4020" s="556" t="s">
        <v>2623</v>
      </c>
      <c r="E4020" s="17" t="s">
        <v>7435</v>
      </c>
      <c r="F4020" s="17">
        <v>249</v>
      </c>
      <c r="G4020" s="17">
        <v>1</v>
      </c>
      <c r="H4020" s="17" t="s">
        <v>8834</v>
      </c>
      <c r="I4020" s="17"/>
      <c r="J4020" s="17"/>
      <c r="K4020" s="17"/>
      <c r="L4020" s="17"/>
      <c r="M4020" s="17"/>
      <c r="N4020" s="17"/>
      <c r="O4020" s="17"/>
      <c r="P4020" s="17"/>
      <c r="Q4020" s="17"/>
    </row>
    <row r="4021" spans="1:17">
      <c r="A4021" s="556" t="s">
        <v>3652</v>
      </c>
      <c r="B4021" s="557" t="s">
        <v>9539</v>
      </c>
      <c r="C4021" s="558" t="s">
        <v>2808</v>
      </c>
      <c r="D4021" s="556" t="s">
        <v>2624</v>
      </c>
      <c r="E4021" s="17" t="s">
        <v>7436</v>
      </c>
      <c r="F4021" s="17">
        <v>249</v>
      </c>
      <c r="G4021" s="17">
        <v>2</v>
      </c>
      <c r="H4021" s="17" t="s">
        <v>8835</v>
      </c>
      <c r="I4021" s="17"/>
      <c r="J4021" s="17"/>
      <c r="K4021" s="17"/>
      <c r="L4021" s="17"/>
      <c r="M4021" s="17"/>
      <c r="N4021" s="17"/>
      <c r="O4021" s="17"/>
      <c r="P4021" s="17"/>
      <c r="Q4021" s="17"/>
    </row>
    <row r="4022" spans="1:17">
      <c r="A4022" s="556" t="s">
        <v>3652</v>
      </c>
      <c r="B4022" s="557" t="s">
        <v>9539</v>
      </c>
      <c r="C4022" s="558" t="s">
        <v>2808</v>
      </c>
      <c r="D4022" s="556" t="s">
        <v>4426</v>
      </c>
      <c r="E4022" s="17" t="s">
        <v>7437</v>
      </c>
      <c r="F4022" s="17">
        <v>249</v>
      </c>
      <c r="G4022" s="17">
        <v>3</v>
      </c>
      <c r="H4022" s="17" t="s">
        <v>8836</v>
      </c>
      <c r="I4022" s="17">
        <v>0</v>
      </c>
      <c r="J4022" s="17"/>
      <c r="K4022" s="17"/>
      <c r="L4022" s="17"/>
      <c r="M4022" s="17"/>
      <c r="N4022" s="17"/>
      <c r="O4022" s="17"/>
      <c r="P4022" s="17"/>
      <c r="Q4022" s="17"/>
    </row>
    <row r="4023" spans="1:17">
      <c r="A4023" s="556" t="s">
        <v>3652</v>
      </c>
      <c r="B4023" s="557" t="s">
        <v>9539</v>
      </c>
      <c r="C4023" s="558" t="s">
        <v>2808</v>
      </c>
      <c r="D4023" s="556" t="s">
        <v>4324</v>
      </c>
      <c r="E4023" s="17" t="s">
        <v>7438</v>
      </c>
      <c r="F4023" s="17">
        <v>249</v>
      </c>
      <c r="G4023" s="17">
        <v>4</v>
      </c>
      <c r="H4023" s="17" t="s">
        <v>8837</v>
      </c>
      <c r="I4023" s="17"/>
      <c r="J4023" s="17"/>
      <c r="K4023" s="17"/>
      <c r="L4023" s="17"/>
      <c r="M4023" s="17"/>
      <c r="N4023" s="17"/>
      <c r="O4023" s="17"/>
      <c r="P4023" s="17"/>
      <c r="Q4023" s="17"/>
    </row>
    <row r="4024" spans="1:17">
      <c r="A4024" s="556" t="s">
        <v>3652</v>
      </c>
      <c r="B4024" s="557" t="s">
        <v>9540</v>
      </c>
      <c r="C4024" s="558" t="s">
        <v>2809</v>
      </c>
      <c r="D4024" s="556" t="s">
        <v>2623</v>
      </c>
      <c r="E4024" s="17" t="s">
        <v>7439</v>
      </c>
      <c r="F4024" s="17">
        <v>250</v>
      </c>
      <c r="G4024" s="17">
        <v>1</v>
      </c>
      <c r="H4024" s="17" t="s">
        <v>8838</v>
      </c>
      <c r="I4024" s="17"/>
      <c r="J4024" s="17"/>
      <c r="K4024" s="17"/>
      <c r="L4024" s="17"/>
      <c r="M4024" s="17"/>
      <c r="N4024" s="17"/>
      <c r="O4024" s="17"/>
      <c r="P4024" s="17"/>
      <c r="Q4024" s="17"/>
    </row>
    <row r="4025" spans="1:17">
      <c r="A4025" s="556" t="s">
        <v>3652</v>
      </c>
      <c r="B4025" s="557" t="s">
        <v>9540</v>
      </c>
      <c r="C4025" s="558" t="s">
        <v>2809</v>
      </c>
      <c r="D4025" s="556" t="s">
        <v>2624</v>
      </c>
      <c r="E4025" s="17" t="s">
        <v>7440</v>
      </c>
      <c r="F4025" s="17">
        <v>250</v>
      </c>
      <c r="G4025" s="17">
        <v>2</v>
      </c>
      <c r="H4025" s="17" t="s">
        <v>8839</v>
      </c>
      <c r="I4025" s="17"/>
      <c r="J4025" s="17"/>
      <c r="K4025" s="17"/>
      <c r="L4025" s="17"/>
      <c r="M4025" s="17"/>
      <c r="N4025" s="17"/>
      <c r="O4025" s="17"/>
      <c r="P4025" s="17"/>
      <c r="Q4025" s="17"/>
    </row>
    <row r="4026" spans="1:17">
      <c r="A4026" s="556" t="s">
        <v>3652</v>
      </c>
      <c r="B4026" s="557" t="s">
        <v>9540</v>
      </c>
      <c r="C4026" s="558" t="s">
        <v>2809</v>
      </c>
      <c r="D4026" s="556" t="s">
        <v>4426</v>
      </c>
      <c r="E4026" s="17" t="s">
        <v>7441</v>
      </c>
      <c r="F4026" s="17">
        <v>250</v>
      </c>
      <c r="G4026" s="17">
        <v>3</v>
      </c>
      <c r="H4026" s="17" t="s">
        <v>8840</v>
      </c>
      <c r="I4026" s="17">
        <v>0</v>
      </c>
      <c r="J4026" s="17"/>
      <c r="K4026" s="17"/>
      <c r="L4026" s="17"/>
      <c r="M4026" s="17"/>
      <c r="N4026" s="17"/>
      <c r="O4026" s="17"/>
      <c r="P4026" s="17"/>
      <c r="Q4026" s="17"/>
    </row>
    <row r="4027" spans="1:17">
      <c r="A4027" s="556" t="s">
        <v>3652</v>
      </c>
      <c r="B4027" s="557" t="s">
        <v>9540</v>
      </c>
      <c r="C4027" s="558" t="s">
        <v>2809</v>
      </c>
      <c r="D4027" s="556" t="s">
        <v>4324</v>
      </c>
      <c r="E4027" s="17" t="s">
        <v>7442</v>
      </c>
      <c r="F4027" s="17">
        <v>250</v>
      </c>
      <c r="G4027" s="17">
        <v>4</v>
      </c>
      <c r="H4027" s="17" t="s">
        <v>8841</v>
      </c>
      <c r="I4027" s="17"/>
      <c r="J4027" s="17"/>
      <c r="K4027" s="17"/>
      <c r="L4027" s="17"/>
      <c r="M4027" s="17"/>
      <c r="N4027" s="17"/>
      <c r="O4027" s="17"/>
      <c r="P4027" s="17"/>
      <c r="Q4027" s="17"/>
    </row>
    <row r="4028" spans="1:17">
      <c r="A4028" s="556" t="s">
        <v>3652</v>
      </c>
      <c r="B4028" s="557" t="s">
        <v>9541</v>
      </c>
      <c r="C4028" s="558" t="s">
        <v>2810</v>
      </c>
      <c r="D4028" s="556" t="s">
        <v>2623</v>
      </c>
      <c r="E4028" s="17" t="s">
        <v>7443</v>
      </c>
      <c r="F4028" s="17">
        <v>251</v>
      </c>
      <c r="G4028" s="17">
        <v>1</v>
      </c>
      <c r="H4028" s="17" t="s">
        <v>8842</v>
      </c>
      <c r="I4028" s="17"/>
      <c r="J4028" s="17"/>
      <c r="K4028" s="17"/>
      <c r="L4028" s="17"/>
      <c r="M4028" s="17"/>
      <c r="N4028" s="17"/>
      <c r="O4028" s="17"/>
      <c r="P4028" s="17"/>
      <c r="Q4028" s="17"/>
    </row>
    <row r="4029" spans="1:17">
      <c r="A4029" s="556" t="s">
        <v>3652</v>
      </c>
      <c r="B4029" s="557" t="s">
        <v>9541</v>
      </c>
      <c r="C4029" s="558" t="s">
        <v>2810</v>
      </c>
      <c r="D4029" s="556" t="s">
        <v>2624</v>
      </c>
      <c r="E4029" s="17" t="s">
        <v>7444</v>
      </c>
      <c r="F4029" s="17">
        <v>251</v>
      </c>
      <c r="G4029" s="17">
        <v>2</v>
      </c>
      <c r="H4029" s="17" t="s">
        <v>8843</v>
      </c>
      <c r="I4029" s="17"/>
      <c r="J4029" s="17"/>
      <c r="K4029" s="17"/>
      <c r="L4029" s="17"/>
      <c r="M4029" s="17"/>
      <c r="N4029" s="17"/>
      <c r="O4029" s="17"/>
      <c r="P4029" s="17"/>
      <c r="Q4029" s="17"/>
    </row>
    <row r="4030" spans="1:17">
      <c r="A4030" s="556" t="s">
        <v>3652</v>
      </c>
      <c r="B4030" s="557" t="s">
        <v>9541</v>
      </c>
      <c r="C4030" s="558" t="s">
        <v>2810</v>
      </c>
      <c r="D4030" s="556" t="s">
        <v>4426</v>
      </c>
      <c r="E4030" s="17" t="s">
        <v>7445</v>
      </c>
      <c r="F4030" s="17">
        <v>251</v>
      </c>
      <c r="G4030" s="17">
        <v>3</v>
      </c>
      <c r="H4030" s="17" t="s">
        <v>8844</v>
      </c>
      <c r="I4030" s="17">
        <v>0</v>
      </c>
      <c r="J4030" s="17"/>
      <c r="K4030" s="17"/>
      <c r="L4030" s="17"/>
      <c r="M4030" s="17"/>
      <c r="N4030" s="17"/>
      <c r="O4030" s="17"/>
      <c r="P4030" s="17"/>
      <c r="Q4030" s="17"/>
    </row>
    <row r="4031" spans="1:17">
      <c r="A4031" s="556" t="s">
        <v>3652</v>
      </c>
      <c r="B4031" s="557" t="s">
        <v>9541</v>
      </c>
      <c r="C4031" s="558" t="s">
        <v>2810</v>
      </c>
      <c r="D4031" s="556" t="s">
        <v>4324</v>
      </c>
      <c r="E4031" s="17" t="s">
        <v>7446</v>
      </c>
      <c r="F4031" s="17">
        <v>251</v>
      </c>
      <c r="G4031" s="17">
        <v>4</v>
      </c>
      <c r="H4031" s="17" t="s">
        <v>8845</v>
      </c>
      <c r="I4031" s="17"/>
      <c r="J4031" s="17"/>
      <c r="K4031" s="17"/>
      <c r="L4031" s="17"/>
      <c r="M4031" s="17"/>
      <c r="N4031" s="17"/>
      <c r="O4031" s="17"/>
      <c r="P4031" s="17"/>
      <c r="Q4031" s="17"/>
    </row>
    <row r="4032" spans="1:17">
      <c r="A4032" s="556" t="s">
        <v>3652</v>
      </c>
      <c r="B4032" s="557" t="s">
        <v>9542</v>
      </c>
      <c r="C4032" s="558" t="s">
        <v>2811</v>
      </c>
      <c r="D4032" s="556" t="s">
        <v>2623</v>
      </c>
      <c r="E4032" s="17" t="s">
        <v>7447</v>
      </c>
      <c r="F4032" s="17">
        <v>252</v>
      </c>
      <c r="G4032" s="17">
        <v>1</v>
      </c>
      <c r="H4032" s="17" t="s">
        <v>8846</v>
      </c>
      <c r="I4032" s="17"/>
      <c r="J4032" s="17"/>
      <c r="K4032" s="17"/>
      <c r="L4032" s="17"/>
      <c r="M4032" s="17"/>
      <c r="N4032" s="17"/>
      <c r="O4032" s="17"/>
      <c r="P4032" s="17"/>
      <c r="Q4032" s="17"/>
    </row>
    <row r="4033" spans="1:17">
      <c r="A4033" s="556" t="s">
        <v>3652</v>
      </c>
      <c r="B4033" s="557" t="s">
        <v>9542</v>
      </c>
      <c r="C4033" s="558" t="s">
        <v>2811</v>
      </c>
      <c r="D4033" s="556" t="s">
        <v>2624</v>
      </c>
      <c r="E4033" s="17" t="s">
        <v>7448</v>
      </c>
      <c r="F4033" s="17">
        <v>252</v>
      </c>
      <c r="G4033" s="17">
        <v>2</v>
      </c>
      <c r="H4033" s="17" t="s">
        <v>8847</v>
      </c>
      <c r="I4033" s="17"/>
      <c r="J4033" s="17"/>
      <c r="K4033" s="17"/>
      <c r="L4033" s="17"/>
      <c r="M4033" s="17"/>
      <c r="N4033" s="17"/>
      <c r="O4033" s="17"/>
      <c r="P4033" s="17"/>
      <c r="Q4033" s="17"/>
    </row>
    <row r="4034" spans="1:17">
      <c r="A4034" s="556" t="s">
        <v>3652</v>
      </c>
      <c r="B4034" s="557" t="s">
        <v>9542</v>
      </c>
      <c r="C4034" s="558" t="s">
        <v>2811</v>
      </c>
      <c r="D4034" s="556" t="s">
        <v>4426</v>
      </c>
      <c r="E4034" s="17" t="s">
        <v>7449</v>
      </c>
      <c r="F4034" s="17">
        <v>252</v>
      </c>
      <c r="G4034" s="17">
        <v>3</v>
      </c>
      <c r="H4034" s="17" t="s">
        <v>8848</v>
      </c>
      <c r="I4034" s="17">
        <v>0</v>
      </c>
      <c r="J4034" s="17"/>
      <c r="K4034" s="17"/>
      <c r="L4034" s="17"/>
      <c r="M4034" s="17"/>
      <c r="N4034" s="17"/>
      <c r="O4034" s="17"/>
      <c r="P4034" s="17"/>
      <c r="Q4034" s="17"/>
    </row>
    <row r="4035" spans="1:17">
      <c r="A4035" s="556" t="s">
        <v>3652</v>
      </c>
      <c r="B4035" s="557" t="s">
        <v>9542</v>
      </c>
      <c r="C4035" s="558" t="s">
        <v>2811</v>
      </c>
      <c r="D4035" s="556" t="s">
        <v>4324</v>
      </c>
      <c r="E4035" s="17" t="s">
        <v>7450</v>
      </c>
      <c r="F4035" s="17">
        <v>252</v>
      </c>
      <c r="G4035" s="17">
        <v>4</v>
      </c>
      <c r="H4035" s="17" t="s">
        <v>8849</v>
      </c>
      <c r="I4035" s="17"/>
      <c r="J4035" s="17"/>
      <c r="K4035" s="17"/>
      <c r="L4035" s="17"/>
      <c r="M4035" s="17"/>
      <c r="N4035" s="17"/>
      <c r="O4035" s="17"/>
      <c r="P4035" s="17"/>
      <c r="Q4035" s="17"/>
    </row>
    <row r="4036" spans="1:17">
      <c r="A4036" s="556" t="s">
        <v>3652</v>
      </c>
      <c r="B4036" s="557" t="s">
        <v>9543</v>
      </c>
      <c r="C4036" s="558" t="s">
        <v>2812</v>
      </c>
      <c r="D4036" s="556" t="s">
        <v>2623</v>
      </c>
      <c r="E4036" s="17" t="s">
        <v>7451</v>
      </c>
      <c r="F4036" s="17">
        <v>253</v>
      </c>
      <c r="G4036" s="17">
        <v>1</v>
      </c>
      <c r="H4036" s="17" t="s">
        <v>8850</v>
      </c>
      <c r="I4036" s="17"/>
      <c r="J4036" s="17"/>
      <c r="K4036" s="17"/>
      <c r="L4036" s="17"/>
      <c r="M4036" s="17"/>
      <c r="N4036" s="17"/>
      <c r="O4036" s="17"/>
      <c r="P4036" s="17"/>
      <c r="Q4036" s="17"/>
    </row>
    <row r="4037" spans="1:17">
      <c r="A4037" s="556" t="s">
        <v>3652</v>
      </c>
      <c r="B4037" s="557" t="s">
        <v>9543</v>
      </c>
      <c r="C4037" s="558" t="s">
        <v>2812</v>
      </c>
      <c r="D4037" s="556" t="s">
        <v>2624</v>
      </c>
      <c r="E4037" s="17" t="s">
        <v>7452</v>
      </c>
      <c r="F4037" s="17">
        <v>253</v>
      </c>
      <c r="G4037" s="17">
        <v>2</v>
      </c>
      <c r="H4037" s="17" t="s">
        <v>8851</v>
      </c>
      <c r="I4037" s="17"/>
      <c r="J4037" s="17"/>
      <c r="K4037" s="17"/>
      <c r="L4037" s="17"/>
      <c r="M4037" s="17"/>
      <c r="N4037" s="17"/>
      <c r="O4037" s="17"/>
      <c r="P4037" s="17"/>
      <c r="Q4037" s="17"/>
    </row>
    <row r="4038" spans="1:17">
      <c r="A4038" s="556" t="s">
        <v>3652</v>
      </c>
      <c r="B4038" s="557" t="s">
        <v>9543</v>
      </c>
      <c r="C4038" s="558" t="s">
        <v>2812</v>
      </c>
      <c r="D4038" s="556" t="s">
        <v>4426</v>
      </c>
      <c r="E4038" s="17" t="s">
        <v>7453</v>
      </c>
      <c r="F4038" s="17">
        <v>253</v>
      </c>
      <c r="G4038" s="17">
        <v>3</v>
      </c>
      <c r="H4038" s="17" t="s">
        <v>8852</v>
      </c>
      <c r="I4038" s="17">
        <v>0</v>
      </c>
      <c r="J4038" s="17"/>
      <c r="K4038" s="17"/>
      <c r="L4038" s="17"/>
      <c r="M4038" s="17"/>
      <c r="N4038" s="17"/>
      <c r="O4038" s="17"/>
      <c r="P4038" s="17"/>
      <c r="Q4038" s="17"/>
    </row>
    <row r="4039" spans="1:17">
      <c r="A4039" s="556" t="s">
        <v>3652</v>
      </c>
      <c r="B4039" s="557" t="s">
        <v>9543</v>
      </c>
      <c r="C4039" s="558" t="s">
        <v>2812</v>
      </c>
      <c r="D4039" s="556" t="s">
        <v>4324</v>
      </c>
      <c r="E4039" s="17" t="s">
        <v>7454</v>
      </c>
      <c r="F4039" s="17">
        <v>253</v>
      </c>
      <c r="G4039" s="17">
        <v>4</v>
      </c>
      <c r="H4039" s="17" t="s">
        <v>8853</v>
      </c>
      <c r="I4039" s="17"/>
      <c r="J4039" s="17"/>
      <c r="K4039" s="17"/>
      <c r="L4039" s="17"/>
      <c r="M4039" s="17"/>
      <c r="N4039" s="17"/>
      <c r="O4039" s="17"/>
      <c r="P4039" s="17"/>
      <c r="Q4039" s="17"/>
    </row>
    <row r="4040" spans="1:17">
      <c r="A4040" s="556" t="s">
        <v>3652</v>
      </c>
      <c r="B4040" s="557" t="s">
        <v>1327</v>
      </c>
      <c r="C4040" s="558" t="s">
        <v>2813</v>
      </c>
      <c r="D4040" s="556" t="s">
        <v>2623</v>
      </c>
      <c r="E4040" s="17" t="s">
        <v>7455</v>
      </c>
      <c r="F4040" s="17">
        <v>254</v>
      </c>
      <c r="G4040" s="17">
        <v>1</v>
      </c>
      <c r="H4040" s="17" t="s">
        <v>8854</v>
      </c>
      <c r="I4040" s="17">
        <v>0</v>
      </c>
      <c r="J4040" s="17"/>
      <c r="K4040" s="17"/>
      <c r="L4040" s="17"/>
      <c r="M4040" s="17"/>
      <c r="N4040" s="17"/>
      <c r="O4040" s="17"/>
      <c r="P4040" s="17"/>
      <c r="Q4040" s="17"/>
    </row>
    <row r="4041" spans="1:17">
      <c r="A4041" s="556" t="s">
        <v>3652</v>
      </c>
      <c r="B4041" s="557" t="s">
        <v>1327</v>
      </c>
      <c r="C4041" s="558" t="s">
        <v>2813</v>
      </c>
      <c r="D4041" s="556" t="s">
        <v>2624</v>
      </c>
      <c r="E4041" s="17" t="s">
        <v>7456</v>
      </c>
      <c r="F4041" s="17">
        <v>254</v>
      </c>
      <c r="G4041" s="17">
        <v>2</v>
      </c>
      <c r="H4041" s="17" t="s">
        <v>8855</v>
      </c>
      <c r="I4041" s="17">
        <v>0</v>
      </c>
      <c r="J4041" s="17"/>
      <c r="K4041" s="17"/>
      <c r="L4041" s="17"/>
      <c r="M4041" s="17"/>
      <c r="N4041" s="17"/>
      <c r="O4041" s="17"/>
      <c r="P4041" s="17"/>
      <c r="Q4041" s="17"/>
    </row>
    <row r="4042" spans="1:17">
      <c r="A4042" s="556" t="s">
        <v>3652</v>
      </c>
      <c r="B4042" s="557" t="s">
        <v>1327</v>
      </c>
      <c r="C4042" s="558" t="s">
        <v>2813</v>
      </c>
      <c r="D4042" s="556" t="s">
        <v>4426</v>
      </c>
      <c r="E4042" s="17" t="s">
        <v>7457</v>
      </c>
      <c r="F4042" s="17">
        <v>254</v>
      </c>
      <c r="G4042" s="17">
        <v>3</v>
      </c>
      <c r="H4042" s="17" t="s">
        <v>8856</v>
      </c>
      <c r="I4042" s="17">
        <v>0</v>
      </c>
      <c r="J4042" s="17"/>
      <c r="K4042" s="17"/>
      <c r="L4042" s="17"/>
      <c r="M4042" s="17"/>
      <c r="N4042" s="17"/>
      <c r="O4042" s="17"/>
      <c r="P4042" s="17"/>
      <c r="Q4042" s="17"/>
    </row>
    <row r="4043" spans="1:17">
      <c r="A4043" s="556" t="s">
        <v>3652</v>
      </c>
      <c r="B4043" s="557" t="s">
        <v>1327</v>
      </c>
      <c r="C4043" s="558" t="s">
        <v>2813</v>
      </c>
      <c r="D4043" s="556" t="s">
        <v>4324</v>
      </c>
      <c r="E4043" s="17" t="s">
        <v>7458</v>
      </c>
      <c r="F4043" s="17">
        <v>254</v>
      </c>
      <c r="G4043" s="17">
        <v>4</v>
      </c>
      <c r="H4043" s="17" t="s">
        <v>8857</v>
      </c>
      <c r="I4043" s="17"/>
      <c r="J4043" s="17"/>
      <c r="K4043" s="17"/>
      <c r="L4043" s="17"/>
      <c r="M4043" s="17"/>
      <c r="N4043" s="17"/>
      <c r="O4043" s="17"/>
      <c r="P4043" s="17"/>
      <c r="Q4043" s="17"/>
    </row>
    <row r="4044" spans="1:17">
      <c r="A4044" s="556" t="s">
        <v>3652</v>
      </c>
      <c r="B4044" s="557" t="s">
        <v>9544</v>
      </c>
      <c r="C4044" s="558" t="s">
        <v>2814</v>
      </c>
      <c r="D4044" s="556" t="s">
        <v>2623</v>
      </c>
      <c r="E4044" s="17" t="s">
        <v>7459</v>
      </c>
      <c r="F4044" s="17">
        <v>255</v>
      </c>
      <c r="G4044" s="17">
        <v>1</v>
      </c>
      <c r="H4044" s="17" t="s">
        <v>8858</v>
      </c>
      <c r="I4044" s="17"/>
      <c r="J4044" s="17"/>
      <c r="K4044" s="17"/>
      <c r="L4044" s="17"/>
      <c r="M4044" s="17"/>
      <c r="N4044" s="17"/>
      <c r="O4044" s="17"/>
      <c r="P4044" s="17"/>
      <c r="Q4044" s="17"/>
    </row>
    <row r="4045" spans="1:17">
      <c r="A4045" s="556" t="s">
        <v>3652</v>
      </c>
      <c r="B4045" s="557" t="s">
        <v>9544</v>
      </c>
      <c r="C4045" s="558" t="s">
        <v>2814</v>
      </c>
      <c r="D4045" s="556" t="s">
        <v>2624</v>
      </c>
      <c r="E4045" s="17" t="s">
        <v>7460</v>
      </c>
      <c r="F4045" s="17">
        <v>255</v>
      </c>
      <c r="G4045" s="17">
        <v>2</v>
      </c>
      <c r="H4045" s="17" t="s">
        <v>8859</v>
      </c>
      <c r="I4045" s="17"/>
      <c r="J4045" s="17"/>
      <c r="K4045" s="17"/>
      <c r="L4045" s="17"/>
      <c r="M4045" s="17"/>
      <c r="N4045" s="17"/>
      <c r="O4045" s="17"/>
      <c r="P4045" s="17"/>
      <c r="Q4045" s="17"/>
    </row>
    <row r="4046" spans="1:17">
      <c r="A4046" s="556" t="s">
        <v>3652</v>
      </c>
      <c r="B4046" s="557" t="s">
        <v>9544</v>
      </c>
      <c r="C4046" s="558" t="s">
        <v>2814</v>
      </c>
      <c r="D4046" s="556" t="s">
        <v>4426</v>
      </c>
      <c r="E4046" s="17" t="s">
        <v>7461</v>
      </c>
      <c r="F4046" s="17">
        <v>255</v>
      </c>
      <c r="G4046" s="17">
        <v>3</v>
      </c>
      <c r="H4046" s="17" t="s">
        <v>8860</v>
      </c>
      <c r="I4046" s="17">
        <v>0</v>
      </c>
      <c r="J4046" s="17"/>
      <c r="K4046" s="17"/>
      <c r="L4046" s="17"/>
      <c r="M4046" s="17"/>
      <c r="N4046" s="17"/>
      <c r="O4046" s="17"/>
      <c r="P4046" s="17"/>
      <c r="Q4046" s="17"/>
    </row>
    <row r="4047" spans="1:17">
      <c r="A4047" s="556" t="s">
        <v>3652</v>
      </c>
      <c r="B4047" s="557" t="s">
        <v>9544</v>
      </c>
      <c r="C4047" s="558" t="s">
        <v>2814</v>
      </c>
      <c r="D4047" s="556" t="s">
        <v>4324</v>
      </c>
      <c r="E4047" s="17" t="s">
        <v>7462</v>
      </c>
      <c r="F4047" s="17">
        <v>255</v>
      </c>
      <c r="G4047" s="17">
        <v>4</v>
      </c>
      <c r="H4047" s="17" t="s">
        <v>8861</v>
      </c>
      <c r="I4047" s="17"/>
      <c r="J4047" s="17"/>
      <c r="K4047" s="17"/>
      <c r="L4047" s="17"/>
      <c r="M4047" s="17"/>
      <c r="N4047" s="17"/>
      <c r="O4047" s="17"/>
      <c r="P4047" s="17"/>
      <c r="Q4047" s="17"/>
    </row>
    <row r="4048" spans="1:17">
      <c r="A4048" s="556" t="s">
        <v>3652</v>
      </c>
      <c r="B4048" s="557" t="s">
        <v>9545</v>
      </c>
      <c r="C4048" s="558" t="s">
        <v>2815</v>
      </c>
      <c r="D4048" s="556" t="s">
        <v>2623</v>
      </c>
      <c r="E4048" s="17" t="s">
        <v>7463</v>
      </c>
      <c r="F4048" s="17">
        <v>256</v>
      </c>
      <c r="G4048" s="17">
        <v>1</v>
      </c>
      <c r="H4048" s="17" t="s">
        <v>8862</v>
      </c>
      <c r="I4048" s="17"/>
      <c r="J4048" s="17"/>
      <c r="K4048" s="17"/>
      <c r="L4048" s="17"/>
      <c r="M4048" s="17"/>
      <c r="N4048" s="17"/>
      <c r="O4048" s="17"/>
      <c r="P4048" s="17"/>
      <c r="Q4048" s="17"/>
    </row>
    <row r="4049" spans="1:17">
      <c r="A4049" s="556" t="s">
        <v>3652</v>
      </c>
      <c r="B4049" s="557" t="s">
        <v>9545</v>
      </c>
      <c r="C4049" s="558" t="s">
        <v>2815</v>
      </c>
      <c r="D4049" s="556" t="s">
        <v>2624</v>
      </c>
      <c r="E4049" s="17" t="s">
        <v>7464</v>
      </c>
      <c r="F4049" s="17">
        <v>256</v>
      </c>
      <c r="G4049" s="17">
        <v>2</v>
      </c>
      <c r="H4049" s="17" t="s">
        <v>8863</v>
      </c>
      <c r="I4049" s="17"/>
      <c r="J4049" s="17"/>
      <c r="K4049" s="17"/>
      <c r="L4049" s="17"/>
      <c r="M4049" s="17"/>
      <c r="N4049" s="17"/>
      <c r="O4049" s="17"/>
      <c r="P4049" s="17"/>
      <c r="Q4049" s="17"/>
    </row>
    <row r="4050" spans="1:17">
      <c r="A4050" s="556" t="s">
        <v>3652</v>
      </c>
      <c r="B4050" s="557" t="s">
        <v>9545</v>
      </c>
      <c r="C4050" s="558" t="s">
        <v>2815</v>
      </c>
      <c r="D4050" s="556" t="s">
        <v>4426</v>
      </c>
      <c r="E4050" s="17" t="s">
        <v>7465</v>
      </c>
      <c r="F4050" s="17">
        <v>256</v>
      </c>
      <c r="G4050" s="17">
        <v>3</v>
      </c>
      <c r="H4050" s="17" t="s">
        <v>8864</v>
      </c>
      <c r="I4050" s="17">
        <v>0</v>
      </c>
      <c r="J4050" s="17"/>
      <c r="K4050" s="17"/>
      <c r="L4050" s="17"/>
      <c r="M4050" s="17"/>
      <c r="N4050" s="17"/>
      <c r="O4050" s="17"/>
      <c r="P4050" s="17"/>
      <c r="Q4050" s="17"/>
    </row>
    <row r="4051" spans="1:17">
      <c r="A4051" s="556" t="s">
        <v>3652</v>
      </c>
      <c r="B4051" s="557" t="s">
        <v>9545</v>
      </c>
      <c r="C4051" s="558" t="s">
        <v>2815</v>
      </c>
      <c r="D4051" s="556" t="s">
        <v>4324</v>
      </c>
      <c r="E4051" s="17" t="s">
        <v>7466</v>
      </c>
      <c r="F4051" s="17">
        <v>256</v>
      </c>
      <c r="G4051" s="17">
        <v>4</v>
      </c>
      <c r="H4051" s="17" t="s">
        <v>8865</v>
      </c>
      <c r="I4051" s="17"/>
      <c r="J4051" s="17"/>
      <c r="K4051" s="17"/>
      <c r="L4051" s="17"/>
      <c r="M4051" s="17"/>
      <c r="N4051" s="17"/>
      <c r="O4051" s="17"/>
      <c r="P4051" s="17"/>
      <c r="Q4051" s="17"/>
    </row>
    <row r="4052" spans="1:17">
      <c r="A4052" s="556" t="s">
        <v>3652</v>
      </c>
      <c r="B4052" s="557" t="s">
        <v>9546</v>
      </c>
      <c r="C4052" s="558" t="s">
        <v>2816</v>
      </c>
      <c r="D4052" s="556" t="s">
        <v>2623</v>
      </c>
      <c r="E4052" s="17" t="s">
        <v>7467</v>
      </c>
      <c r="F4052" s="17">
        <v>257</v>
      </c>
      <c r="G4052" s="17">
        <v>1</v>
      </c>
      <c r="H4052" s="17" t="s">
        <v>8866</v>
      </c>
      <c r="I4052" s="17"/>
      <c r="J4052" s="17"/>
      <c r="K4052" s="17"/>
      <c r="L4052" s="17"/>
      <c r="M4052" s="17"/>
      <c r="N4052" s="17"/>
      <c r="O4052" s="17"/>
      <c r="P4052" s="17"/>
      <c r="Q4052" s="17"/>
    </row>
    <row r="4053" spans="1:17">
      <c r="A4053" s="556" t="s">
        <v>3652</v>
      </c>
      <c r="B4053" s="557" t="s">
        <v>9546</v>
      </c>
      <c r="C4053" s="558" t="s">
        <v>2816</v>
      </c>
      <c r="D4053" s="556" t="s">
        <v>2624</v>
      </c>
      <c r="E4053" s="17" t="s">
        <v>7468</v>
      </c>
      <c r="F4053" s="17">
        <v>257</v>
      </c>
      <c r="G4053" s="17">
        <v>2</v>
      </c>
      <c r="H4053" s="17" t="s">
        <v>8867</v>
      </c>
      <c r="I4053" s="17"/>
      <c r="J4053" s="17"/>
      <c r="K4053" s="17"/>
      <c r="L4053" s="17"/>
      <c r="M4053" s="17"/>
      <c r="N4053" s="17"/>
      <c r="O4053" s="17"/>
      <c r="P4053" s="17"/>
      <c r="Q4053" s="17"/>
    </row>
    <row r="4054" spans="1:17">
      <c r="A4054" s="556" t="s">
        <v>3652</v>
      </c>
      <c r="B4054" s="557" t="s">
        <v>9546</v>
      </c>
      <c r="C4054" s="558" t="s">
        <v>2816</v>
      </c>
      <c r="D4054" s="556" t="s">
        <v>4426</v>
      </c>
      <c r="E4054" s="17" t="s">
        <v>7469</v>
      </c>
      <c r="F4054" s="17">
        <v>257</v>
      </c>
      <c r="G4054" s="17">
        <v>3</v>
      </c>
      <c r="H4054" s="17" t="s">
        <v>8868</v>
      </c>
      <c r="I4054" s="17">
        <v>0</v>
      </c>
      <c r="J4054" s="17"/>
      <c r="K4054" s="17"/>
      <c r="L4054" s="17"/>
      <c r="M4054" s="17"/>
      <c r="N4054" s="17"/>
      <c r="O4054" s="17"/>
      <c r="P4054" s="17"/>
      <c r="Q4054" s="17"/>
    </row>
    <row r="4055" spans="1:17">
      <c r="A4055" s="556" t="s">
        <v>3652</v>
      </c>
      <c r="B4055" s="557" t="s">
        <v>9546</v>
      </c>
      <c r="C4055" s="558" t="s">
        <v>2816</v>
      </c>
      <c r="D4055" s="556" t="s">
        <v>4324</v>
      </c>
      <c r="E4055" s="17" t="s">
        <v>7470</v>
      </c>
      <c r="F4055" s="17">
        <v>257</v>
      </c>
      <c r="G4055" s="17">
        <v>4</v>
      </c>
      <c r="H4055" s="17" t="s">
        <v>8869</v>
      </c>
      <c r="I4055" s="17"/>
      <c r="J4055" s="17"/>
      <c r="K4055" s="17"/>
      <c r="L4055" s="17"/>
      <c r="M4055" s="17"/>
      <c r="N4055" s="17"/>
      <c r="O4055" s="17"/>
      <c r="P4055" s="17"/>
      <c r="Q4055" s="17"/>
    </row>
    <row r="4056" spans="1:17">
      <c r="A4056" s="556" t="s">
        <v>3652</v>
      </c>
      <c r="B4056" s="557" t="s">
        <v>9547</v>
      </c>
      <c r="C4056" s="558" t="s">
        <v>2817</v>
      </c>
      <c r="D4056" s="556" t="s">
        <v>2623</v>
      </c>
      <c r="E4056" s="17" t="s">
        <v>7471</v>
      </c>
      <c r="F4056" s="17">
        <v>258</v>
      </c>
      <c r="G4056" s="17">
        <v>1</v>
      </c>
      <c r="H4056" s="17" t="s">
        <v>8870</v>
      </c>
      <c r="I4056" s="17"/>
      <c r="J4056" s="17"/>
      <c r="K4056" s="17"/>
      <c r="L4056" s="17"/>
      <c r="M4056" s="17"/>
      <c r="N4056" s="17"/>
      <c r="O4056" s="17"/>
      <c r="P4056" s="17"/>
      <c r="Q4056" s="17"/>
    </row>
    <row r="4057" spans="1:17">
      <c r="A4057" s="556" t="s">
        <v>3652</v>
      </c>
      <c r="B4057" s="557" t="s">
        <v>9547</v>
      </c>
      <c r="C4057" s="558" t="s">
        <v>2817</v>
      </c>
      <c r="D4057" s="556" t="s">
        <v>2624</v>
      </c>
      <c r="E4057" s="17" t="s">
        <v>7472</v>
      </c>
      <c r="F4057" s="17">
        <v>258</v>
      </c>
      <c r="G4057" s="17">
        <v>2</v>
      </c>
      <c r="H4057" s="17" t="s">
        <v>8871</v>
      </c>
      <c r="I4057" s="17"/>
      <c r="J4057" s="17"/>
      <c r="K4057" s="17"/>
      <c r="L4057" s="17"/>
      <c r="M4057" s="17"/>
      <c r="N4057" s="17"/>
      <c r="O4057" s="17"/>
      <c r="P4057" s="17"/>
      <c r="Q4057" s="17"/>
    </row>
    <row r="4058" spans="1:17">
      <c r="A4058" s="556" t="s">
        <v>3652</v>
      </c>
      <c r="B4058" s="557" t="s">
        <v>9547</v>
      </c>
      <c r="C4058" s="558" t="s">
        <v>2817</v>
      </c>
      <c r="D4058" s="556" t="s">
        <v>4426</v>
      </c>
      <c r="E4058" s="17" t="s">
        <v>7473</v>
      </c>
      <c r="F4058" s="17">
        <v>258</v>
      </c>
      <c r="G4058" s="17">
        <v>3</v>
      </c>
      <c r="H4058" s="17" t="s">
        <v>8872</v>
      </c>
      <c r="I4058" s="17">
        <v>0</v>
      </c>
      <c r="J4058" s="17"/>
      <c r="K4058" s="17"/>
      <c r="L4058" s="17"/>
      <c r="M4058" s="17"/>
      <c r="N4058" s="17"/>
      <c r="O4058" s="17"/>
      <c r="P4058" s="17"/>
      <c r="Q4058" s="17"/>
    </row>
    <row r="4059" spans="1:17">
      <c r="A4059" s="556" t="s">
        <v>3652</v>
      </c>
      <c r="B4059" s="557" t="s">
        <v>9547</v>
      </c>
      <c r="C4059" s="558" t="s">
        <v>2817</v>
      </c>
      <c r="D4059" s="556" t="s">
        <v>4324</v>
      </c>
      <c r="E4059" s="17" t="s">
        <v>7474</v>
      </c>
      <c r="F4059" s="17">
        <v>258</v>
      </c>
      <c r="G4059" s="17">
        <v>4</v>
      </c>
      <c r="H4059" s="17" t="s">
        <v>8873</v>
      </c>
      <c r="I4059" s="17"/>
      <c r="J4059" s="17"/>
      <c r="K4059" s="17"/>
      <c r="L4059" s="17"/>
      <c r="M4059" s="17"/>
      <c r="N4059" s="17"/>
      <c r="O4059" s="17"/>
      <c r="P4059" s="17"/>
      <c r="Q4059" s="17"/>
    </row>
    <row r="4060" spans="1:17">
      <c r="A4060" s="556" t="s">
        <v>3652</v>
      </c>
      <c r="B4060" s="557" t="s">
        <v>9548</v>
      </c>
      <c r="C4060" s="558" t="s">
        <v>2818</v>
      </c>
      <c r="D4060" s="556" t="s">
        <v>2623</v>
      </c>
      <c r="E4060" s="17" t="s">
        <v>7475</v>
      </c>
      <c r="F4060" s="17">
        <v>259</v>
      </c>
      <c r="G4060" s="17">
        <v>1</v>
      </c>
      <c r="H4060" s="17" t="s">
        <v>8874</v>
      </c>
      <c r="I4060" s="17"/>
      <c r="J4060" s="17"/>
      <c r="K4060" s="17"/>
      <c r="L4060" s="17"/>
      <c r="M4060" s="17"/>
      <c r="N4060" s="17"/>
      <c r="O4060" s="17"/>
      <c r="P4060" s="17"/>
      <c r="Q4060" s="17"/>
    </row>
    <row r="4061" spans="1:17">
      <c r="A4061" s="556" t="s">
        <v>3652</v>
      </c>
      <c r="B4061" s="557" t="s">
        <v>9548</v>
      </c>
      <c r="C4061" s="558" t="s">
        <v>2818</v>
      </c>
      <c r="D4061" s="556" t="s">
        <v>2624</v>
      </c>
      <c r="E4061" s="17" t="s">
        <v>7476</v>
      </c>
      <c r="F4061" s="17">
        <v>259</v>
      </c>
      <c r="G4061" s="17">
        <v>2</v>
      </c>
      <c r="H4061" s="17" t="s">
        <v>8875</v>
      </c>
      <c r="I4061" s="17"/>
      <c r="J4061" s="17"/>
      <c r="K4061" s="17"/>
      <c r="L4061" s="17"/>
      <c r="M4061" s="17"/>
      <c r="N4061" s="17"/>
      <c r="O4061" s="17"/>
      <c r="P4061" s="17"/>
      <c r="Q4061" s="17"/>
    </row>
    <row r="4062" spans="1:17">
      <c r="A4062" s="556" t="s">
        <v>3652</v>
      </c>
      <c r="B4062" s="557" t="s">
        <v>9548</v>
      </c>
      <c r="C4062" s="558" t="s">
        <v>2818</v>
      </c>
      <c r="D4062" s="556" t="s">
        <v>4426</v>
      </c>
      <c r="E4062" s="17" t="s">
        <v>7477</v>
      </c>
      <c r="F4062" s="17">
        <v>259</v>
      </c>
      <c r="G4062" s="17">
        <v>3</v>
      </c>
      <c r="H4062" s="17" t="s">
        <v>8876</v>
      </c>
      <c r="I4062" s="17">
        <v>0</v>
      </c>
      <c r="J4062" s="17"/>
      <c r="K4062" s="17"/>
      <c r="L4062" s="17"/>
      <c r="M4062" s="17"/>
      <c r="N4062" s="17"/>
      <c r="O4062" s="17"/>
      <c r="P4062" s="17"/>
      <c r="Q4062" s="17"/>
    </row>
    <row r="4063" spans="1:17">
      <c r="A4063" s="556" t="s">
        <v>3652</v>
      </c>
      <c r="B4063" s="557" t="s">
        <v>9548</v>
      </c>
      <c r="C4063" s="558" t="s">
        <v>2818</v>
      </c>
      <c r="D4063" s="556" t="s">
        <v>4324</v>
      </c>
      <c r="E4063" s="17" t="s">
        <v>7478</v>
      </c>
      <c r="F4063" s="17">
        <v>259</v>
      </c>
      <c r="G4063" s="17">
        <v>4</v>
      </c>
      <c r="H4063" s="17" t="s">
        <v>8877</v>
      </c>
      <c r="I4063" s="17"/>
      <c r="J4063" s="17"/>
      <c r="K4063" s="17"/>
      <c r="L4063" s="17"/>
      <c r="M4063" s="17"/>
      <c r="N4063" s="17"/>
      <c r="O4063" s="17"/>
      <c r="P4063" s="17"/>
      <c r="Q4063" s="17"/>
    </row>
    <row r="4064" spans="1:17">
      <c r="A4064" s="556" t="s">
        <v>3652</v>
      </c>
      <c r="B4064" s="557" t="s">
        <v>1316</v>
      </c>
      <c r="C4064" s="558" t="s">
        <v>1317</v>
      </c>
      <c r="D4064" s="556" t="s">
        <v>2623</v>
      </c>
      <c r="E4064" s="17" t="s">
        <v>7479</v>
      </c>
      <c r="F4064" s="17">
        <v>260</v>
      </c>
      <c r="G4064" s="17">
        <v>1</v>
      </c>
      <c r="H4064" s="17" t="s">
        <v>8878</v>
      </c>
      <c r="I4064" s="17">
        <v>0</v>
      </c>
      <c r="J4064" s="17"/>
      <c r="K4064" s="17"/>
      <c r="L4064" s="17"/>
      <c r="M4064" s="17"/>
      <c r="N4064" s="17"/>
      <c r="O4064" s="17"/>
      <c r="P4064" s="17"/>
      <c r="Q4064" s="17"/>
    </row>
    <row r="4065" spans="1:17">
      <c r="A4065" s="556" t="s">
        <v>3652</v>
      </c>
      <c r="B4065" s="557" t="s">
        <v>1316</v>
      </c>
      <c r="C4065" s="558" t="s">
        <v>1317</v>
      </c>
      <c r="D4065" s="556" t="s">
        <v>2624</v>
      </c>
      <c r="E4065" s="17" t="s">
        <v>7480</v>
      </c>
      <c r="F4065" s="17">
        <v>260</v>
      </c>
      <c r="G4065" s="17">
        <v>2</v>
      </c>
      <c r="H4065" s="17" t="s">
        <v>8879</v>
      </c>
      <c r="I4065" s="17">
        <v>0</v>
      </c>
      <c r="J4065" s="17"/>
      <c r="K4065" s="17"/>
      <c r="L4065" s="17"/>
      <c r="M4065" s="17"/>
      <c r="N4065" s="17"/>
      <c r="O4065" s="17"/>
      <c r="P4065" s="17"/>
      <c r="Q4065" s="17"/>
    </row>
    <row r="4066" spans="1:17">
      <c r="A4066" s="556" t="s">
        <v>3652</v>
      </c>
      <c r="B4066" s="557" t="s">
        <v>1316</v>
      </c>
      <c r="C4066" s="558" t="s">
        <v>1317</v>
      </c>
      <c r="D4066" s="556" t="s">
        <v>4426</v>
      </c>
      <c r="E4066" s="17" t="s">
        <v>7481</v>
      </c>
      <c r="F4066" s="17">
        <v>260</v>
      </c>
      <c r="G4066" s="17">
        <v>3</v>
      </c>
      <c r="H4066" s="17" t="s">
        <v>8880</v>
      </c>
      <c r="I4066" s="17">
        <v>0</v>
      </c>
      <c r="J4066" s="17"/>
      <c r="K4066" s="17"/>
      <c r="L4066" s="17"/>
      <c r="M4066" s="17"/>
      <c r="N4066" s="17"/>
      <c r="O4066" s="17"/>
      <c r="P4066" s="17"/>
      <c r="Q4066" s="17"/>
    </row>
    <row r="4067" spans="1:17">
      <c r="A4067" s="556" t="s">
        <v>3652</v>
      </c>
      <c r="B4067" s="557" t="s">
        <v>1316</v>
      </c>
      <c r="C4067" s="558" t="s">
        <v>1317</v>
      </c>
      <c r="D4067" s="556" t="s">
        <v>4324</v>
      </c>
      <c r="E4067" s="17" t="s">
        <v>7482</v>
      </c>
      <c r="F4067" s="17">
        <v>260</v>
      </c>
      <c r="G4067" s="17">
        <v>4</v>
      </c>
      <c r="H4067" s="17" t="s">
        <v>8881</v>
      </c>
      <c r="I4067" s="17"/>
      <c r="J4067" s="17"/>
      <c r="K4067" s="17"/>
      <c r="L4067" s="17"/>
      <c r="M4067" s="17"/>
      <c r="N4067" s="17"/>
      <c r="O4067" s="17"/>
      <c r="P4067" s="17"/>
      <c r="Q4067" s="17"/>
    </row>
    <row r="4068" spans="1:17">
      <c r="A4068" s="556" t="s">
        <v>3652</v>
      </c>
      <c r="B4068" s="557" t="s">
        <v>9549</v>
      </c>
      <c r="C4068" s="558" t="s">
        <v>2819</v>
      </c>
      <c r="D4068" s="556" t="s">
        <v>2623</v>
      </c>
      <c r="E4068" s="17" t="s">
        <v>7483</v>
      </c>
      <c r="F4068" s="17">
        <v>261</v>
      </c>
      <c r="G4068" s="17">
        <v>1</v>
      </c>
      <c r="H4068" s="17" t="s">
        <v>8882</v>
      </c>
      <c r="I4068" s="17"/>
      <c r="J4068" s="17"/>
      <c r="K4068" s="17"/>
      <c r="L4068" s="17"/>
      <c r="M4068" s="17"/>
      <c r="N4068" s="17"/>
      <c r="O4068" s="17"/>
      <c r="P4068" s="17"/>
      <c r="Q4068" s="17"/>
    </row>
    <row r="4069" spans="1:17">
      <c r="A4069" s="556" t="s">
        <v>3652</v>
      </c>
      <c r="B4069" s="557" t="s">
        <v>9549</v>
      </c>
      <c r="C4069" s="558" t="s">
        <v>2819</v>
      </c>
      <c r="D4069" s="556" t="s">
        <v>2624</v>
      </c>
      <c r="E4069" s="17" t="s">
        <v>7484</v>
      </c>
      <c r="F4069" s="17">
        <v>261</v>
      </c>
      <c r="G4069" s="17">
        <v>2</v>
      </c>
      <c r="H4069" s="17" t="s">
        <v>8883</v>
      </c>
      <c r="I4069" s="17"/>
      <c r="J4069" s="17"/>
      <c r="K4069" s="17"/>
      <c r="L4069" s="17"/>
      <c r="M4069" s="17"/>
      <c r="N4069" s="17"/>
      <c r="O4069" s="17"/>
      <c r="P4069" s="17"/>
      <c r="Q4069" s="17"/>
    </row>
    <row r="4070" spans="1:17">
      <c r="A4070" s="556" t="s">
        <v>3652</v>
      </c>
      <c r="B4070" s="557" t="s">
        <v>9549</v>
      </c>
      <c r="C4070" s="558" t="s">
        <v>2819</v>
      </c>
      <c r="D4070" s="556" t="s">
        <v>4426</v>
      </c>
      <c r="E4070" s="17" t="s">
        <v>7485</v>
      </c>
      <c r="F4070" s="17">
        <v>261</v>
      </c>
      <c r="G4070" s="17">
        <v>3</v>
      </c>
      <c r="H4070" s="17" t="s">
        <v>8884</v>
      </c>
      <c r="I4070" s="17">
        <v>0</v>
      </c>
      <c r="J4070" s="17"/>
      <c r="K4070" s="17"/>
      <c r="L4070" s="17"/>
      <c r="M4070" s="17"/>
      <c r="N4070" s="17"/>
      <c r="O4070" s="17"/>
      <c r="P4070" s="17"/>
      <c r="Q4070" s="17"/>
    </row>
    <row r="4071" spans="1:17">
      <c r="A4071" s="556" t="s">
        <v>3652</v>
      </c>
      <c r="B4071" s="557" t="s">
        <v>9549</v>
      </c>
      <c r="C4071" s="558" t="s">
        <v>2819</v>
      </c>
      <c r="D4071" s="556" t="s">
        <v>4324</v>
      </c>
      <c r="E4071" s="17" t="s">
        <v>7486</v>
      </c>
      <c r="F4071" s="17">
        <v>261</v>
      </c>
      <c r="G4071" s="17">
        <v>4</v>
      </c>
      <c r="H4071" s="17" t="s">
        <v>8885</v>
      </c>
      <c r="I4071" s="17"/>
      <c r="J4071" s="17"/>
      <c r="K4071" s="17"/>
      <c r="L4071" s="17"/>
      <c r="M4071" s="17"/>
      <c r="N4071" s="17"/>
      <c r="O4071" s="17"/>
      <c r="P4071" s="17"/>
      <c r="Q4071" s="17"/>
    </row>
    <row r="4072" spans="1:17">
      <c r="A4072" s="556" t="s">
        <v>3652</v>
      </c>
      <c r="B4072" s="557" t="s">
        <v>9550</v>
      </c>
      <c r="C4072" s="558" t="s">
        <v>2820</v>
      </c>
      <c r="D4072" s="556" t="s">
        <v>2623</v>
      </c>
      <c r="E4072" s="17" t="s">
        <v>7487</v>
      </c>
      <c r="F4072" s="17">
        <v>262</v>
      </c>
      <c r="G4072" s="17">
        <v>1</v>
      </c>
      <c r="H4072" s="17" t="s">
        <v>8886</v>
      </c>
      <c r="I4072" s="17"/>
      <c r="J4072" s="17"/>
      <c r="K4072" s="17"/>
      <c r="L4072" s="17"/>
      <c r="M4072" s="17"/>
      <c r="N4072" s="17"/>
      <c r="O4072" s="17"/>
      <c r="P4072" s="17"/>
      <c r="Q4072" s="17"/>
    </row>
    <row r="4073" spans="1:17">
      <c r="A4073" s="556" t="s">
        <v>3652</v>
      </c>
      <c r="B4073" s="557" t="s">
        <v>9550</v>
      </c>
      <c r="C4073" s="558" t="s">
        <v>2820</v>
      </c>
      <c r="D4073" s="556" t="s">
        <v>2624</v>
      </c>
      <c r="E4073" s="17" t="s">
        <v>7488</v>
      </c>
      <c r="F4073" s="17">
        <v>262</v>
      </c>
      <c r="G4073" s="17">
        <v>2</v>
      </c>
      <c r="H4073" s="17" t="s">
        <v>8887</v>
      </c>
      <c r="I4073" s="17"/>
      <c r="J4073" s="17"/>
      <c r="K4073" s="17"/>
      <c r="L4073" s="17"/>
      <c r="M4073" s="17"/>
      <c r="N4073" s="17"/>
      <c r="O4073" s="17"/>
      <c r="P4073" s="17"/>
      <c r="Q4073" s="17"/>
    </row>
    <row r="4074" spans="1:17">
      <c r="A4074" s="556" t="s">
        <v>3652</v>
      </c>
      <c r="B4074" s="557" t="s">
        <v>9550</v>
      </c>
      <c r="C4074" s="558" t="s">
        <v>2820</v>
      </c>
      <c r="D4074" s="556" t="s">
        <v>4426</v>
      </c>
      <c r="E4074" s="17" t="s">
        <v>7489</v>
      </c>
      <c r="F4074" s="17">
        <v>262</v>
      </c>
      <c r="G4074" s="17">
        <v>3</v>
      </c>
      <c r="H4074" s="17" t="s">
        <v>8888</v>
      </c>
      <c r="I4074" s="17">
        <v>0</v>
      </c>
      <c r="J4074" s="17"/>
      <c r="K4074" s="17"/>
      <c r="L4074" s="17"/>
      <c r="M4074" s="17"/>
      <c r="N4074" s="17"/>
      <c r="O4074" s="17"/>
      <c r="P4074" s="17"/>
      <c r="Q4074" s="17"/>
    </row>
    <row r="4075" spans="1:17">
      <c r="A4075" s="556" t="s">
        <v>3652</v>
      </c>
      <c r="B4075" s="557" t="s">
        <v>9550</v>
      </c>
      <c r="C4075" s="558" t="s">
        <v>2820</v>
      </c>
      <c r="D4075" s="556" t="s">
        <v>4324</v>
      </c>
      <c r="E4075" s="17" t="s">
        <v>7490</v>
      </c>
      <c r="F4075" s="17">
        <v>262</v>
      </c>
      <c r="G4075" s="17">
        <v>4</v>
      </c>
      <c r="H4075" s="17" t="s">
        <v>8889</v>
      </c>
      <c r="I4075" s="17"/>
      <c r="J4075" s="17"/>
      <c r="K4075" s="17"/>
      <c r="L4075" s="17"/>
      <c r="M4075" s="17"/>
      <c r="N4075" s="17"/>
      <c r="O4075" s="17"/>
      <c r="P4075" s="17"/>
      <c r="Q4075" s="17"/>
    </row>
    <row r="4076" spans="1:17">
      <c r="A4076" s="556" t="s">
        <v>3652</v>
      </c>
      <c r="B4076" s="557" t="s">
        <v>1329</v>
      </c>
      <c r="C4076" s="558" t="s">
        <v>1330</v>
      </c>
      <c r="D4076" s="556" t="s">
        <v>2623</v>
      </c>
      <c r="E4076" s="17" t="s">
        <v>7491</v>
      </c>
      <c r="F4076" s="17">
        <v>263</v>
      </c>
      <c r="G4076" s="17">
        <v>1</v>
      </c>
      <c r="H4076" s="17" t="s">
        <v>8890</v>
      </c>
      <c r="I4076" s="17">
        <v>0</v>
      </c>
      <c r="J4076" s="17"/>
      <c r="K4076" s="17"/>
      <c r="L4076" s="17"/>
      <c r="M4076" s="17"/>
      <c r="N4076" s="17"/>
      <c r="O4076" s="17"/>
      <c r="P4076" s="17"/>
      <c r="Q4076" s="17"/>
    </row>
    <row r="4077" spans="1:17">
      <c r="A4077" s="556" t="s">
        <v>3652</v>
      </c>
      <c r="B4077" s="557" t="s">
        <v>1329</v>
      </c>
      <c r="C4077" s="558" t="s">
        <v>1330</v>
      </c>
      <c r="D4077" s="556" t="s">
        <v>2624</v>
      </c>
      <c r="E4077" s="17" t="s">
        <v>7492</v>
      </c>
      <c r="F4077" s="17">
        <v>263</v>
      </c>
      <c r="G4077" s="17">
        <v>2</v>
      </c>
      <c r="H4077" s="17" t="s">
        <v>8891</v>
      </c>
      <c r="I4077" s="17">
        <v>0</v>
      </c>
      <c r="J4077" s="17"/>
      <c r="K4077" s="17"/>
      <c r="L4077" s="17"/>
      <c r="M4077" s="17"/>
      <c r="N4077" s="17"/>
      <c r="O4077" s="17"/>
      <c r="P4077" s="17"/>
      <c r="Q4077" s="17"/>
    </row>
    <row r="4078" spans="1:17">
      <c r="A4078" s="556" t="s">
        <v>3652</v>
      </c>
      <c r="B4078" s="557" t="s">
        <v>1329</v>
      </c>
      <c r="C4078" s="558" t="s">
        <v>1330</v>
      </c>
      <c r="D4078" s="556" t="s">
        <v>4426</v>
      </c>
      <c r="E4078" s="17" t="s">
        <v>7493</v>
      </c>
      <c r="F4078" s="17">
        <v>263</v>
      </c>
      <c r="G4078" s="17">
        <v>3</v>
      </c>
      <c r="H4078" s="17" t="s">
        <v>8892</v>
      </c>
      <c r="I4078" s="17">
        <v>0</v>
      </c>
      <c r="J4078" s="17"/>
      <c r="K4078" s="17"/>
      <c r="L4078" s="17"/>
      <c r="M4078" s="17"/>
      <c r="N4078" s="17"/>
      <c r="O4078" s="17"/>
      <c r="P4078" s="17"/>
      <c r="Q4078" s="17"/>
    </row>
    <row r="4079" spans="1:17">
      <c r="A4079" s="556" t="s">
        <v>3652</v>
      </c>
      <c r="B4079" s="557" t="s">
        <v>1329</v>
      </c>
      <c r="C4079" s="558" t="s">
        <v>1330</v>
      </c>
      <c r="D4079" s="556" t="s">
        <v>4324</v>
      </c>
      <c r="E4079" s="17" t="s">
        <v>7494</v>
      </c>
      <c r="F4079" s="17">
        <v>263</v>
      </c>
      <c r="G4079" s="17">
        <v>4</v>
      </c>
      <c r="H4079" s="17" t="s">
        <v>8893</v>
      </c>
      <c r="I4079" s="17"/>
      <c r="J4079" s="17"/>
      <c r="K4079" s="17"/>
      <c r="L4079" s="17"/>
      <c r="M4079" s="17"/>
      <c r="N4079" s="17"/>
      <c r="O4079" s="17"/>
      <c r="P4079" s="17"/>
      <c r="Q4079" s="17"/>
    </row>
    <row r="4080" spans="1:17">
      <c r="A4080" s="556" t="s">
        <v>3652</v>
      </c>
      <c r="B4080" s="557"/>
      <c r="C4080" s="558" t="s">
        <v>2821</v>
      </c>
      <c r="D4080" s="556" t="s">
        <v>2623</v>
      </c>
      <c r="E4080" s="17" t="s">
        <v>7495</v>
      </c>
      <c r="F4080" s="17">
        <v>265</v>
      </c>
      <c r="G4080" s="17">
        <v>1</v>
      </c>
      <c r="H4080" s="17" t="s">
        <v>8919</v>
      </c>
      <c r="I4080" s="17">
        <v>0</v>
      </c>
      <c r="J4080" s="17"/>
      <c r="K4080" s="17"/>
      <c r="L4080" s="17"/>
      <c r="M4080" s="17"/>
      <c r="N4080" s="17"/>
      <c r="O4080" s="17"/>
      <c r="P4080" s="17"/>
      <c r="Q4080" s="17"/>
    </row>
    <row r="4081" spans="1:17">
      <c r="A4081" s="556" t="s">
        <v>3652</v>
      </c>
      <c r="B4081" s="557"/>
      <c r="C4081" s="558" t="s">
        <v>2821</v>
      </c>
      <c r="D4081" s="556" t="s">
        <v>2624</v>
      </c>
      <c r="E4081" s="17" t="s">
        <v>7496</v>
      </c>
      <c r="F4081" s="17">
        <v>265</v>
      </c>
      <c r="G4081" s="17">
        <v>2</v>
      </c>
      <c r="H4081" s="17" t="s">
        <v>8920</v>
      </c>
      <c r="I4081" s="17">
        <v>0</v>
      </c>
      <c r="J4081" s="17"/>
      <c r="K4081" s="17"/>
      <c r="L4081" s="17"/>
      <c r="M4081" s="17"/>
      <c r="N4081" s="17"/>
      <c r="O4081" s="17"/>
      <c r="P4081" s="17"/>
      <c r="Q4081" s="17"/>
    </row>
    <row r="4082" spans="1:17">
      <c r="A4082" s="556" t="s">
        <v>3652</v>
      </c>
      <c r="B4082" s="557"/>
      <c r="C4082" s="558" t="s">
        <v>2821</v>
      </c>
      <c r="D4082" s="556" t="s">
        <v>4426</v>
      </c>
      <c r="E4082" s="17" t="s">
        <v>7497</v>
      </c>
      <c r="F4082" s="17">
        <v>265</v>
      </c>
      <c r="G4082" s="17">
        <v>3</v>
      </c>
      <c r="H4082" s="17" t="s">
        <v>8921</v>
      </c>
      <c r="I4082" s="17">
        <v>0</v>
      </c>
      <c r="J4082" s="17"/>
      <c r="K4082" s="17"/>
      <c r="L4082" s="17"/>
      <c r="M4082" s="17"/>
      <c r="N4082" s="17"/>
      <c r="O4082" s="17"/>
      <c r="P4082" s="17"/>
      <c r="Q4082" s="17"/>
    </row>
    <row r="4083" spans="1:17">
      <c r="A4083" s="556" t="s">
        <v>3652</v>
      </c>
      <c r="B4083" s="557"/>
      <c r="C4083" s="558" t="s">
        <v>2821</v>
      </c>
      <c r="D4083" s="556" t="s">
        <v>4324</v>
      </c>
      <c r="E4083" s="17" t="s">
        <v>7498</v>
      </c>
      <c r="F4083" s="17">
        <v>265</v>
      </c>
      <c r="G4083" s="17">
        <v>4</v>
      </c>
      <c r="H4083" s="17" t="s">
        <v>8922</v>
      </c>
      <c r="I4083" s="17"/>
      <c r="J4083" s="17"/>
      <c r="K4083" s="17"/>
      <c r="L4083" s="17"/>
      <c r="M4083" s="17"/>
      <c r="N4083" s="17"/>
      <c r="O4083" s="17"/>
      <c r="P4083" s="17"/>
      <c r="Q4083" s="17"/>
    </row>
    <row r="4084" spans="1:17">
      <c r="A4084" s="556" t="s">
        <v>3654</v>
      </c>
      <c r="B4084" s="557"/>
      <c r="C4084" s="558" t="s">
        <v>2824</v>
      </c>
      <c r="D4084" s="556" t="s">
        <v>2623</v>
      </c>
      <c r="E4084" s="17" t="s">
        <v>7499</v>
      </c>
      <c r="F4084" s="17">
        <v>1</v>
      </c>
      <c r="G4084" s="17">
        <v>1</v>
      </c>
      <c r="H4084" s="17" t="s">
        <v>3519</v>
      </c>
      <c r="I4084" s="17"/>
      <c r="J4084" s="17"/>
      <c r="K4084" s="17"/>
      <c r="L4084" s="17"/>
      <c r="M4084" s="17"/>
      <c r="N4084" s="17"/>
      <c r="O4084" s="17"/>
      <c r="P4084" s="17"/>
      <c r="Q4084" s="17"/>
    </row>
    <row r="4085" spans="1:17">
      <c r="A4085" s="556" t="s">
        <v>3654</v>
      </c>
      <c r="B4085" s="557"/>
      <c r="C4085" s="558" t="s">
        <v>2824</v>
      </c>
      <c r="D4085" s="556" t="s">
        <v>2624</v>
      </c>
      <c r="E4085" s="17" t="s">
        <v>7500</v>
      </c>
      <c r="F4085" s="17">
        <v>1</v>
      </c>
      <c r="G4085" s="17">
        <v>2</v>
      </c>
      <c r="H4085" s="17" t="s">
        <v>3520</v>
      </c>
      <c r="I4085" s="17"/>
      <c r="J4085" s="17"/>
      <c r="K4085" s="17"/>
      <c r="L4085" s="17"/>
      <c r="M4085" s="17"/>
      <c r="N4085" s="17"/>
      <c r="O4085" s="17"/>
      <c r="P4085" s="17"/>
      <c r="Q4085" s="17"/>
    </row>
    <row r="4086" spans="1:17">
      <c r="A4086" s="556" t="s">
        <v>3654</v>
      </c>
      <c r="B4086" s="557"/>
      <c r="C4086" s="558" t="s">
        <v>2825</v>
      </c>
      <c r="D4086" s="556" t="s">
        <v>2623</v>
      </c>
      <c r="E4086" s="17" t="s">
        <v>7501</v>
      </c>
      <c r="F4086" s="17">
        <v>2</v>
      </c>
      <c r="G4086" s="17">
        <v>1</v>
      </c>
      <c r="H4086" s="17" t="s">
        <v>3338</v>
      </c>
      <c r="I4086" s="17"/>
      <c r="J4086" s="17"/>
      <c r="K4086" s="17"/>
      <c r="L4086" s="17"/>
      <c r="M4086" s="17"/>
      <c r="N4086" s="17"/>
      <c r="O4086" s="17"/>
      <c r="P4086" s="17"/>
      <c r="Q4086" s="17"/>
    </row>
    <row r="4087" spans="1:17">
      <c r="A4087" s="556" t="s">
        <v>3654</v>
      </c>
      <c r="B4087" s="557"/>
      <c r="C4087" s="558" t="s">
        <v>2825</v>
      </c>
      <c r="D4087" s="556" t="s">
        <v>2624</v>
      </c>
      <c r="E4087" s="17" t="s">
        <v>7502</v>
      </c>
      <c r="F4087" s="17">
        <v>2</v>
      </c>
      <c r="G4087" s="17">
        <v>2</v>
      </c>
      <c r="H4087" s="17" t="s">
        <v>2991</v>
      </c>
      <c r="I4087" s="17"/>
      <c r="J4087" s="17"/>
      <c r="K4087" s="17"/>
      <c r="L4087" s="17"/>
      <c r="M4087" s="17"/>
      <c r="N4087" s="17"/>
      <c r="O4087" s="17"/>
      <c r="P4087" s="17"/>
      <c r="Q4087" s="17"/>
    </row>
    <row r="4088" spans="1:17">
      <c r="A4088" s="556" t="s">
        <v>3654</v>
      </c>
      <c r="B4088" s="557"/>
      <c r="C4088" s="558" t="s">
        <v>2826</v>
      </c>
      <c r="D4088" s="556" t="s">
        <v>2623</v>
      </c>
      <c r="E4088" s="17" t="s">
        <v>7503</v>
      </c>
      <c r="F4088" s="17">
        <v>3</v>
      </c>
      <c r="G4088" s="17">
        <v>1</v>
      </c>
      <c r="H4088" s="17" t="s">
        <v>3340</v>
      </c>
      <c r="I4088" s="17"/>
      <c r="J4088" s="17"/>
      <c r="K4088" s="17"/>
      <c r="L4088" s="17"/>
      <c r="M4088" s="17"/>
      <c r="N4088" s="17"/>
      <c r="O4088" s="17"/>
      <c r="P4088" s="17"/>
      <c r="Q4088" s="17"/>
    </row>
    <row r="4089" spans="1:17">
      <c r="A4089" s="556" t="s">
        <v>3654</v>
      </c>
      <c r="B4089" s="557"/>
      <c r="C4089" s="558" t="s">
        <v>2826</v>
      </c>
      <c r="D4089" s="556" t="s">
        <v>2624</v>
      </c>
      <c r="E4089" s="17" t="s">
        <v>7504</v>
      </c>
      <c r="F4089" s="17">
        <v>3</v>
      </c>
      <c r="G4089" s="17">
        <v>2</v>
      </c>
      <c r="H4089" s="17" t="s">
        <v>3341</v>
      </c>
      <c r="I4089" s="17"/>
      <c r="J4089" s="17"/>
      <c r="K4089" s="17"/>
      <c r="L4089" s="17"/>
      <c r="M4089" s="17"/>
      <c r="N4089" s="17"/>
      <c r="O4089" s="17"/>
      <c r="P4089" s="17"/>
      <c r="Q4089" s="17"/>
    </row>
    <row r="4090" spans="1:17">
      <c r="A4090" s="556" t="s">
        <v>3654</v>
      </c>
      <c r="B4090" s="557"/>
      <c r="C4090" s="558" t="s">
        <v>2827</v>
      </c>
      <c r="D4090" s="556" t="s">
        <v>2623</v>
      </c>
      <c r="E4090" s="17" t="s">
        <v>7505</v>
      </c>
      <c r="F4090" s="17">
        <v>4</v>
      </c>
      <c r="G4090" s="17">
        <v>1</v>
      </c>
      <c r="H4090" s="17" t="s">
        <v>3344</v>
      </c>
      <c r="I4090" s="17"/>
      <c r="J4090" s="17"/>
      <c r="K4090" s="17"/>
      <c r="L4090" s="17"/>
      <c r="M4090" s="17"/>
      <c r="N4090" s="17"/>
      <c r="O4090" s="17"/>
      <c r="P4090" s="17"/>
      <c r="Q4090" s="17"/>
    </row>
    <row r="4091" spans="1:17">
      <c r="A4091" s="556" t="s">
        <v>3654</v>
      </c>
      <c r="B4091" s="557"/>
      <c r="C4091" s="558" t="s">
        <v>2827</v>
      </c>
      <c r="D4091" s="556" t="s">
        <v>2624</v>
      </c>
      <c r="E4091" s="17" t="s">
        <v>7506</v>
      </c>
      <c r="F4091" s="17">
        <v>4</v>
      </c>
      <c r="G4091" s="17">
        <v>2</v>
      </c>
      <c r="H4091" s="17" t="s">
        <v>3345</v>
      </c>
      <c r="I4091" s="17"/>
      <c r="J4091" s="17"/>
      <c r="K4091" s="17"/>
      <c r="L4091" s="17"/>
      <c r="M4091" s="17"/>
      <c r="N4091" s="17"/>
      <c r="O4091" s="17"/>
      <c r="P4091" s="17"/>
      <c r="Q4091" s="17"/>
    </row>
    <row r="4092" spans="1:17">
      <c r="A4092" s="556" t="s">
        <v>3654</v>
      </c>
      <c r="B4092" s="557"/>
      <c r="C4092" s="558" t="s">
        <v>2828</v>
      </c>
      <c r="D4092" s="556" t="s">
        <v>2623</v>
      </c>
      <c r="E4092" s="17" t="s">
        <v>7507</v>
      </c>
      <c r="F4092" s="17">
        <v>5</v>
      </c>
      <c r="G4092" s="17">
        <v>1</v>
      </c>
      <c r="H4092" s="17" t="s">
        <v>3348</v>
      </c>
      <c r="I4092" s="17"/>
      <c r="J4092" s="17"/>
      <c r="K4092" s="17"/>
      <c r="L4092" s="17"/>
      <c r="M4092" s="17"/>
      <c r="N4092" s="17"/>
      <c r="O4092" s="17"/>
      <c r="P4092" s="17"/>
      <c r="Q4092" s="17"/>
    </row>
    <row r="4093" spans="1:17">
      <c r="A4093" s="556" t="s">
        <v>3654</v>
      </c>
      <c r="B4093" s="557"/>
      <c r="C4093" s="558" t="s">
        <v>2828</v>
      </c>
      <c r="D4093" s="556" t="s">
        <v>2624</v>
      </c>
      <c r="E4093" s="17" t="s">
        <v>7508</v>
      </c>
      <c r="F4093" s="17">
        <v>5</v>
      </c>
      <c r="G4093" s="17">
        <v>2</v>
      </c>
      <c r="H4093" s="17" t="s">
        <v>3349</v>
      </c>
      <c r="I4093" s="17"/>
      <c r="J4093" s="17"/>
      <c r="K4093" s="17"/>
      <c r="L4093" s="17"/>
      <c r="M4093" s="17"/>
      <c r="N4093" s="17"/>
      <c r="O4093" s="17"/>
      <c r="P4093" s="17"/>
      <c r="Q4093" s="17"/>
    </row>
    <row r="4094" spans="1:17">
      <c r="A4094" s="556" t="s">
        <v>3654</v>
      </c>
      <c r="B4094" s="557"/>
      <c r="C4094" s="558" t="s">
        <v>2829</v>
      </c>
      <c r="D4094" s="556" t="s">
        <v>2623</v>
      </c>
      <c r="E4094" s="17" t="s">
        <v>7509</v>
      </c>
      <c r="F4094" s="17">
        <v>6</v>
      </c>
      <c r="G4094" s="17">
        <v>1</v>
      </c>
      <c r="H4094" s="17" t="s">
        <v>3352</v>
      </c>
      <c r="I4094" s="17">
        <v>0</v>
      </c>
      <c r="J4094" s="17"/>
      <c r="K4094" s="17"/>
      <c r="L4094" s="17"/>
      <c r="M4094" s="17"/>
      <c r="N4094" s="17"/>
      <c r="O4094" s="17"/>
      <c r="P4094" s="17"/>
      <c r="Q4094" s="17"/>
    </row>
    <row r="4095" spans="1:17">
      <c r="A4095" s="556" t="s">
        <v>3654</v>
      </c>
      <c r="B4095" s="557"/>
      <c r="C4095" s="558" t="s">
        <v>2829</v>
      </c>
      <c r="D4095" s="556" t="s">
        <v>2624</v>
      </c>
      <c r="E4095" s="17" t="s">
        <v>7510</v>
      </c>
      <c r="F4095" s="17">
        <v>6</v>
      </c>
      <c r="G4095" s="17">
        <v>2</v>
      </c>
      <c r="H4095" s="17" t="s">
        <v>3353</v>
      </c>
      <c r="I4095" s="17">
        <v>0</v>
      </c>
      <c r="J4095" s="17"/>
      <c r="K4095" s="17"/>
      <c r="L4095" s="17"/>
      <c r="M4095" s="17"/>
      <c r="N4095" s="17"/>
      <c r="O4095" s="17"/>
      <c r="P4095" s="17"/>
      <c r="Q4095" s="17"/>
    </row>
    <row r="4096" spans="1:17">
      <c r="A4096" s="556" t="s">
        <v>3654</v>
      </c>
      <c r="B4096" s="557"/>
      <c r="C4096" s="558" t="s">
        <v>2830</v>
      </c>
      <c r="D4096" s="556" t="s">
        <v>2623</v>
      </c>
      <c r="E4096" s="17" t="s">
        <v>7511</v>
      </c>
      <c r="F4096" s="17">
        <v>7</v>
      </c>
      <c r="G4096" s="17">
        <v>1</v>
      </c>
      <c r="H4096" s="17" t="s">
        <v>3356</v>
      </c>
      <c r="I4096" s="17"/>
      <c r="J4096" s="17"/>
      <c r="K4096" s="17"/>
      <c r="L4096" s="17"/>
      <c r="M4096" s="17"/>
      <c r="N4096" s="17"/>
      <c r="O4096" s="17"/>
      <c r="P4096" s="17"/>
      <c r="Q4096" s="17"/>
    </row>
    <row r="4097" spans="1:17">
      <c r="A4097" s="556" t="s">
        <v>3654</v>
      </c>
      <c r="B4097" s="557"/>
      <c r="C4097" s="558" t="s">
        <v>2830</v>
      </c>
      <c r="D4097" s="556" t="s">
        <v>2624</v>
      </c>
      <c r="E4097" s="17" t="s">
        <v>7512</v>
      </c>
      <c r="F4097" s="17">
        <v>7</v>
      </c>
      <c r="G4097" s="17">
        <v>2</v>
      </c>
      <c r="H4097" s="17" t="s">
        <v>3357</v>
      </c>
      <c r="I4097" s="17"/>
      <c r="J4097" s="17"/>
      <c r="K4097" s="17"/>
      <c r="L4097" s="17"/>
      <c r="M4097" s="17"/>
      <c r="N4097" s="17"/>
      <c r="O4097" s="17"/>
      <c r="P4097" s="17"/>
      <c r="Q4097" s="17"/>
    </row>
    <row r="4098" spans="1:17">
      <c r="A4098" s="556" t="s">
        <v>3654</v>
      </c>
      <c r="B4098" s="557"/>
      <c r="C4098" s="558" t="s">
        <v>2831</v>
      </c>
      <c r="D4098" s="556" t="s">
        <v>2623</v>
      </c>
      <c r="E4098" s="17" t="s">
        <v>7513</v>
      </c>
      <c r="F4098" s="17">
        <v>8</v>
      </c>
      <c r="G4098" s="17">
        <v>1</v>
      </c>
      <c r="H4098" s="17" t="s">
        <v>3360</v>
      </c>
      <c r="I4098" s="17"/>
      <c r="J4098" s="17"/>
      <c r="K4098" s="17"/>
      <c r="L4098" s="17"/>
      <c r="M4098" s="17"/>
      <c r="N4098" s="17"/>
      <c r="O4098" s="17"/>
      <c r="P4098" s="17"/>
      <c r="Q4098" s="17"/>
    </row>
    <row r="4099" spans="1:17">
      <c r="A4099" s="556" t="s">
        <v>3654</v>
      </c>
      <c r="B4099" s="557"/>
      <c r="C4099" s="558" t="s">
        <v>2831</v>
      </c>
      <c r="D4099" s="556" t="s">
        <v>2624</v>
      </c>
      <c r="E4099" s="17" t="s">
        <v>7514</v>
      </c>
      <c r="F4099" s="17">
        <v>8</v>
      </c>
      <c r="G4099" s="17">
        <v>2</v>
      </c>
      <c r="H4099" s="17" t="s">
        <v>3327</v>
      </c>
      <c r="I4099" s="17"/>
      <c r="J4099" s="17"/>
      <c r="K4099" s="17"/>
      <c r="L4099" s="17"/>
      <c r="M4099" s="17"/>
      <c r="N4099" s="17"/>
      <c r="O4099" s="17"/>
      <c r="P4099" s="17"/>
      <c r="Q4099" s="17"/>
    </row>
    <row r="4100" spans="1:17">
      <c r="A4100" s="556" t="s">
        <v>3654</v>
      </c>
      <c r="B4100" s="557"/>
      <c r="C4100" s="558" t="s">
        <v>2832</v>
      </c>
      <c r="D4100" s="556" t="s">
        <v>2623</v>
      </c>
      <c r="E4100" s="17" t="s">
        <v>7515</v>
      </c>
      <c r="F4100" s="17">
        <v>9</v>
      </c>
      <c r="G4100" s="17">
        <v>1</v>
      </c>
      <c r="H4100" s="17" t="s">
        <v>3363</v>
      </c>
      <c r="I4100" s="17"/>
      <c r="J4100" s="17"/>
      <c r="K4100" s="17"/>
      <c r="L4100" s="17"/>
      <c r="M4100" s="17"/>
      <c r="N4100" s="17"/>
      <c r="O4100" s="17"/>
      <c r="P4100" s="17"/>
      <c r="Q4100" s="17"/>
    </row>
    <row r="4101" spans="1:17">
      <c r="A4101" s="556" t="s">
        <v>3654</v>
      </c>
      <c r="B4101" s="557"/>
      <c r="C4101" s="558" t="s">
        <v>2832</v>
      </c>
      <c r="D4101" s="556" t="s">
        <v>2624</v>
      </c>
      <c r="E4101" s="17" t="s">
        <v>7516</v>
      </c>
      <c r="F4101" s="17">
        <v>9</v>
      </c>
      <c r="G4101" s="17">
        <v>2</v>
      </c>
      <c r="H4101" s="17" t="s">
        <v>3364</v>
      </c>
      <c r="I4101" s="17"/>
      <c r="J4101" s="17"/>
      <c r="K4101" s="17"/>
      <c r="L4101" s="17"/>
      <c r="M4101" s="17"/>
      <c r="N4101" s="17"/>
      <c r="O4101" s="17"/>
      <c r="P4101" s="17"/>
      <c r="Q4101" s="17"/>
    </row>
    <row r="4102" spans="1:17">
      <c r="A4102" s="556" t="s">
        <v>3654</v>
      </c>
      <c r="B4102" s="557"/>
      <c r="C4102" s="558" t="s">
        <v>2833</v>
      </c>
      <c r="D4102" s="556" t="s">
        <v>2623</v>
      </c>
      <c r="E4102" s="17" t="s">
        <v>7517</v>
      </c>
      <c r="F4102" s="17">
        <v>10</v>
      </c>
      <c r="G4102" s="17">
        <v>1</v>
      </c>
      <c r="H4102" s="17" t="s">
        <v>3367</v>
      </c>
      <c r="I4102" s="17"/>
      <c r="J4102" s="17"/>
      <c r="K4102" s="17"/>
      <c r="L4102" s="17"/>
      <c r="M4102" s="17"/>
      <c r="N4102" s="17"/>
      <c r="O4102" s="17"/>
      <c r="P4102" s="17"/>
      <c r="Q4102" s="17"/>
    </row>
    <row r="4103" spans="1:17">
      <c r="A4103" s="556" t="s">
        <v>3654</v>
      </c>
      <c r="B4103" s="557"/>
      <c r="C4103" s="558" t="s">
        <v>2833</v>
      </c>
      <c r="D4103" s="556" t="s">
        <v>2624</v>
      </c>
      <c r="E4103" s="17" t="s">
        <v>7518</v>
      </c>
      <c r="F4103" s="17">
        <v>10</v>
      </c>
      <c r="G4103" s="17">
        <v>2</v>
      </c>
      <c r="H4103" s="17" t="s">
        <v>3368</v>
      </c>
      <c r="I4103" s="17"/>
      <c r="J4103" s="17"/>
      <c r="K4103" s="17"/>
      <c r="L4103" s="17"/>
      <c r="M4103" s="17"/>
      <c r="N4103" s="17"/>
      <c r="O4103" s="17"/>
      <c r="P4103" s="17"/>
      <c r="Q4103" s="17"/>
    </row>
    <row r="4104" spans="1:17">
      <c r="A4104" s="556" t="s">
        <v>3654</v>
      </c>
      <c r="B4104" s="557"/>
      <c r="C4104" s="558" t="s">
        <v>2834</v>
      </c>
      <c r="D4104" s="556" t="s">
        <v>2623</v>
      </c>
      <c r="E4104" s="17" t="s">
        <v>7519</v>
      </c>
      <c r="F4104" s="17">
        <v>11</v>
      </c>
      <c r="G4104" s="17">
        <v>1</v>
      </c>
      <c r="H4104" s="17" t="s">
        <v>3371</v>
      </c>
      <c r="I4104" s="17"/>
      <c r="J4104" s="17"/>
      <c r="K4104" s="17"/>
      <c r="L4104" s="17"/>
      <c r="M4104" s="17"/>
      <c r="N4104" s="17"/>
      <c r="O4104" s="17"/>
      <c r="P4104" s="17"/>
      <c r="Q4104" s="17"/>
    </row>
    <row r="4105" spans="1:17">
      <c r="A4105" s="556" t="s">
        <v>3654</v>
      </c>
      <c r="B4105" s="557"/>
      <c r="C4105" s="558" t="s">
        <v>2834</v>
      </c>
      <c r="D4105" s="556" t="s">
        <v>2624</v>
      </c>
      <c r="E4105" s="17" t="s">
        <v>7520</v>
      </c>
      <c r="F4105" s="17">
        <v>11</v>
      </c>
      <c r="G4105" s="17">
        <v>2</v>
      </c>
      <c r="H4105" s="17" t="s">
        <v>3372</v>
      </c>
      <c r="I4105" s="17"/>
      <c r="J4105" s="17"/>
      <c r="K4105" s="17"/>
      <c r="L4105" s="17"/>
      <c r="M4105" s="17"/>
      <c r="N4105" s="17"/>
      <c r="O4105" s="17"/>
      <c r="P4105" s="17"/>
      <c r="Q4105" s="17"/>
    </row>
    <row r="4106" spans="1:17">
      <c r="A4106" s="556" t="s">
        <v>3654</v>
      </c>
      <c r="B4106" s="557"/>
      <c r="C4106" s="558" t="s">
        <v>2835</v>
      </c>
      <c r="D4106" s="556" t="s">
        <v>2623</v>
      </c>
      <c r="E4106" s="17" t="s">
        <v>7521</v>
      </c>
      <c r="F4106" s="17">
        <v>12</v>
      </c>
      <c r="G4106" s="17">
        <v>1</v>
      </c>
      <c r="H4106" s="17" t="s">
        <v>3375</v>
      </c>
      <c r="I4106" s="17"/>
      <c r="J4106" s="17"/>
      <c r="K4106" s="17"/>
      <c r="L4106" s="17"/>
      <c r="M4106" s="17"/>
      <c r="N4106" s="17"/>
      <c r="O4106" s="17"/>
      <c r="P4106" s="17"/>
      <c r="Q4106" s="17"/>
    </row>
    <row r="4107" spans="1:17">
      <c r="A4107" s="556" t="s">
        <v>3654</v>
      </c>
      <c r="B4107" s="557"/>
      <c r="C4107" s="558" t="s">
        <v>2835</v>
      </c>
      <c r="D4107" s="556" t="s">
        <v>2624</v>
      </c>
      <c r="E4107" s="17" t="s">
        <v>7522</v>
      </c>
      <c r="F4107" s="17">
        <v>12</v>
      </c>
      <c r="G4107" s="17">
        <v>2</v>
      </c>
      <c r="H4107" s="17" t="s">
        <v>3376</v>
      </c>
      <c r="I4107" s="17"/>
      <c r="J4107" s="17"/>
      <c r="K4107" s="17"/>
      <c r="L4107" s="17"/>
      <c r="M4107" s="17"/>
      <c r="N4107" s="17"/>
      <c r="O4107" s="17"/>
      <c r="P4107" s="17"/>
      <c r="Q4107" s="17"/>
    </row>
    <row r="4108" spans="1:17">
      <c r="A4108" s="556" t="s">
        <v>3654</v>
      </c>
      <c r="B4108" s="557"/>
      <c r="C4108" s="558" t="s">
        <v>2836</v>
      </c>
      <c r="D4108" s="556" t="s">
        <v>2623</v>
      </c>
      <c r="E4108" s="17" t="s">
        <v>7523</v>
      </c>
      <c r="F4108" s="17">
        <v>13</v>
      </c>
      <c r="G4108" s="17">
        <v>1</v>
      </c>
      <c r="H4108" s="17" t="s">
        <v>3379</v>
      </c>
      <c r="I4108" s="17"/>
      <c r="J4108" s="17"/>
      <c r="K4108" s="17"/>
      <c r="L4108" s="17"/>
      <c r="M4108" s="17"/>
      <c r="N4108" s="17"/>
      <c r="O4108" s="17"/>
      <c r="P4108" s="17"/>
      <c r="Q4108" s="17"/>
    </row>
    <row r="4109" spans="1:17">
      <c r="A4109" s="556" t="s">
        <v>3654</v>
      </c>
      <c r="B4109" s="557"/>
      <c r="C4109" s="558" t="s">
        <v>2836</v>
      </c>
      <c r="D4109" s="556" t="s">
        <v>2624</v>
      </c>
      <c r="E4109" s="17" t="s">
        <v>7524</v>
      </c>
      <c r="F4109" s="17">
        <v>13</v>
      </c>
      <c r="G4109" s="17">
        <v>2</v>
      </c>
      <c r="H4109" s="17" t="s">
        <v>3380</v>
      </c>
      <c r="I4109" s="17"/>
      <c r="J4109" s="17"/>
      <c r="K4109" s="17"/>
      <c r="L4109" s="17"/>
      <c r="M4109" s="17"/>
      <c r="N4109" s="17"/>
      <c r="O4109" s="17"/>
      <c r="P4109" s="17"/>
      <c r="Q4109" s="17"/>
    </row>
    <row r="4110" spans="1:17">
      <c r="A4110" s="556" t="s">
        <v>3654</v>
      </c>
      <c r="B4110" s="557"/>
      <c r="C4110" s="558" t="s">
        <v>2837</v>
      </c>
      <c r="D4110" s="556" t="s">
        <v>2623</v>
      </c>
      <c r="E4110" s="17" t="s">
        <v>7525</v>
      </c>
      <c r="F4110" s="17">
        <v>14</v>
      </c>
      <c r="G4110" s="17">
        <v>1</v>
      </c>
      <c r="H4110" s="17" t="s">
        <v>3383</v>
      </c>
      <c r="I4110" s="17">
        <v>0</v>
      </c>
      <c r="J4110" s="17"/>
      <c r="K4110" s="17"/>
      <c r="L4110" s="17"/>
      <c r="M4110" s="17"/>
      <c r="N4110" s="17"/>
      <c r="O4110" s="17"/>
      <c r="P4110" s="17"/>
      <c r="Q4110" s="17"/>
    </row>
    <row r="4111" spans="1:17">
      <c r="A4111" s="556" t="s">
        <v>3654</v>
      </c>
      <c r="B4111" s="557"/>
      <c r="C4111" s="558" t="s">
        <v>2837</v>
      </c>
      <c r="D4111" s="556" t="s">
        <v>2624</v>
      </c>
      <c r="E4111" s="17" t="s">
        <v>7526</v>
      </c>
      <c r="F4111" s="17">
        <v>14</v>
      </c>
      <c r="G4111" s="17">
        <v>2</v>
      </c>
      <c r="H4111" s="17" t="s">
        <v>3384</v>
      </c>
      <c r="I4111" s="17">
        <v>0</v>
      </c>
      <c r="J4111" s="17"/>
      <c r="K4111" s="17"/>
      <c r="L4111" s="17"/>
      <c r="M4111" s="17"/>
      <c r="N4111" s="17"/>
      <c r="O4111" s="17"/>
      <c r="P4111" s="17"/>
      <c r="Q4111" s="17"/>
    </row>
    <row r="4112" spans="1:17">
      <c r="A4112" s="556" t="s">
        <v>3654</v>
      </c>
      <c r="B4112" s="557"/>
      <c r="C4112" s="558" t="s">
        <v>2838</v>
      </c>
      <c r="D4112" s="556" t="s">
        <v>2623</v>
      </c>
      <c r="E4112" s="17" t="s">
        <v>7527</v>
      </c>
      <c r="F4112" s="17">
        <v>15</v>
      </c>
      <c r="G4112" s="17">
        <v>1</v>
      </c>
      <c r="H4112" s="17" t="s">
        <v>3387</v>
      </c>
      <c r="I4112" s="17"/>
      <c r="J4112" s="17"/>
      <c r="K4112" s="17"/>
      <c r="L4112" s="17"/>
      <c r="M4112" s="17"/>
      <c r="N4112" s="17"/>
      <c r="O4112" s="17"/>
      <c r="P4112" s="17"/>
      <c r="Q4112" s="17"/>
    </row>
    <row r="4113" spans="1:17">
      <c r="A4113" s="556" t="s">
        <v>3654</v>
      </c>
      <c r="B4113" s="557"/>
      <c r="C4113" s="558" t="s">
        <v>2838</v>
      </c>
      <c r="D4113" s="556" t="s">
        <v>2624</v>
      </c>
      <c r="E4113" s="17" t="s">
        <v>7528</v>
      </c>
      <c r="F4113" s="17">
        <v>15</v>
      </c>
      <c r="G4113" s="17">
        <v>2</v>
      </c>
      <c r="H4113" s="17" t="s">
        <v>3388</v>
      </c>
      <c r="I4113" s="17"/>
      <c r="J4113" s="17"/>
      <c r="K4113" s="17"/>
      <c r="L4113" s="17"/>
      <c r="M4113" s="17"/>
      <c r="N4113" s="17"/>
      <c r="O4113" s="17"/>
      <c r="P4113" s="17"/>
      <c r="Q4113" s="17"/>
    </row>
    <row r="4114" spans="1:17">
      <c r="A4114" s="556" t="s">
        <v>3654</v>
      </c>
      <c r="B4114" s="557"/>
      <c r="C4114" s="558" t="s">
        <v>2839</v>
      </c>
      <c r="D4114" s="556" t="s">
        <v>2623</v>
      </c>
      <c r="E4114" s="17" t="s">
        <v>7529</v>
      </c>
      <c r="F4114" s="17">
        <v>16</v>
      </c>
      <c r="G4114" s="17">
        <v>1</v>
      </c>
      <c r="H4114" s="17" t="s">
        <v>3391</v>
      </c>
      <c r="I4114" s="17"/>
      <c r="J4114" s="17"/>
      <c r="K4114" s="17"/>
      <c r="L4114" s="17"/>
      <c r="M4114" s="17"/>
      <c r="N4114" s="17"/>
      <c r="O4114" s="17"/>
      <c r="P4114" s="17"/>
      <c r="Q4114" s="17"/>
    </row>
    <row r="4115" spans="1:17">
      <c r="A4115" s="556" t="s">
        <v>3654</v>
      </c>
      <c r="B4115" s="557"/>
      <c r="C4115" s="558" t="s">
        <v>2839</v>
      </c>
      <c r="D4115" s="556" t="s">
        <v>2624</v>
      </c>
      <c r="E4115" s="17" t="s">
        <v>7530</v>
      </c>
      <c r="F4115" s="17">
        <v>16</v>
      </c>
      <c r="G4115" s="17">
        <v>2</v>
      </c>
      <c r="H4115" s="17" t="s">
        <v>3392</v>
      </c>
      <c r="I4115" s="17"/>
      <c r="J4115" s="17"/>
      <c r="K4115" s="17"/>
      <c r="L4115" s="17"/>
      <c r="M4115" s="17"/>
      <c r="N4115" s="17"/>
      <c r="O4115" s="17"/>
      <c r="P4115" s="17"/>
      <c r="Q4115" s="17"/>
    </row>
    <row r="4116" spans="1:17">
      <c r="A4116" s="556" t="s">
        <v>3654</v>
      </c>
      <c r="B4116" s="557"/>
      <c r="C4116" s="558" t="s">
        <v>2840</v>
      </c>
      <c r="D4116" s="556" t="s">
        <v>2623</v>
      </c>
      <c r="E4116" s="17" t="s">
        <v>7531</v>
      </c>
      <c r="F4116" s="17">
        <v>17</v>
      </c>
      <c r="G4116" s="17">
        <v>1</v>
      </c>
      <c r="H4116" s="17" t="s">
        <v>3395</v>
      </c>
      <c r="I4116" s="17"/>
      <c r="J4116" s="17"/>
      <c r="K4116" s="17"/>
      <c r="L4116" s="17"/>
      <c r="M4116" s="17"/>
      <c r="N4116" s="17"/>
      <c r="O4116" s="17"/>
      <c r="P4116" s="17"/>
      <c r="Q4116" s="17"/>
    </row>
    <row r="4117" spans="1:17">
      <c r="A4117" s="556" t="s">
        <v>3654</v>
      </c>
      <c r="B4117" s="557"/>
      <c r="C4117" s="558" t="s">
        <v>2840</v>
      </c>
      <c r="D4117" s="556" t="s">
        <v>2624</v>
      </c>
      <c r="E4117" s="17" t="s">
        <v>7532</v>
      </c>
      <c r="F4117" s="17">
        <v>17</v>
      </c>
      <c r="G4117" s="17">
        <v>2</v>
      </c>
      <c r="H4117" s="17" t="s">
        <v>3396</v>
      </c>
      <c r="I4117" s="17"/>
      <c r="J4117" s="17"/>
      <c r="K4117" s="17"/>
      <c r="L4117" s="17"/>
      <c r="M4117" s="17"/>
      <c r="N4117" s="17"/>
      <c r="O4117" s="17"/>
      <c r="P4117" s="17"/>
      <c r="Q4117" s="17"/>
    </row>
    <row r="4118" spans="1:17">
      <c r="A4118" s="556" t="s">
        <v>3654</v>
      </c>
      <c r="B4118" s="557"/>
      <c r="C4118" s="558" t="s">
        <v>2841</v>
      </c>
      <c r="D4118" s="556" t="s">
        <v>2623</v>
      </c>
      <c r="E4118" s="17" t="s">
        <v>7533</v>
      </c>
      <c r="F4118" s="17">
        <v>18</v>
      </c>
      <c r="G4118" s="17">
        <v>1</v>
      </c>
      <c r="H4118" s="17" t="s">
        <v>3399</v>
      </c>
      <c r="I4118" s="17"/>
      <c r="J4118" s="17"/>
      <c r="K4118" s="17"/>
      <c r="L4118" s="17"/>
      <c r="M4118" s="17"/>
      <c r="N4118" s="17"/>
      <c r="O4118" s="17"/>
      <c r="P4118" s="17"/>
      <c r="Q4118" s="17"/>
    </row>
    <row r="4119" spans="1:17">
      <c r="A4119" s="556" t="s">
        <v>3654</v>
      </c>
      <c r="B4119" s="557"/>
      <c r="C4119" s="558" t="s">
        <v>2841</v>
      </c>
      <c r="D4119" s="556" t="s">
        <v>2624</v>
      </c>
      <c r="E4119" s="17" t="s">
        <v>7534</v>
      </c>
      <c r="F4119" s="17">
        <v>18</v>
      </c>
      <c r="G4119" s="17">
        <v>2</v>
      </c>
      <c r="H4119" s="17" t="s">
        <v>3400</v>
      </c>
      <c r="I4119" s="17"/>
      <c r="J4119" s="17"/>
      <c r="K4119" s="17"/>
      <c r="L4119" s="17"/>
      <c r="M4119" s="17"/>
      <c r="N4119" s="17"/>
      <c r="O4119" s="17"/>
      <c r="P4119" s="17"/>
      <c r="Q4119" s="17"/>
    </row>
    <row r="4120" spans="1:17">
      <c r="A4120" s="556" t="s">
        <v>3654</v>
      </c>
      <c r="B4120" s="557"/>
      <c r="C4120" s="558" t="s">
        <v>2842</v>
      </c>
      <c r="D4120" s="556" t="s">
        <v>2623</v>
      </c>
      <c r="E4120" s="17" t="s">
        <v>7535</v>
      </c>
      <c r="F4120" s="17">
        <v>19</v>
      </c>
      <c r="G4120" s="17">
        <v>1</v>
      </c>
      <c r="H4120" s="17" t="s">
        <v>3403</v>
      </c>
      <c r="I4120" s="17">
        <v>0</v>
      </c>
      <c r="J4120" s="17"/>
      <c r="K4120" s="17"/>
      <c r="L4120" s="17"/>
      <c r="M4120" s="17"/>
      <c r="N4120" s="17"/>
      <c r="O4120" s="17"/>
      <c r="P4120" s="17"/>
      <c r="Q4120" s="17"/>
    </row>
    <row r="4121" spans="1:17">
      <c r="A4121" s="556" t="s">
        <v>3654</v>
      </c>
      <c r="B4121" s="557"/>
      <c r="C4121" s="558" t="s">
        <v>2842</v>
      </c>
      <c r="D4121" s="556" t="s">
        <v>2624</v>
      </c>
      <c r="E4121" s="17" t="s">
        <v>7536</v>
      </c>
      <c r="F4121" s="17">
        <v>19</v>
      </c>
      <c r="G4121" s="17">
        <v>2</v>
      </c>
      <c r="H4121" s="17" t="s">
        <v>3404</v>
      </c>
      <c r="I4121" s="17">
        <v>0</v>
      </c>
      <c r="J4121" s="17"/>
      <c r="K4121" s="17"/>
      <c r="L4121" s="17"/>
      <c r="M4121" s="17"/>
      <c r="N4121" s="17"/>
      <c r="O4121" s="17"/>
      <c r="P4121" s="17"/>
      <c r="Q4121" s="17"/>
    </row>
    <row r="4122" spans="1:17">
      <c r="A4122" s="556" t="s">
        <v>3656</v>
      </c>
      <c r="B4122" s="557"/>
      <c r="C4122" s="558" t="s">
        <v>2846</v>
      </c>
      <c r="D4122" s="556" t="s">
        <v>2623</v>
      </c>
      <c r="E4122" s="17" t="s">
        <v>7537</v>
      </c>
      <c r="F4122" s="17">
        <v>1</v>
      </c>
      <c r="G4122" s="17">
        <v>1</v>
      </c>
      <c r="H4122" s="17" t="s">
        <v>3519</v>
      </c>
      <c r="I4122" s="17"/>
      <c r="J4122" s="17"/>
      <c r="K4122" s="17"/>
      <c r="L4122" s="17"/>
      <c r="M4122" s="17"/>
      <c r="N4122" s="17"/>
      <c r="O4122" s="17"/>
      <c r="P4122" s="17"/>
      <c r="Q4122" s="17"/>
    </row>
    <row r="4123" spans="1:17">
      <c r="A4123" s="556" t="s">
        <v>3656</v>
      </c>
      <c r="B4123" s="557"/>
      <c r="C4123" s="558" t="s">
        <v>2846</v>
      </c>
      <c r="D4123" s="556" t="s">
        <v>2624</v>
      </c>
      <c r="E4123" s="17" t="s">
        <v>7538</v>
      </c>
      <c r="F4123" s="17">
        <v>1</v>
      </c>
      <c r="G4123" s="17">
        <v>2</v>
      </c>
      <c r="H4123" s="17" t="s">
        <v>3520</v>
      </c>
      <c r="I4123" s="17"/>
      <c r="J4123" s="17"/>
      <c r="K4123" s="17"/>
      <c r="L4123" s="17"/>
      <c r="M4123" s="17"/>
      <c r="N4123" s="17"/>
      <c r="O4123" s="17"/>
      <c r="P4123" s="17"/>
      <c r="Q4123" s="17"/>
    </row>
    <row r="4124" spans="1:17">
      <c r="A4124" s="556" t="s">
        <v>3656</v>
      </c>
      <c r="B4124" s="557"/>
      <c r="C4124" s="558" t="s">
        <v>2847</v>
      </c>
      <c r="D4124" s="556" t="s">
        <v>2623</v>
      </c>
      <c r="E4124" s="17" t="s">
        <v>7539</v>
      </c>
      <c r="F4124" s="17">
        <v>2</v>
      </c>
      <c r="G4124" s="17">
        <v>1</v>
      </c>
      <c r="H4124" s="17" t="s">
        <v>3338</v>
      </c>
      <c r="I4124" s="17"/>
      <c r="J4124" s="17"/>
      <c r="K4124" s="17"/>
      <c r="L4124" s="17"/>
      <c r="M4124" s="17"/>
      <c r="N4124" s="17"/>
      <c r="O4124" s="17"/>
      <c r="P4124" s="17"/>
      <c r="Q4124" s="17"/>
    </row>
    <row r="4125" spans="1:17">
      <c r="A4125" s="556" t="s">
        <v>3656</v>
      </c>
      <c r="B4125" s="557"/>
      <c r="C4125" s="558" t="s">
        <v>2847</v>
      </c>
      <c r="D4125" s="556" t="s">
        <v>2624</v>
      </c>
      <c r="E4125" s="17" t="s">
        <v>7540</v>
      </c>
      <c r="F4125" s="17">
        <v>2</v>
      </c>
      <c r="G4125" s="17">
        <v>2</v>
      </c>
      <c r="H4125" s="17" t="s">
        <v>2991</v>
      </c>
      <c r="I4125" s="17"/>
      <c r="J4125" s="17"/>
      <c r="K4125" s="17"/>
      <c r="L4125" s="17"/>
      <c r="M4125" s="17"/>
      <c r="N4125" s="17"/>
      <c r="O4125" s="17"/>
      <c r="P4125" s="17"/>
      <c r="Q4125" s="17"/>
    </row>
    <row r="4126" spans="1:17">
      <c r="A4126" s="556" t="s">
        <v>3656</v>
      </c>
      <c r="B4126" s="557"/>
      <c r="C4126" s="558" t="s">
        <v>2848</v>
      </c>
      <c r="D4126" s="556" t="s">
        <v>2623</v>
      </c>
      <c r="E4126" s="17" t="s">
        <v>7541</v>
      </c>
      <c r="F4126" s="17">
        <v>3</v>
      </c>
      <c r="G4126" s="17">
        <v>1</v>
      </c>
      <c r="H4126" s="17" t="s">
        <v>3340</v>
      </c>
      <c r="I4126" s="17">
        <v>0</v>
      </c>
      <c r="J4126" s="17"/>
      <c r="K4126" s="17"/>
      <c r="L4126" s="17"/>
      <c r="M4126" s="17"/>
      <c r="N4126" s="17"/>
      <c r="O4126" s="17"/>
      <c r="P4126" s="17"/>
      <c r="Q4126" s="17"/>
    </row>
    <row r="4127" spans="1:17">
      <c r="A4127" s="556" t="s">
        <v>3656</v>
      </c>
      <c r="B4127" s="557"/>
      <c r="C4127" s="558" t="s">
        <v>2848</v>
      </c>
      <c r="D4127" s="556" t="s">
        <v>2624</v>
      </c>
      <c r="E4127" s="17" t="s">
        <v>7542</v>
      </c>
      <c r="F4127" s="17">
        <v>3</v>
      </c>
      <c r="G4127" s="17">
        <v>2</v>
      </c>
      <c r="H4127" s="17" t="s">
        <v>3341</v>
      </c>
      <c r="I4127" s="17">
        <v>0</v>
      </c>
      <c r="J4127" s="17"/>
      <c r="K4127" s="17"/>
      <c r="L4127" s="17"/>
      <c r="M4127" s="17"/>
      <c r="N4127" s="17"/>
      <c r="O4127" s="17"/>
      <c r="P4127" s="17"/>
      <c r="Q4127" s="17"/>
    </row>
    <row r="4128" spans="1:17">
      <c r="A4128" s="556" t="s">
        <v>3658</v>
      </c>
      <c r="B4128" s="557"/>
      <c r="C4128" s="558" t="s">
        <v>7543</v>
      </c>
      <c r="D4128" s="556" t="s">
        <v>7544</v>
      </c>
      <c r="E4128" s="17" t="s">
        <v>7545</v>
      </c>
      <c r="F4128" s="17">
        <v>1</v>
      </c>
      <c r="G4128" s="17">
        <v>1</v>
      </c>
      <c r="H4128" s="17" t="s">
        <v>3717</v>
      </c>
      <c r="I4128" s="17"/>
      <c r="J4128" s="17"/>
      <c r="K4128" s="17"/>
      <c r="L4128" s="17"/>
      <c r="M4128" s="17"/>
      <c r="N4128" s="17"/>
      <c r="O4128" s="17"/>
      <c r="P4128" s="17"/>
      <c r="Q4128" s="17"/>
    </row>
    <row r="4129" spans="1:17">
      <c r="A4129" s="556" t="s">
        <v>3658</v>
      </c>
      <c r="B4129" s="557"/>
      <c r="C4129" s="558" t="s">
        <v>7543</v>
      </c>
      <c r="D4129" s="556" t="s">
        <v>7546</v>
      </c>
      <c r="E4129" s="17" t="s">
        <v>7547</v>
      </c>
      <c r="F4129" s="17">
        <v>1</v>
      </c>
      <c r="G4129" s="17">
        <v>3</v>
      </c>
      <c r="H4129" s="17" t="s">
        <v>3362</v>
      </c>
      <c r="I4129" s="17"/>
      <c r="J4129" s="17"/>
      <c r="K4129" s="17"/>
      <c r="L4129" s="17"/>
      <c r="M4129" s="17"/>
      <c r="N4129" s="17"/>
      <c r="O4129" s="17"/>
      <c r="P4129" s="17"/>
      <c r="Q4129" s="17"/>
    </row>
    <row r="4130" spans="1:17">
      <c r="A4130" s="556" t="s">
        <v>3658</v>
      </c>
      <c r="B4130" s="557"/>
      <c r="C4130" s="558" t="s">
        <v>7548</v>
      </c>
      <c r="D4130" s="556" t="s">
        <v>7544</v>
      </c>
      <c r="E4130" s="17" t="s">
        <v>7549</v>
      </c>
      <c r="F4130" s="17">
        <v>2</v>
      </c>
      <c r="G4130" s="17">
        <v>1</v>
      </c>
      <c r="H4130" s="17" t="s">
        <v>7780</v>
      </c>
      <c r="I4130" s="17"/>
      <c r="J4130" s="17"/>
      <c r="K4130" s="17"/>
      <c r="L4130" s="17"/>
      <c r="M4130" s="17"/>
      <c r="N4130" s="17"/>
      <c r="O4130" s="17"/>
      <c r="P4130" s="17"/>
      <c r="Q4130" s="17"/>
    </row>
    <row r="4131" spans="1:17">
      <c r="A4131" s="556" t="s">
        <v>3658</v>
      </c>
      <c r="B4131" s="557"/>
      <c r="C4131" s="558" t="s">
        <v>7548</v>
      </c>
      <c r="D4131" s="556" t="s">
        <v>7546</v>
      </c>
      <c r="E4131" s="17" t="s">
        <v>7550</v>
      </c>
      <c r="F4131" s="17">
        <v>2</v>
      </c>
      <c r="G4131" s="17">
        <v>3</v>
      </c>
      <c r="H4131" s="17" t="s">
        <v>3366</v>
      </c>
      <c r="I4131" s="17"/>
      <c r="J4131" s="17"/>
      <c r="K4131" s="17"/>
      <c r="L4131" s="17"/>
      <c r="M4131" s="17"/>
      <c r="N4131" s="17"/>
      <c r="O4131" s="17"/>
      <c r="P4131" s="17"/>
      <c r="Q4131" s="17"/>
    </row>
    <row r="4132" spans="1:17">
      <c r="A4132" s="556" t="s">
        <v>9263</v>
      </c>
      <c r="B4132" s="557"/>
      <c r="C4132" s="558" t="s">
        <v>2036</v>
      </c>
      <c r="D4132" s="556" t="s">
        <v>9299</v>
      </c>
      <c r="E4132" s="559" t="s">
        <v>9300</v>
      </c>
      <c r="F4132" s="17">
        <v>1</v>
      </c>
      <c r="G4132" s="17">
        <v>1</v>
      </c>
      <c r="H4132" s="564" t="s">
        <v>9266</v>
      </c>
      <c r="I4132" s="567">
        <v>0</v>
      </c>
      <c r="J4132" s="17"/>
      <c r="K4132" s="17"/>
      <c r="L4132" s="17"/>
      <c r="M4132" s="17"/>
      <c r="N4132" s="17"/>
      <c r="O4132" s="17"/>
      <c r="P4132" s="17"/>
      <c r="Q4132" s="17"/>
    </row>
    <row r="4133" spans="1:17">
      <c r="A4133" s="556" t="s">
        <v>9263</v>
      </c>
      <c r="B4133" s="557"/>
      <c r="C4133" s="558" t="s">
        <v>2036</v>
      </c>
      <c r="D4133" s="556" t="s">
        <v>9301</v>
      </c>
      <c r="E4133" s="559" t="s">
        <v>9302</v>
      </c>
      <c r="F4133" s="17">
        <v>1</v>
      </c>
      <c r="G4133" s="17">
        <v>2</v>
      </c>
      <c r="H4133" s="564" t="s">
        <v>9585</v>
      </c>
      <c r="I4133" s="567">
        <v>0</v>
      </c>
      <c r="J4133" s="17"/>
      <c r="K4133" s="17"/>
      <c r="L4133" s="17"/>
      <c r="M4133" s="17"/>
      <c r="N4133" s="17"/>
      <c r="O4133" s="17"/>
      <c r="P4133" s="17"/>
      <c r="Q4133" s="17"/>
    </row>
    <row r="4134" spans="1:17">
      <c r="A4134" s="556" t="s">
        <v>9263</v>
      </c>
      <c r="B4134" s="557"/>
      <c r="C4134" s="558" t="s">
        <v>2036</v>
      </c>
      <c r="D4134" s="556" t="s">
        <v>9303</v>
      </c>
      <c r="E4134" s="559" t="s">
        <v>9304</v>
      </c>
      <c r="F4134" s="17">
        <v>1</v>
      </c>
      <c r="G4134" s="17">
        <v>3</v>
      </c>
      <c r="H4134" s="564" t="s">
        <v>9586</v>
      </c>
      <c r="I4134" s="567">
        <v>0</v>
      </c>
      <c r="J4134" s="17"/>
      <c r="K4134" s="17"/>
      <c r="L4134" s="17"/>
      <c r="M4134" s="17"/>
      <c r="N4134" s="17"/>
      <c r="O4134" s="17"/>
      <c r="P4134" s="17"/>
      <c r="Q4134" s="17"/>
    </row>
    <row r="4135" spans="1:17">
      <c r="A4135" s="556" t="s">
        <v>9263</v>
      </c>
      <c r="B4135" s="557"/>
      <c r="C4135" s="558" t="s">
        <v>2036</v>
      </c>
      <c r="D4135" s="556" t="s">
        <v>9305</v>
      </c>
      <c r="E4135" s="559" t="s">
        <v>9306</v>
      </c>
      <c r="F4135" s="17">
        <v>1</v>
      </c>
      <c r="G4135" s="17">
        <v>4</v>
      </c>
      <c r="H4135" s="564" t="s">
        <v>9587</v>
      </c>
      <c r="I4135" s="567">
        <v>0</v>
      </c>
      <c r="J4135" s="17"/>
      <c r="K4135" s="17"/>
      <c r="L4135" s="17"/>
      <c r="M4135" s="17"/>
      <c r="N4135" s="17"/>
      <c r="O4135" s="17"/>
      <c r="P4135" s="17"/>
      <c r="Q4135" s="17"/>
    </row>
    <row r="4136" spans="1:17">
      <c r="A4136" s="556" t="s">
        <v>3664</v>
      </c>
      <c r="B4136" s="557"/>
      <c r="C4136" s="558" t="s">
        <v>7551</v>
      </c>
      <c r="D4136" s="556" t="s">
        <v>7552</v>
      </c>
      <c r="E4136" s="17" t="s">
        <v>7553</v>
      </c>
      <c r="F4136" s="17">
        <v>1</v>
      </c>
      <c r="G4136" s="17">
        <v>1</v>
      </c>
      <c r="H4136" s="17" t="s">
        <v>8894</v>
      </c>
      <c r="I4136" s="17"/>
      <c r="J4136" s="17"/>
      <c r="K4136" s="17"/>
      <c r="L4136" s="17"/>
      <c r="M4136" s="17"/>
      <c r="N4136" s="17"/>
      <c r="O4136" s="17"/>
      <c r="P4136" s="17"/>
      <c r="Q4136" s="17"/>
    </row>
    <row r="4137" spans="1:17">
      <c r="A4137" s="556" t="s">
        <v>3664</v>
      </c>
      <c r="B4137" s="557"/>
      <c r="C4137" s="558" t="s">
        <v>7551</v>
      </c>
      <c r="D4137" s="556" t="s">
        <v>7554</v>
      </c>
      <c r="E4137" s="17" t="s">
        <v>7555</v>
      </c>
      <c r="F4137" s="17">
        <v>1</v>
      </c>
      <c r="G4137" s="17">
        <v>2</v>
      </c>
      <c r="H4137" s="17" t="s">
        <v>8895</v>
      </c>
      <c r="I4137" s="17"/>
      <c r="J4137" s="17"/>
      <c r="K4137" s="17"/>
      <c r="L4137" s="17"/>
      <c r="M4137" s="17"/>
      <c r="N4137" s="17"/>
      <c r="O4137" s="17"/>
      <c r="P4137" s="17"/>
      <c r="Q4137" s="17"/>
    </row>
    <row r="4138" spans="1:17">
      <c r="A4138" s="556" t="s">
        <v>3664</v>
      </c>
      <c r="B4138" s="557"/>
      <c r="C4138" s="558" t="s">
        <v>7551</v>
      </c>
      <c r="D4138" s="556" t="s">
        <v>7556</v>
      </c>
      <c r="E4138" s="17" t="s">
        <v>7557</v>
      </c>
      <c r="F4138" s="17">
        <v>1</v>
      </c>
      <c r="G4138" s="17">
        <v>3</v>
      </c>
      <c r="H4138" s="17" t="s">
        <v>8896</v>
      </c>
      <c r="I4138" s="17"/>
      <c r="J4138" s="17"/>
      <c r="K4138" s="17"/>
      <c r="L4138" s="17"/>
      <c r="M4138" s="17"/>
      <c r="N4138" s="17"/>
      <c r="O4138" s="17"/>
      <c r="P4138" s="17"/>
      <c r="Q4138" s="17"/>
    </row>
    <row r="4139" spans="1:17">
      <c r="A4139" s="556" t="s">
        <v>3664</v>
      </c>
      <c r="B4139" s="557"/>
      <c r="C4139" s="558" t="s">
        <v>7551</v>
      </c>
      <c r="D4139" s="556" t="s">
        <v>7558</v>
      </c>
      <c r="E4139" s="17" t="s">
        <v>7559</v>
      </c>
      <c r="F4139" s="17">
        <v>1</v>
      </c>
      <c r="G4139" s="17">
        <v>5</v>
      </c>
      <c r="H4139" s="17" t="s">
        <v>8946</v>
      </c>
      <c r="I4139" s="17"/>
      <c r="J4139" s="17"/>
      <c r="K4139" s="17"/>
      <c r="L4139" s="17"/>
      <c r="M4139" s="17"/>
      <c r="N4139" s="17"/>
      <c r="O4139" s="17"/>
      <c r="P4139" s="17"/>
      <c r="Q4139" s="17"/>
    </row>
    <row r="4140" spans="1:17">
      <c r="A4140" s="556" t="s">
        <v>3664</v>
      </c>
      <c r="B4140" s="557"/>
      <c r="C4140" s="558" t="s">
        <v>7560</v>
      </c>
      <c r="D4140" s="556" t="s">
        <v>7552</v>
      </c>
      <c r="E4140" s="17" t="s">
        <v>7561</v>
      </c>
      <c r="F4140" s="17">
        <v>2</v>
      </c>
      <c r="G4140" s="17">
        <v>1</v>
      </c>
      <c r="H4140" s="17" t="s">
        <v>8897</v>
      </c>
      <c r="I4140" s="17"/>
      <c r="J4140" s="17"/>
      <c r="K4140" s="17"/>
      <c r="L4140" s="17"/>
      <c r="M4140" s="17"/>
      <c r="N4140" s="17"/>
      <c r="O4140" s="17"/>
      <c r="P4140" s="17"/>
      <c r="Q4140" s="17"/>
    </row>
    <row r="4141" spans="1:17">
      <c r="A4141" s="556" t="s">
        <v>3664</v>
      </c>
      <c r="B4141" s="557"/>
      <c r="C4141" s="558" t="s">
        <v>7560</v>
      </c>
      <c r="D4141" s="556" t="s">
        <v>7554</v>
      </c>
      <c r="E4141" s="17" t="s">
        <v>7562</v>
      </c>
      <c r="F4141" s="17">
        <v>2</v>
      </c>
      <c r="G4141" s="17">
        <v>2</v>
      </c>
      <c r="H4141" s="17" t="s">
        <v>8898</v>
      </c>
      <c r="I4141" s="17"/>
      <c r="J4141" s="17"/>
      <c r="K4141" s="17"/>
      <c r="L4141" s="17"/>
      <c r="M4141" s="17"/>
      <c r="N4141" s="17"/>
      <c r="O4141" s="17"/>
      <c r="P4141" s="17"/>
      <c r="Q4141" s="17"/>
    </row>
    <row r="4142" spans="1:17">
      <c r="A4142" s="556" t="s">
        <v>3664</v>
      </c>
      <c r="B4142" s="557"/>
      <c r="C4142" s="558" t="s">
        <v>7560</v>
      </c>
      <c r="D4142" s="556" t="s">
        <v>7556</v>
      </c>
      <c r="E4142" s="17" t="s">
        <v>7563</v>
      </c>
      <c r="F4142" s="17">
        <v>2</v>
      </c>
      <c r="G4142" s="17">
        <v>3</v>
      </c>
      <c r="H4142" s="17" t="s">
        <v>8899</v>
      </c>
      <c r="I4142" s="17"/>
      <c r="J4142" s="17"/>
      <c r="K4142" s="17"/>
      <c r="L4142" s="17"/>
      <c r="M4142" s="17"/>
      <c r="N4142" s="17"/>
      <c r="O4142" s="17"/>
      <c r="P4142" s="17"/>
      <c r="Q4142" s="17"/>
    </row>
    <row r="4143" spans="1:17">
      <c r="A4143" s="556" t="s">
        <v>3664</v>
      </c>
      <c r="B4143" s="557"/>
      <c r="C4143" s="558" t="s">
        <v>7560</v>
      </c>
      <c r="D4143" s="556" t="s">
        <v>7558</v>
      </c>
      <c r="E4143" s="17" t="s">
        <v>7564</v>
      </c>
      <c r="F4143" s="17">
        <v>2</v>
      </c>
      <c r="G4143" s="17">
        <v>5</v>
      </c>
      <c r="H4143" s="17" t="s">
        <v>8947</v>
      </c>
      <c r="I4143" s="17"/>
      <c r="J4143" s="17"/>
      <c r="K4143" s="17"/>
      <c r="L4143" s="17"/>
      <c r="M4143" s="17"/>
      <c r="N4143" s="17"/>
      <c r="O4143" s="17"/>
      <c r="P4143" s="17"/>
      <c r="Q4143" s="17"/>
    </row>
    <row r="4144" spans="1:17">
      <c r="A4144" s="556" t="s">
        <v>3664</v>
      </c>
      <c r="B4144" s="557"/>
      <c r="C4144" s="558" t="s">
        <v>7565</v>
      </c>
      <c r="D4144" s="556" t="s">
        <v>7552</v>
      </c>
      <c r="E4144" s="17" t="s">
        <v>7566</v>
      </c>
      <c r="F4144" s="17">
        <v>3</v>
      </c>
      <c r="G4144" s="17">
        <v>1</v>
      </c>
      <c r="H4144" s="17" t="s">
        <v>8900</v>
      </c>
      <c r="I4144" s="17"/>
      <c r="J4144" s="17"/>
      <c r="K4144" s="17"/>
      <c r="L4144" s="17"/>
      <c r="M4144" s="17"/>
      <c r="N4144" s="17"/>
      <c r="O4144" s="17"/>
      <c r="P4144" s="17"/>
      <c r="Q4144" s="17"/>
    </row>
    <row r="4145" spans="1:17">
      <c r="A4145" s="556" t="s">
        <v>3664</v>
      </c>
      <c r="B4145" s="557"/>
      <c r="C4145" s="558" t="s">
        <v>7565</v>
      </c>
      <c r="D4145" s="556" t="s">
        <v>7554</v>
      </c>
      <c r="E4145" s="17" t="s">
        <v>7567</v>
      </c>
      <c r="F4145" s="17">
        <v>3</v>
      </c>
      <c r="G4145" s="17">
        <v>2</v>
      </c>
      <c r="H4145" s="17" t="s">
        <v>8901</v>
      </c>
      <c r="I4145" s="17"/>
      <c r="J4145" s="17"/>
      <c r="K4145" s="17"/>
      <c r="L4145" s="17"/>
      <c r="M4145" s="17"/>
      <c r="N4145" s="17"/>
      <c r="O4145" s="17"/>
      <c r="P4145" s="17"/>
      <c r="Q4145" s="17"/>
    </row>
    <row r="4146" spans="1:17">
      <c r="A4146" s="556" t="s">
        <v>3664</v>
      </c>
      <c r="B4146" s="557"/>
      <c r="C4146" s="558" t="s">
        <v>7565</v>
      </c>
      <c r="D4146" s="556" t="s">
        <v>7556</v>
      </c>
      <c r="E4146" s="17" t="s">
        <v>7568</v>
      </c>
      <c r="F4146" s="17">
        <v>3</v>
      </c>
      <c r="G4146" s="17">
        <v>3</v>
      </c>
      <c r="H4146" s="17" t="s">
        <v>8902</v>
      </c>
      <c r="I4146" s="17"/>
      <c r="J4146" s="17"/>
      <c r="K4146" s="17"/>
      <c r="L4146" s="17"/>
      <c r="M4146" s="17"/>
      <c r="N4146" s="17"/>
      <c r="O4146" s="17"/>
      <c r="P4146" s="17"/>
      <c r="Q4146" s="17"/>
    </row>
    <row r="4147" spans="1:17">
      <c r="A4147" s="556" t="s">
        <v>3664</v>
      </c>
      <c r="B4147" s="557"/>
      <c r="C4147" s="558" t="s">
        <v>7565</v>
      </c>
      <c r="D4147" s="556" t="s">
        <v>7558</v>
      </c>
      <c r="E4147" s="17" t="s">
        <v>7569</v>
      </c>
      <c r="F4147" s="17">
        <v>3</v>
      </c>
      <c r="G4147" s="17">
        <v>5</v>
      </c>
      <c r="H4147" s="17" t="s">
        <v>8948</v>
      </c>
      <c r="I4147" s="17"/>
      <c r="J4147" s="17"/>
      <c r="K4147" s="17"/>
      <c r="L4147" s="17"/>
      <c r="M4147" s="17"/>
      <c r="N4147" s="17"/>
      <c r="O4147" s="17"/>
      <c r="P4147" s="17"/>
      <c r="Q4147" s="17"/>
    </row>
    <row r="4148" spans="1:17">
      <c r="A4148" s="556" t="s">
        <v>3664</v>
      </c>
      <c r="B4148" s="557"/>
      <c r="C4148" s="558" t="s">
        <v>7570</v>
      </c>
      <c r="D4148" s="556" t="s">
        <v>7552</v>
      </c>
      <c r="E4148" s="17" t="s">
        <v>7571</v>
      </c>
      <c r="F4148" s="17">
        <v>4</v>
      </c>
      <c r="G4148" s="17">
        <v>1</v>
      </c>
      <c r="H4148" s="17" t="s">
        <v>8903</v>
      </c>
      <c r="I4148" s="17"/>
      <c r="J4148" s="17"/>
      <c r="K4148" s="17"/>
      <c r="L4148" s="17"/>
      <c r="M4148" s="17"/>
      <c r="N4148" s="17"/>
      <c r="O4148" s="17"/>
      <c r="P4148" s="17"/>
      <c r="Q4148" s="17"/>
    </row>
    <row r="4149" spans="1:17">
      <c r="A4149" s="556" t="s">
        <v>3664</v>
      </c>
      <c r="B4149" s="557"/>
      <c r="C4149" s="558" t="s">
        <v>7570</v>
      </c>
      <c r="D4149" s="556" t="s">
        <v>7554</v>
      </c>
      <c r="E4149" s="17" t="s">
        <v>7572</v>
      </c>
      <c r="F4149" s="17">
        <v>4</v>
      </c>
      <c r="G4149" s="17">
        <v>2</v>
      </c>
      <c r="H4149" s="17" t="s">
        <v>8904</v>
      </c>
      <c r="I4149" s="17"/>
      <c r="J4149" s="17"/>
      <c r="K4149" s="17"/>
      <c r="L4149" s="17"/>
      <c r="M4149" s="17"/>
      <c r="N4149" s="17"/>
      <c r="O4149" s="17"/>
      <c r="P4149" s="17"/>
      <c r="Q4149" s="17"/>
    </row>
    <row r="4150" spans="1:17">
      <c r="A4150" s="556" t="s">
        <v>3664</v>
      </c>
      <c r="B4150" s="557"/>
      <c r="C4150" s="558" t="s">
        <v>7570</v>
      </c>
      <c r="D4150" s="556" t="s">
        <v>7556</v>
      </c>
      <c r="E4150" s="17" t="s">
        <v>7573</v>
      </c>
      <c r="F4150" s="17">
        <v>4</v>
      </c>
      <c r="G4150" s="17">
        <v>3</v>
      </c>
      <c r="H4150" s="17" t="s">
        <v>8905</v>
      </c>
      <c r="I4150" s="17"/>
      <c r="J4150" s="17"/>
      <c r="K4150" s="17"/>
      <c r="L4150" s="17"/>
      <c r="M4150" s="17"/>
      <c r="N4150" s="17"/>
      <c r="O4150" s="17"/>
      <c r="P4150" s="17"/>
      <c r="Q4150" s="17"/>
    </row>
    <row r="4151" spans="1:17">
      <c r="A4151" s="556" t="s">
        <v>3664</v>
      </c>
      <c r="B4151" s="557"/>
      <c r="C4151" s="558" t="s">
        <v>7570</v>
      </c>
      <c r="D4151" s="556" t="s">
        <v>7558</v>
      </c>
      <c r="E4151" s="17" t="s">
        <v>7574</v>
      </c>
      <c r="F4151" s="17">
        <v>4</v>
      </c>
      <c r="G4151" s="17">
        <v>5</v>
      </c>
      <c r="H4151" s="17" t="s">
        <v>8949</v>
      </c>
      <c r="I4151" s="17"/>
      <c r="J4151" s="17"/>
      <c r="K4151" s="17"/>
      <c r="L4151" s="17"/>
      <c r="M4151" s="17"/>
      <c r="N4151" s="17"/>
      <c r="O4151" s="17"/>
      <c r="P4151" s="17"/>
      <c r="Q4151" s="17"/>
    </row>
    <row r="4152" spans="1:17">
      <c r="A4152" s="556" t="s">
        <v>3664</v>
      </c>
      <c r="B4152" s="557"/>
      <c r="C4152" s="558" t="s">
        <v>1578</v>
      </c>
      <c r="D4152" s="556" t="s">
        <v>7552</v>
      </c>
      <c r="E4152" s="17" t="s">
        <v>7575</v>
      </c>
      <c r="F4152" s="17">
        <v>5</v>
      </c>
      <c r="G4152" s="17">
        <v>1</v>
      </c>
      <c r="H4152" s="17" t="s">
        <v>8906</v>
      </c>
      <c r="I4152" s="17">
        <v>0</v>
      </c>
      <c r="J4152" s="17"/>
      <c r="K4152" s="17"/>
      <c r="L4152" s="17"/>
      <c r="M4152" s="17"/>
      <c r="N4152" s="17"/>
      <c r="O4152" s="17"/>
      <c r="P4152" s="17"/>
      <c r="Q4152" s="17"/>
    </row>
    <row r="4153" spans="1:17">
      <c r="A4153" s="556" t="s">
        <v>3664</v>
      </c>
      <c r="B4153" s="557"/>
      <c r="C4153" s="558" t="s">
        <v>1578</v>
      </c>
      <c r="D4153" s="556" t="s">
        <v>7554</v>
      </c>
      <c r="E4153" s="17" t="s">
        <v>7576</v>
      </c>
      <c r="F4153" s="17">
        <v>5</v>
      </c>
      <c r="G4153" s="17">
        <v>2</v>
      </c>
      <c r="H4153" s="17" t="s">
        <v>8907</v>
      </c>
      <c r="I4153" s="17">
        <v>0</v>
      </c>
      <c r="J4153" s="17"/>
      <c r="K4153" s="17"/>
      <c r="L4153" s="17"/>
      <c r="M4153" s="17"/>
      <c r="N4153" s="17"/>
      <c r="O4153" s="17"/>
      <c r="P4153" s="17"/>
      <c r="Q4153" s="17"/>
    </row>
    <row r="4154" spans="1:17">
      <c r="A4154" s="556" t="s">
        <v>3664</v>
      </c>
      <c r="B4154" s="557"/>
      <c r="C4154" s="558" t="s">
        <v>1578</v>
      </c>
      <c r="D4154" s="556" t="s">
        <v>7556</v>
      </c>
      <c r="E4154" s="17" t="s">
        <v>7577</v>
      </c>
      <c r="F4154" s="17">
        <v>5</v>
      </c>
      <c r="G4154" s="17">
        <v>3</v>
      </c>
      <c r="H4154" s="17" t="s">
        <v>8908</v>
      </c>
      <c r="I4154" s="17">
        <v>0</v>
      </c>
      <c r="J4154" s="17"/>
      <c r="K4154" s="17"/>
      <c r="L4154" s="17"/>
      <c r="M4154" s="17"/>
      <c r="N4154" s="17"/>
      <c r="O4154" s="17"/>
      <c r="P4154" s="17"/>
      <c r="Q4154" s="17"/>
    </row>
    <row r="4155" spans="1:17">
      <c r="A4155" s="556" t="s">
        <v>3664</v>
      </c>
      <c r="B4155" s="557"/>
      <c r="C4155" s="558" t="s">
        <v>1578</v>
      </c>
      <c r="D4155" s="556" t="s">
        <v>7558</v>
      </c>
      <c r="E4155" s="17" t="s">
        <v>7578</v>
      </c>
      <c r="F4155" s="17">
        <v>5</v>
      </c>
      <c r="G4155" s="17">
        <v>5</v>
      </c>
      <c r="H4155" s="17" t="s">
        <v>8950</v>
      </c>
      <c r="I4155" s="17">
        <v>0</v>
      </c>
      <c r="J4155" s="17"/>
      <c r="K4155" s="17"/>
      <c r="L4155" s="17"/>
      <c r="M4155" s="17"/>
      <c r="N4155" s="17"/>
      <c r="O4155" s="17"/>
      <c r="P4155" s="17"/>
      <c r="Q4155" s="17"/>
    </row>
    <row r="4156" spans="1:17">
      <c r="A4156" s="556" t="s">
        <v>3664</v>
      </c>
      <c r="B4156" s="557"/>
      <c r="C4156" s="558" t="s">
        <v>2878</v>
      </c>
      <c r="D4156" s="556" t="s">
        <v>7552</v>
      </c>
      <c r="E4156" s="17" t="s">
        <v>7579</v>
      </c>
      <c r="F4156" s="17">
        <v>6</v>
      </c>
      <c r="G4156" s="17">
        <v>1</v>
      </c>
      <c r="H4156" s="17" t="s">
        <v>8909</v>
      </c>
      <c r="I4156" s="17"/>
      <c r="J4156" s="17"/>
      <c r="K4156" s="17"/>
      <c r="L4156" s="17"/>
      <c r="M4156" s="17"/>
      <c r="N4156" s="17"/>
      <c r="O4156" s="17"/>
      <c r="P4156" s="17"/>
      <c r="Q4156" s="17"/>
    </row>
    <row r="4157" spans="1:17">
      <c r="A4157" s="556" t="s">
        <v>3664</v>
      </c>
      <c r="B4157" s="557"/>
      <c r="C4157" s="558" t="s">
        <v>2878</v>
      </c>
      <c r="D4157" s="556" t="s">
        <v>7554</v>
      </c>
      <c r="E4157" s="17" t="s">
        <v>7580</v>
      </c>
      <c r="F4157" s="17">
        <v>6</v>
      </c>
      <c r="G4157" s="17">
        <v>2</v>
      </c>
      <c r="H4157" s="17" t="s">
        <v>8910</v>
      </c>
      <c r="I4157" s="17"/>
      <c r="J4157" s="17"/>
      <c r="K4157" s="17"/>
      <c r="L4157" s="17"/>
      <c r="M4157" s="17"/>
      <c r="N4157" s="17"/>
      <c r="O4157" s="17"/>
      <c r="P4157" s="17"/>
      <c r="Q4157" s="17"/>
    </row>
    <row r="4158" spans="1:17">
      <c r="A4158" s="556" t="s">
        <v>3664</v>
      </c>
      <c r="B4158" s="557"/>
      <c r="C4158" s="558" t="s">
        <v>2878</v>
      </c>
      <c r="D4158" s="556" t="s">
        <v>7556</v>
      </c>
      <c r="E4158" s="17" t="s">
        <v>7581</v>
      </c>
      <c r="F4158" s="17">
        <v>6</v>
      </c>
      <c r="G4158" s="17">
        <v>3</v>
      </c>
      <c r="H4158" s="17" t="s">
        <v>8911</v>
      </c>
      <c r="I4158" s="17"/>
      <c r="J4158" s="17"/>
      <c r="K4158" s="17"/>
      <c r="L4158" s="17"/>
      <c r="M4158" s="17"/>
      <c r="N4158" s="17"/>
      <c r="O4158" s="17"/>
      <c r="P4158" s="17"/>
      <c r="Q4158" s="17"/>
    </row>
    <row r="4159" spans="1:17">
      <c r="A4159" s="556" t="s">
        <v>3664</v>
      </c>
      <c r="B4159" s="557"/>
      <c r="C4159" s="558" t="s">
        <v>2878</v>
      </c>
      <c r="D4159" s="556" t="s">
        <v>7558</v>
      </c>
      <c r="E4159" s="17" t="s">
        <v>7582</v>
      </c>
      <c r="F4159" s="17">
        <v>6</v>
      </c>
      <c r="G4159" s="17">
        <v>5</v>
      </c>
      <c r="H4159" s="17" t="s">
        <v>8951</v>
      </c>
      <c r="I4159" s="17"/>
      <c r="J4159" s="17"/>
      <c r="K4159" s="17"/>
      <c r="L4159" s="17"/>
      <c r="M4159" s="17"/>
      <c r="N4159" s="17"/>
      <c r="O4159" s="17"/>
      <c r="P4159" s="17"/>
      <c r="Q4159" s="17"/>
    </row>
    <row r="4160" spans="1:17">
      <c r="A4160" s="556" t="s">
        <v>3664</v>
      </c>
      <c r="B4160" s="557"/>
      <c r="C4160" s="558" t="s">
        <v>2879</v>
      </c>
      <c r="D4160" s="556" t="s">
        <v>7552</v>
      </c>
      <c r="E4160" s="17" t="s">
        <v>7583</v>
      </c>
      <c r="F4160" s="17">
        <v>7</v>
      </c>
      <c r="G4160" s="17">
        <v>1</v>
      </c>
      <c r="H4160" s="17" t="s">
        <v>8912</v>
      </c>
      <c r="I4160" s="17">
        <v>0</v>
      </c>
      <c r="J4160" s="17"/>
      <c r="K4160" s="17"/>
      <c r="L4160" s="17"/>
      <c r="M4160" s="17"/>
      <c r="N4160" s="17"/>
      <c r="O4160" s="17"/>
      <c r="P4160" s="17"/>
      <c r="Q4160" s="17"/>
    </row>
    <row r="4161" spans="1:17">
      <c r="A4161" s="556" t="s">
        <v>3664</v>
      </c>
      <c r="B4161" s="557"/>
      <c r="C4161" s="558" t="s">
        <v>2879</v>
      </c>
      <c r="D4161" s="556" t="s">
        <v>7554</v>
      </c>
      <c r="E4161" s="17" t="s">
        <v>7584</v>
      </c>
      <c r="F4161" s="17">
        <v>7</v>
      </c>
      <c r="G4161" s="17">
        <v>2</v>
      </c>
      <c r="H4161" s="17" t="s">
        <v>8913</v>
      </c>
      <c r="I4161" s="17">
        <v>0</v>
      </c>
      <c r="J4161" s="17"/>
      <c r="K4161" s="17"/>
      <c r="L4161" s="17"/>
      <c r="M4161" s="17"/>
      <c r="N4161" s="17"/>
      <c r="O4161" s="17"/>
      <c r="P4161" s="17"/>
      <c r="Q4161" s="17"/>
    </row>
    <row r="4162" spans="1:17">
      <c r="A4162" s="556" t="s">
        <v>3664</v>
      </c>
      <c r="B4162" s="557"/>
      <c r="C4162" s="558" t="s">
        <v>2879</v>
      </c>
      <c r="D4162" s="556" t="s">
        <v>7556</v>
      </c>
      <c r="E4162" s="17" t="s">
        <v>7585</v>
      </c>
      <c r="F4162" s="17">
        <v>7</v>
      </c>
      <c r="G4162" s="17">
        <v>3</v>
      </c>
      <c r="H4162" s="17" t="s">
        <v>8914</v>
      </c>
      <c r="I4162" s="17">
        <v>0</v>
      </c>
      <c r="J4162" s="17"/>
      <c r="K4162" s="17"/>
      <c r="L4162" s="17"/>
      <c r="M4162" s="17"/>
      <c r="N4162" s="17"/>
      <c r="O4162" s="17"/>
      <c r="P4162" s="17"/>
      <c r="Q4162" s="17"/>
    </row>
    <row r="4163" spans="1:17">
      <c r="A4163" s="556" t="s">
        <v>3664</v>
      </c>
      <c r="B4163" s="557"/>
      <c r="C4163" s="558" t="s">
        <v>2879</v>
      </c>
      <c r="D4163" s="556" t="s">
        <v>7558</v>
      </c>
      <c r="E4163" s="17" t="s">
        <v>7586</v>
      </c>
      <c r="F4163" s="17">
        <v>7</v>
      </c>
      <c r="G4163" s="17">
        <v>5</v>
      </c>
      <c r="H4163" s="17" t="s">
        <v>8952</v>
      </c>
      <c r="I4163" s="17">
        <v>0</v>
      </c>
      <c r="J4163" s="17"/>
      <c r="K4163" s="17"/>
      <c r="L4163" s="17"/>
      <c r="M4163" s="17"/>
      <c r="N4163" s="17"/>
      <c r="O4163" s="17"/>
      <c r="P4163" s="17"/>
      <c r="Q4163" s="17"/>
    </row>
    <row r="4164" spans="1:17">
      <c r="A4164" s="556" t="s">
        <v>3666</v>
      </c>
      <c r="B4164" s="557"/>
      <c r="C4164" s="558" t="s">
        <v>2869</v>
      </c>
      <c r="D4164" s="556" t="s">
        <v>2623</v>
      </c>
      <c r="E4164" s="17" t="s">
        <v>7587</v>
      </c>
      <c r="F4164" s="17">
        <v>1</v>
      </c>
      <c r="G4164" s="17">
        <v>1</v>
      </c>
      <c r="H4164" s="17" t="s">
        <v>8915</v>
      </c>
      <c r="I4164" s="17"/>
      <c r="J4164" s="17"/>
      <c r="K4164" s="17"/>
      <c r="L4164" s="17"/>
      <c r="M4164" s="17"/>
      <c r="N4164" s="17"/>
      <c r="O4164" s="17"/>
      <c r="P4164" s="17"/>
      <c r="Q4164" s="17"/>
    </row>
    <row r="4165" spans="1:17">
      <c r="A4165" s="556" t="s">
        <v>3666</v>
      </c>
      <c r="B4165" s="557"/>
      <c r="C4165" s="558" t="s">
        <v>7588</v>
      </c>
      <c r="D4165" s="556" t="s">
        <v>2623</v>
      </c>
      <c r="E4165" s="17" t="s">
        <v>7589</v>
      </c>
      <c r="F4165" s="17">
        <v>2</v>
      </c>
      <c r="G4165" s="17">
        <v>1</v>
      </c>
      <c r="H4165" s="17" t="s">
        <v>9938</v>
      </c>
      <c r="I4165" s="17"/>
      <c r="J4165" s="17"/>
      <c r="K4165" s="17"/>
      <c r="L4165" s="17"/>
      <c r="M4165" s="17"/>
      <c r="N4165" s="17"/>
      <c r="O4165" s="17"/>
      <c r="P4165" s="17"/>
      <c r="Q4165" s="17"/>
    </row>
    <row r="4166" spans="1:17">
      <c r="A4166" s="556" t="s">
        <v>3666</v>
      </c>
      <c r="B4166" s="557"/>
      <c r="C4166" s="558" t="s">
        <v>1264</v>
      </c>
      <c r="D4166" s="556" t="s">
        <v>2623</v>
      </c>
      <c r="E4166" s="17" t="s">
        <v>7590</v>
      </c>
      <c r="F4166" s="17">
        <v>4</v>
      </c>
      <c r="G4166" s="17">
        <v>1</v>
      </c>
      <c r="H4166" s="17" t="s">
        <v>8916</v>
      </c>
      <c r="I4166" s="17">
        <v>0</v>
      </c>
      <c r="J4166" s="17"/>
      <c r="K4166" s="17"/>
      <c r="L4166" s="17"/>
      <c r="M4166" s="17"/>
      <c r="N4166" s="17"/>
      <c r="O4166" s="17"/>
      <c r="P4166" s="17"/>
      <c r="Q4166" s="17"/>
    </row>
    <row r="4167" spans="1:17">
      <c r="A4167" s="556" t="s">
        <v>3666</v>
      </c>
      <c r="B4167" s="557"/>
      <c r="C4167" s="558" t="s">
        <v>2875</v>
      </c>
      <c r="D4167" s="556" t="s">
        <v>2623</v>
      </c>
      <c r="E4167" s="17" t="s">
        <v>7591</v>
      </c>
      <c r="F4167" s="17">
        <v>5</v>
      </c>
      <c r="G4167" s="17">
        <v>1</v>
      </c>
      <c r="H4167" s="17" t="s">
        <v>8917</v>
      </c>
      <c r="I4167" s="17"/>
      <c r="J4167" s="17"/>
      <c r="K4167" s="17"/>
      <c r="L4167" s="17"/>
      <c r="M4167" s="17"/>
      <c r="N4167" s="17"/>
      <c r="O4167" s="17"/>
      <c r="P4167" s="17"/>
      <c r="Q4167" s="17"/>
    </row>
    <row r="4168" spans="1:17">
      <c r="A4168" s="556" t="s">
        <v>3666</v>
      </c>
      <c r="B4168" s="557"/>
      <c r="C4168" s="558" t="s">
        <v>2877</v>
      </c>
      <c r="D4168" s="556" t="s">
        <v>2623</v>
      </c>
      <c r="E4168" s="17" t="s">
        <v>7592</v>
      </c>
      <c r="F4168" s="17">
        <v>6</v>
      </c>
      <c r="G4168" s="17">
        <v>1</v>
      </c>
      <c r="H4168" s="17" t="s">
        <v>8918</v>
      </c>
      <c r="I4168" s="17"/>
      <c r="J4168" s="17"/>
      <c r="K4168" s="17"/>
      <c r="L4168" s="17"/>
      <c r="M4168" s="17"/>
      <c r="N4168" s="17"/>
      <c r="O4168" s="17"/>
      <c r="P4168" s="17"/>
      <c r="Q4168" s="17"/>
    </row>
    <row r="4169" spans="1:17">
      <c r="A4169" s="556" t="s">
        <v>3666</v>
      </c>
      <c r="B4169" s="557"/>
      <c r="C4169" s="558" t="s">
        <v>2880</v>
      </c>
      <c r="D4169" s="556" t="s">
        <v>2623</v>
      </c>
      <c r="E4169" s="17" t="s">
        <v>7593</v>
      </c>
      <c r="F4169" s="17">
        <v>9</v>
      </c>
      <c r="G4169" s="17">
        <v>1</v>
      </c>
      <c r="H4169" s="17" t="s">
        <v>8953</v>
      </c>
      <c r="I4169" s="17">
        <v>0</v>
      </c>
      <c r="J4169" s="17"/>
      <c r="K4169" s="17"/>
      <c r="L4169" s="17"/>
      <c r="M4169" s="17"/>
      <c r="N4169" s="17"/>
      <c r="O4169" s="17"/>
      <c r="P4169" s="17"/>
      <c r="Q4169" s="17"/>
    </row>
    <row r="4170" spans="1:17">
      <c r="A4170" s="556" t="s">
        <v>9264</v>
      </c>
      <c r="B4170" s="557"/>
      <c r="C4170" s="558" t="s">
        <v>9307</v>
      </c>
      <c r="D4170" s="556" t="s">
        <v>8707</v>
      </c>
      <c r="E4170" s="559" t="s">
        <v>9308</v>
      </c>
      <c r="F4170" s="17">
        <v>1</v>
      </c>
      <c r="G4170" s="17">
        <v>1</v>
      </c>
      <c r="H4170" s="564" t="s">
        <v>3519</v>
      </c>
      <c r="I4170" s="567">
        <v>0</v>
      </c>
      <c r="J4170" s="17"/>
      <c r="K4170" s="17"/>
      <c r="L4170" s="17"/>
      <c r="M4170" s="17"/>
      <c r="N4170" s="17"/>
      <c r="O4170" s="17"/>
      <c r="P4170" s="17"/>
      <c r="Q4170" s="17"/>
    </row>
    <row r="4171" spans="1:17">
      <c r="A4171" s="556" t="s">
        <v>9264</v>
      </c>
      <c r="B4171" s="557"/>
      <c r="C4171" s="558" t="s">
        <v>9307</v>
      </c>
      <c r="D4171" s="556" t="s">
        <v>9309</v>
      </c>
      <c r="E4171" s="559" t="s">
        <v>9310</v>
      </c>
      <c r="F4171" s="17">
        <v>1</v>
      </c>
      <c r="G4171" s="17">
        <v>2</v>
      </c>
      <c r="H4171" s="564" t="s">
        <v>3520</v>
      </c>
      <c r="I4171" s="567">
        <v>0</v>
      </c>
      <c r="J4171" s="17"/>
      <c r="K4171" s="17"/>
      <c r="L4171" s="17"/>
      <c r="M4171" s="17"/>
      <c r="N4171" s="17"/>
      <c r="O4171" s="17"/>
      <c r="P4171" s="17"/>
      <c r="Q4171" s="17"/>
    </row>
    <row r="4172" spans="1:17">
      <c r="A4172" s="556" t="s">
        <v>9264</v>
      </c>
      <c r="B4172" s="557"/>
      <c r="C4172" s="558" t="s">
        <v>9307</v>
      </c>
      <c r="D4172" s="556" t="s">
        <v>8709</v>
      </c>
      <c r="E4172" s="559" t="s">
        <v>9311</v>
      </c>
      <c r="F4172" s="17">
        <v>1</v>
      </c>
      <c r="G4172" s="17">
        <v>3</v>
      </c>
      <c r="H4172" s="564" t="s">
        <v>3521</v>
      </c>
      <c r="I4172" s="567">
        <v>0</v>
      </c>
      <c r="J4172" s="17"/>
      <c r="K4172" s="17"/>
      <c r="L4172" s="17"/>
      <c r="M4172" s="17"/>
      <c r="N4172" s="17"/>
      <c r="O4172" s="17"/>
      <c r="P4172" s="17"/>
      <c r="Q4172" s="17"/>
    </row>
    <row r="4173" spans="1:17">
      <c r="A4173" s="556" t="s">
        <v>3669</v>
      </c>
      <c r="B4173" s="557"/>
      <c r="C4173" s="558" t="s">
        <v>2892</v>
      </c>
      <c r="D4173" s="556" t="s">
        <v>2535</v>
      </c>
      <c r="E4173" s="17" t="s">
        <v>7594</v>
      </c>
      <c r="F4173" s="17">
        <v>1</v>
      </c>
      <c r="G4173" s="17">
        <v>1</v>
      </c>
      <c r="H4173" s="17" t="s">
        <v>3720</v>
      </c>
      <c r="I4173" s="17"/>
      <c r="J4173" s="17"/>
      <c r="K4173" s="17"/>
      <c r="L4173" s="17"/>
      <c r="M4173" s="17"/>
      <c r="N4173" s="17"/>
      <c r="O4173" s="17"/>
      <c r="P4173" s="17"/>
      <c r="Q4173" s="17"/>
    </row>
    <row r="4174" spans="1:17">
      <c r="A4174" s="556" t="s">
        <v>3669</v>
      </c>
      <c r="B4174" s="557"/>
      <c r="C4174" s="558" t="s">
        <v>2892</v>
      </c>
      <c r="D4174" s="556" t="s">
        <v>6052</v>
      </c>
      <c r="E4174" s="17" t="s">
        <v>7595</v>
      </c>
      <c r="F4174" s="17">
        <v>1</v>
      </c>
      <c r="G4174" s="17">
        <v>3</v>
      </c>
      <c r="H4174" s="17" t="s">
        <v>7813</v>
      </c>
      <c r="I4174" s="17"/>
      <c r="J4174" s="17"/>
      <c r="K4174" s="17"/>
      <c r="L4174" s="17"/>
      <c r="M4174" s="17"/>
      <c r="N4174" s="17"/>
      <c r="O4174" s="17"/>
      <c r="P4174" s="17"/>
      <c r="Q4174" s="17"/>
    </row>
    <row r="4175" spans="1:17">
      <c r="A4175" s="556" t="s">
        <v>3669</v>
      </c>
      <c r="B4175" s="557"/>
      <c r="C4175" s="558" t="s">
        <v>2893</v>
      </c>
      <c r="D4175" s="556" t="s">
        <v>2535</v>
      </c>
      <c r="E4175" s="17" t="s">
        <v>7596</v>
      </c>
      <c r="F4175" s="17">
        <v>2</v>
      </c>
      <c r="G4175" s="17">
        <v>1</v>
      </c>
      <c r="H4175" s="17" t="s">
        <v>3521</v>
      </c>
      <c r="I4175" s="17"/>
      <c r="J4175" s="17"/>
      <c r="K4175" s="17"/>
      <c r="L4175" s="17"/>
      <c r="M4175" s="17"/>
      <c r="N4175" s="17"/>
      <c r="O4175" s="17"/>
      <c r="P4175" s="17"/>
      <c r="Q4175" s="17"/>
    </row>
    <row r="4176" spans="1:17">
      <c r="A4176" s="556" t="s">
        <v>3669</v>
      </c>
      <c r="B4176" s="557"/>
      <c r="C4176" s="558" t="s">
        <v>2893</v>
      </c>
      <c r="D4176" s="556" t="s">
        <v>6052</v>
      </c>
      <c r="E4176" s="17" t="s">
        <v>7597</v>
      </c>
      <c r="F4176" s="17">
        <v>2</v>
      </c>
      <c r="G4176" s="17">
        <v>3</v>
      </c>
      <c r="H4176" s="17" t="s">
        <v>3522</v>
      </c>
      <c r="I4176" s="17"/>
      <c r="J4176" s="17"/>
      <c r="K4176" s="17"/>
      <c r="L4176" s="17"/>
      <c r="M4176" s="17"/>
      <c r="N4176" s="17"/>
      <c r="O4176" s="17"/>
      <c r="P4176" s="17"/>
      <c r="Q4176" s="17"/>
    </row>
    <row r="4177" spans="1:17">
      <c r="A4177" s="556" t="s">
        <v>3669</v>
      </c>
      <c r="B4177" s="557"/>
      <c r="C4177" s="558" t="s">
        <v>2894</v>
      </c>
      <c r="D4177" s="556" t="s">
        <v>2535</v>
      </c>
      <c r="E4177" s="17" t="s">
        <v>7598</v>
      </c>
      <c r="F4177" s="17">
        <v>3</v>
      </c>
      <c r="G4177" s="17">
        <v>1</v>
      </c>
      <c r="H4177" s="17" t="s">
        <v>2992</v>
      </c>
      <c r="I4177" s="17"/>
      <c r="J4177" s="17"/>
      <c r="K4177" s="17"/>
      <c r="L4177" s="17"/>
      <c r="M4177" s="17"/>
      <c r="N4177" s="17"/>
      <c r="O4177" s="17"/>
      <c r="P4177" s="17"/>
      <c r="Q4177" s="17"/>
    </row>
    <row r="4178" spans="1:17">
      <c r="A4178" s="556" t="s">
        <v>3669</v>
      </c>
      <c r="B4178" s="557"/>
      <c r="C4178" s="558" t="s">
        <v>2894</v>
      </c>
      <c r="D4178" s="556" t="s">
        <v>6052</v>
      </c>
      <c r="E4178" s="17" t="s">
        <v>7599</v>
      </c>
      <c r="F4178" s="17">
        <v>3</v>
      </c>
      <c r="G4178" s="17">
        <v>3</v>
      </c>
      <c r="H4178" s="17" t="s">
        <v>7803</v>
      </c>
      <c r="I4178" s="17"/>
      <c r="J4178" s="17"/>
      <c r="K4178" s="17"/>
      <c r="L4178" s="17"/>
      <c r="M4178" s="17"/>
      <c r="N4178" s="17"/>
      <c r="O4178" s="17"/>
      <c r="P4178" s="17"/>
      <c r="Q4178" s="17"/>
    </row>
    <row r="4179" spans="1:17">
      <c r="A4179" s="556" t="s">
        <v>3669</v>
      </c>
      <c r="B4179" s="557"/>
      <c r="C4179" s="558" t="s">
        <v>2895</v>
      </c>
      <c r="D4179" s="556" t="s">
        <v>2535</v>
      </c>
      <c r="E4179" s="17" t="s">
        <v>7600</v>
      </c>
      <c r="F4179" s="17">
        <v>4</v>
      </c>
      <c r="G4179" s="17">
        <v>1</v>
      </c>
      <c r="H4179" s="17" t="s">
        <v>3342</v>
      </c>
      <c r="I4179" s="17"/>
      <c r="J4179" s="17"/>
      <c r="K4179" s="17"/>
      <c r="L4179" s="17"/>
      <c r="M4179" s="17"/>
      <c r="N4179" s="17"/>
      <c r="O4179" s="17"/>
      <c r="P4179" s="17"/>
      <c r="Q4179" s="17"/>
    </row>
    <row r="4180" spans="1:17">
      <c r="A4180" s="556" t="s">
        <v>3669</v>
      </c>
      <c r="B4180" s="557"/>
      <c r="C4180" s="558" t="s">
        <v>2895</v>
      </c>
      <c r="D4180" s="556" t="s">
        <v>6052</v>
      </c>
      <c r="E4180" s="17" t="s">
        <v>7601</v>
      </c>
      <c r="F4180" s="17">
        <v>4</v>
      </c>
      <c r="G4180" s="17">
        <v>3</v>
      </c>
      <c r="H4180" s="17" t="s">
        <v>7804</v>
      </c>
      <c r="I4180" s="17"/>
      <c r="J4180" s="17"/>
      <c r="K4180" s="17"/>
      <c r="L4180" s="17"/>
      <c r="M4180" s="17"/>
      <c r="N4180" s="17"/>
      <c r="O4180" s="17"/>
      <c r="P4180" s="17"/>
      <c r="Q4180" s="17"/>
    </row>
    <row r="4181" spans="1:17">
      <c r="A4181" s="556" t="s">
        <v>9267</v>
      </c>
      <c r="B4181" s="557"/>
      <c r="C4181" s="558" t="s">
        <v>2036</v>
      </c>
      <c r="D4181" s="556" t="s">
        <v>8721</v>
      </c>
      <c r="E4181" s="559" t="s">
        <v>9312</v>
      </c>
      <c r="F4181" s="17">
        <v>1</v>
      </c>
      <c r="G4181" s="17">
        <v>1</v>
      </c>
      <c r="H4181" s="564" t="s">
        <v>3338</v>
      </c>
      <c r="I4181" s="567">
        <v>0</v>
      </c>
      <c r="J4181" s="17"/>
      <c r="K4181" s="17"/>
      <c r="L4181" s="17"/>
      <c r="M4181" s="17"/>
      <c r="N4181" s="17"/>
      <c r="O4181" s="17"/>
      <c r="P4181" s="17"/>
      <c r="Q4181" s="17"/>
    </row>
    <row r="4182" spans="1:17">
      <c r="A4182" s="556" t="s">
        <v>9267</v>
      </c>
      <c r="B4182" s="557"/>
      <c r="C4182" s="558" t="s">
        <v>2036</v>
      </c>
      <c r="D4182" s="556" t="s">
        <v>8723</v>
      </c>
      <c r="E4182" s="559" t="s">
        <v>9313</v>
      </c>
      <c r="F4182" s="17">
        <v>1</v>
      </c>
      <c r="G4182" s="17">
        <v>2</v>
      </c>
      <c r="H4182" s="564" t="s">
        <v>2991</v>
      </c>
      <c r="I4182" s="567">
        <v>0</v>
      </c>
      <c r="J4182" s="17"/>
      <c r="K4182" s="17"/>
      <c r="L4182" s="17"/>
      <c r="M4182" s="17"/>
      <c r="N4182" s="17"/>
      <c r="O4182" s="17"/>
      <c r="P4182" s="17"/>
      <c r="Q4182" s="17"/>
    </row>
    <row r="4183" spans="1:17">
      <c r="A4183" s="556" t="s">
        <v>9267</v>
      </c>
      <c r="B4183" s="557"/>
      <c r="C4183" s="558" t="s">
        <v>2036</v>
      </c>
      <c r="D4183" s="556" t="s">
        <v>8725</v>
      </c>
      <c r="E4183" s="559" t="s">
        <v>9314</v>
      </c>
      <c r="F4183" s="17">
        <v>1</v>
      </c>
      <c r="G4183" s="17">
        <v>3</v>
      </c>
      <c r="H4183" s="564" t="s">
        <v>2992</v>
      </c>
      <c r="I4183" s="567">
        <v>0</v>
      </c>
      <c r="J4183" s="17"/>
      <c r="K4183" s="17"/>
      <c r="L4183" s="17"/>
      <c r="M4183" s="17"/>
      <c r="N4183" s="17"/>
      <c r="O4183" s="17"/>
      <c r="P4183" s="17"/>
      <c r="Q4183" s="17"/>
    </row>
    <row r="4184" spans="1:17">
      <c r="A4184" s="556" t="s">
        <v>9267</v>
      </c>
      <c r="B4184" s="557"/>
      <c r="C4184" s="558" t="s">
        <v>2036</v>
      </c>
      <c r="D4184" s="556" t="s">
        <v>8727</v>
      </c>
      <c r="E4184" s="559" t="s">
        <v>9315</v>
      </c>
      <c r="F4184" s="17">
        <v>1</v>
      </c>
      <c r="G4184" s="17">
        <v>4</v>
      </c>
      <c r="H4184" s="564" t="s">
        <v>3450</v>
      </c>
      <c r="I4184" s="567">
        <v>0</v>
      </c>
      <c r="J4184" s="17"/>
      <c r="K4184" s="17"/>
      <c r="L4184" s="17"/>
      <c r="M4184" s="17"/>
      <c r="N4184" s="17"/>
      <c r="O4184" s="17"/>
      <c r="P4184" s="17"/>
      <c r="Q4184" s="17"/>
    </row>
    <row r="4185" spans="1:17">
      <c r="A4185" s="556" t="s">
        <v>9267</v>
      </c>
      <c r="B4185" s="557"/>
      <c r="C4185" s="558" t="s">
        <v>2036</v>
      </c>
      <c r="D4185" s="556" t="s">
        <v>8729</v>
      </c>
      <c r="E4185" s="559" t="s">
        <v>9316</v>
      </c>
      <c r="F4185" s="17">
        <v>1</v>
      </c>
      <c r="G4185" s="17">
        <v>5</v>
      </c>
      <c r="H4185" s="564" t="s">
        <v>7803</v>
      </c>
      <c r="I4185" s="567">
        <v>0</v>
      </c>
      <c r="J4185" s="17"/>
      <c r="K4185" s="17"/>
      <c r="L4185" s="17"/>
      <c r="M4185" s="17"/>
      <c r="N4185" s="17"/>
      <c r="O4185" s="17"/>
      <c r="P4185" s="17"/>
      <c r="Q4185" s="17"/>
    </row>
    <row r="4186" spans="1:17">
      <c r="A4186" s="556" t="s">
        <v>9267</v>
      </c>
      <c r="B4186" s="557"/>
      <c r="C4186" s="558" t="s">
        <v>2036</v>
      </c>
      <c r="D4186" s="556" t="s">
        <v>2904</v>
      </c>
      <c r="E4186" s="559" t="s">
        <v>9317</v>
      </c>
      <c r="F4186" s="17">
        <v>1</v>
      </c>
      <c r="G4186" s="17">
        <v>6</v>
      </c>
      <c r="H4186" s="564" t="s">
        <v>3329</v>
      </c>
      <c r="I4186" s="567">
        <v>0</v>
      </c>
      <c r="J4186" s="17"/>
      <c r="K4186" s="17"/>
      <c r="L4186" s="17"/>
      <c r="M4186" s="17"/>
      <c r="N4186" s="17"/>
      <c r="O4186" s="17"/>
      <c r="P4186" s="17"/>
      <c r="Q4186" s="17"/>
    </row>
    <row r="4187" spans="1:17">
      <c r="A4187" s="556" t="s">
        <v>9267</v>
      </c>
      <c r="B4187" s="557"/>
      <c r="C4187" s="558" t="s">
        <v>2036</v>
      </c>
      <c r="D4187" s="556" t="s">
        <v>2905</v>
      </c>
      <c r="E4187" s="559" t="s">
        <v>9318</v>
      </c>
      <c r="F4187" s="17">
        <v>1</v>
      </c>
      <c r="G4187" s="17">
        <v>7</v>
      </c>
      <c r="H4187" s="564" t="s">
        <v>8742</v>
      </c>
      <c r="I4187" s="567">
        <v>0</v>
      </c>
      <c r="J4187" s="17"/>
      <c r="K4187" s="17"/>
      <c r="L4187" s="17"/>
      <c r="M4187" s="17"/>
      <c r="N4187" s="17"/>
      <c r="O4187" s="17"/>
      <c r="P4187" s="17"/>
      <c r="Q4187" s="17"/>
    </row>
    <row r="4188" spans="1:17">
      <c r="A4188" s="556" t="s">
        <v>9267</v>
      </c>
      <c r="B4188" s="557"/>
      <c r="C4188" s="558" t="s">
        <v>2036</v>
      </c>
      <c r="D4188" s="556" t="s">
        <v>2906</v>
      </c>
      <c r="E4188" s="559" t="s">
        <v>9319</v>
      </c>
      <c r="F4188" s="17">
        <v>1</v>
      </c>
      <c r="G4188" s="17">
        <v>8</v>
      </c>
      <c r="H4188" s="564" t="s">
        <v>8743</v>
      </c>
      <c r="I4188" s="567">
        <v>0</v>
      </c>
      <c r="J4188" s="17"/>
      <c r="K4188" s="17"/>
      <c r="L4188" s="17"/>
      <c r="M4188" s="17"/>
      <c r="N4188" s="17"/>
      <c r="O4188" s="17"/>
      <c r="P4188" s="17"/>
      <c r="Q4188" s="17"/>
    </row>
    <row r="4189" spans="1:17">
      <c r="A4189" s="556" t="s">
        <v>3673</v>
      </c>
      <c r="B4189" s="557"/>
      <c r="C4189" s="558" t="s">
        <v>2915</v>
      </c>
      <c r="D4189" s="556" t="s">
        <v>1264</v>
      </c>
      <c r="E4189" s="17" t="s">
        <v>7602</v>
      </c>
      <c r="F4189" s="17">
        <v>1</v>
      </c>
      <c r="G4189" s="17">
        <v>1</v>
      </c>
      <c r="H4189" s="17" t="s">
        <v>3723</v>
      </c>
      <c r="I4189" s="17"/>
      <c r="J4189" s="17"/>
      <c r="K4189" s="17"/>
      <c r="L4189" s="17"/>
      <c r="M4189" s="17"/>
      <c r="N4189" s="17"/>
      <c r="O4189" s="17"/>
      <c r="P4189" s="17"/>
      <c r="Q4189" s="17"/>
    </row>
    <row r="4190" spans="1:17">
      <c r="A4190" s="556" t="s">
        <v>3673</v>
      </c>
      <c r="B4190" s="557"/>
      <c r="C4190" s="558" t="s">
        <v>2915</v>
      </c>
      <c r="D4190" s="556" t="s">
        <v>7603</v>
      </c>
      <c r="E4190" s="17" t="s">
        <v>7604</v>
      </c>
      <c r="F4190" s="17">
        <v>1</v>
      </c>
      <c r="G4190" s="17">
        <v>3</v>
      </c>
      <c r="H4190" s="17" t="s">
        <v>3692</v>
      </c>
      <c r="I4190" s="17"/>
      <c r="J4190" s="17"/>
      <c r="K4190" s="17"/>
      <c r="L4190" s="17"/>
      <c r="M4190" s="17"/>
      <c r="N4190" s="17"/>
      <c r="O4190" s="17"/>
      <c r="P4190" s="17"/>
      <c r="Q4190" s="17"/>
    </row>
    <row r="4191" spans="1:17">
      <c r="A4191" s="556" t="s">
        <v>3673</v>
      </c>
      <c r="B4191" s="557"/>
      <c r="C4191" s="558" t="s">
        <v>2915</v>
      </c>
      <c r="D4191" s="556" t="s">
        <v>7605</v>
      </c>
      <c r="E4191" s="17" t="s">
        <v>7606</v>
      </c>
      <c r="F4191" s="17">
        <v>1</v>
      </c>
      <c r="G4191" s="17">
        <v>5</v>
      </c>
      <c r="H4191" s="17" t="s">
        <v>3714</v>
      </c>
      <c r="I4191" s="17"/>
      <c r="J4191" s="17"/>
      <c r="K4191" s="17"/>
      <c r="L4191" s="17"/>
      <c r="M4191" s="17"/>
      <c r="N4191" s="17"/>
      <c r="O4191" s="17"/>
      <c r="P4191" s="17"/>
      <c r="Q4191" s="17"/>
    </row>
    <row r="4192" spans="1:17">
      <c r="A4192" s="556" t="s">
        <v>3673</v>
      </c>
      <c r="B4192" s="557"/>
      <c r="C4192" s="558" t="s">
        <v>2915</v>
      </c>
      <c r="D4192" s="556" t="s">
        <v>2180</v>
      </c>
      <c r="E4192" s="17" t="s">
        <v>7607</v>
      </c>
      <c r="F4192" s="17">
        <v>1</v>
      </c>
      <c r="G4192" s="17">
        <v>7</v>
      </c>
      <c r="H4192" s="17" t="s">
        <v>3721</v>
      </c>
      <c r="I4192" s="17"/>
      <c r="J4192" s="17"/>
      <c r="K4192" s="17"/>
      <c r="L4192" s="17"/>
      <c r="M4192" s="17"/>
      <c r="N4192" s="17"/>
      <c r="O4192" s="17"/>
      <c r="P4192" s="17"/>
      <c r="Q4192" s="17"/>
    </row>
    <row r="4193" spans="1:17">
      <c r="A4193" s="556" t="s">
        <v>3673</v>
      </c>
      <c r="B4193" s="557"/>
      <c r="C4193" s="558" t="s">
        <v>2915</v>
      </c>
      <c r="D4193" s="556" t="s">
        <v>1297</v>
      </c>
      <c r="E4193" s="17" t="s">
        <v>7608</v>
      </c>
      <c r="F4193" s="17">
        <v>1</v>
      </c>
      <c r="G4193" s="17">
        <v>9</v>
      </c>
      <c r="H4193" s="17" t="s">
        <v>8923</v>
      </c>
      <c r="I4193" s="17"/>
      <c r="J4193" s="17"/>
      <c r="K4193" s="17"/>
      <c r="L4193" s="17"/>
      <c r="M4193" s="17"/>
      <c r="N4193" s="17"/>
      <c r="O4193" s="17"/>
      <c r="P4193" s="17"/>
      <c r="Q4193" s="17"/>
    </row>
    <row r="4194" spans="1:17">
      <c r="A4194" s="556" t="s">
        <v>3673</v>
      </c>
      <c r="B4194" s="557"/>
      <c r="C4194" s="558" t="s">
        <v>2915</v>
      </c>
      <c r="D4194" s="556" t="s">
        <v>2913</v>
      </c>
      <c r="E4194" s="17" t="s">
        <v>7609</v>
      </c>
      <c r="F4194" s="17">
        <v>1</v>
      </c>
      <c r="G4194" s="17">
        <v>11</v>
      </c>
      <c r="H4194" s="17" t="s">
        <v>8924</v>
      </c>
      <c r="I4194" s="17">
        <v>0</v>
      </c>
      <c r="J4194" s="17"/>
      <c r="K4194" s="17"/>
      <c r="L4194" s="17"/>
      <c r="M4194" s="17"/>
      <c r="N4194" s="17"/>
      <c r="O4194" s="17"/>
      <c r="P4194" s="17"/>
      <c r="Q4194" s="17"/>
    </row>
    <row r="4195" spans="1:17">
      <c r="A4195" s="556" t="s">
        <v>3673</v>
      </c>
      <c r="B4195" s="557"/>
      <c r="C4195" s="558" t="s">
        <v>2915</v>
      </c>
      <c r="D4195" s="556" t="s">
        <v>2914</v>
      </c>
      <c r="E4195" s="17" t="s">
        <v>7610</v>
      </c>
      <c r="F4195" s="17">
        <v>1</v>
      </c>
      <c r="G4195" s="17">
        <v>13</v>
      </c>
      <c r="H4195" s="17" t="s">
        <v>8925</v>
      </c>
      <c r="I4195" s="17"/>
      <c r="J4195" s="17"/>
      <c r="K4195" s="17"/>
      <c r="L4195" s="17"/>
      <c r="M4195" s="17"/>
      <c r="N4195" s="17"/>
      <c r="O4195" s="17"/>
      <c r="P4195" s="17"/>
      <c r="Q4195" s="17"/>
    </row>
    <row r="4196" spans="1:17">
      <c r="A4196" s="556" t="s">
        <v>3673</v>
      </c>
      <c r="B4196" s="557"/>
      <c r="C4196" s="558" t="s">
        <v>2916</v>
      </c>
      <c r="D4196" s="556" t="s">
        <v>1264</v>
      </c>
      <c r="E4196" s="17" t="s">
        <v>7611</v>
      </c>
      <c r="F4196" s="17">
        <v>2</v>
      </c>
      <c r="G4196" s="17">
        <v>1</v>
      </c>
      <c r="H4196" s="17" t="s">
        <v>3690</v>
      </c>
      <c r="I4196" s="17"/>
      <c r="J4196" s="17"/>
      <c r="K4196" s="17"/>
      <c r="L4196" s="17"/>
      <c r="M4196" s="17"/>
      <c r="N4196" s="17"/>
      <c r="O4196" s="17"/>
      <c r="P4196" s="17"/>
      <c r="Q4196" s="17"/>
    </row>
    <row r="4197" spans="1:17">
      <c r="A4197" s="556" t="s">
        <v>3673</v>
      </c>
      <c r="B4197" s="557"/>
      <c r="C4197" s="558" t="s">
        <v>2916</v>
      </c>
      <c r="D4197" s="556" t="s">
        <v>7603</v>
      </c>
      <c r="E4197" s="17" t="s">
        <v>7612</v>
      </c>
      <c r="F4197" s="17">
        <v>2</v>
      </c>
      <c r="G4197" s="17">
        <v>3</v>
      </c>
      <c r="H4197" s="17" t="s">
        <v>3518</v>
      </c>
      <c r="I4197" s="17"/>
      <c r="J4197" s="17"/>
      <c r="K4197" s="17"/>
      <c r="L4197" s="17"/>
      <c r="M4197" s="17"/>
      <c r="N4197" s="17"/>
      <c r="O4197" s="17"/>
      <c r="P4197" s="17"/>
      <c r="Q4197" s="17"/>
    </row>
    <row r="4198" spans="1:17">
      <c r="A4198" s="556" t="s">
        <v>3673</v>
      </c>
      <c r="B4198" s="557"/>
      <c r="C4198" s="558" t="s">
        <v>2916</v>
      </c>
      <c r="D4198" s="556" t="s">
        <v>7605</v>
      </c>
      <c r="E4198" s="17" t="s">
        <v>7613</v>
      </c>
      <c r="F4198" s="17">
        <v>2</v>
      </c>
      <c r="G4198" s="17">
        <v>5</v>
      </c>
      <c r="H4198" s="17" t="s">
        <v>3520</v>
      </c>
      <c r="I4198" s="17"/>
      <c r="J4198" s="17"/>
      <c r="K4198" s="17"/>
      <c r="L4198" s="17"/>
      <c r="M4198" s="17"/>
      <c r="N4198" s="17"/>
      <c r="O4198" s="17"/>
      <c r="P4198" s="17"/>
      <c r="Q4198" s="17"/>
    </row>
    <row r="4199" spans="1:17">
      <c r="A4199" s="556" t="s">
        <v>3673</v>
      </c>
      <c r="B4199" s="557"/>
      <c r="C4199" s="558" t="s">
        <v>2916</v>
      </c>
      <c r="D4199" s="556" t="s">
        <v>2180</v>
      </c>
      <c r="E4199" s="17" t="s">
        <v>7614</v>
      </c>
      <c r="F4199" s="17">
        <v>2</v>
      </c>
      <c r="G4199" s="17">
        <v>7</v>
      </c>
      <c r="H4199" s="17" t="s">
        <v>3505</v>
      </c>
      <c r="I4199" s="17"/>
      <c r="J4199" s="17"/>
      <c r="K4199" s="17"/>
      <c r="L4199" s="17"/>
      <c r="M4199" s="17"/>
      <c r="N4199" s="17"/>
      <c r="O4199" s="17"/>
      <c r="P4199" s="17"/>
      <c r="Q4199" s="17"/>
    </row>
    <row r="4200" spans="1:17">
      <c r="A4200" s="556" t="s">
        <v>3673</v>
      </c>
      <c r="B4200" s="557"/>
      <c r="C4200" s="558" t="s">
        <v>2916</v>
      </c>
      <c r="D4200" s="556" t="s">
        <v>1297</v>
      </c>
      <c r="E4200" s="17" t="s">
        <v>7615</v>
      </c>
      <c r="F4200" s="17">
        <v>2</v>
      </c>
      <c r="G4200" s="17">
        <v>9</v>
      </c>
      <c r="H4200" s="17" t="s">
        <v>8741</v>
      </c>
      <c r="I4200" s="17"/>
      <c r="J4200" s="17"/>
      <c r="K4200" s="17"/>
      <c r="L4200" s="17"/>
      <c r="M4200" s="17"/>
      <c r="N4200" s="17"/>
      <c r="O4200" s="17"/>
      <c r="P4200" s="17"/>
      <c r="Q4200" s="17"/>
    </row>
    <row r="4201" spans="1:17">
      <c r="A4201" s="556" t="s">
        <v>3673</v>
      </c>
      <c r="B4201" s="557"/>
      <c r="C4201" s="558" t="s">
        <v>2916</v>
      </c>
      <c r="D4201" s="556" t="s">
        <v>2913</v>
      </c>
      <c r="E4201" s="17" t="s">
        <v>7616</v>
      </c>
      <c r="F4201" s="17">
        <v>2</v>
      </c>
      <c r="G4201" s="17">
        <v>11</v>
      </c>
      <c r="H4201" s="17" t="s">
        <v>3722</v>
      </c>
      <c r="I4201" s="17">
        <v>0</v>
      </c>
      <c r="J4201" s="17"/>
      <c r="K4201" s="17"/>
      <c r="L4201" s="17"/>
      <c r="M4201" s="17"/>
      <c r="N4201" s="17"/>
      <c r="O4201" s="17"/>
      <c r="P4201" s="17"/>
      <c r="Q4201" s="17"/>
    </row>
    <row r="4202" spans="1:17">
      <c r="A4202" s="556" t="s">
        <v>3673</v>
      </c>
      <c r="B4202" s="557"/>
      <c r="C4202" s="558" t="s">
        <v>2916</v>
      </c>
      <c r="D4202" s="556" t="s">
        <v>2914</v>
      </c>
      <c r="E4202" s="17" t="s">
        <v>7617</v>
      </c>
      <c r="F4202" s="17">
        <v>2</v>
      </c>
      <c r="G4202" s="17">
        <v>13</v>
      </c>
      <c r="H4202" s="17" t="s">
        <v>8926</v>
      </c>
      <c r="I4202" s="17"/>
      <c r="J4202" s="17"/>
      <c r="K4202" s="17"/>
      <c r="L4202" s="17"/>
      <c r="M4202" s="17"/>
      <c r="N4202" s="17"/>
      <c r="O4202" s="17"/>
      <c r="P4202" s="17"/>
      <c r="Q4202" s="17"/>
    </row>
    <row r="4203" spans="1:17">
      <c r="A4203" s="556" t="s">
        <v>3673</v>
      </c>
      <c r="B4203" s="557"/>
      <c r="C4203" s="558" t="s">
        <v>2917</v>
      </c>
      <c r="D4203" s="556" t="s">
        <v>1264</v>
      </c>
      <c r="E4203" s="17" t="s">
        <v>7618</v>
      </c>
      <c r="F4203" s="17">
        <v>3</v>
      </c>
      <c r="G4203" s="17">
        <v>1</v>
      </c>
      <c r="H4203" s="17" t="s">
        <v>3691</v>
      </c>
      <c r="I4203" s="17"/>
      <c r="J4203" s="17"/>
      <c r="K4203" s="17"/>
      <c r="L4203" s="17"/>
      <c r="M4203" s="17"/>
      <c r="N4203" s="17"/>
      <c r="O4203" s="17"/>
      <c r="P4203" s="17"/>
      <c r="Q4203" s="17"/>
    </row>
    <row r="4204" spans="1:17">
      <c r="A4204" s="556" t="s">
        <v>3673</v>
      </c>
      <c r="B4204" s="557"/>
      <c r="C4204" s="558" t="s">
        <v>2917</v>
      </c>
      <c r="D4204" s="556" t="s">
        <v>7603</v>
      </c>
      <c r="E4204" s="17" t="s">
        <v>7619</v>
      </c>
      <c r="F4204" s="17">
        <v>3</v>
      </c>
      <c r="G4204" s="17">
        <v>3</v>
      </c>
      <c r="H4204" s="17" t="s">
        <v>2990</v>
      </c>
      <c r="I4204" s="17"/>
      <c r="J4204" s="17"/>
      <c r="K4204" s="17"/>
      <c r="L4204" s="17"/>
      <c r="M4204" s="17"/>
      <c r="N4204" s="17"/>
      <c r="O4204" s="17"/>
      <c r="P4204" s="17"/>
      <c r="Q4204" s="17"/>
    </row>
    <row r="4205" spans="1:17">
      <c r="A4205" s="556" t="s">
        <v>3673</v>
      </c>
      <c r="B4205" s="557"/>
      <c r="C4205" s="558" t="s">
        <v>2917</v>
      </c>
      <c r="D4205" s="556" t="s">
        <v>7605</v>
      </c>
      <c r="E4205" s="17" t="s">
        <v>7620</v>
      </c>
      <c r="F4205" s="17">
        <v>3</v>
      </c>
      <c r="G4205" s="17">
        <v>5</v>
      </c>
      <c r="H4205" s="17" t="s">
        <v>2991</v>
      </c>
      <c r="I4205" s="17"/>
      <c r="J4205" s="17"/>
      <c r="K4205" s="17"/>
      <c r="L4205" s="17"/>
      <c r="M4205" s="17"/>
      <c r="N4205" s="17"/>
      <c r="O4205" s="17"/>
      <c r="P4205" s="17"/>
      <c r="Q4205" s="17"/>
    </row>
    <row r="4206" spans="1:17">
      <c r="A4206" s="556" t="s">
        <v>3673</v>
      </c>
      <c r="B4206" s="557"/>
      <c r="C4206" s="558" t="s">
        <v>2917</v>
      </c>
      <c r="D4206" s="556" t="s">
        <v>2180</v>
      </c>
      <c r="E4206" s="17" t="s">
        <v>7621</v>
      </c>
      <c r="F4206" s="17">
        <v>3</v>
      </c>
      <c r="G4206" s="17">
        <v>7</v>
      </c>
      <c r="H4206" s="17" t="s">
        <v>3450</v>
      </c>
      <c r="I4206" s="17"/>
      <c r="J4206" s="17"/>
      <c r="K4206" s="17"/>
      <c r="L4206" s="17"/>
      <c r="M4206" s="17"/>
      <c r="N4206" s="17"/>
      <c r="O4206" s="17"/>
      <c r="P4206" s="17"/>
      <c r="Q4206" s="17"/>
    </row>
    <row r="4207" spans="1:17">
      <c r="A4207" s="556" t="s">
        <v>3673</v>
      </c>
      <c r="B4207" s="557"/>
      <c r="C4207" s="558" t="s">
        <v>2917</v>
      </c>
      <c r="D4207" s="556" t="s">
        <v>1297</v>
      </c>
      <c r="E4207" s="17" t="s">
        <v>7622</v>
      </c>
      <c r="F4207" s="17">
        <v>3</v>
      </c>
      <c r="G4207" s="17">
        <v>9</v>
      </c>
      <c r="H4207" s="17" t="s">
        <v>3329</v>
      </c>
      <c r="I4207" s="17"/>
      <c r="J4207" s="17"/>
      <c r="K4207" s="17"/>
      <c r="L4207" s="17"/>
      <c r="M4207" s="17"/>
      <c r="N4207" s="17"/>
      <c r="O4207" s="17"/>
      <c r="P4207" s="17"/>
      <c r="Q4207" s="17"/>
    </row>
    <row r="4208" spans="1:17">
      <c r="A4208" s="556" t="s">
        <v>3673</v>
      </c>
      <c r="B4208" s="557"/>
      <c r="C4208" s="558" t="s">
        <v>2917</v>
      </c>
      <c r="D4208" s="556" t="s">
        <v>2913</v>
      </c>
      <c r="E4208" s="17" t="s">
        <v>7623</v>
      </c>
      <c r="F4208" s="17">
        <v>3</v>
      </c>
      <c r="G4208" s="17">
        <v>11</v>
      </c>
      <c r="H4208" s="17" t="s">
        <v>8743</v>
      </c>
      <c r="I4208" s="17">
        <v>0</v>
      </c>
      <c r="J4208" s="17"/>
      <c r="K4208" s="17"/>
      <c r="L4208" s="17"/>
      <c r="M4208" s="17"/>
      <c r="N4208" s="17"/>
      <c r="O4208" s="17"/>
      <c r="P4208" s="17"/>
      <c r="Q4208" s="17"/>
    </row>
    <row r="4209" spans="1:17">
      <c r="A4209" s="556" t="s">
        <v>3673</v>
      </c>
      <c r="B4209" s="557"/>
      <c r="C4209" s="558" t="s">
        <v>2917</v>
      </c>
      <c r="D4209" s="556" t="s">
        <v>2914</v>
      </c>
      <c r="E4209" s="17" t="s">
        <v>7624</v>
      </c>
      <c r="F4209" s="17">
        <v>3</v>
      </c>
      <c r="G4209" s="17">
        <v>13</v>
      </c>
      <c r="H4209" s="17" t="s">
        <v>3706</v>
      </c>
      <c r="I4209" s="17"/>
      <c r="J4209" s="17"/>
      <c r="K4209" s="17"/>
      <c r="L4209" s="17"/>
      <c r="M4209" s="17"/>
      <c r="N4209" s="17"/>
      <c r="O4209" s="17"/>
      <c r="P4209" s="17"/>
      <c r="Q4209" s="17"/>
    </row>
    <row r="4210" spans="1:17">
      <c r="A4210" s="556" t="s">
        <v>3673</v>
      </c>
      <c r="B4210" s="557"/>
      <c r="C4210" s="558" t="s">
        <v>2918</v>
      </c>
      <c r="D4210" s="556" t="s">
        <v>1264</v>
      </c>
      <c r="E4210" s="17" t="s">
        <v>7625</v>
      </c>
      <c r="F4210" s="17">
        <v>4</v>
      </c>
      <c r="G4210" s="17">
        <v>1</v>
      </c>
      <c r="H4210" s="17" t="s">
        <v>7769</v>
      </c>
      <c r="I4210" s="17"/>
      <c r="J4210" s="17"/>
      <c r="K4210" s="17"/>
      <c r="L4210" s="17"/>
      <c r="M4210" s="17"/>
      <c r="N4210" s="17"/>
      <c r="O4210" s="17"/>
      <c r="P4210" s="17"/>
      <c r="Q4210" s="17"/>
    </row>
    <row r="4211" spans="1:17">
      <c r="A4211" s="556" t="s">
        <v>3673</v>
      </c>
      <c r="B4211" s="557"/>
      <c r="C4211" s="558" t="s">
        <v>2918</v>
      </c>
      <c r="D4211" s="556" t="s">
        <v>7603</v>
      </c>
      <c r="E4211" s="17" t="s">
        <v>7626</v>
      </c>
      <c r="F4211" s="17">
        <v>4</v>
      </c>
      <c r="G4211" s="17">
        <v>3</v>
      </c>
      <c r="H4211" s="17" t="s">
        <v>3339</v>
      </c>
      <c r="I4211" s="17"/>
      <c r="J4211" s="17"/>
      <c r="K4211" s="17"/>
      <c r="L4211" s="17"/>
      <c r="M4211" s="17"/>
      <c r="N4211" s="17"/>
      <c r="O4211" s="17"/>
      <c r="P4211" s="17"/>
      <c r="Q4211" s="17"/>
    </row>
    <row r="4212" spans="1:17">
      <c r="A4212" s="556" t="s">
        <v>3673</v>
      </c>
      <c r="B4212" s="557"/>
      <c r="C4212" s="558" t="s">
        <v>2918</v>
      </c>
      <c r="D4212" s="556" t="s">
        <v>7605</v>
      </c>
      <c r="E4212" s="17" t="s">
        <v>7627</v>
      </c>
      <c r="F4212" s="17">
        <v>4</v>
      </c>
      <c r="G4212" s="17">
        <v>5</v>
      </c>
      <c r="H4212" s="17" t="s">
        <v>3341</v>
      </c>
      <c r="I4212" s="17"/>
      <c r="J4212" s="17"/>
      <c r="K4212" s="17"/>
      <c r="L4212" s="17"/>
      <c r="M4212" s="17"/>
      <c r="N4212" s="17"/>
      <c r="O4212" s="17"/>
      <c r="P4212" s="17"/>
      <c r="Q4212" s="17"/>
    </row>
    <row r="4213" spans="1:17">
      <c r="A4213" s="556" t="s">
        <v>3673</v>
      </c>
      <c r="B4213" s="557"/>
      <c r="C4213" s="558" t="s">
        <v>2918</v>
      </c>
      <c r="D4213" s="556" t="s">
        <v>2180</v>
      </c>
      <c r="E4213" s="17" t="s">
        <v>7628</v>
      </c>
      <c r="F4213" s="17">
        <v>4</v>
      </c>
      <c r="G4213" s="17">
        <v>7</v>
      </c>
      <c r="H4213" s="17" t="s">
        <v>3451</v>
      </c>
      <c r="I4213" s="17"/>
      <c r="J4213" s="17"/>
      <c r="K4213" s="17"/>
      <c r="L4213" s="17"/>
      <c r="M4213" s="17"/>
      <c r="N4213" s="17"/>
      <c r="O4213" s="17"/>
      <c r="P4213" s="17"/>
      <c r="Q4213" s="17"/>
    </row>
    <row r="4214" spans="1:17">
      <c r="A4214" s="556" t="s">
        <v>3673</v>
      </c>
      <c r="B4214" s="557"/>
      <c r="C4214" s="558" t="s">
        <v>2918</v>
      </c>
      <c r="D4214" s="556" t="s">
        <v>1297</v>
      </c>
      <c r="E4214" s="17" t="s">
        <v>7629</v>
      </c>
      <c r="F4214" s="17">
        <v>4</v>
      </c>
      <c r="G4214" s="17">
        <v>9</v>
      </c>
      <c r="H4214" s="17" t="s">
        <v>3526</v>
      </c>
      <c r="I4214" s="17"/>
      <c r="J4214" s="17"/>
      <c r="K4214" s="17"/>
      <c r="L4214" s="17"/>
      <c r="M4214" s="17"/>
      <c r="N4214" s="17"/>
      <c r="O4214" s="17"/>
      <c r="P4214" s="17"/>
      <c r="Q4214" s="17"/>
    </row>
    <row r="4215" spans="1:17">
      <c r="A4215" s="556" t="s">
        <v>3673</v>
      </c>
      <c r="B4215" s="557"/>
      <c r="C4215" s="558" t="s">
        <v>2918</v>
      </c>
      <c r="D4215" s="556" t="s">
        <v>2913</v>
      </c>
      <c r="E4215" s="17" t="s">
        <v>7630</v>
      </c>
      <c r="F4215" s="17">
        <v>4</v>
      </c>
      <c r="G4215" s="17">
        <v>11</v>
      </c>
      <c r="H4215" s="17" t="s">
        <v>7837</v>
      </c>
      <c r="I4215" s="17">
        <v>0</v>
      </c>
      <c r="J4215" s="17"/>
      <c r="K4215" s="17"/>
      <c r="L4215" s="17"/>
      <c r="M4215" s="17"/>
      <c r="N4215" s="17"/>
      <c r="O4215" s="17"/>
      <c r="P4215" s="17"/>
      <c r="Q4215" s="17"/>
    </row>
    <row r="4216" spans="1:17">
      <c r="A4216" s="556" t="s">
        <v>3673</v>
      </c>
      <c r="B4216" s="557"/>
      <c r="C4216" s="558" t="s">
        <v>2918</v>
      </c>
      <c r="D4216" s="556" t="s">
        <v>2914</v>
      </c>
      <c r="E4216" s="17" t="s">
        <v>7631</v>
      </c>
      <c r="F4216" s="17">
        <v>4</v>
      </c>
      <c r="G4216" s="17">
        <v>13</v>
      </c>
      <c r="H4216" s="17" t="s">
        <v>7839</v>
      </c>
      <c r="I4216" s="17"/>
      <c r="J4216" s="17"/>
      <c r="K4216" s="17"/>
      <c r="L4216" s="17"/>
      <c r="M4216" s="17"/>
      <c r="N4216" s="17"/>
      <c r="O4216" s="17"/>
      <c r="P4216" s="17"/>
      <c r="Q4216" s="17"/>
    </row>
    <row r="4217" spans="1:17">
      <c r="A4217" s="556" t="s">
        <v>3673</v>
      </c>
      <c r="B4217" s="557"/>
      <c r="C4217" s="558" t="s">
        <v>2919</v>
      </c>
      <c r="D4217" s="556" t="s">
        <v>1264</v>
      </c>
      <c r="E4217" s="17" t="s">
        <v>7632</v>
      </c>
      <c r="F4217" s="17">
        <v>5</v>
      </c>
      <c r="G4217" s="17">
        <v>1</v>
      </c>
      <c r="H4217" s="17" t="s">
        <v>7770</v>
      </c>
      <c r="I4217" s="17"/>
      <c r="J4217" s="17"/>
      <c r="K4217" s="17"/>
      <c r="L4217" s="17"/>
      <c r="M4217" s="17"/>
      <c r="N4217" s="17"/>
      <c r="O4217" s="17"/>
      <c r="P4217" s="17"/>
      <c r="Q4217" s="17"/>
    </row>
    <row r="4218" spans="1:17">
      <c r="A4218" s="556" t="s">
        <v>3673</v>
      </c>
      <c r="B4218" s="557"/>
      <c r="C4218" s="558" t="s">
        <v>2919</v>
      </c>
      <c r="D4218" s="556" t="s">
        <v>7603</v>
      </c>
      <c r="E4218" s="17" t="s">
        <v>7633</v>
      </c>
      <c r="F4218" s="17">
        <v>5</v>
      </c>
      <c r="G4218" s="17">
        <v>3</v>
      </c>
      <c r="H4218" s="17" t="s">
        <v>3343</v>
      </c>
      <c r="I4218" s="17"/>
      <c r="J4218" s="17"/>
      <c r="K4218" s="17"/>
      <c r="L4218" s="17"/>
      <c r="M4218" s="17"/>
      <c r="N4218" s="17"/>
      <c r="O4218" s="17"/>
      <c r="P4218" s="17"/>
      <c r="Q4218" s="17"/>
    </row>
    <row r="4219" spans="1:17">
      <c r="A4219" s="556" t="s">
        <v>3673</v>
      </c>
      <c r="B4219" s="557"/>
      <c r="C4219" s="558" t="s">
        <v>2919</v>
      </c>
      <c r="D4219" s="556" t="s">
        <v>7605</v>
      </c>
      <c r="E4219" s="17" t="s">
        <v>7634</v>
      </c>
      <c r="F4219" s="17">
        <v>5</v>
      </c>
      <c r="G4219" s="17">
        <v>5</v>
      </c>
      <c r="H4219" s="17" t="s">
        <v>3345</v>
      </c>
      <c r="I4219" s="17"/>
      <c r="J4219" s="17"/>
      <c r="K4219" s="17"/>
      <c r="L4219" s="17"/>
      <c r="M4219" s="17"/>
      <c r="N4219" s="17"/>
      <c r="O4219" s="17"/>
      <c r="P4219" s="17"/>
      <c r="Q4219" s="17"/>
    </row>
    <row r="4220" spans="1:17">
      <c r="A4220" s="556" t="s">
        <v>3673</v>
      </c>
      <c r="B4220" s="557"/>
      <c r="C4220" s="558" t="s">
        <v>2919</v>
      </c>
      <c r="D4220" s="556" t="s">
        <v>2180</v>
      </c>
      <c r="E4220" s="17" t="s">
        <v>7635</v>
      </c>
      <c r="F4220" s="17">
        <v>5</v>
      </c>
      <c r="G4220" s="17">
        <v>7</v>
      </c>
      <c r="H4220" s="17" t="s">
        <v>3452</v>
      </c>
      <c r="I4220" s="17"/>
      <c r="J4220" s="17"/>
      <c r="K4220" s="17"/>
      <c r="L4220" s="17"/>
      <c r="M4220" s="17"/>
      <c r="N4220" s="17"/>
      <c r="O4220" s="17"/>
      <c r="P4220" s="17"/>
      <c r="Q4220" s="17"/>
    </row>
    <row r="4221" spans="1:17">
      <c r="A4221" s="556" t="s">
        <v>3673</v>
      </c>
      <c r="B4221" s="557"/>
      <c r="C4221" s="558" t="s">
        <v>2919</v>
      </c>
      <c r="D4221" s="556" t="s">
        <v>1297</v>
      </c>
      <c r="E4221" s="17" t="s">
        <v>7636</v>
      </c>
      <c r="F4221" s="17">
        <v>5</v>
      </c>
      <c r="G4221" s="17">
        <v>9</v>
      </c>
      <c r="H4221" s="17" t="s">
        <v>7806</v>
      </c>
      <c r="I4221" s="17"/>
      <c r="J4221" s="17"/>
      <c r="K4221" s="17"/>
      <c r="L4221" s="17"/>
      <c r="M4221" s="17"/>
      <c r="N4221" s="17"/>
      <c r="O4221" s="17"/>
      <c r="P4221" s="17"/>
      <c r="Q4221" s="17"/>
    </row>
    <row r="4222" spans="1:17">
      <c r="A4222" s="556" t="s">
        <v>3673</v>
      </c>
      <c r="B4222" s="557"/>
      <c r="C4222" s="558" t="s">
        <v>2919</v>
      </c>
      <c r="D4222" s="556" t="s">
        <v>2913</v>
      </c>
      <c r="E4222" s="17" t="s">
        <v>7637</v>
      </c>
      <c r="F4222" s="17">
        <v>5</v>
      </c>
      <c r="G4222" s="17">
        <v>11</v>
      </c>
      <c r="H4222" s="17" t="s">
        <v>3719</v>
      </c>
      <c r="I4222" s="17">
        <v>0</v>
      </c>
      <c r="J4222" s="17"/>
      <c r="K4222" s="17"/>
      <c r="L4222" s="17"/>
      <c r="M4222" s="17"/>
      <c r="N4222" s="17"/>
      <c r="O4222" s="17"/>
      <c r="P4222" s="17"/>
      <c r="Q4222" s="17"/>
    </row>
    <row r="4223" spans="1:17">
      <c r="A4223" s="556" t="s">
        <v>3673</v>
      </c>
      <c r="B4223" s="557"/>
      <c r="C4223" s="558" t="s">
        <v>2919</v>
      </c>
      <c r="D4223" s="556" t="s">
        <v>2914</v>
      </c>
      <c r="E4223" s="17" t="s">
        <v>7638</v>
      </c>
      <c r="F4223" s="17">
        <v>5</v>
      </c>
      <c r="G4223" s="17">
        <v>13</v>
      </c>
      <c r="H4223" s="17" t="s">
        <v>7844</v>
      </c>
      <c r="I4223" s="17"/>
      <c r="J4223" s="17"/>
      <c r="K4223" s="17"/>
      <c r="L4223" s="17"/>
      <c r="M4223" s="17"/>
      <c r="N4223" s="17"/>
      <c r="O4223" s="17"/>
      <c r="P4223" s="17"/>
      <c r="Q4223" s="17"/>
    </row>
    <row r="4224" spans="1:17">
      <c r="A4224" s="556" t="s">
        <v>3673</v>
      </c>
      <c r="B4224" s="557"/>
      <c r="C4224" s="558" t="s">
        <v>2920</v>
      </c>
      <c r="D4224" s="556" t="s">
        <v>1264</v>
      </c>
      <c r="E4224" s="17" t="s">
        <v>7639</v>
      </c>
      <c r="F4224" s="17">
        <v>6</v>
      </c>
      <c r="G4224" s="17">
        <v>1</v>
      </c>
      <c r="H4224" s="17" t="s">
        <v>7771</v>
      </c>
      <c r="I4224" s="17"/>
      <c r="J4224" s="17"/>
      <c r="K4224" s="17"/>
      <c r="L4224" s="17"/>
      <c r="M4224" s="17"/>
      <c r="N4224" s="17"/>
      <c r="O4224" s="17"/>
      <c r="P4224" s="17"/>
      <c r="Q4224" s="17"/>
    </row>
    <row r="4225" spans="1:17">
      <c r="A4225" s="556" t="s">
        <v>3673</v>
      </c>
      <c r="B4225" s="557"/>
      <c r="C4225" s="558" t="s">
        <v>2920</v>
      </c>
      <c r="D4225" s="556" t="s">
        <v>7603</v>
      </c>
      <c r="E4225" s="17" t="s">
        <v>7640</v>
      </c>
      <c r="F4225" s="17">
        <v>6</v>
      </c>
      <c r="G4225" s="17">
        <v>3</v>
      </c>
      <c r="H4225" s="17" t="s">
        <v>3347</v>
      </c>
      <c r="I4225" s="17"/>
      <c r="J4225" s="17"/>
      <c r="K4225" s="17"/>
      <c r="L4225" s="17"/>
      <c r="M4225" s="17"/>
      <c r="N4225" s="17"/>
      <c r="O4225" s="17"/>
      <c r="P4225" s="17"/>
      <c r="Q4225" s="17"/>
    </row>
    <row r="4226" spans="1:17">
      <c r="A4226" s="556" t="s">
        <v>3673</v>
      </c>
      <c r="B4226" s="557"/>
      <c r="C4226" s="558" t="s">
        <v>2920</v>
      </c>
      <c r="D4226" s="556" t="s">
        <v>7605</v>
      </c>
      <c r="E4226" s="17" t="s">
        <v>7641</v>
      </c>
      <c r="F4226" s="17">
        <v>6</v>
      </c>
      <c r="G4226" s="17">
        <v>5</v>
      </c>
      <c r="H4226" s="17" t="s">
        <v>3349</v>
      </c>
      <c r="I4226" s="17"/>
      <c r="J4226" s="17"/>
      <c r="K4226" s="17"/>
      <c r="L4226" s="17"/>
      <c r="M4226" s="17"/>
      <c r="N4226" s="17"/>
      <c r="O4226" s="17"/>
      <c r="P4226" s="17"/>
      <c r="Q4226" s="17"/>
    </row>
    <row r="4227" spans="1:17">
      <c r="A4227" s="556" t="s">
        <v>3673</v>
      </c>
      <c r="B4227" s="557"/>
      <c r="C4227" s="558" t="s">
        <v>2920</v>
      </c>
      <c r="D4227" s="556" t="s">
        <v>2180</v>
      </c>
      <c r="E4227" s="17" t="s">
        <v>7642</v>
      </c>
      <c r="F4227" s="17">
        <v>6</v>
      </c>
      <c r="G4227" s="17">
        <v>7</v>
      </c>
      <c r="H4227" s="17" t="s">
        <v>3453</v>
      </c>
      <c r="I4227" s="17"/>
      <c r="J4227" s="17"/>
      <c r="K4227" s="17"/>
      <c r="L4227" s="17"/>
      <c r="M4227" s="17"/>
      <c r="N4227" s="17"/>
      <c r="O4227" s="17"/>
      <c r="P4227" s="17"/>
      <c r="Q4227" s="17"/>
    </row>
    <row r="4228" spans="1:17">
      <c r="A4228" s="556" t="s">
        <v>3673</v>
      </c>
      <c r="B4228" s="557"/>
      <c r="C4228" s="558" t="s">
        <v>2920</v>
      </c>
      <c r="D4228" s="556" t="s">
        <v>1297</v>
      </c>
      <c r="E4228" s="17" t="s">
        <v>7643</v>
      </c>
      <c r="F4228" s="17">
        <v>6</v>
      </c>
      <c r="G4228" s="17">
        <v>9</v>
      </c>
      <c r="H4228" s="17" t="s">
        <v>7808</v>
      </c>
      <c r="I4228" s="17"/>
      <c r="J4228" s="17"/>
      <c r="K4228" s="17"/>
      <c r="L4228" s="17"/>
      <c r="M4228" s="17"/>
      <c r="N4228" s="17"/>
      <c r="O4228" s="17"/>
      <c r="P4228" s="17"/>
      <c r="Q4228" s="17"/>
    </row>
    <row r="4229" spans="1:17">
      <c r="A4229" s="556" t="s">
        <v>3673</v>
      </c>
      <c r="B4229" s="557"/>
      <c r="C4229" s="558" t="s">
        <v>2920</v>
      </c>
      <c r="D4229" s="556" t="s">
        <v>2913</v>
      </c>
      <c r="E4229" s="17" t="s">
        <v>7644</v>
      </c>
      <c r="F4229" s="17">
        <v>6</v>
      </c>
      <c r="G4229" s="17">
        <v>11</v>
      </c>
      <c r="H4229" s="17" t="s">
        <v>7848</v>
      </c>
      <c r="I4229" s="17">
        <v>0</v>
      </c>
      <c r="J4229" s="17"/>
      <c r="K4229" s="17"/>
      <c r="L4229" s="17"/>
      <c r="M4229" s="17"/>
      <c r="N4229" s="17"/>
      <c r="O4229" s="17"/>
      <c r="P4229" s="17"/>
      <c r="Q4229" s="17"/>
    </row>
    <row r="4230" spans="1:17">
      <c r="A4230" s="556" t="s">
        <v>3673</v>
      </c>
      <c r="B4230" s="557"/>
      <c r="C4230" s="558" t="s">
        <v>2920</v>
      </c>
      <c r="D4230" s="556" t="s">
        <v>2914</v>
      </c>
      <c r="E4230" s="17" t="s">
        <v>7645</v>
      </c>
      <c r="F4230" s="17">
        <v>6</v>
      </c>
      <c r="G4230" s="17">
        <v>13</v>
      </c>
      <c r="H4230" s="17" t="s">
        <v>7850</v>
      </c>
      <c r="I4230" s="17"/>
      <c r="J4230" s="17"/>
      <c r="K4230" s="17"/>
      <c r="L4230" s="17"/>
      <c r="M4230" s="17"/>
      <c r="N4230" s="17"/>
      <c r="O4230" s="17"/>
      <c r="P4230" s="17"/>
      <c r="Q4230" s="17"/>
    </row>
    <row r="4231" spans="1:17">
      <c r="A4231" s="556" t="s">
        <v>3673</v>
      </c>
      <c r="B4231" s="557"/>
      <c r="C4231" s="558" t="s">
        <v>2921</v>
      </c>
      <c r="D4231" s="556" t="s">
        <v>1264</v>
      </c>
      <c r="E4231" s="17" t="s">
        <v>7646</v>
      </c>
      <c r="F4231" s="17">
        <v>7</v>
      </c>
      <c r="G4231" s="17">
        <v>1</v>
      </c>
      <c r="H4231" s="17" t="s">
        <v>7773</v>
      </c>
      <c r="I4231" s="17">
        <v>0</v>
      </c>
      <c r="J4231" s="17"/>
      <c r="K4231" s="17"/>
      <c r="L4231" s="17"/>
      <c r="M4231" s="17"/>
      <c r="N4231" s="17"/>
      <c r="O4231" s="17"/>
      <c r="P4231" s="17"/>
      <c r="Q4231" s="17"/>
    </row>
    <row r="4232" spans="1:17">
      <c r="A4232" s="556" t="s">
        <v>3673</v>
      </c>
      <c r="B4232" s="557"/>
      <c r="C4232" s="558" t="s">
        <v>2921</v>
      </c>
      <c r="D4232" s="556" t="s">
        <v>7603</v>
      </c>
      <c r="E4232" s="17" t="s">
        <v>7647</v>
      </c>
      <c r="F4232" s="17">
        <v>7</v>
      </c>
      <c r="G4232" s="17">
        <v>3</v>
      </c>
      <c r="H4232" s="17" t="s">
        <v>3351</v>
      </c>
      <c r="I4232" s="17">
        <v>0</v>
      </c>
      <c r="J4232" s="17"/>
      <c r="K4232" s="17"/>
      <c r="L4232" s="17"/>
      <c r="M4232" s="17"/>
      <c r="N4232" s="17"/>
      <c r="O4232" s="17"/>
      <c r="P4232" s="17"/>
      <c r="Q4232" s="17"/>
    </row>
    <row r="4233" spans="1:17">
      <c r="A4233" s="556" t="s">
        <v>3673</v>
      </c>
      <c r="B4233" s="557"/>
      <c r="C4233" s="558" t="s">
        <v>2921</v>
      </c>
      <c r="D4233" s="556" t="s">
        <v>7605</v>
      </c>
      <c r="E4233" s="17" t="s">
        <v>7648</v>
      </c>
      <c r="F4233" s="17">
        <v>7</v>
      </c>
      <c r="G4233" s="17">
        <v>5</v>
      </c>
      <c r="H4233" s="17" t="s">
        <v>3353</v>
      </c>
      <c r="I4233" s="17">
        <v>0</v>
      </c>
      <c r="J4233" s="17"/>
      <c r="K4233" s="17"/>
      <c r="L4233" s="17"/>
      <c r="M4233" s="17"/>
      <c r="N4233" s="17"/>
      <c r="O4233" s="17"/>
      <c r="P4233" s="17"/>
      <c r="Q4233" s="17"/>
    </row>
    <row r="4234" spans="1:17">
      <c r="A4234" s="556" t="s">
        <v>3673</v>
      </c>
      <c r="B4234" s="557"/>
      <c r="C4234" s="558" t="s">
        <v>2921</v>
      </c>
      <c r="D4234" s="556" t="s">
        <v>2180</v>
      </c>
      <c r="E4234" s="17" t="s">
        <v>7649</v>
      </c>
      <c r="F4234" s="17">
        <v>7</v>
      </c>
      <c r="G4234" s="17">
        <v>7</v>
      </c>
      <c r="H4234" s="17" t="s">
        <v>3454</v>
      </c>
      <c r="I4234" s="17">
        <v>0</v>
      </c>
      <c r="J4234" s="17"/>
      <c r="K4234" s="17"/>
      <c r="L4234" s="17"/>
      <c r="M4234" s="17"/>
      <c r="N4234" s="17"/>
      <c r="O4234" s="17"/>
      <c r="P4234" s="17"/>
      <c r="Q4234" s="17"/>
    </row>
    <row r="4235" spans="1:17">
      <c r="A4235" s="556" t="s">
        <v>3673</v>
      </c>
      <c r="B4235" s="557"/>
      <c r="C4235" s="558" t="s">
        <v>2921</v>
      </c>
      <c r="D4235" s="556" t="s">
        <v>1297</v>
      </c>
      <c r="E4235" s="17" t="s">
        <v>7650</v>
      </c>
      <c r="F4235" s="17">
        <v>7</v>
      </c>
      <c r="G4235" s="17">
        <v>9</v>
      </c>
      <c r="H4235" s="17" t="s">
        <v>7810</v>
      </c>
      <c r="I4235" s="17">
        <v>0</v>
      </c>
      <c r="J4235" s="17"/>
      <c r="K4235" s="17"/>
      <c r="L4235" s="17"/>
      <c r="M4235" s="17"/>
      <c r="N4235" s="17"/>
      <c r="O4235" s="17"/>
      <c r="P4235" s="17"/>
      <c r="Q4235" s="17"/>
    </row>
    <row r="4236" spans="1:17">
      <c r="A4236" s="556" t="s">
        <v>3673</v>
      </c>
      <c r="B4236" s="557"/>
      <c r="C4236" s="558" t="s">
        <v>2921</v>
      </c>
      <c r="D4236" s="556" t="s">
        <v>2913</v>
      </c>
      <c r="E4236" s="17" t="s">
        <v>7651</v>
      </c>
      <c r="F4236" s="17">
        <v>7</v>
      </c>
      <c r="G4236" s="17">
        <v>11</v>
      </c>
      <c r="H4236" s="17" t="s">
        <v>7854</v>
      </c>
      <c r="I4236" s="17">
        <v>0</v>
      </c>
      <c r="J4236" s="17"/>
      <c r="K4236" s="17"/>
      <c r="L4236" s="17"/>
      <c r="M4236" s="17"/>
      <c r="N4236" s="17"/>
      <c r="O4236" s="17"/>
      <c r="P4236" s="17"/>
      <c r="Q4236" s="17"/>
    </row>
    <row r="4237" spans="1:17">
      <c r="A4237" s="556" t="s">
        <v>3673</v>
      </c>
      <c r="B4237" s="557"/>
      <c r="C4237" s="558" t="s">
        <v>2921</v>
      </c>
      <c r="D4237" s="556" t="s">
        <v>2914</v>
      </c>
      <c r="E4237" s="17" t="s">
        <v>7652</v>
      </c>
      <c r="F4237" s="17">
        <v>7</v>
      </c>
      <c r="G4237" s="17">
        <v>13</v>
      </c>
      <c r="H4237" s="17" t="s">
        <v>7856</v>
      </c>
      <c r="I4237" s="17">
        <v>0</v>
      </c>
      <c r="J4237" s="17"/>
      <c r="K4237" s="17"/>
      <c r="L4237" s="17"/>
      <c r="M4237" s="17"/>
      <c r="N4237" s="17"/>
      <c r="O4237" s="17"/>
      <c r="P4237" s="17"/>
      <c r="Q4237" s="17"/>
    </row>
    <row r="4238" spans="1:17">
      <c r="A4238" s="556" t="s">
        <v>3675</v>
      </c>
      <c r="B4238" s="557"/>
      <c r="C4238" s="558" t="s">
        <v>2926</v>
      </c>
      <c r="D4238" s="556" t="s">
        <v>7653</v>
      </c>
      <c r="E4238" s="17" t="s">
        <v>7654</v>
      </c>
      <c r="F4238" s="17">
        <v>1</v>
      </c>
      <c r="G4238" s="17">
        <v>1</v>
      </c>
      <c r="H4238" s="17" t="s">
        <v>3701</v>
      </c>
      <c r="I4238" s="17"/>
      <c r="J4238" s="17"/>
      <c r="K4238" s="17"/>
      <c r="L4238" s="17"/>
      <c r="M4238" s="17"/>
      <c r="N4238" s="17"/>
      <c r="O4238" s="17"/>
      <c r="P4238" s="17"/>
      <c r="Q4238" s="17"/>
    </row>
    <row r="4239" spans="1:17">
      <c r="A4239" s="556" t="s">
        <v>3675</v>
      </c>
      <c r="B4239" s="557"/>
      <c r="C4239" s="558" t="s">
        <v>2926</v>
      </c>
      <c r="D4239" s="556" t="s">
        <v>7655</v>
      </c>
      <c r="E4239" s="17" t="s">
        <v>7656</v>
      </c>
      <c r="F4239" s="17">
        <v>1</v>
      </c>
      <c r="G4239" s="17">
        <v>2</v>
      </c>
      <c r="H4239" s="17" t="s">
        <v>3714</v>
      </c>
      <c r="I4239" s="17"/>
      <c r="J4239" s="17"/>
      <c r="K4239" s="17"/>
      <c r="L4239" s="17"/>
      <c r="M4239" s="17"/>
      <c r="N4239" s="17"/>
      <c r="O4239" s="17"/>
      <c r="P4239" s="17"/>
      <c r="Q4239" s="17"/>
    </row>
    <row r="4240" spans="1:17">
      <c r="A4240" s="556" t="s">
        <v>3675</v>
      </c>
      <c r="B4240" s="557"/>
      <c r="C4240" s="558" t="s">
        <v>2927</v>
      </c>
      <c r="D4240" s="556" t="s">
        <v>7653</v>
      </c>
      <c r="E4240" s="17" t="s">
        <v>7657</v>
      </c>
      <c r="F4240" s="17">
        <v>2</v>
      </c>
      <c r="G4240" s="17">
        <v>1</v>
      </c>
      <c r="H4240" s="17" t="s">
        <v>3519</v>
      </c>
      <c r="I4240" s="17"/>
      <c r="J4240" s="17"/>
      <c r="K4240" s="17"/>
      <c r="L4240" s="17"/>
      <c r="M4240" s="17"/>
      <c r="N4240" s="17"/>
      <c r="O4240" s="17"/>
      <c r="P4240" s="17"/>
      <c r="Q4240" s="17"/>
    </row>
    <row r="4241" spans="1:17">
      <c r="A4241" s="556" t="s">
        <v>3675</v>
      </c>
      <c r="B4241" s="557"/>
      <c r="C4241" s="558" t="s">
        <v>2927</v>
      </c>
      <c r="D4241" s="556" t="s">
        <v>7655</v>
      </c>
      <c r="E4241" s="17" t="s">
        <v>7658</v>
      </c>
      <c r="F4241" s="17">
        <v>2</v>
      </c>
      <c r="G4241" s="17">
        <v>2</v>
      </c>
      <c r="H4241" s="17" t="s">
        <v>3520</v>
      </c>
      <c r="I4241" s="17"/>
      <c r="J4241" s="17"/>
      <c r="K4241" s="17"/>
      <c r="L4241" s="17"/>
      <c r="M4241" s="17"/>
      <c r="N4241" s="17"/>
      <c r="O4241" s="17"/>
      <c r="P4241" s="17"/>
      <c r="Q4241" s="17"/>
    </row>
    <row r="4242" spans="1:17">
      <c r="A4242" s="556" t="s">
        <v>3675</v>
      </c>
      <c r="B4242" s="557"/>
      <c r="C4242" s="558" t="s">
        <v>2928</v>
      </c>
      <c r="D4242" s="556" t="s">
        <v>7653</v>
      </c>
      <c r="E4242" s="17" t="s">
        <v>7659</v>
      </c>
      <c r="F4242" s="17">
        <v>3</v>
      </c>
      <c r="G4242" s="17">
        <v>1</v>
      </c>
      <c r="H4242" s="17" t="s">
        <v>3338</v>
      </c>
      <c r="I4242" s="17"/>
      <c r="J4242" s="17"/>
      <c r="K4242" s="17"/>
      <c r="L4242" s="17"/>
      <c r="M4242" s="17"/>
      <c r="N4242" s="17"/>
      <c r="O4242" s="17"/>
      <c r="P4242" s="17"/>
      <c r="Q4242" s="17"/>
    </row>
    <row r="4243" spans="1:17">
      <c r="A4243" s="556" t="s">
        <v>3675</v>
      </c>
      <c r="B4243" s="557"/>
      <c r="C4243" s="558" t="s">
        <v>2928</v>
      </c>
      <c r="D4243" s="556" t="s">
        <v>7655</v>
      </c>
      <c r="E4243" s="17" t="s">
        <v>7660</v>
      </c>
      <c r="F4243" s="17">
        <v>3</v>
      </c>
      <c r="G4243" s="17">
        <v>2</v>
      </c>
      <c r="H4243" s="17" t="s">
        <v>2991</v>
      </c>
      <c r="I4243" s="17"/>
      <c r="J4243" s="17"/>
      <c r="K4243" s="17"/>
      <c r="L4243" s="17"/>
      <c r="M4243" s="17"/>
      <c r="N4243" s="17"/>
      <c r="O4243" s="17"/>
      <c r="P4243" s="17"/>
      <c r="Q4243" s="17"/>
    </row>
    <row r="4244" spans="1:17">
      <c r="A4244" s="556" t="s">
        <v>3675</v>
      </c>
      <c r="B4244" s="557"/>
      <c r="C4244" s="558" t="s">
        <v>2929</v>
      </c>
      <c r="D4244" s="556" t="s">
        <v>7653</v>
      </c>
      <c r="E4244" s="17" t="s">
        <v>7661</v>
      </c>
      <c r="F4244" s="17">
        <v>4</v>
      </c>
      <c r="G4244" s="17">
        <v>1</v>
      </c>
      <c r="H4244" s="17" t="s">
        <v>3340</v>
      </c>
      <c r="I4244" s="17"/>
      <c r="J4244" s="17"/>
      <c r="K4244" s="17"/>
      <c r="L4244" s="17"/>
      <c r="M4244" s="17"/>
      <c r="N4244" s="17"/>
      <c r="O4244" s="17"/>
      <c r="P4244" s="17"/>
      <c r="Q4244" s="17"/>
    </row>
    <row r="4245" spans="1:17">
      <c r="A4245" s="556" t="s">
        <v>3675</v>
      </c>
      <c r="B4245" s="557"/>
      <c r="C4245" s="558" t="s">
        <v>2929</v>
      </c>
      <c r="D4245" s="556" t="s">
        <v>7655</v>
      </c>
      <c r="E4245" s="17" t="s">
        <v>7662</v>
      </c>
      <c r="F4245" s="17">
        <v>4</v>
      </c>
      <c r="G4245" s="17">
        <v>2</v>
      </c>
      <c r="H4245" s="17" t="s">
        <v>3341</v>
      </c>
      <c r="I4245" s="17"/>
      <c r="J4245" s="17"/>
      <c r="K4245" s="17"/>
      <c r="L4245" s="17"/>
      <c r="M4245" s="17"/>
      <c r="N4245" s="17"/>
      <c r="O4245" s="17"/>
      <c r="P4245" s="17"/>
      <c r="Q4245" s="17"/>
    </row>
    <row r="4246" spans="1:17">
      <c r="A4246" s="556" t="s">
        <v>3675</v>
      </c>
      <c r="B4246" s="557"/>
      <c r="C4246" s="558" t="s">
        <v>2930</v>
      </c>
      <c r="D4246" s="556" t="s">
        <v>7653</v>
      </c>
      <c r="E4246" s="17" t="s">
        <v>7663</v>
      </c>
      <c r="F4246" s="17">
        <v>5</v>
      </c>
      <c r="G4246" s="17">
        <v>1</v>
      </c>
      <c r="H4246" s="17" t="s">
        <v>3344</v>
      </c>
      <c r="I4246" s="17"/>
      <c r="J4246" s="17"/>
      <c r="K4246" s="17"/>
      <c r="L4246" s="17"/>
      <c r="M4246" s="17"/>
      <c r="N4246" s="17"/>
      <c r="O4246" s="17"/>
      <c r="P4246" s="17"/>
      <c r="Q4246" s="17"/>
    </row>
    <row r="4247" spans="1:17">
      <c r="A4247" s="556" t="s">
        <v>3675</v>
      </c>
      <c r="B4247" s="557"/>
      <c r="C4247" s="558" t="s">
        <v>2930</v>
      </c>
      <c r="D4247" s="556" t="s">
        <v>7655</v>
      </c>
      <c r="E4247" s="17" t="s">
        <v>7664</v>
      </c>
      <c r="F4247" s="17">
        <v>5</v>
      </c>
      <c r="G4247" s="17">
        <v>2</v>
      </c>
      <c r="H4247" s="17" t="s">
        <v>3345</v>
      </c>
      <c r="I4247" s="17"/>
      <c r="J4247" s="17"/>
      <c r="K4247" s="17"/>
      <c r="L4247" s="17"/>
      <c r="M4247" s="17"/>
      <c r="N4247" s="17"/>
      <c r="O4247" s="17"/>
      <c r="P4247" s="17"/>
      <c r="Q4247" s="17"/>
    </row>
    <row r="4248" spans="1:17">
      <c r="A4248" s="556" t="s">
        <v>3675</v>
      </c>
      <c r="B4248" s="557"/>
      <c r="C4248" s="558" t="s">
        <v>2931</v>
      </c>
      <c r="D4248" s="556" t="s">
        <v>7653</v>
      </c>
      <c r="E4248" s="17" t="s">
        <v>7665</v>
      </c>
      <c r="F4248" s="17">
        <v>6</v>
      </c>
      <c r="G4248" s="17">
        <v>1</v>
      </c>
      <c r="H4248" s="17" t="s">
        <v>3348</v>
      </c>
      <c r="I4248" s="17"/>
      <c r="J4248" s="17"/>
      <c r="K4248" s="17"/>
      <c r="L4248" s="17"/>
      <c r="M4248" s="17"/>
      <c r="N4248" s="17"/>
      <c r="O4248" s="17"/>
      <c r="P4248" s="17"/>
      <c r="Q4248" s="17"/>
    </row>
    <row r="4249" spans="1:17">
      <c r="A4249" s="556" t="s">
        <v>3675</v>
      </c>
      <c r="B4249" s="557"/>
      <c r="C4249" s="558" t="s">
        <v>2931</v>
      </c>
      <c r="D4249" s="556" t="s">
        <v>7655</v>
      </c>
      <c r="E4249" s="17" t="s">
        <v>7666</v>
      </c>
      <c r="F4249" s="17">
        <v>6</v>
      </c>
      <c r="G4249" s="17">
        <v>2</v>
      </c>
      <c r="H4249" s="17" t="s">
        <v>3349</v>
      </c>
      <c r="I4249" s="17"/>
      <c r="J4249" s="17"/>
      <c r="K4249" s="17"/>
      <c r="L4249" s="17"/>
      <c r="M4249" s="17"/>
      <c r="N4249" s="17"/>
      <c r="O4249" s="17"/>
      <c r="P4249" s="17"/>
      <c r="Q4249" s="17"/>
    </row>
    <row r="4250" spans="1:17">
      <c r="A4250" s="556" t="s">
        <v>3675</v>
      </c>
      <c r="B4250" s="557"/>
      <c r="C4250" s="558" t="s">
        <v>2932</v>
      </c>
      <c r="D4250" s="556" t="s">
        <v>7653</v>
      </c>
      <c r="E4250" s="17" t="s">
        <v>7667</v>
      </c>
      <c r="F4250" s="17">
        <v>7</v>
      </c>
      <c r="G4250" s="17">
        <v>1</v>
      </c>
      <c r="H4250" s="17" t="s">
        <v>3352</v>
      </c>
      <c r="I4250" s="17"/>
      <c r="J4250" s="17"/>
      <c r="K4250" s="17"/>
      <c r="L4250" s="17"/>
      <c r="M4250" s="17"/>
      <c r="N4250" s="17"/>
      <c r="O4250" s="17"/>
      <c r="P4250" s="17"/>
      <c r="Q4250" s="17"/>
    </row>
    <row r="4251" spans="1:17">
      <c r="A4251" s="556" t="s">
        <v>3675</v>
      </c>
      <c r="B4251" s="557"/>
      <c r="C4251" s="558" t="s">
        <v>2932</v>
      </c>
      <c r="D4251" s="556" t="s">
        <v>7655</v>
      </c>
      <c r="E4251" s="17" t="s">
        <v>7668</v>
      </c>
      <c r="F4251" s="17">
        <v>7</v>
      </c>
      <c r="G4251" s="17">
        <v>2</v>
      </c>
      <c r="H4251" s="17" t="s">
        <v>3353</v>
      </c>
      <c r="I4251" s="17"/>
      <c r="J4251" s="17"/>
      <c r="K4251" s="17"/>
      <c r="L4251" s="17"/>
      <c r="M4251" s="17"/>
      <c r="N4251" s="17"/>
      <c r="O4251" s="17"/>
      <c r="P4251" s="17"/>
      <c r="Q4251" s="17"/>
    </row>
    <row r="4252" spans="1:17">
      <c r="A4252" s="556" t="s">
        <v>3675</v>
      </c>
      <c r="B4252" s="557"/>
      <c r="C4252" s="558" t="s">
        <v>2933</v>
      </c>
      <c r="D4252" s="556" t="s">
        <v>7653</v>
      </c>
      <c r="E4252" s="17" t="s">
        <v>7669</v>
      </c>
      <c r="F4252" s="17">
        <v>8</v>
      </c>
      <c r="G4252" s="17">
        <v>1</v>
      </c>
      <c r="H4252" s="17" t="s">
        <v>3356</v>
      </c>
      <c r="I4252" s="17"/>
      <c r="J4252" s="17"/>
      <c r="K4252" s="17"/>
      <c r="L4252" s="17"/>
      <c r="M4252" s="17"/>
      <c r="N4252" s="17"/>
      <c r="O4252" s="17"/>
      <c r="P4252" s="17"/>
      <c r="Q4252" s="17"/>
    </row>
    <row r="4253" spans="1:17">
      <c r="A4253" s="556" t="s">
        <v>3675</v>
      </c>
      <c r="B4253" s="557"/>
      <c r="C4253" s="558" t="s">
        <v>2933</v>
      </c>
      <c r="D4253" s="556" t="s">
        <v>7655</v>
      </c>
      <c r="E4253" s="17" t="s">
        <v>7670</v>
      </c>
      <c r="F4253" s="17">
        <v>8</v>
      </c>
      <c r="G4253" s="17">
        <v>2</v>
      </c>
      <c r="H4253" s="17" t="s">
        <v>3357</v>
      </c>
      <c r="I4253" s="17"/>
      <c r="J4253" s="17"/>
      <c r="K4253" s="17"/>
      <c r="L4253" s="17"/>
      <c r="M4253" s="17"/>
      <c r="N4253" s="17"/>
      <c r="O4253" s="17"/>
      <c r="P4253" s="17"/>
      <c r="Q4253" s="17"/>
    </row>
    <row r="4254" spans="1:17">
      <c r="A4254" s="556" t="s">
        <v>3675</v>
      </c>
      <c r="B4254" s="557"/>
      <c r="C4254" s="558" t="s">
        <v>2934</v>
      </c>
      <c r="D4254" s="556" t="s">
        <v>7653</v>
      </c>
      <c r="E4254" s="17" t="s">
        <v>7671</v>
      </c>
      <c r="F4254" s="17">
        <v>9</v>
      </c>
      <c r="G4254" s="17">
        <v>1</v>
      </c>
      <c r="H4254" s="17" t="s">
        <v>3360</v>
      </c>
      <c r="I4254" s="17"/>
      <c r="J4254" s="17"/>
      <c r="K4254" s="17"/>
      <c r="L4254" s="17"/>
      <c r="M4254" s="17"/>
      <c r="N4254" s="17"/>
      <c r="O4254" s="17"/>
      <c r="P4254" s="17"/>
      <c r="Q4254" s="17"/>
    </row>
    <row r="4255" spans="1:17">
      <c r="A4255" s="556" t="s">
        <v>3675</v>
      </c>
      <c r="B4255" s="557"/>
      <c r="C4255" s="558" t="s">
        <v>2934</v>
      </c>
      <c r="D4255" s="556" t="s">
        <v>7655</v>
      </c>
      <c r="E4255" s="17" t="s">
        <v>7672</v>
      </c>
      <c r="F4255" s="17">
        <v>9</v>
      </c>
      <c r="G4255" s="17">
        <v>2</v>
      </c>
      <c r="H4255" s="17" t="s">
        <v>3327</v>
      </c>
      <c r="I4255" s="17"/>
      <c r="J4255" s="17"/>
      <c r="K4255" s="17"/>
      <c r="L4255" s="17"/>
      <c r="M4255" s="17"/>
      <c r="N4255" s="17"/>
      <c r="O4255" s="17"/>
      <c r="P4255" s="17"/>
      <c r="Q4255" s="17"/>
    </row>
    <row r="4256" spans="1:17">
      <c r="A4256" s="556" t="s">
        <v>3675</v>
      </c>
      <c r="B4256" s="557"/>
      <c r="C4256" s="558" t="s">
        <v>2935</v>
      </c>
      <c r="D4256" s="556" t="s">
        <v>7653</v>
      </c>
      <c r="E4256" s="17" t="s">
        <v>7673</v>
      </c>
      <c r="F4256" s="17">
        <v>10</v>
      </c>
      <c r="G4256" s="17">
        <v>1</v>
      </c>
      <c r="H4256" s="17" t="s">
        <v>3363</v>
      </c>
      <c r="I4256" s="17"/>
      <c r="J4256" s="17"/>
      <c r="K4256" s="17"/>
      <c r="L4256" s="17"/>
      <c r="M4256" s="17"/>
      <c r="N4256" s="17"/>
      <c r="O4256" s="17"/>
      <c r="P4256" s="17"/>
      <c r="Q4256" s="17"/>
    </row>
    <row r="4257" spans="1:17">
      <c r="A4257" s="556" t="s">
        <v>3675</v>
      </c>
      <c r="B4257" s="557"/>
      <c r="C4257" s="558" t="s">
        <v>2935</v>
      </c>
      <c r="D4257" s="556" t="s">
        <v>7655</v>
      </c>
      <c r="E4257" s="17" t="s">
        <v>7674</v>
      </c>
      <c r="F4257" s="17">
        <v>10</v>
      </c>
      <c r="G4257" s="17">
        <v>2</v>
      </c>
      <c r="H4257" s="17" t="s">
        <v>3364</v>
      </c>
      <c r="I4257" s="17"/>
      <c r="J4257" s="17"/>
      <c r="K4257" s="17"/>
      <c r="L4257" s="17"/>
      <c r="M4257" s="17"/>
      <c r="N4257" s="17"/>
      <c r="O4257" s="17"/>
      <c r="P4257" s="17"/>
      <c r="Q4257" s="17"/>
    </row>
    <row r="4258" spans="1:17">
      <c r="A4258" s="556" t="s">
        <v>3675</v>
      </c>
      <c r="B4258" s="557"/>
      <c r="C4258" s="558" t="s">
        <v>2936</v>
      </c>
      <c r="D4258" s="556" t="s">
        <v>7653</v>
      </c>
      <c r="E4258" s="17" t="s">
        <v>7675</v>
      </c>
      <c r="F4258" s="17">
        <v>11</v>
      </c>
      <c r="G4258" s="17">
        <v>1</v>
      </c>
      <c r="H4258" s="17" t="s">
        <v>3367</v>
      </c>
      <c r="I4258" s="17"/>
      <c r="J4258" s="17"/>
      <c r="K4258" s="17"/>
      <c r="L4258" s="17"/>
      <c r="M4258" s="17"/>
      <c r="N4258" s="17"/>
      <c r="O4258" s="17"/>
      <c r="P4258" s="17"/>
      <c r="Q4258" s="17"/>
    </row>
    <row r="4259" spans="1:17">
      <c r="A4259" s="556" t="s">
        <v>3675</v>
      </c>
      <c r="B4259" s="557"/>
      <c r="C4259" s="558" t="s">
        <v>2936</v>
      </c>
      <c r="D4259" s="556" t="s">
        <v>7655</v>
      </c>
      <c r="E4259" s="17" t="s">
        <v>7676</v>
      </c>
      <c r="F4259" s="17">
        <v>11</v>
      </c>
      <c r="G4259" s="17">
        <v>2</v>
      </c>
      <c r="H4259" s="17" t="s">
        <v>3368</v>
      </c>
      <c r="I4259" s="17"/>
      <c r="J4259" s="17"/>
      <c r="K4259" s="17"/>
      <c r="L4259" s="17"/>
      <c r="M4259" s="17"/>
      <c r="N4259" s="17"/>
      <c r="O4259" s="17"/>
      <c r="P4259" s="17"/>
      <c r="Q4259" s="17"/>
    </row>
    <row r="4260" spans="1:17">
      <c r="A4260" s="556" t="s">
        <v>3675</v>
      </c>
      <c r="B4260" s="557"/>
      <c r="C4260" s="558" t="s">
        <v>2937</v>
      </c>
      <c r="D4260" s="556" t="s">
        <v>7653</v>
      </c>
      <c r="E4260" s="17" t="s">
        <v>7677</v>
      </c>
      <c r="F4260" s="17">
        <v>12</v>
      </c>
      <c r="G4260" s="17">
        <v>1</v>
      </c>
      <c r="H4260" s="17" t="s">
        <v>3371</v>
      </c>
      <c r="I4260" s="17"/>
      <c r="J4260" s="17"/>
      <c r="K4260" s="17"/>
      <c r="L4260" s="17"/>
      <c r="M4260" s="17"/>
      <c r="N4260" s="17"/>
      <c r="O4260" s="17"/>
      <c r="P4260" s="17"/>
      <c r="Q4260" s="17"/>
    </row>
    <row r="4261" spans="1:17">
      <c r="A4261" s="556" t="s">
        <v>3675</v>
      </c>
      <c r="B4261" s="557"/>
      <c r="C4261" s="558" t="s">
        <v>2937</v>
      </c>
      <c r="D4261" s="556" t="s">
        <v>7655</v>
      </c>
      <c r="E4261" s="17" t="s">
        <v>7678</v>
      </c>
      <c r="F4261" s="17">
        <v>12</v>
      </c>
      <c r="G4261" s="17">
        <v>2</v>
      </c>
      <c r="H4261" s="17" t="s">
        <v>3372</v>
      </c>
      <c r="I4261" s="17"/>
      <c r="J4261" s="17"/>
      <c r="K4261" s="17"/>
      <c r="L4261" s="17"/>
      <c r="M4261" s="17"/>
      <c r="N4261" s="17"/>
      <c r="O4261" s="17"/>
      <c r="P4261" s="17"/>
      <c r="Q4261" s="17"/>
    </row>
    <row r="4262" spans="1:17">
      <c r="A4262" s="556" t="s">
        <v>3675</v>
      </c>
      <c r="B4262" s="557"/>
      <c r="C4262" s="558" t="s">
        <v>2938</v>
      </c>
      <c r="D4262" s="556" t="s">
        <v>7653</v>
      </c>
      <c r="E4262" s="17" t="s">
        <v>7679</v>
      </c>
      <c r="F4262" s="17">
        <v>13</v>
      </c>
      <c r="G4262" s="17">
        <v>1</v>
      </c>
      <c r="H4262" s="17" t="s">
        <v>3375</v>
      </c>
      <c r="I4262" s="17"/>
      <c r="J4262" s="17"/>
      <c r="K4262" s="17"/>
      <c r="L4262" s="17"/>
      <c r="M4262" s="17"/>
      <c r="N4262" s="17"/>
      <c r="O4262" s="17"/>
      <c r="P4262" s="17"/>
      <c r="Q4262" s="17"/>
    </row>
    <row r="4263" spans="1:17">
      <c r="A4263" s="556" t="s">
        <v>3675</v>
      </c>
      <c r="B4263" s="557"/>
      <c r="C4263" s="558" t="s">
        <v>2938</v>
      </c>
      <c r="D4263" s="556" t="s">
        <v>7655</v>
      </c>
      <c r="E4263" s="17" t="s">
        <v>7680</v>
      </c>
      <c r="F4263" s="17">
        <v>13</v>
      </c>
      <c r="G4263" s="17">
        <v>2</v>
      </c>
      <c r="H4263" s="17" t="s">
        <v>3376</v>
      </c>
      <c r="I4263" s="17"/>
      <c r="J4263" s="17"/>
      <c r="K4263" s="17"/>
      <c r="L4263" s="17"/>
      <c r="M4263" s="17"/>
      <c r="N4263" s="17"/>
      <c r="O4263" s="17"/>
      <c r="P4263" s="17"/>
      <c r="Q4263" s="17"/>
    </row>
    <row r="4264" spans="1:17">
      <c r="A4264" s="556" t="s">
        <v>3675</v>
      </c>
      <c r="B4264" s="557"/>
      <c r="C4264" s="558" t="s">
        <v>2939</v>
      </c>
      <c r="D4264" s="556" t="s">
        <v>7653</v>
      </c>
      <c r="E4264" s="17" t="s">
        <v>7681</v>
      </c>
      <c r="F4264" s="17">
        <v>14</v>
      </c>
      <c r="G4264" s="17">
        <v>1</v>
      </c>
      <c r="H4264" s="17" t="s">
        <v>3379</v>
      </c>
      <c r="I4264" s="17"/>
      <c r="J4264" s="17"/>
      <c r="K4264" s="17"/>
      <c r="L4264" s="17"/>
      <c r="M4264" s="17"/>
      <c r="N4264" s="17"/>
      <c r="O4264" s="17"/>
      <c r="P4264" s="17"/>
      <c r="Q4264" s="17"/>
    </row>
    <row r="4265" spans="1:17">
      <c r="A4265" s="556" t="s">
        <v>3675</v>
      </c>
      <c r="B4265" s="557"/>
      <c r="C4265" s="558" t="s">
        <v>2939</v>
      </c>
      <c r="D4265" s="556" t="s">
        <v>7655</v>
      </c>
      <c r="E4265" s="17" t="s">
        <v>7682</v>
      </c>
      <c r="F4265" s="17">
        <v>14</v>
      </c>
      <c r="G4265" s="17">
        <v>2</v>
      </c>
      <c r="H4265" s="17" t="s">
        <v>3380</v>
      </c>
      <c r="I4265" s="17"/>
      <c r="J4265" s="17"/>
      <c r="K4265" s="17"/>
      <c r="L4265" s="17"/>
      <c r="M4265" s="17"/>
      <c r="N4265" s="17"/>
      <c r="O4265" s="17"/>
      <c r="P4265" s="17"/>
      <c r="Q4265" s="17"/>
    </row>
    <row r="4266" spans="1:17">
      <c r="A4266" s="556" t="s">
        <v>3675</v>
      </c>
      <c r="B4266" s="557"/>
      <c r="C4266" s="558" t="s">
        <v>2940</v>
      </c>
      <c r="D4266" s="556" t="s">
        <v>7653</v>
      </c>
      <c r="E4266" s="17" t="s">
        <v>7683</v>
      </c>
      <c r="F4266" s="17">
        <v>15</v>
      </c>
      <c r="G4266" s="17">
        <v>1</v>
      </c>
      <c r="H4266" s="17" t="s">
        <v>3383</v>
      </c>
      <c r="I4266" s="17"/>
      <c r="J4266" s="17"/>
      <c r="K4266" s="17"/>
      <c r="L4266" s="17"/>
      <c r="M4266" s="17"/>
      <c r="N4266" s="17"/>
      <c r="O4266" s="17"/>
      <c r="P4266" s="17"/>
      <c r="Q4266" s="17"/>
    </row>
    <row r="4267" spans="1:17">
      <c r="A4267" s="556" t="s">
        <v>3675</v>
      </c>
      <c r="B4267" s="557"/>
      <c r="C4267" s="558" t="s">
        <v>2940</v>
      </c>
      <c r="D4267" s="556" t="s">
        <v>7655</v>
      </c>
      <c r="E4267" s="17" t="s">
        <v>7684</v>
      </c>
      <c r="F4267" s="17">
        <v>15</v>
      </c>
      <c r="G4267" s="17">
        <v>2</v>
      </c>
      <c r="H4267" s="17" t="s">
        <v>3384</v>
      </c>
      <c r="I4267" s="17"/>
      <c r="J4267" s="17"/>
      <c r="K4267" s="17"/>
      <c r="L4267" s="17"/>
      <c r="M4267" s="17"/>
      <c r="N4267" s="17"/>
      <c r="O4267" s="17"/>
      <c r="P4267" s="17"/>
      <c r="Q4267" s="17"/>
    </row>
    <row r="4268" spans="1:17">
      <c r="A4268" s="556" t="s">
        <v>3675</v>
      </c>
      <c r="B4268" s="557"/>
      <c r="C4268" s="558" t="s">
        <v>2941</v>
      </c>
      <c r="D4268" s="556" t="s">
        <v>7653</v>
      </c>
      <c r="E4268" s="17" t="s">
        <v>7685</v>
      </c>
      <c r="F4268" s="17">
        <v>16</v>
      </c>
      <c r="G4268" s="17">
        <v>1</v>
      </c>
      <c r="H4268" s="17" t="s">
        <v>3387</v>
      </c>
      <c r="I4268" s="17"/>
      <c r="J4268" s="17"/>
      <c r="K4268" s="17"/>
      <c r="L4268" s="17"/>
      <c r="M4268" s="17"/>
      <c r="N4268" s="17"/>
      <c r="O4268" s="17"/>
      <c r="P4268" s="17"/>
      <c r="Q4268" s="17"/>
    </row>
    <row r="4269" spans="1:17">
      <c r="A4269" s="556" t="s">
        <v>3675</v>
      </c>
      <c r="B4269" s="557"/>
      <c r="C4269" s="558" t="s">
        <v>2941</v>
      </c>
      <c r="D4269" s="556" t="s">
        <v>7655</v>
      </c>
      <c r="E4269" s="17" t="s">
        <v>7686</v>
      </c>
      <c r="F4269" s="17">
        <v>16</v>
      </c>
      <c r="G4269" s="17">
        <v>2</v>
      </c>
      <c r="H4269" s="17" t="s">
        <v>3388</v>
      </c>
      <c r="I4269" s="17"/>
      <c r="J4269" s="17"/>
      <c r="K4269" s="17"/>
      <c r="L4269" s="17"/>
      <c r="M4269" s="17"/>
      <c r="N4269" s="17"/>
      <c r="O4269" s="17"/>
      <c r="P4269" s="17"/>
      <c r="Q4269" s="17"/>
    </row>
    <row r="4270" spans="1:17">
      <c r="A4270" s="556" t="s">
        <v>3675</v>
      </c>
      <c r="B4270" s="557"/>
      <c r="C4270" s="558" t="s">
        <v>2942</v>
      </c>
      <c r="D4270" s="556" t="s">
        <v>7653</v>
      </c>
      <c r="E4270" s="17" t="s">
        <v>7687</v>
      </c>
      <c r="F4270" s="17">
        <v>17</v>
      </c>
      <c r="G4270" s="17">
        <v>1</v>
      </c>
      <c r="H4270" s="17" t="s">
        <v>3391</v>
      </c>
      <c r="I4270" s="17"/>
      <c r="J4270" s="17"/>
      <c r="K4270" s="17"/>
      <c r="L4270" s="17"/>
      <c r="M4270" s="17"/>
      <c r="N4270" s="17"/>
      <c r="O4270" s="17"/>
      <c r="P4270" s="17"/>
      <c r="Q4270" s="17"/>
    </row>
    <row r="4271" spans="1:17">
      <c r="A4271" s="556" t="s">
        <v>3675</v>
      </c>
      <c r="B4271" s="557"/>
      <c r="C4271" s="558" t="s">
        <v>2942</v>
      </c>
      <c r="D4271" s="556" t="s">
        <v>7655</v>
      </c>
      <c r="E4271" s="17" t="s">
        <v>7688</v>
      </c>
      <c r="F4271" s="17">
        <v>17</v>
      </c>
      <c r="G4271" s="17">
        <v>2</v>
      </c>
      <c r="H4271" s="17" t="s">
        <v>3392</v>
      </c>
      <c r="I4271" s="17"/>
      <c r="J4271" s="17"/>
      <c r="K4271" s="17"/>
      <c r="L4271" s="17"/>
      <c r="M4271" s="17"/>
      <c r="N4271" s="17"/>
      <c r="O4271" s="17"/>
      <c r="P4271" s="17"/>
      <c r="Q4271" s="17"/>
    </row>
    <row r="4272" spans="1:17">
      <c r="A4272" s="556" t="s">
        <v>3675</v>
      </c>
      <c r="B4272" s="557"/>
      <c r="C4272" s="558" t="s">
        <v>2943</v>
      </c>
      <c r="D4272" s="556" t="s">
        <v>7653</v>
      </c>
      <c r="E4272" s="17" t="s">
        <v>7689</v>
      </c>
      <c r="F4272" s="17">
        <v>18</v>
      </c>
      <c r="G4272" s="17">
        <v>1</v>
      </c>
      <c r="H4272" s="17" t="s">
        <v>3395</v>
      </c>
      <c r="I4272" s="17">
        <v>0</v>
      </c>
      <c r="J4272" s="17"/>
      <c r="K4272" s="17"/>
      <c r="L4272" s="17"/>
      <c r="M4272" s="17"/>
      <c r="N4272" s="17"/>
      <c r="O4272" s="17"/>
      <c r="P4272" s="17"/>
      <c r="Q4272" s="17"/>
    </row>
    <row r="4273" spans="1:17">
      <c r="A4273" s="556" t="s">
        <v>3675</v>
      </c>
      <c r="B4273" s="557"/>
      <c r="C4273" s="558" t="s">
        <v>2943</v>
      </c>
      <c r="D4273" s="556" t="s">
        <v>7655</v>
      </c>
      <c r="E4273" s="17" t="s">
        <v>7690</v>
      </c>
      <c r="F4273" s="17">
        <v>18</v>
      </c>
      <c r="G4273" s="17">
        <v>2</v>
      </c>
      <c r="H4273" s="17" t="s">
        <v>3396</v>
      </c>
      <c r="I4273" s="17">
        <v>0</v>
      </c>
      <c r="J4273" s="17"/>
      <c r="K4273" s="17"/>
      <c r="L4273" s="17"/>
      <c r="M4273" s="17"/>
      <c r="N4273" s="17"/>
      <c r="O4273" s="17"/>
      <c r="P4273" s="17"/>
      <c r="Q4273" s="17"/>
    </row>
    <row r="4274" spans="1:17">
      <c r="A4274" s="556" t="s">
        <v>3682</v>
      </c>
      <c r="B4274" s="557"/>
      <c r="C4274" s="558" t="s">
        <v>9248</v>
      </c>
      <c r="D4274" s="556" t="s">
        <v>3683</v>
      </c>
      <c r="E4274" s="17" t="s">
        <v>9249</v>
      </c>
      <c r="F4274" s="17">
        <v>1</v>
      </c>
      <c r="G4274" s="17">
        <v>1</v>
      </c>
      <c r="H4274" s="17" t="s">
        <v>3724</v>
      </c>
      <c r="I4274" s="17"/>
      <c r="J4274" s="17"/>
      <c r="K4274" s="17"/>
      <c r="L4274" s="17"/>
      <c r="M4274" s="17"/>
      <c r="N4274" s="17"/>
      <c r="O4274" s="17"/>
      <c r="P4274" s="17"/>
      <c r="Q4274" s="17"/>
    </row>
    <row r="4275" spans="1:17">
      <c r="A4275" s="556" t="s">
        <v>3682</v>
      </c>
      <c r="B4275" s="557"/>
      <c r="C4275" s="558" t="s">
        <v>7691</v>
      </c>
      <c r="D4275" s="556" t="s">
        <v>3683</v>
      </c>
      <c r="E4275" s="17" t="s">
        <v>7692</v>
      </c>
      <c r="F4275" s="17">
        <v>3</v>
      </c>
      <c r="G4275" s="17">
        <v>1</v>
      </c>
      <c r="H4275" s="17" t="s">
        <v>2995</v>
      </c>
      <c r="I4275" s="17"/>
      <c r="J4275" s="17"/>
      <c r="K4275" s="17"/>
      <c r="L4275" s="17"/>
      <c r="M4275" s="17"/>
      <c r="N4275" s="17"/>
      <c r="O4275" s="17"/>
      <c r="P4275" s="17"/>
      <c r="Q4275" s="17"/>
    </row>
    <row r="4276" spans="1:17">
      <c r="A4276" s="556" t="s">
        <v>3682</v>
      </c>
      <c r="B4276" s="557"/>
      <c r="C4276" s="558" t="s">
        <v>7693</v>
      </c>
      <c r="D4276" s="556" t="s">
        <v>3683</v>
      </c>
      <c r="E4276" s="17" t="s">
        <v>7694</v>
      </c>
      <c r="F4276" s="17">
        <v>5</v>
      </c>
      <c r="G4276" s="17">
        <v>1</v>
      </c>
      <c r="H4276" s="17" t="s">
        <v>2993</v>
      </c>
      <c r="I4276" s="17"/>
      <c r="J4276" s="17"/>
      <c r="K4276" s="17"/>
      <c r="L4276" s="17"/>
      <c r="M4276" s="17"/>
      <c r="N4276" s="17"/>
      <c r="O4276" s="17"/>
      <c r="P4276" s="17"/>
      <c r="Q4276" s="17"/>
    </row>
    <row r="4277" spans="1:17">
      <c r="A4277" s="556" t="s">
        <v>3682</v>
      </c>
      <c r="B4277" s="557"/>
      <c r="C4277" s="558" t="s">
        <v>7695</v>
      </c>
      <c r="D4277" s="556" t="s">
        <v>3683</v>
      </c>
      <c r="E4277" s="17" t="s">
        <v>7696</v>
      </c>
      <c r="F4277" s="17">
        <v>7</v>
      </c>
      <c r="G4277" s="17">
        <v>1</v>
      </c>
      <c r="H4277" s="17" t="s">
        <v>3699</v>
      </c>
      <c r="I4277" s="17"/>
      <c r="J4277" s="17"/>
      <c r="K4277" s="17"/>
      <c r="L4277" s="17"/>
      <c r="M4277" s="17"/>
      <c r="N4277" s="17"/>
      <c r="O4277" s="17"/>
      <c r="P4277" s="17"/>
      <c r="Q4277" s="17"/>
    </row>
    <row r="4278" spans="1:17">
      <c r="A4278" s="556" t="s">
        <v>3682</v>
      </c>
      <c r="B4278" s="557"/>
      <c r="C4278" s="558" t="s">
        <v>9246</v>
      </c>
      <c r="D4278" s="556" t="s">
        <v>3683</v>
      </c>
      <c r="E4278" s="559" t="s">
        <v>9247</v>
      </c>
      <c r="F4278" s="17">
        <v>9</v>
      </c>
      <c r="G4278" s="17">
        <v>1</v>
      </c>
      <c r="H4278" s="564" t="s">
        <v>7811</v>
      </c>
      <c r="I4278" s="567"/>
      <c r="J4278" s="17"/>
      <c r="K4278" s="17"/>
      <c r="L4278" s="17"/>
      <c r="M4278" s="17"/>
      <c r="N4278" s="17"/>
      <c r="O4278" s="17"/>
      <c r="P4278" s="17"/>
      <c r="Q4278" s="17"/>
    </row>
    <row r="4279" spans="1:17">
      <c r="A4279" s="556" t="s">
        <v>3682</v>
      </c>
      <c r="B4279" s="557"/>
      <c r="C4279" s="558" t="s">
        <v>7697</v>
      </c>
      <c r="D4279" s="556" t="s">
        <v>3683</v>
      </c>
      <c r="E4279" s="17" t="s">
        <v>7698</v>
      </c>
      <c r="F4279" s="17">
        <v>16</v>
      </c>
      <c r="G4279" s="17">
        <v>1</v>
      </c>
      <c r="H4279" s="17" t="s">
        <v>3715</v>
      </c>
      <c r="I4279" s="17"/>
      <c r="J4279" s="17"/>
      <c r="K4279" s="17"/>
      <c r="L4279" s="17"/>
      <c r="M4279" s="17"/>
      <c r="N4279" s="17"/>
      <c r="O4279" s="17"/>
      <c r="P4279" s="17"/>
      <c r="Q4279" s="17"/>
    </row>
    <row r="4280" spans="1:17">
      <c r="A4280" s="556" t="s">
        <v>3682</v>
      </c>
      <c r="B4280" s="557"/>
      <c r="C4280" s="558" t="s">
        <v>9250</v>
      </c>
      <c r="D4280" s="556" t="s">
        <v>3683</v>
      </c>
      <c r="E4280" s="17" t="s">
        <v>9251</v>
      </c>
      <c r="F4280" s="17">
        <v>18</v>
      </c>
      <c r="G4280" s="17">
        <v>1</v>
      </c>
      <c r="H4280" s="17" t="s">
        <v>9588</v>
      </c>
      <c r="I4280" s="17"/>
      <c r="J4280" s="17"/>
      <c r="K4280" s="17"/>
      <c r="L4280" s="17"/>
      <c r="M4280" s="17"/>
      <c r="N4280" s="17"/>
      <c r="O4280" s="17"/>
      <c r="P4280" s="17"/>
      <c r="Q4280" s="17"/>
    </row>
    <row r="4281" spans="1:17">
      <c r="A4281" s="556" t="s">
        <v>3682</v>
      </c>
      <c r="B4281" s="557"/>
      <c r="C4281" s="558" t="s">
        <v>7699</v>
      </c>
      <c r="D4281" s="556" t="s">
        <v>3683</v>
      </c>
      <c r="E4281" s="17" t="s">
        <v>7700</v>
      </c>
      <c r="F4281" s="17">
        <v>21</v>
      </c>
      <c r="G4281" s="17">
        <v>1</v>
      </c>
      <c r="H4281" s="17" t="s">
        <v>8557</v>
      </c>
      <c r="I4281" s="17"/>
      <c r="J4281" s="17"/>
      <c r="K4281" s="17"/>
      <c r="L4281" s="17"/>
      <c r="M4281" s="17"/>
      <c r="N4281" s="17"/>
      <c r="O4281" s="17"/>
      <c r="P4281" s="17"/>
      <c r="Q4281" s="17"/>
    </row>
    <row r="4282" spans="1:17">
      <c r="A4282" s="556" t="s">
        <v>3682</v>
      </c>
      <c r="B4282" s="557"/>
      <c r="C4282" s="558" t="s">
        <v>7701</v>
      </c>
      <c r="D4282" s="556" t="s">
        <v>3683</v>
      </c>
      <c r="E4282" s="17" t="s">
        <v>7702</v>
      </c>
      <c r="F4282" s="17">
        <v>23</v>
      </c>
      <c r="G4282" s="17">
        <v>1</v>
      </c>
      <c r="H4282" s="17" t="s">
        <v>8558</v>
      </c>
      <c r="I4282" s="17"/>
      <c r="J4282" s="17"/>
      <c r="K4282" s="17"/>
      <c r="L4282" s="17"/>
      <c r="M4282" s="17"/>
      <c r="N4282" s="17"/>
      <c r="O4282" s="17"/>
      <c r="P4282" s="17"/>
      <c r="Q4282" s="17"/>
    </row>
    <row r="4283" spans="1:17">
      <c r="A4283" s="556" t="s">
        <v>3682</v>
      </c>
      <c r="B4283" s="557"/>
      <c r="C4283" s="558" t="s">
        <v>7703</v>
      </c>
      <c r="D4283" s="556" t="s">
        <v>3683</v>
      </c>
      <c r="E4283" s="17" t="s">
        <v>7704</v>
      </c>
      <c r="F4283" s="17">
        <v>25</v>
      </c>
      <c r="G4283" s="17">
        <v>1</v>
      </c>
      <c r="H4283" s="17" t="s">
        <v>8559</v>
      </c>
      <c r="I4283" s="17"/>
      <c r="J4283" s="17"/>
      <c r="K4283" s="17"/>
      <c r="L4283" s="17"/>
      <c r="M4283" s="17"/>
      <c r="N4283" s="17"/>
      <c r="O4283" s="17"/>
      <c r="P4283" s="17"/>
      <c r="Q4283" s="17"/>
    </row>
    <row r="4284" spans="1:17">
      <c r="A4284" s="556" t="s">
        <v>3682</v>
      </c>
      <c r="B4284" s="557"/>
      <c r="C4284" s="558" t="s">
        <v>7705</v>
      </c>
      <c r="D4284" s="556" t="s">
        <v>3683</v>
      </c>
      <c r="E4284" s="17" t="s">
        <v>7706</v>
      </c>
      <c r="F4284" s="17">
        <v>32</v>
      </c>
      <c r="G4284" s="17">
        <v>1</v>
      </c>
      <c r="H4284" s="17" t="s">
        <v>8560</v>
      </c>
      <c r="I4284" s="17"/>
    </row>
    <row r="4285" spans="1:17">
      <c r="A4285" s="556" t="s">
        <v>3682</v>
      </c>
      <c r="B4285" s="557"/>
      <c r="C4285" s="558" t="s">
        <v>7707</v>
      </c>
      <c r="D4285" s="556" t="s">
        <v>3683</v>
      </c>
      <c r="E4285" s="17" t="s">
        <v>7708</v>
      </c>
      <c r="F4285" s="17">
        <v>34</v>
      </c>
      <c r="G4285" s="17">
        <v>1</v>
      </c>
      <c r="H4285" s="17" t="s">
        <v>8561</v>
      </c>
      <c r="I4285" s="17"/>
    </row>
    <row r="4286" spans="1:17">
      <c r="A4286" s="556" t="s">
        <v>3682</v>
      </c>
      <c r="B4286" s="557"/>
      <c r="C4286" s="558" t="s">
        <v>7709</v>
      </c>
      <c r="D4286" s="556" t="s">
        <v>3683</v>
      </c>
      <c r="E4286" s="17" t="s">
        <v>7710</v>
      </c>
      <c r="F4286" s="17">
        <v>36</v>
      </c>
      <c r="G4286" s="17">
        <v>1</v>
      </c>
      <c r="H4286" s="17" t="s">
        <v>8562</v>
      </c>
      <c r="I4286" s="17"/>
    </row>
    <row r="4287" spans="1:17">
      <c r="A4287" s="556" t="s">
        <v>3682</v>
      </c>
      <c r="B4287" s="557"/>
      <c r="C4287" s="558" t="s">
        <v>7711</v>
      </c>
      <c r="D4287" s="556" t="s">
        <v>3683</v>
      </c>
      <c r="E4287" s="17" t="s">
        <v>7712</v>
      </c>
      <c r="F4287" s="17">
        <v>38</v>
      </c>
      <c r="G4287" s="17">
        <v>1</v>
      </c>
      <c r="H4287" s="17" t="s">
        <v>8563</v>
      </c>
      <c r="I4287" s="17"/>
    </row>
    <row r="4288" spans="1:17">
      <c r="A4288" s="556" t="s">
        <v>3682</v>
      </c>
      <c r="B4288" s="557"/>
      <c r="C4288" s="558" t="s">
        <v>7713</v>
      </c>
      <c r="D4288" s="556" t="s">
        <v>3683</v>
      </c>
      <c r="E4288" s="17" t="s">
        <v>7714</v>
      </c>
      <c r="F4288" s="17">
        <v>45</v>
      </c>
      <c r="G4288" s="17">
        <v>1</v>
      </c>
      <c r="H4288" s="17" t="s">
        <v>9589</v>
      </c>
      <c r="I4288" s="17"/>
    </row>
    <row r="4289" spans="1:9">
      <c r="A4289" s="556" t="s">
        <v>3682</v>
      </c>
      <c r="B4289" s="557"/>
      <c r="C4289" s="558" t="s">
        <v>9551</v>
      </c>
      <c r="D4289" s="556" t="s">
        <v>3683</v>
      </c>
      <c r="E4289" s="17" t="s">
        <v>9552</v>
      </c>
      <c r="F4289" s="17">
        <v>48</v>
      </c>
      <c r="G4289" s="17">
        <v>1</v>
      </c>
      <c r="H4289" s="17" t="s">
        <v>8564</v>
      </c>
      <c r="I4289" s="17"/>
    </row>
    <row r="4290" spans="1:9">
      <c r="A4290" s="556" t="s">
        <v>3682</v>
      </c>
      <c r="B4290" s="557"/>
      <c r="C4290" s="558" t="s">
        <v>9553</v>
      </c>
      <c r="D4290" s="556" t="s">
        <v>3683</v>
      </c>
      <c r="E4290" s="17" t="s">
        <v>9554</v>
      </c>
      <c r="F4290" s="17">
        <v>50</v>
      </c>
      <c r="G4290" s="17">
        <v>1</v>
      </c>
      <c r="H4290" s="17" t="s">
        <v>8565</v>
      </c>
      <c r="I4290" s="17"/>
    </row>
    <row r="4291" spans="1:9">
      <c r="A4291" s="556" t="s">
        <v>3682</v>
      </c>
      <c r="B4291" s="557"/>
      <c r="C4291" s="558" t="s">
        <v>9555</v>
      </c>
      <c r="D4291" s="556" t="s">
        <v>3683</v>
      </c>
      <c r="E4291" s="17" t="s">
        <v>9556</v>
      </c>
      <c r="F4291" s="17">
        <v>52</v>
      </c>
      <c r="G4291" s="17">
        <v>1</v>
      </c>
      <c r="H4291" s="17" t="s">
        <v>8566</v>
      </c>
      <c r="I4291" s="17"/>
    </row>
    <row r="4292" spans="1:9">
      <c r="A4292" s="556" t="s">
        <v>3682</v>
      </c>
      <c r="B4292" s="557"/>
      <c r="C4292" s="558" t="s">
        <v>7715</v>
      </c>
      <c r="D4292" s="556" t="s">
        <v>3683</v>
      </c>
      <c r="E4292" s="17" t="s">
        <v>7716</v>
      </c>
      <c r="F4292" s="17">
        <v>54</v>
      </c>
      <c r="G4292" s="17">
        <v>1</v>
      </c>
      <c r="H4292" s="17" t="s">
        <v>8567</v>
      </c>
      <c r="I4292" s="17"/>
    </row>
    <row r="4293" spans="1:9">
      <c r="A4293" s="556" t="s">
        <v>3682</v>
      </c>
      <c r="B4293" s="557"/>
      <c r="C4293" s="558" t="s">
        <v>7717</v>
      </c>
      <c r="D4293" s="556" t="s">
        <v>3683</v>
      </c>
      <c r="E4293" s="17" t="s">
        <v>7718</v>
      </c>
      <c r="F4293" s="17">
        <v>61</v>
      </c>
      <c r="G4293" s="17">
        <v>1</v>
      </c>
      <c r="H4293" s="17" t="s">
        <v>8568</v>
      </c>
      <c r="I4293" s="17"/>
    </row>
    <row r="4294" spans="1:9">
      <c r="A4294" s="556" t="s">
        <v>3682</v>
      </c>
      <c r="B4294" s="557"/>
      <c r="C4294" s="558" t="s">
        <v>7719</v>
      </c>
      <c r="D4294" s="556" t="s">
        <v>3683</v>
      </c>
      <c r="E4294" s="17" t="s">
        <v>7720</v>
      </c>
      <c r="F4294" s="17">
        <v>63</v>
      </c>
      <c r="G4294" s="17">
        <v>1</v>
      </c>
      <c r="H4294" s="17" t="s">
        <v>8569</v>
      </c>
      <c r="I4294" s="17"/>
    </row>
    <row r="4295" spans="1:9">
      <c r="A4295" s="556" t="s">
        <v>3682</v>
      </c>
      <c r="B4295" s="557"/>
      <c r="C4295" s="558" t="s">
        <v>7721</v>
      </c>
      <c r="D4295" s="556" t="s">
        <v>3683</v>
      </c>
      <c r="E4295" s="17" t="s">
        <v>7722</v>
      </c>
      <c r="F4295" s="17">
        <v>65</v>
      </c>
      <c r="G4295" s="17">
        <v>1</v>
      </c>
      <c r="H4295" s="17" t="s">
        <v>9590</v>
      </c>
      <c r="I4295" s="17"/>
    </row>
    <row r="4296" spans="1:9">
      <c r="A4296" s="556" t="s">
        <v>3682</v>
      </c>
      <c r="B4296" s="557"/>
      <c r="C4296" s="558" t="s">
        <v>7723</v>
      </c>
      <c r="D4296" s="556" t="s">
        <v>3683</v>
      </c>
      <c r="E4296" s="17" t="s">
        <v>7724</v>
      </c>
      <c r="F4296" s="17">
        <v>68</v>
      </c>
      <c r="G4296" s="17">
        <v>1</v>
      </c>
      <c r="H4296" s="17" t="s">
        <v>8570</v>
      </c>
      <c r="I4296" s="17"/>
    </row>
    <row r="4297" spans="1:9">
      <c r="A4297" s="556" t="s">
        <v>3682</v>
      </c>
      <c r="B4297" s="557"/>
      <c r="C4297" s="558" t="s">
        <v>7725</v>
      </c>
      <c r="D4297" s="556" t="s">
        <v>3683</v>
      </c>
      <c r="E4297" s="17" t="s">
        <v>7726</v>
      </c>
      <c r="F4297" s="17">
        <v>70</v>
      </c>
      <c r="G4297" s="17">
        <v>1</v>
      </c>
      <c r="H4297" s="17" t="s">
        <v>8571</v>
      </c>
      <c r="I4297" s="17"/>
    </row>
    <row r="4298" spans="1:9">
      <c r="A4298" s="556" t="s">
        <v>3682</v>
      </c>
      <c r="B4298" s="557"/>
      <c r="C4298" s="558" t="s">
        <v>7727</v>
      </c>
      <c r="D4298" s="556" t="s">
        <v>3683</v>
      </c>
      <c r="E4298" s="17" t="s">
        <v>7728</v>
      </c>
      <c r="F4298" s="17">
        <v>77</v>
      </c>
      <c r="G4298" s="17">
        <v>1</v>
      </c>
      <c r="H4298" s="17" t="s">
        <v>9591</v>
      </c>
      <c r="I4298" s="17"/>
    </row>
    <row r="4299" spans="1:9">
      <c r="A4299" s="556" t="s">
        <v>3682</v>
      </c>
      <c r="B4299" s="557"/>
      <c r="C4299" s="558" t="s">
        <v>7729</v>
      </c>
      <c r="D4299" s="556" t="s">
        <v>3683</v>
      </c>
      <c r="E4299" s="17" t="s">
        <v>7730</v>
      </c>
      <c r="F4299" s="17">
        <v>80</v>
      </c>
      <c r="G4299" s="17">
        <v>1</v>
      </c>
      <c r="H4299" s="17" t="s">
        <v>8572</v>
      </c>
      <c r="I4299" s="17"/>
    </row>
    <row r="4300" spans="1:9">
      <c r="A4300" s="556" t="s">
        <v>3682</v>
      </c>
      <c r="B4300" s="557"/>
      <c r="C4300" s="558" t="s">
        <v>7731</v>
      </c>
      <c r="D4300" s="556" t="s">
        <v>3683</v>
      </c>
      <c r="E4300" s="17" t="s">
        <v>7732</v>
      </c>
      <c r="F4300" s="17">
        <v>82</v>
      </c>
      <c r="G4300" s="17">
        <v>1</v>
      </c>
      <c r="H4300" s="17" t="s">
        <v>8573</v>
      </c>
      <c r="I4300" s="17"/>
    </row>
    <row r="4301" spans="1:9">
      <c r="A4301" s="556" t="s">
        <v>3682</v>
      </c>
      <c r="B4301" s="557"/>
      <c r="C4301" s="558" t="s">
        <v>9557</v>
      </c>
      <c r="D4301" s="556" t="s">
        <v>3683</v>
      </c>
      <c r="E4301" s="17" t="s">
        <v>9558</v>
      </c>
      <c r="F4301" s="17">
        <v>84</v>
      </c>
      <c r="G4301" s="17">
        <v>1</v>
      </c>
      <c r="H4301" s="17" t="s">
        <v>8574</v>
      </c>
      <c r="I4301" s="17"/>
    </row>
    <row r="4302" spans="1:9">
      <c r="A4302" s="556" t="s">
        <v>3682</v>
      </c>
      <c r="B4302" s="557"/>
      <c r="C4302" s="558" t="s">
        <v>7733</v>
      </c>
      <c r="D4302" s="556" t="s">
        <v>3683</v>
      </c>
      <c r="E4302" s="17" t="s">
        <v>7734</v>
      </c>
      <c r="F4302" s="17">
        <v>86</v>
      </c>
      <c r="G4302" s="17">
        <v>1</v>
      </c>
      <c r="H4302" s="17" t="s">
        <v>8575</v>
      </c>
      <c r="I4302" s="17"/>
    </row>
    <row r="4303" spans="1:9">
      <c r="A4303" s="556" t="s">
        <v>3682</v>
      </c>
      <c r="B4303" s="557"/>
      <c r="C4303" s="558" t="s">
        <v>7735</v>
      </c>
      <c r="D4303" s="556" t="s">
        <v>3683</v>
      </c>
      <c r="E4303" s="17" t="s">
        <v>7736</v>
      </c>
      <c r="F4303" s="17">
        <v>93</v>
      </c>
      <c r="G4303" s="17">
        <v>1</v>
      </c>
      <c r="H4303" s="17" t="s">
        <v>8576</v>
      </c>
      <c r="I4303" s="17"/>
    </row>
    <row r="4304" spans="1:9">
      <c r="A4304" s="556" t="s">
        <v>3682</v>
      </c>
      <c r="B4304" s="557"/>
      <c r="C4304" s="558" t="s">
        <v>7737</v>
      </c>
      <c r="D4304" s="556" t="s">
        <v>3683</v>
      </c>
      <c r="E4304" s="17" t="s">
        <v>7738</v>
      </c>
      <c r="F4304" s="17">
        <v>95</v>
      </c>
      <c r="G4304" s="17">
        <v>1</v>
      </c>
      <c r="H4304" s="17" t="s">
        <v>8577</v>
      </c>
      <c r="I4304" s="17"/>
    </row>
    <row r="4305" spans="1:9">
      <c r="A4305" s="556" t="s">
        <v>3682</v>
      </c>
      <c r="B4305" s="557"/>
      <c r="C4305" s="558" t="s">
        <v>7739</v>
      </c>
      <c r="D4305" s="556" t="s">
        <v>3683</v>
      </c>
      <c r="E4305" s="17" t="s">
        <v>7740</v>
      </c>
      <c r="F4305" s="17">
        <v>97</v>
      </c>
      <c r="G4305" s="17">
        <v>1</v>
      </c>
      <c r="H4305" s="17" t="s">
        <v>8578</v>
      </c>
      <c r="I4305" s="17"/>
    </row>
    <row r="4306" spans="1:9">
      <c r="A4306" s="556" t="s">
        <v>3682</v>
      </c>
      <c r="B4306" s="557"/>
      <c r="C4306" s="558" t="s">
        <v>9559</v>
      </c>
      <c r="D4306" s="556" t="s">
        <v>3683</v>
      </c>
      <c r="E4306" s="17" t="s">
        <v>9560</v>
      </c>
      <c r="F4306" s="17">
        <v>99</v>
      </c>
      <c r="G4306" s="17">
        <v>1</v>
      </c>
      <c r="H4306" s="17" t="s">
        <v>8579</v>
      </c>
      <c r="I4306" s="17"/>
    </row>
    <row r="4307" spans="1:9">
      <c r="A4307" s="556" t="s">
        <v>3682</v>
      </c>
      <c r="B4307" s="557"/>
      <c r="C4307" s="558" t="s">
        <v>7741</v>
      </c>
      <c r="D4307" s="556" t="s">
        <v>3683</v>
      </c>
      <c r="E4307" s="17" t="s">
        <v>7742</v>
      </c>
      <c r="F4307" s="17">
        <v>101</v>
      </c>
      <c r="G4307" s="17">
        <v>1</v>
      </c>
      <c r="H4307" s="17" t="s">
        <v>8580</v>
      </c>
      <c r="I4307" s="17"/>
    </row>
    <row r="4308" spans="1:9">
      <c r="A4308" s="556" t="s">
        <v>3682</v>
      </c>
      <c r="B4308" s="557"/>
      <c r="C4308" s="558" t="s">
        <v>7743</v>
      </c>
      <c r="D4308" s="556" t="s">
        <v>3683</v>
      </c>
      <c r="E4308" s="17" t="s">
        <v>7744</v>
      </c>
      <c r="F4308" s="17">
        <v>108</v>
      </c>
      <c r="G4308" s="17">
        <v>1</v>
      </c>
      <c r="H4308" s="17" t="s">
        <v>8581</v>
      </c>
      <c r="I4308" s="17"/>
    </row>
    <row r="4309" spans="1:9">
      <c r="A4309" s="556" t="s">
        <v>3682</v>
      </c>
      <c r="B4309" s="557"/>
      <c r="C4309" s="558" t="s">
        <v>7745</v>
      </c>
      <c r="D4309" s="556" t="s">
        <v>3683</v>
      </c>
      <c r="E4309" s="17" t="s">
        <v>7746</v>
      </c>
      <c r="F4309" s="17">
        <v>110</v>
      </c>
      <c r="G4309" s="17">
        <v>1</v>
      </c>
      <c r="H4309" s="17" t="s">
        <v>8927</v>
      </c>
      <c r="I4309" s="17"/>
    </row>
    <row r="4310" spans="1:9">
      <c r="A4310" s="556" t="s">
        <v>3682</v>
      </c>
      <c r="B4310" s="557"/>
      <c r="C4310" s="558" t="s">
        <v>7747</v>
      </c>
      <c r="D4310" s="556" t="s">
        <v>3683</v>
      </c>
      <c r="E4310" s="17" t="s">
        <v>7748</v>
      </c>
      <c r="F4310" s="17">
        <v>112</v>
      </c>
      <c r="G4310" s="17">
        <v>1</v>
      </c>
      <c r="H4310" s="17" t="s">
        <v>8928</v>
      </c>
      <c r="I4310" s="17"/>
    </row>
    <row r="4311" spans="1:9">
      <c r="A4311" s="556" t="s">
        <v>3682</v>
      </c>
      <c r="B4311" s="557"/>
      <c r="C4311" s="558" t="s">
        <v>7749</v>
      </c>
      <c r="D4311" s="556" t="s">
        <v>3683</v>
      </c>
      <c r="E4311" s="17" t="s">
        <v>7750</v>
      </c>
      <c r="F4311" s="17">
        <v>114</v>
      </c>
      <c r="G4311" s="17">
        <v>1</v>
      </c>
      <c r="H4311" s="17" t="s">
        <v>8929</v>
      </c>
      <c r="I4311" s="17"/>
    </row>
    <row r="4312" spans="1:9">
      <c r="A4312" s="556" t="s">
        <v>3682</v>
      </c>
      <c r="B4312" s="557"/>
      <c r="C4312" s="558" t="s">
        <v>7751</v>
      </c>
      <c r="D4312" s="556" t="s">
        <v>3683</v>
      </c>
      <c r="E4312" s="17" t="s">
        <v>7752</v>
      </c>
      <c r="F4312" s="17">
        <v>116</v>
      </c>
      <c r="G4312" s="17">
        <v>1</v>
      </c>
      <c r="H4312" s="17" t="s">
        <v>8930</v>
      </c>
      <c r="I4312" s="17"/>
    </row>
    <row r="4313" spans="1:9">
      <c r="A4313" s="556" t="s">
        <v>3682</v>
      </c>
      <c r="B4313" s="557"/>
      <c r="C4313" s="558" t="s">
        <v>9561</v>
      </c>
      <c r="D4313" s="556" t="s">
        <v>3683</v>
      </c>
      <c r="E4313" s="17" t="s">
        <v>9562</v>
      </c>
      <c r="F4313" s="17">
        <v>123</v>
      </c>
      <c r="G4313" s="17">
        <v>1</v>
      </c>
      <c r="H4313" s="17" t="s">
        <v>8931</v>
      </c>
      <c r="I4313" s="17"/>
    </row>
    <row r="4314" spans="1:9">
      <c r="A4314" s="556" t="s">
        <v>3682</v>
      </c>
      <c r="B4314" s="557"/>
      <c r="C4314" s="558" t="s">
        <v>7753</v>
      </c>
      <c r="D4314" s="556" t="s">
        <v>3683</v>
      </c>
      <c r="E4314" s="17" t="s">
        <v>7754</v>
      </c>
      <c r="F4314" s="17">
        <v>125</v>
      </c>
      <c r="G4314" s="17">
        <v>1</v>
      </c>
      <c r="H4314" s="17" t="s">
        <v>9113</v>
      </c>
      <c r="I4314" s="17"/>
    </row>
    <row r="4315" spans="1:9">
      <c r="A4315" s="556" t="s">
        <v>3682</v>
      </c>
      <c r="B4315" s="557"/>
      <c r="C4315" s="558" t="s">
        <v>7755</v>
      </c>
      <c r="D4315" s="556" t="s">
        <v>3683</v>
      </c>
      <c r="E4315" s="17" t="s">
        <v>7756</v>
      </c>
      <c r="F4315" s="17">
        <v>127</v>
      </c>
      <c r="G4315" s="17">
        <v>1</v>
      </c>
      <c r="H4315" s="17" t="s">
        <v>9114</v>
      </c>
      <c r="I4315" s="17"/>
    </row>
    <row r="4316" spans="1:9">
      <c r="A4316" s="556" t="s">
        <v>3682</v>
      </c>
      <c r="B4316" s="557"/>
      <c r="C4316" s="558" t="s">
        <v>9563</v>
      </c>
      <c r="D4316" s="556" t="s">
        <v>3683</v>
      </c>
      <c r="E4316" s="17" t="s">
        <v>9564</v>
      </c>
      <c r="F4316" s="17">
        <v>129</v>
      </c>
      <c r="G4316" s="17">
        <v>1</v>
      </c>
      <c r="H4316" s="17" t="s">
        <v>9592</v>
      </c>
      <c r="I4316" s="17"/>
    </row>
    <row r="4317" spans="1:9">
      <c r="A4317" s="564" t="s">
        <v>3682</v>
      </c>
      <c r="B4317" s="565"/>
      <c r="C4317" s="566" t="s">
        <v>9244</v>
      </c>
      <c r="D4317" s="564" t="s">
        <v>3683</v>
      </c>
      <c r="E4317" s="559" t="s">
        <v>9245</v>
      </c>
      <c r="F4317" s="17">
        <v>131</v>
      </c>
      <c r="G4317" s="17">
        <v>1</v>
      </c>
      <c r="H4317" s="564" t="s">
        <v>9593</v>
      </c>
      <c r="I4317" s="567"/>
    </row>
  </sheetData>
  <sheetProtection algorithmName="SHA-512" hashValue="riYEKmvAyMaQPqaU2mum+1p8t2as7U8tSNQM/g4cXfjJ6qlureCwVUx7R1p68nICxyeYKfvDLg2S9umfaMlT2Q==" saltValue="IWNpw1bXNucMyL2KoCbf6w==" spinCount="100000" sheet="1" objects="1" scenarios="1" selectLockedCells="1"/>
  <mergeCells count="21">
    <mergeCell ref="B18:I18"/>
    <mergeCell ref="B16:I16"/>
    <mergeCell ref="B19:I19"/>
    <mergeCell ref="B20:I20"/>
    <mergeCell ref="A8:I8"/>
    <mergeCell ref="A22:I22"/>
    <mergeCell ref="G6:I6"/>
    <mergeCell ref="A1:I2"/>
    <mergeCell ref="A4:I4"/>
    <mergeCell ref="A27:E27"/>
    <mergeCell ref="F27:G27"/>
    <mergeCell ref="H27:I27"/>
    <mergeCell ref="A6:C6"/>
    <mergeCell ref="D6:F6"/>
    <mergeCell ref="A10:I10"/>
    <mergeCell ref="B11:I11"/>
    <mergeCell ref="B12:I12"/>
    <mergeCell ref="B13:I13"/>
    <mergeCell ref="B14:I14"/>
    <mergeCell ref="B15:I15"/>
    <mergeCell ref="B17:I17"/>
  </mergeCells>
  <conditionalFormatting sqref="B14 B17">
    <cfRule type="expression" priority="6">
      <formula>"C3 = ""variable"""</formula>
    </cfRule>
  </conditionalFormatting>
  <conditionalFormatting sqref="B15">
    <cfRule type="expression" priority="2">
      <formula>"C3 = ""variable"""</formula>
    </cfRule>
  </conditionalFormatting>
  <conditionalFormatting sqref="B13">
    <cfRule type="expression" priority="4">
      <formula>"C3 = ""variable"""</formula>
    </cfRule>
  </conditionalFormatting>
  <conditionalFormatting sqref="B18">
    <cfRule type="expression" priority="1">
      <formula>"C3 = ""variable"""</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B0F2B-FB29-4316-9CF9-7428471561B5}">
  <sheetPr codeName="Feuil89">
    <tabColor theme="3"/>
  </sheetPr>
  <dimension ref="A1:S159"/>
  <sheetViews>
    <sheetView zoomScaleNormal="100" workbookViewId="0">
      <selection activeCell="A25" sqref="A25:E159"/>
    </sheetView>
  </sheetViews>
  <sheetFormatPr baseColWidth="10" defaultRowHeight="14.4"/>
  <cols>
    <col min="1" max="1" width="36.3125" customWidth="1"/>
    <col min="2" max="2" width="60.5234375" customWidth="1"/>
    <col min="3" max="3" width="34.1015625" customWidth="1"/>
    <col min="4" max="4" width="32.3125" customWidth="1"/>
    <col min="5" max="5" width="27.41796875" customWidth="1"/>
    <col min="6" max="6" width="14.89453125" customWidth="1"/>
    <col min="7" max="7" width="14.3125" customWidth="1"/>
    <col min="8" max="8" width="14" customWidth="1"/>
    <col min="9" max="9" width="14.1015625" customWidth="1"/>
  </cols>
  <sheetData>
    <row r="1" spans="1:19" ht="18" customHeight="1">
      <c r="A1" s="1373" t="s">
        <v>3295</v>
      </c>
      <c r="B1" s="1373"/>
      <c r="C1" s="1373"/>
      <c r="D1" s="1373"/>
      <c r="E1" s="1373"/>
      <c r="F1" s="17"/>
      <c r="G1" s="52"/>
      <c r="H1" s="52"/>
      <c r="I1" s="52"/>
      <c r="J1" s="52"/>
      <c r="K1" s="52"/>
      <c r="L1" s="52"/>
      <c r="M1" s="52"/>
      <c r="N1" s="52"/>
      <c r="O1" s="52"/>
      <c r="P1" s="52"/>
      <c r="Q1" s="17"/>
      <c r="R1" s="17"/>
      <c r="S1" s="17"/>
    </row>
    <row r="2" spans="1:19" ht="28.2" customHeight="1">
      <c r="A2" s="1373"/>
      <c r="B2" s="1373"/>
      <c r="C2" s="1373"/>
      <c r="D2" s="1373"/>
      <c r="E2" s="1373"/>
      <c r="F2" s="17"/>
      <c r="G2" s="52"/>
      <c r="H2" s="52"/>
      <c r="I2" s="52"/>
      <c r="J2" s="52"/>
      <c r="K2" s="52"/>
      <c r="L2" s="52"/>
      <c r="M2" s="52"/>
      <c r="N2" s="52"/>
      <c r="O2" s="52"/>
      <c r="P2" s="52"/>
      <c r="Q2" s="17"/>
      <c r="R2" s="17"/>
      <c r="S2" s="17"/>
    </row>
    <row r="3" spans="1:19" ht="18.600000000000001" thickBot="1">
      <c r="A3" s="1394"/>
      <c r="B3" s="1394"/>
      <c r="C3" s="1394"/>
      <c r="D3" s="1394"/>
      <c r="E3" s="1394"/>
      <c r="F3" s="17"/>
      <c r="G3" s="52"/>
      <c r="H3" s="52"/>
      <c r="I3" s="52"/>
      <c r="J3" s="52"/>
      <c r="K3" s="52"/>
      <c r="L3" s="52"/>
      <c r="M3" s="52"/>
      <c r="N3" s="52"/>
      <c r="O3" s="52"/>
      <c r="P3" s="52"/>
      <c r="Q3" s="17"/>
      <c r="R3" s="17"/>
      <c r="S3" s="17"/>
    </row>
    <row r="4" spans="1:19" ht="26.1" thickBot="1">
      <c r="A4" s="1370" t="s">
        <v>3299</v>
      </c>
      <c r="B4" s="1371"/>
      <c r="C4" s="1371"/>
      <c r="D4" s="1371"/>
      <c r="E4" s="1371"/>
      <c r="F4" s="17"/>
      <c r="G4" s="17"/>
      <c r="H4" s="17"/>
      <c r="I4" s="17"/>
      <c r="J4" s="17"/>
      <c r="K4" s="52"/>
      <c r="L4" s="52"/>
      <c r="M4" s="52"/>
      <c r="N4" s="52"/>
      <c r="O4" s="52"/>
      <c r="P4" s="52"/>
      <c r="Q4" s="17"/>
      <c r="R4" s="17"/>
      <c r="S4" s="17"/>
    </row>
    <row r="5" spans="1:19" ht="18.3">
      <c r="A5" s="17"/>
      <c r="B5" s="17"/>
      <c r="C5" s="17"/>
      <c r="D5" s="17"/>
      <c r="E5" s="17"/>
      <c r="F5" s="17"/>
      <c r="G5" s="17"/>
      <c r="H5" s="17"/>
      <c r="I5" s="17"/>
      <c r="J5" s="17"/>
      <c r="K5" s="52"/>
      <c r="L5" s="52"/>
      <c r="M5" s="52"/>
      <c r="N5" s="52"/>
      <c r="O5" s="52"/>
      <c r="P5" s="52"/>
      <c r="Q5" s="17"/>
      <c r="R5" s="17"/>
      <c r="S5" s="17"/>
    </row>
    <row r="6" spans="1:19" ht="111" customHeight="1">
      <c r="A6" s="92" t="s">
        <v>3531</v>
      </c>
      <c r="B6" s="1353" t="s">
        <v>3535</v>
      </c>
      <c r="C6" s="1353"/>
      <c r="D6" s="1353" t="s">
        <v>3532</v>
      </c>
      <c r="E6" s="1353"/>
      <c r="F6" s="17"/>
      <c r="G6" s="17"/>
      <c r="H6" s="17"/>
      <c r="I6" s="17"/>
      <c r="J6" s="17"/>
      <c r="K6" s="52"/>
      <c r="L6" s="52"/>
      <c r="M6" s="52"/>
      <c r="N6" s="52"/>
      <c r="O6" s="52"/>
      <c r="P6" s="52"/>
      <c r="Q6" s="17"/>
      <c r="R6" s="17"/>
      <c r="S6" s="17"/>
    </row>
    <row r="7" spans="1:19" ht="18.600000000000001" thickBot="1">
      <c r="A7" s="17"/>
      <c r="B7" s="17"/>
      <c r="C7" s="17"/>
      <c r="D7" s="17"/>
      <c r="E7" s="17"/>
      <c r="F7" s="17"/>
      <c r="G7" s="17"/>
      <c r="H7" s="17"/>
      <c r="I7" s="17"/>
      <c r="J7" s="17"/>
      <c r="K7" s="52"/>
      <c r="L7" s="52"/>
      <c r="M7" s="52"/>
      <c r="N7" s="52"/>
      <c r="O7" s="52"/>
      <c r="P7" s="52"/>
      <c r="Q7" s="17"/>
      <c r="R7" s="17"/>
      <c r="S7" s="17"/>
    </row>
    <row r="8" spans="1:19" ht="28.2" customHeight="1" thickBot="1">
      <c r="A8" s="1370" t="s">
        <v>3291</v>
      </c>
      <c r="B8" s="1371"/>
      <c r="C8" s="1371"/>
      <c r="D8" s="1371"/>
      <c r="E8" s="1371"/>
      <c r="F8" s="17"/>
      <c r="G8" s="17"/>
      <c r="H8" s="17"/>
      <c r="I8" s="17"/>
      <c r="J8" s="17"/>
      <c r="K8" s="52"/>
      <c r="L8" s="52"/>
      <c r="M8" s="52"/>
      <c r="N8" s="52"/>
      <c r="O8" s="52"/>
      <c r="P8" s="52"/>
      <c r="Q8" s="17"/>
      <c r="R8" s="17"/>
      <c r="S8" s="17"/>
    </row>
    <row r="9" spans="1:19" ht="14.4" customHeight="1">
      <c r="A9" s="53"/>
      <c r="B9" s="53"/>
      <c r="C9" s="53"/>
      <c r="D9" s="53"/>
      <c r="E9" s="53"/>
      <c r="F9" s="53"/>
      <c r="G9" s="17"/>
      <c r="H9" s="17"/>
      <c r="I9" s="17"/>
      <c r="J9" s="17"/>
      <c r="K9" s="52"/>
      <c r="L9" s="52"/>
      <c r="M9" s="52"/>
      <c r="N9" s="52"/>
      <c r="O9" s="52"/>
      <c r="P9" s="52"/>
      <c r="Q9" s="17"/>
      <c r="R9" s="17"/>
      <c r="S9" s="17"/>
    </row>
    <row r="10" spans="1:19" ht="18.3">
      <c r="A10" s="1345" t="s">
        <v>3300</v>
      </c>
      <c r="B10" s="1346"/>
      <c r="C10" s="1346"/>
      <c r="D10" s="1346"/>
      <c r="E10" s="1347"/>
      <c r="F10" s="17"/>
      <c r="G10" s="17"/>
      <c r="H10" s="17"/>
      <c r="I10" s="17"/>
      <c r="J10" s="17"/>
      <c r="K10" s="52"/>
      <c r="L10" s="52"/>
      <c r="M10" s="52"/>
      <c r="N10" s="52"/>
      <c r="O10" s="52"/>
      <c r="P10" s="52"/>
      <c r="Q10" s="17"/>
      <c r="R10" s="17"/>
      <c r="S10" s="17"/>
    </row>
    <row r="11" spans="1:19" ht="18.3">
      <c r="A11" s="54" t="s">
        <v>3003</v>
      </c>
      <c r="B11" s="1391" t="s">
        <v>2976</v>
      </c>
      <c r="C11" s="1392"/>
      <c r="D11" s="1392"/>
      <c r="E11" s="1393"/>
      <c r="F11" s="17"/>
      <c r="G11" s="17"/>
      <c r="H11" s="17"/>
      <c r="I11" s="17"/>
      <c r="J11" s="17"/>
      <c r="K11" s="52"/>
      <c r="L11" s="52"/>
      <c r="M11" s="52"/>
      <c r="N11" s="52"/>
      <c r="O11" s="52"/>
      <c r="P11" s="52"/>
      <c r="Q11" s="17"/>
      <c r="R11" s="17"/>
      <c r="S11" s="17"/>
    </row>
    <row r="12" spans="1:19" ht="18.3">
      <c r="A12" s="91" t="s">
        <v>3278</v>
      </c>
      <c r="B12" s="1385" t="s">
        <v>3319</v>
      </c>
      <c r="C12" s="1386"/>
      <c r="D12" s="1386"/>
      <c r="E12" s="1387"/>
      <c r="F12" s="17"/>
      <c r="G12" s="17"/>
      <c r="H12" s="17"/>
      <c r="I12" s="17"/>
      <c r="J12" s="17"/>
      <c r="K12" s="52"/>
      <c r="L12" s="52"/>
      <c r="M12" s="52"/>
      <c r="N12" s="52"/>
      <c r="O12" s="52"/>
      <c r="P12" s="52"/>
      <c r="Q12" s="17"/>
      <c r="R12" s="17"/>
      <c r="S12" s="17"/>
    </row>
    <row r="13" spans="1:19" ht="18.3">
      <c r="A13" s="91" t="s">
        <v>3303</v>
      </c>
      <c r="B13" s="1382" t="s">
        <v>3511</v>
      </c>
      <c r="C13" s="1383"/>
      <c r="D13" s="1383"/>
      <c r="E13" s="1384"/>
      <c r="F13" s="17"/>
      <c r="G13" s="17"/>
      <c r="H13" s="17"/>
      <c r="I13" s="17"/>
      <c r="J13" s="17"/>
      <c r="K13" s="52"/>
      <c r="L13" s="52"/>
      <c r="M13" s="52"/>
      <c r="N13" s="52"/>
      <c r="O13" s="52"/>
      <c r="P13" s="52"/>
      <c r="Q13" s="17"/>
      <c r="R13" s="17"/>
      <c r="S13" s="17"/>
    </row>
    <row r="14" spans="1:19" ht="18.3">
      <c r="A14" s="91" t="s">
        <v>3311</v>
      </c>
      <c r="B14" s="1382" t="s">
        <v>3512</v>
      </c>
      <c r="C14" s="1383"/>
      <c r="D14" s="1383"/>
      <c r="E14" s="1384"/>
      <c r="F14" s="17"/>
      <c r="G14" s="17"/>
      <c r="H14" s="17"/>
      <c r="I14" s="17"/>
      <c r="J14" s="17"/>
      <c r="K14" s="17"/>
      <c r="L14" s="17"/>
      <c r="M14" s="17"/>
      <c r="N14" s="52"/>
      <c r="O14" s="52"/>
      <c r="P14" s="52"/>
      <c r="Q14" s="17"/>
      <c r="R14" s="17"/>
      <c r="S14" s="17"/>
    </row>
    <row r="15" spans="1:19" ht="18.3">
      <c r="A15" s="91" t="s">
        <v>3310</v>
      </c>
      <c r="B15" s="1385" t="s">
        <v>3513</v>
      </c>
      <c r="C15" s="1386"/>
      <c r="D15" s="1386"/>
      <c r="E15" s="1387"/>
      <c r="F15" s="17"/>
      <c r="G15" s="17"/>
      <c r="H15" s="17"/>
      <c r="I15" s="17"/>
      <c r="J15" s="17"/>
      <c r="K15" s="52"/>
      <c r="L15" s="52"/>
      <c r="M15" s="52"/>
      <c r="N15" s="52"/>
      <c r="O15" s="52"/>
      <c r="P15" s="52"/>
      <c r="Q15" s="17"/>
      <c r="R15" s="17"/>
      <c r="S15" s="17"/>
    </row>
    <row r="16" spans="1:19" ht="18" customHeight="1">
      <c r="A16" s="91" t="s">
        <v>3305</v>
      </c>
      <c r="B16" s="1388" t="s">
        <v>3516</v>
      </c>
      <c r="C16" s="1389"/>
      <c r="D16" s="1389"/>
      <c r="E16" s="1390"/>
      <c r="F16" s="17"/>
      <c r="G16" s="17"/>
      <c r="H16" s="17"/>
      <c r="I16" s="17"/>
      <c r="J16" s="17"/>
      <c r="K16" s="52"/>
      <c r="L16" s="52"/>
      <c r="M16" s="52"/>
      <c r="N16" s="52"/>
      <c r="O16" s="52"/>
      <c r="P16" s="52"/>
      <c r="Q16" s="17"/>
      <c r="R16" s="17"/>
      <c r="S16" s="17"/>
    </row>
    <row r="17" spans="1:19" ht="13.95" customHeight="1" thickBot="1">
      <c r="A17" s="17"/>
      <c r="B17" s="17"/>
      <c r="C17" s="17"/>
      <c r="D17" s="17"/>
      <c r="E17" s="17"/>
      <c r="F17" s="17"/>
      <c r="G17" s="17"/>
      <c r="H17" s="17"/>
      <c r="I17" s="17"/>
      <c r="J17" s="17"/>
      <c r="K17" s="17"/>
      <c r="L17" s="52"/>
      <c r="M17" s="52"/>
      <c r="N17" s="52"/>
      <c r="O17" s="52"/>
      <c r="P17" s="52"/>
      <c r="Q17" s="17"/>
      <c r="R17" s="17"/>
      <c r="S17" s="17"/>
    </row>
    <row r="18" spans="1:19" ht="28.2" customHeight="1" thickBot="1">
      <c r="A18" s="1370" t="s">
        <v>3323</v>
      </c>
      <c r="B18" s="1371"/>
      <c r="C18" s="1371"/>
      <c r="D18" s="1371"/>
      <c r="E18" s="1371"/>
      <c r="F18" s="17"/>
      <c r="G18" s="17"/>
      <c r="H18" s="17"/>
      <c r="I18" s="17"/>
      <c r="J18" s="17"/>
      <c r="K18" s="17"/>
      <c r="L18" s="52"/>
      <c r="M18" s="52"/>
      <c r="N18" s="52"/>
      <c r="O18" s="52"/>
      <c r="P18" s="52"/>
      <c r="Q18" s="17"/>
      <c r="R18" s="17"/>
      <c r="S18" s="17"/>
    </row>
    <row r="19" spans="1:19" ht="14.4" customHeight="1">
      <c r="A19" s="17"/>
      <c r="B19" s="17"/>
      <c r="C19" s="17"/>
      <c r="D19" s="17"/>
      <c r="E19" s="17"/>
      <c r="F19" s="17"/>
      <c r="G19" s="17"/>
      <c r="H19" s="17"/>
      <c r="I19" s="17"/>
      <c r="J19" s="17"/>
      <c r="K19" s="17"/>
      <c r="L19" s="52"/>
      <c r="M19" s="52"/>
      <c r="N19" s="52"/>
      <c r="O19" s="52"/>
      <c r="P19" s="52"/>
      <c r="Q19" s="17"/>
      <c r="R19" s="17"/>
      <c r="S19" s="17"/>
    </row>
    <row r="20" spans="1:19" ht="14.4" customHeight="1">
      <c r="A20" s="17"/>
      <c r="B20" s="17"/>
      <c r="C20" s="17"/>
      <c r="D20" s="17"/>
      <c r="E20" s="17"/>
      <c r="F20" s="17"/>
      <c r="G20" s="17"/>
      <c r="H20" s="17"/>
      <c r="I20" s="17"/>
      <c r="J20" s="17"/>
      <c r="K20" s="17"/>
      <c r="L20" s="52"/>
      <c r="M20" s="52"/>
      <c r="N20" s="52"/>
      <c r="O20" s="52"/>
      <c r="P20" s="52"/>
      <c r="Q20" s="17"/>
      <c r="R20" s="17"/>
      <c r="S20" s="17"/>
    </row>
    <row r="21" spans="1:19" ht="14.4" customHeight="1">
      <c r="A21" s="17"/>
      <c r="B21" s="17"/>
      <c r="C21" s="17"/>
      <c r="D21" s="17"/>
      <c r="E21" s="17"/>
      <c r="F21" s="17"/>
      <c r="G21" s="17"/>
      <c r="H21" s="17"/>
      <c r="I21" s="17"/>
      <c r="J21" s="17"/>
      <c r="K21" s="17"/>
      <c r="L21" s="52"/>
      <c r="M21" s="52"/>
      <c r="N21" s="52"/>
      <c r="O21" s="52"/>
      <c r="P21" s="52"/>
      <c r="Q21" s="17"/>
      <c r="R21" s="17"/>
      <c r="S21" s="17"/>
    </row>
    <row r="22" spans="1:19" ht="14.4" customHeight="1">
      <c r="A22" s="17"/>
      <c r="B22" s="17"/>
      <c r="C22" s="17"/>
      <c r="D22" s="17"/>
      <c r="E22" s="17"/>
      <c r="F22" s="17"/>
      <c r="G22" s="17"/>
      <c r="H22" s="17"/>
      <c r="I22" s="17"/>
      <c r="J22" s="17"/>
      <c r="K22" s="17"/>
      <c r="L22" s="52"/>
      <c r="M22" s="52"/>
      <c r="N22" s="52"/>
      <c r="O22" s="52"/>
      <c r="P22" s="52"/>
      <c r="Q22" s="17"/>
      <c r="R22" s="17"/>
      <c r="S22" s="17"/>
    </row>
    <row r="23" spans="1:19" ht="18" customHeight="1">
      <c r="A23" s="1374" t="s">
        <v>3320</v>
      </c>
      <c r="B23" s="1374"/>
      <c r="C23" s="1374"/>
      <c r="D23" s="96" t="s">
        <v>3321</v>
      </c>
      <c r="E23" s="97" t="s">
        <v>3314</v>
      </c>
      <c r="F23" s="17"/>
      <c r="G23" s="17"/>
      <c r="H23" s="17"/>
      <c r="I23" s="17"/>
      <c r="J23" s="17"/>
      <c r="K23" s="17"/>
      <c r="L23" s="17"/>
      <c r="M23" s="17"/>
      <c r="N23" s="17"/>
      <c r="O23" s="17"/>
      <c r="P23" s="17"/>
      <c r="Q23" s="17"/>
      <c r="R23" s="17"/>
      <c r="S23" s="17"/>
    </row>
    <row r="24" spans="1:19" ht="15.6">
      <c r="A24" s="55" t="s">
        <v>3278</v>
      </c>
      <c r="B24" s="55" t="s">
        <v>3303</v>
      </c>
      <c r="C24" s="55" t="s">
        <v>3311</v>
      </c>
      <c r="D24" s="56" t="s">
        <v>3310</v>
      </c>
      <c r="E24" s="57" t="s">
        <v>3305</v>
      </c>
      <c r="F24" s="17"/>
      <c r="G24" s="17"/>
      <c r="H24" s="17"/>
      <c r="I24" s="17"/>
      <c r="J24" s="17"/>
      <c r="K24" s="17"/>
      <c r="L24" s="17"/>
      <c r="M24" s="17"/>
      <c r="N24" s="17"/>
      <c r="O24" s="17"/>
      <c r="P24" s="17"/>
      <c r="Q24" s="17"/>
      <c r="R24" s="17"/>
      <c r="S24" s="17"/>
    </row>
    <row r="25" spans="1:19">
      <c r="A25" s="17" t="s">
        <v>9023</v>
      </c>
      <c r="B25" s="17" t="s">
        <v>9051</v>
      </c>
      <c r="C25" s="17" t="s">
        <v>9052</v>
      </c>
      <c r="D25" s="17">
        <v>1</v>
      </c>
      <c r="E25" s="17" t="s">
        <v>3703</v>
      </c>
      <c r="F25" s="17"/>
      <c r="G25" s="17"/>
      <c r="H25" s="17"/>
      <c r="I25" s="17"/>
      <c r="J25" s="17"/>
      <c r="K25" s="17"/>
      <c r="L25" s="17"/>
      <c r="M25" s="17"/>
      <c r="N25" s="17"/>
      <c r="O25" s="17"/>
      <c r="P25" s="17"/>
      <c r="Q25" s="17"/>
      <c r="R25" s="17"/>
      <c r="S25" s="17"/>
    </row>
    <row r="26" spans="1:19">
      <c r="A26" s="17" t="s">
        <v>9023</v>
      </c>
      <c r="B26" s="17" t="s">
        <v>9053</v>
      </c>
      <c r="C26" s="17" t="s">
        <v>9054</v>
      </c>
      <c r="D26" s="17">
        <v>16</v>
      </c>
      <c r="E26" s="17" t="s">
        <v>9241</v>
      </c>
      <c r="F26" s="17"/>
      <c r="G26" s="17"/>
      <c r="H26" s="17"/>
      <c r="I26" s="17"/>
      <c r="J26" s="17"/>
      <c r="K26" s="17"/>
      <c r="L26" s="17"/>
      <c r="M26" s="17"/>
      <c r="N26" s="17"/>
      <c r="O26" s="17"/>
      <c r="P26" s="17"/>
      <c r="Q26" s="17"/>
      <c r="R26" s="17"/>
      <c r="S26" s="17"/>
    </row>
    <row r="27" spans="1:19">
      <c r="A27" s="17" t="s">
        <v>9023</v>
      </c>
      <c r="B27" s="17" t="s">
        <v>9055</v>
      </c>
      <c r="C27" s="17" t="s">
        <v>9056</v>
      </c>
      <c r="D27" s="17">
        <v>25</v>
      </c>
      <c r="E27" s="17" t="s">
        <v>9242</v>
      </c>
      <c r="F27" s="17"/>
      <c r="G27" s="17"/>
      <c r="H27" s="17"/>
      <c r="I27" s="17"/>
      <c r="J27" s="17"/>
      <c r="K27" s="17"/>
      <c r="L27" s="17"/>
      <c r="M27" s="17"/>
      <c r="N27" s="17"/>
      <c r="O27" s="17"/>
      <c r="P27" s="17"/>
      <c r="Q27" s="17"/>
      <c r="R27" s="17"/>
      <c r="S27" s="17"/>
    </row>
    <row r="28" spans="1:19">
      <c r="A28" s="17" t="s">
        <v>9023</v>
      </c>
      <c r="B28" s="17" t="s">
        <v>9057</v>
      </c>
      <c r="C28" s="17" t="s">
        <v>9058</v>
      </c>
      <c r="D28" s="17">
        <v>34</v>
      </c>
      <c r="E28" s="17" t="s">
        <v>9243</v>
      </c>
      <c r="F28" s="17"/>
      <c r="G28" s="17"/>
      <c r="H28" s="17"/>
      <c r="I28" s="17"/>
      <c r="J28" s="17"/>
      <c r="K28" s="17"/>
      <c r="L28" s="17"/>
      <c r="M28" s="17"/>
      <c r="N28" s="17"/>
      <c r="O28" s="17"/>
      <c r="P28" s="17"/>
      <c r="Q28" s="17"/>
      <c r="R28" s="17"/>
      <c r="S28" s="17"/>
    </row>
    <row r="29" spans="1:19">
      <c r="A29" s="17" t="s">
        <v>9024</v>
      </c>
      <c r="B29" s="17" t="s">
        <v>1098</v>
      </c>
      <c r="C29" s="17" t="s">
        <v>9059</v>
      </c>
      <c r="D29" s="17">
        <v>1</v>
      </c>
      <c r="E29" s="17" t="s">
        <v>2993</v>
      </c>
      <c r="F29" s="17"/>
      <c r="G29" s="17"/>
      <c r="H29" s="17"/>
      <c r="I29" s="17"/>
      <c r="J29" s="17"/>
      <c r="K29" s="17"/>
      <c r="L29" s="17"/>
      <c r="M29" s="17"/>
      <c r="N29" s="17"/>
      <c r="O29" s="17"/>
      <c r="P29" s="17"/>
      <c r="Q29" s="17"/>
      <c r="R29" s="17"/>
      <c r="S29" s="17"/>
    </row>
    <row r="30" spans="1:19">
      <c r="A30" s="17" t="s">
        <v>9024</v>
      </c>
      <c r="B30" s="17" t="s">
        <v>1099</v>
      </c>
      <c r="C30" s="17" t="s">
        <v>9060</v>
      </c>
      <c r="D30" s="17">
        <v>3</v>
      </c>
      <c r="E30" s="17" t="s">
        <v>9086</v>
      </c>
      <c r="F30" s="17"/>
      <c r="G30" s="17"/>
      <c r="H30" s="17"/>
      <c r="I30" s="17"/>
      <c r="J30" s="17"/>
      <c r="K30" s="17"/>
      <c r="L30" s="17"/>
      <c r="M30" s="17"/>
      <c r="N30" s="17"/>
      <c r="O30" s="17"/>
      <c r="P30" s="17"/>
      <c r="Q30" s="17"/>
      <c r="R30" s="17"/>
      <c r="S30" s="17"/>
    </row>
    <row r="31" spans="1:19">
      <c r="A31" s="17" t="s">
        <v>9024</v>
      </c>
      <c r="B31" s="17" t="s">
        <v>9582</v>
      </c>
      <c r="C31" s="17" t="s">
        <v>9061</v>
      </c>
      <c r="D31" s="17">
        <v>4</v>
      </c>
      <c r="E31" s="17" t="s">
        <v>3691</v>
      </c>
      <c r="F31" s="17"/>
      <c r="G31" s="17"/>
      <c r="H31" s="17"/>
      <c r="I31" s="17"/>
      <c r="J31" s="17"/>
      <c r="K31" s="17"/>
      <c r="L31" s="17"/>
      <c r="M31" s="17"/>
      <c r="N31" s="17"/>
      <c r="O31" s="17"/>
      <c r="P31" s="17"/>
      <c r="Q31" s="17"/>
      <c r="R31" s="17"/>
      <c r="S31" s="17"/>
    </row>
    <row r="32" spans="1:19">
      <c r="A32" s="17" t="s">
        <v>9024</v>
      </c>
      <c r="B32" s="17" t="s">
        <v>9583</v>
      </c>
      <c r="C32" s="17" t="s">
        <v>9062</v>
      </c>
      <c r="D32" s="17">
        <v>5</v>
      </c>
      <c r="E32" s="17" t="s">
        <v>3326</v>
      </c>
      <c r="F32" s="17"/>
      <c r="G32" s="17"/>
      <c r="H32" s="17"/>
      <c r="I32" s="17"/>
      <c r="J32" s="17"/>
      <c r="K32" s="17"/>
      <c r="L32" s="17"/>
      <c r="M32" s="17"/>
      <c r="N32" s="17"/>
      <c r="O32" s="17"/>
      <c r="P32" s="17"/>
      <c r="Q32" s="17"/>
      <c r="R32" s="17"/>
      <c r="S32" s="17"/>
    </row>
    <row r="33" spans="1:19">
      <c r="A33" s="17" t="s">
        <v>9024</v>
      </c>
      <c r="B33" s="17" t="s">
        <v>9063</v>
      </c>
      <c r="C33" s="17" t="s">
        <v>9064</v>
      </c>
      <c r="D33" s="17">
        <v>6</v>
      </c>
      <c r="E33" s="17" t="s">
        <v>2990</v>
      </c>
      <c r="F33" s="17"/>
      <c r="G33" s="17"/>
      <c r="H33" s="17"/>
      <c r="I33" s="17"/>
      <c r="J33" s="17"/>
      <c r="K33" s="17"/>
      <c r="L33" s="17"/>
      <c r="M33" s="17"/>
      <c r="N33" s="17"/>
      <c r="O33" s="17"/>
      <c r="P33" s="17"/>
      <c r="Q33" s="17"/>
      <c r="R33" s="17"/>
      <c r="S33" s="17"/>
    </row>
    <row r="34" spans="1:19">
      <c r="A34" s="17" t="s">
        <v>9024</v>
      </c>
      <c r="B34" s="17" t="s">
        <v>1103</v>
      </c>
      <c r="C34" s="17" t="s">
        <v>9065</v>
      </c>
      <c r="D34" s="17">
        <v>8</v>
      </c>
      <c r="E34" s="17" t="s">
        <v>2991</v>
      </c>
      <c r="F34" s="17"/>
      <c r="G34" s="17"/>
      <c r="H34" s="17"/>
      <c r="I34" s="17"/>
      <c r="J34" s="17"/>
      <c r="K34" s="17"/>
      <c r="L34" s="17"/>
      <c r="M34" s="17"/>
      <c r="N34" s="17"/>
      <c r="O34" s="17"/>
      <c r="P34" s="17"/>
      <c r="Q34" s="17"/>
      <c r="R34" s="17"/>
      <c r="S34" s="17"/>
    </row>
    <row r="35" spans="1:19">
      <c r="A35" s="17" t="s">
        <v>9026</v>
      </c>
      <c r="B35" s="17" t="s">
        <v>1098</v>
      </c>
      <c r="C35" s="17" t="s">
        <v>9066</v>
      </c>
      <c r="D35" s="17">
        <v>1</v>
      </c>
      <c r="E35" s="17" t="s">
        <v>9085</v>
      </c>
      <c r="F35" s="17"/>
      <c r="G35" s="17"/>
      <c r="H35" s="17"/>
      <c r="I35" s="17"/>
      <c r="J35" s="17"/>
      <c r="K35" s="17"/>
      <c r="L35" s="17"/>
      <c r="M35" s="17"/>
      <c r="N35" s="17"/>
      <c r="O35" s="17"/>
      <c r="P35" s="17"/>
      <c r="Q35" s="17"/>
      <c r="R35" s="17"/>
      <c r="S35" s="17"/>
    </row>
    <row r="36" spans="1:19">
      <c r="A36" s="17" t="s">
        <v>9026</v>
      </c>
      <c r="B36" s="17" t="s">
        <v>1107</v>
      </c>
      <c r="C36" s="17" t="s">
        <v>9067</v>
      </c>
      <c r="D36" s="17">
        <v>3</v>
      </c>
      <c r="E36" s="17" t="s">
        <v>580</v>
      </c>
      <c r="F36" s="17"/>
      <c r="G36" s="17"/>
      <c r="H36" s="17"/>
      <c r="I36" s="17"/>
      <c r="J36" s="17"/>
      <c r="K36" s="17"/>
      <c r="L36" s="17"/>
      <c r="M36" s="17"/>
      <c r="N36" s="17"/>
      <c r="O36" s="17"/>
      <c r="P36" s="17"/>
      <c r="Q36" s="17"/>
      <c r="R36" s="17"/>
      <c r="S36" s="17"/>
    </row>
    <row r="37" spans="1:19">
      <c r="A37" s="17" t="s">
        <v>9026</v>
      </c>
      <c r="B37" s="17" t="s">
        <v>1101</v>
      </c>
      <c r="C37" s="17" t="s">
        <v>9068</v>
      </c>
      <c r="D37" s="17">
        <v>5</v>
      </c>
      <c r="E37" s="17" t="s">
        <v>7778</v>
      </c>
      <c r="F37" s="17"/>
      <c r="G37" s="17"/>
      <c r="H37" s="17"/>
      <c r="I37" s="17"/>
      <c r="J37" s="17"/>
      <c r="K37" s="17"/>
      <c r="L37" s="17"/>
      <c r="M37" s="17"/>
      <c r="N37" s="17"/>
      <c r="O37" s="17"/>
      <c r="P37" s="17"/>
      <c r="Q37" s="17"/>
      <c r="R37" s="17"/>
      <c r="S37" s="17"/>
    </row>
    <row r="38" spans="1:19">
      <c r="A38" s="17" t="s">
        <v>9026</v>
      </c>
      <c r="B38" s="17" t="s">
        <v>1103</v>
      </c>
      <c r="C38" s="17" t="s">
        <v>9069</v>
      </c>
      <c r="D38" s="17">
        <v>7</v>
      </c>
      <c r="E38" s="17" t="s">
        <v>3360</v>
      </c>
      <c r="F38" s="17"/>
      <c r="G38" s="17"/>
      <c r="H38" s="17"/>
      <c r="I38" s="17"/>
      <c r="J38" s="17"/>
      <c r="K38" s="17"/>
      <c r="L38" s="17"/>
      <c r="M38" s="17"/>
      <c r="N38" s="17"/>
      <c r="O38" s="17"/>
      <c r="P38" s="17"/>
      <c r="Q38" s="17"/>
      <c r="R38" s="17"/>
      <c r="S38" s="17"/>
    </row>
    <row r="39" spans="1:19" ht="15.6">
      <c r="A39" s="58" t="s">
        <v>2968</v>
      </c>
      <c r="B39" s="58" t="s">
        <v>1685</v>
      </c>
      <c r="C39" s="58" t="s">
        <v>3506</v>
      </c>
      <c r="D39" s="59">
        <v>1</v>
      </c>
      <c r="E39" s="58" t="s">
        <v>2993</v>
      </c>
      <c r="F39" s="17"/>
      <c r="G39" s="17"/>
      <c r="H39" s="17"/>
      <c r="I39" s="17"/>
      <c r="J39" s="17"/>
      <c r="K39" s="17"/>
      <c r="L39" s="17"/>
      <c r="M39" s="17"/>
      <c r="N39" s="17"/>
      <c r="O39" s="17"/>
      <c r="P39" s="17"/>
      <c r="Q39" s="17"/>
      <c r="R39" s="17"/>
      <c r="S39" s="17"/>
    </row>
    <row r="40" spans="1:19" ht="15.6">
      <c r="A40" s="58" t="s">
        <v>2968</v>
      </c>
      <c r="B40" s="58" t="s">
        <v>3263</v>
      </c>
      <c r="C40" s="58" t="s">
        <v>3507</v>
      </c>
      <c r="D40" s="60">
        <v>6</v>
      </c>
      <c r="E40" s="58" t="s">
        <v>2990</v>
      </c>
      <c r="F40" s="17"/>
      <c r="G40" s="17"/>
      <c r="H40" s="17"/>
      <c r="I40" s="17"/>
      <c r="J40" s="17"/>
      <c r="K40" s="17"/>
      <c r="L40" s="17"/>
      <c r="M40" s="17"/>
      <c r="N40" s="17"/>
      <c r="O40" s="17"/>
      <c r="P40" s="17"/>
      <c r="Q40" s="17"/>
      <c r="R40" s="17"/>
      <c r="S40" s="17"/>
    </row>
    <row r="41" spans="1:19" ht="15.6">
      <c r="A41" s="58" t="s">
        <v>2968</v>
      </c>
      <c r="B41" s="58" t="s">
        <v>1687</v>
      </c>
      <c r="C41" s="58" t="s">
        <v>3508</v>
      </c>
      <c r="D41" s="60">
        <v>7</v>
      </c>
      <c r="E41" s="58" t="s">
        <v>3338</v>
      </c>
      <c r="F41" s="17"/>
      <c r="G41" s="17"/>
      <c r="H41" s="17"/>
      <c r="I41" s="17"/>
      <c r="J41" s="17"/>
      <c r="K41" s="17"/>
      <c r="L41" s="17"/>
      <c r="M41" s="17"/>
      <c r="N41" s="17"/>
      <c r="O41" s="17"/>
      <c r="P41" s="17"/>
      <c r="Q41" s="17"/>
      <c r="R41" s="17"/>
      <c r="S41" s="17"/>
    </row>
    <row r="42" spans="1:19" ht="15.6">
      <c r="A42" s="58" t="s">
        <v>2968</v>
      </c>
      <c r="B42" s="58" t="s">
        <v>1137</v>
      </c>
      <c r="C42" s="58" t="s">
        <v>3509</v>
      </c>
      <c r="D42" s="60">
        <v>8</v>
      </c>
      <c r="E42" s="58" t="s">
        <v>2991</v>
      </c>
      <c r="F42" s="17"/>
      <c r="G42" s="17"/>
      <c r="H42" s="17"/>
      <c r="I42" s="17"/>
      <c r="J42" s="17"/>
      <c r="K42" s="17"/>
      <c r="L42" s="17"/>
      <c r="M42" s="17"/>
      <c r="N42" s="17"/>
      <c r="O42" s="17"/>
      <c r="P42" s="17"/>
      <c r="Q42" s="17"/>
      <c r="R42" s="17"/>
      <c r="S42" s="17"/>
    </row>
    <row r="43" spans="1:19" ht="15.6">
      <c r="A43" s="58" t="s">
        <v>2968</v>
      </c>
      <c r="B43" s="58" t="s">
        <v>2997</v>
      </c>
      <c r="C43" s="58" t="s">
        <v>3510</v>
      </c>
      <c r="D43" s="60">
        <v>9</v>
      </c>
      <c r="E43" s="58" t="s">
        <v>2992</v>
      </c>
      <c r="F43" s="17"/>
      <c r="G43" s="17"/>
      <c r="H43" s="17"/>
      <c r="I43" s="17"/>
      <c r="J43" s="17"/>
      <c r="K43" s="17"/>
      <c r="L43" s="17"/>
      <c r="M43" s="17"/>
      <c r="N43" s="17"/>
      <c r="O43" s="17"/>
      <c r="P43" s="17"/>
      <c r="Q43" s="17"/>
      <c r="R43" s="17"/>
      <c r="S43" s="17"/>
    </row>
    <row r="44" spans="1:19" ht="15.6">
      <c r="A44" s="58" t="s">
        <v>3560</v>
      </c>
      <c r="B44" s="58" t="s">
        <v>1712</v>
      </c>
      <c r="C44" s="58" t="s">
        <v>8582</v>
      </c>
      <c r="D44" s="60">
        <v>1</v>
      </c>
      <c r="E44" s="58" t="s">
        <v>3693</v>
      </c>
      <c r="F44" s="17"/>
      <c r="G44" s="17"/>
      <c r="H44" s="17"/>
      <c r="I44" s="17"/>
      <c r="J44" s="17"/>
      <c r="K44" s="17"/>
      <c r="L44" s="17"/>
      <c r="M44" s="17"/>
      <c r="N44" s="17"/>
      <c r="O44" s="17"/>
      <c r="P44" s="17"/>
      <c r="Q44" s="17"/>
      <c r="R44" s="17"/>
      <c r="S44" s="17"/>
    </row>
    <row r="45" spans="1:19" ht="15.6">
      <c r="A45" s="58" t="s">
        <v>3560</v>
      </c>
      <c r="B45" s="58" t="s">
        <v>8583</v>
      </c>
      <c r="C45" s="58" t="s">
        <v>8584</v>
      </c>
      <c r="D45" s="59">
        <v>5</v>
      </c>
      <c r="E45" s="58" t="s">
        <v>7792</v>
      </c>
      <c r="F45" s="17"/>
      <c r="G45" s="17"/>
      <c r="H45" s="17"/>
      <c r="I45" s="17"/>
      <c r="J45" s="17"/>
      <c r="K45" s="17"/>
      <c r="L45" s="17"/>
      <c r="M45" s="17"/>
      <c r="N45" s="17"/>
      <c r="O45" s="17"/>
      <c r="P45" s="17"/>
      <c r="Q45" s="17"/>
      <c r="R45" s="17"/>
      <c r="S45" s="17"/>
    </row>
    <row r="46" spans="1:19" ht="15.6">
      <c r="A46" s="58" t="s">
        <v>3560</v>
      </c>
      <c r="B46" s="58" t="s">
        <v>8585</v>
      </c>
      <c r="C46" s="58" t="s">
        <v>8586</v>
      </c>
      <c r="D46" s="17">
        <v>6</v>
      </c>
      <c r="E46" s="58" t="s">
        <v>3390</v>
      </c>
      <c r="F46" s="17"/>
      <c r="G46" s="17"/>
      <c r="H46" s="17"/>
      <c r="I46" s="17"/>
      <c r="J46" s="17"/>
      <c r="K46" s="17"/>
      <c r="L46" s="17"/>
      <c r="M46" s="17"/>
      <c r="N46" s="17"/>
      <c r="O46" s="17"/>
      <c r="P46" s="17"/>
      <c r="Q46" s="17"/>
      <c r="R46" s="17"/>
      <c r="S46" s="17"/>
    </row>
    <row r="47" spans="1:19" ht="15.6">
      <c r="A47" s="58" t="s">
        <v>3560</v>
      </c>
      <c r="B47" s="58" t="s">
        <v>1715</v>
      </c>
      <c r="C47" s="58" t="s">
        <v>8587</v>
      </c>
      <c r="D47" s="17">
        <v>7</v>
      </c>
      <c r="E47" s="58" t="s">
        <v>3391</v>
      </c>
      <c r="F47" s="17"/>
      <c r="G47" s="17"/>
      <c r="H47" s="17"/>
      <c r="I47" s="17"/>
      <c r="J47" s="17"/>
      <c r="K47" s="17"/>
      <c r="L47" s="17"/>
      <c r="M47" s="17"/>
      <c r="N47" s="17"/>
      <c r="O47" s="17"/>
      <c r="P47" s="17"/>
      <c r="Q47" s="17"/>
      <c r="R47" s="17"/>
      <c r="S47" s="17"/>
    </row>
    <row r="48" spans="1:19" ht="15.6">
      <c r="A48" s="58" t="s">
        <v>3560</v>
      </c>
      <c r="B48" s="58" t="s">
        <v>8588</v>
      </c>
      <c r="C48" s="58" t="s">
        <v>8589</v>
      </c>
      <c r="D48" s="17">
        <v>8</v>
      </c>
      <c r="E48" s="58" t="s">
        <v>3392</v>
      </c>
      <c r="F48" s="17"/>
      <c r="G48" s="17"/>
      <c r="H48" s="17"/>
      <c r="I48" s="17"/>
      <c r="J48" s="17"/>
      <c r="K48" s="17"/>
      <c r="L48" s="17"/>
      <c r="M48" s="17"/>
      <c r="N48" s="17"/>
      <c r="O48" s="17"/>
      <c r="P48" s="17"/>
      <c r="Q48" s="17"/>
      <c r="R48" s="17"/>
      <c r="S48" s="17"/>
    </row>
    <row r="49" spans="1:19" ht="15.6">
      <c r="A49" s="58" t="s">
        <v>3560</v>
      </c>
      <c r="B49" s="58" t="s">
        <v>8590</v>
      </c>
      <c r="C49" s="58" t="s">
        <v>8591</v>
      </c>
      <c r="D49" s="17">
        <v>9</v>
      </c>
      <c r="E49" s="58" t="s">
        <v>3393</v>
      </c>
      <c r="F49" s="17"/>
      <c r="G49" s="17"/>
      <c r="H49" s="17"/>
      <c r="I49" s="17"/>
      <c r="J49" s="17"/>
      <c r="K49" s="17"/>
      <c r="L49" s="17"/>
      <c r="M49" s="17"/>
      <c r="N49" s="17"/>
      <c r="O49" s="17"/>
      <c r="P49" s="17"/>
      <c r="Q49" s="17"/>
      <c r="R49" s="17"/>
      <c r="S49" s="17"/>
    </row>
    <row r="50" spans="1:19" ht="15.6">
      <c r="A50" s="58" t="s">
        <v>3560</v>
      </c>
      <c r="B50" s="58" t="s">
        <v>9230</v>
      </c>
      <c r="C50" s="58" t="s">
        <v>8592</v>
      </c>
      <c r="D50" s="17">
        <v>10</v>
      </c>
      <c r="E50" s="58" t="s">
        <v>3464</v>
      </c>
      <c r="F50" s="17"/>
      <c r="G50" s="17"/>
      <c r="H50" s="17"/>
      <c r="I50" s="17"/>
      <c r="J50" s="17"/>
      <c r="K50" s="17"/>
      <c r="L50" s="17"/>
      <c r="M50" s="17"/>
      <c r="N50" s="17"/>
      <c r="O50" s="17"/>
      <c r="P50" s="17"/>
      <c r="Q50" s="17"/>
      <c r="R50" s="17"/>
      <c r="S50" s="17"/>
    </row>
    <row r="51" spans="1:19" ht="15.6">
      <c r="A51" s="58" t="s">
        <v>3560</v>
      </c>
      <c r="B51" s="58" t="s">
        <v>1718</v>
      </c>
      <c r="C51" s="58" t="s">
        <v>9240</v>
      </c>
      <c r="D51" s="17">
        <v>11</v>
      </c>
      <c r="E51" s="58" t="s">
        <v>3694</v>
      </c>
      <c r="F51" s="17"/>
      <c r="G51" s="17"/>
      <c r="H51" s="17"/>
      <c r="I51" s="17"/>
      <c r="J51" s="17"/>
      <c r="K51" s="17"/>
      <c r="L51" s="17"/>
      <c r="M51" s="17"/>
      <c r="N51" s="17"/>
      <c r="O51" s="17"/>
      <c r="P51" s="17"/>
      <c r="Q51" s="17"/>
      <c r="R51" s="17"/>
      <c r="S51" s="17"/>
    </row>
    <row r="52" spans="1:19" ht="15.6">
      <c r="A52" s="58" t="s">
        <v>3571</v>
      </c>
      <c r="B52" s="58" t="s">
        <v>1807</v>
      </c>
      <c r="C52" s="58" t="s">
        <v>8593</v>
      </c>
      <c r="D52" s="60">
        <v>1</v>
      </c>
      <c r="E52" s="58" t="s">
        <v>3697</v>
      </c>
      <c r="F52" s="17"/>
      <c r="G52" s="17"/>
      <c r="H52" s="17"/>
      <c r="I52" s="17"/>
      <c r="J52" s="17"/>
      <c r="K52" s="17"/>
      <c r="L52" s="17"/>
      <c r="M52" s="17"/>
      <c r="N52" s="17"/>
      <c r="O52" s="17"/>
      <c r="P52" s="17"/>
      <c r="Q52" s="17"/>
      <c r="R52" s="17"/>
      <c r="S52" s="17"/>
    </row>
    <row r="53" spans="1:19" ht="15.6">
      <c r="A53" s="58" t="s">
        <v>3571</v>
      </c>
      <c r="B53" s="58" t="s">
        <v>1808</v>
      </c>
      <c r="C53" s="58" t="s">
        <v>8594</v>
      </c>
      <c r="D53" s="60">
        <v>2</v>
      </c>
      <c r="E53" s="58" t="s">
        <v>3343</v>
      </c>
      <c r="F53" s="17"/>
      <c r="G53" s="17"/>
      <c r="H53" s="17"/>
      <c r="I53" s="17"/>
      <c r="J53" s="17"/>
      <c r="K53" s="17"/>
      <c r="L53" s="17"/>
      <c r="M53" s="17"/>
      <c r="N53" s="17"/>
      <c r="O53" s="17"/>
      <c r="P53" s="17"/>
      <c r="Q53" s="17"/>
      <c r="R53" s="17"/>
      <c r="S53" s="17"/>
    </row>
    <row r="54" spans="1:19" ht="15.6">
      <c r="A54" s="58" t="s">
        <v>3572</v>
      </c>
      <c r="B54" s="58" t="s">
        <v>1807</v>
      </c>
      <c r="C54" s="58" t="s">
        <v>8595</v>
      </c>
      <c r="D54" s="60">
        <v>1</v>
      </c>
      <c r="E54" s="58" t="s">
        <v>3344</v>
      </c>
      <c r="F54" s="17"/>
      <c r="G54" s="17"/>
      <c r="H54" s="17"/>
      <c r="I54" s="17"/>
      <c r="J54" s="17"/>
      <c r="K54" s="17"/>
      <c r="L54" s="17"/>
      <c r="M54" s="17"/>
      <c r="N54" s="17"/>
      <c r="O54" s="17"/>
      <c r="P54" s="17"/>
      <c r="Q54" s="17"/>
      <c r="R54" s="17"/>
      <c r="S54" s="17"/>
    </row>
    <row r="55" spans="1:19" ht="15.6">
      <c r="A55" s="58" t="s">
        <v>3572</v>
      </c>
      <c r="B55" s="58" t="s">
        <v>1808</v>
      </c>
      <c r="C55" s="58" t="s">
        <v>8596</v>
      </c>
      <c r="D55" s="60">
        <v>2</v>
      </c>
      <c r="E55" s="58" t="s">
        <v>3345</v>
      </c>
      <c r="F55" s="17"/>
      <c r="G55" s="17"/>
      <c r="H55" s="17"/>
      <c r="I55" s="17"/>
      <c r="J55" s="17"/>
      <c r="K55" s="17"/>
      <c r="L55" s="17"/>
      <c r="M55" s="17"/>
      <c r="N55" s="17"/>
      <c r="O55" s="17"/>
      <c r="P55" s="17"/>
      <c r="Q55" s="17"/>
      <c r="R55" s="17"/>
      <c r="S55" s="17"/>
    </row>
    <row r="56" spans="1:19" ht="15.6">
      <c r="A56" s="58" t="s">
        <v>3582</v>
      </c>
      <c r="B56" s="58" t="s">
        <v>3583</v>
      </c>
      <c r="C56" s="58" t="s">
        <v>8597</v>
      </c>
      <c r="D56" s="60">
        <v>1</v>
      </c>
      <c r="E56" s="58" t="s">
        <v>2993</v>
      </c>
      <c r="F56" s="17"/>
      <c r="G56" s="17"/>
      <c r="H56" s="17"/>
      <c r="I56" s="17"/>
      <c r="J56" s="17"/>
      <c r="K56" s="17"/>
      <c r="L56" s="17"/>
      <c r="M56" s="17"/>
      <c r="N56" s="17"/>
      <c r="O56" s="17"/>
      <c r="P56" s="17"/>
      <c r="Q56" s="17"/>
      <c r="R56" s="17"/>
      <c r="S56" s="17"/>
    </row>
    <row r="57" spans="1:19" ht="15.6">
      <c r="A57" s="58" t="s">
        <v>3582</v>
      </c>
      <c r="B57" s="58" t="s">
        <v>1866</v>
      </c>
      <c r="C57" s="58" t="s">
        <v>8598</v>
      </c>
      <c r="D57" s="60">
        <v>5</v>
      </c>
      <c r="E57" s="58" t="s">
        <v>3326</v>
      </c>
      <c r="F57" s="17"/>
      <c r="G57" s="17"/>
      <c r="H57" s="17"/>
      <c r="I57" s="17"/>
      <c r="J57" s="17"/>
      <c r="K57" s="17"/>
      <c r="L57" s="17"/>
      <c r="M57" s="17"/>
      <c r="N57" s="17"/>
      <c r="O57" s="17"/>
      <c r="P57" s="17"/>
      <c r="Q57" s="17"/>
      <c r="R57" s="17"/>
      <c r="S57" s="17"/>
    </row>
    <row r="58" spans="1:19" ht="15.6">
      <c r="A58" s="58" t="s">
        <v>3582</v>
      </c>
      <c r="B58" s="58" t="s">
        <v>8599</v>
      </c>
      <c r="C58" s="58" t="s">
        <v>8600</v>
      </c>
      <c r="D58" s="60">
        <v>6</v>
      </c>
      <c r="E58" s="58" t="s">
        <v>2990</v>
      </c>
      <c r="F58" s="17"/>
      <c r="G58" s="17"/>
      <c r="H58" s="17"/>
      <c r="I58" s="17"/>
      <c r="J58" s="17"/>
      <c r="K58" s="17"/>
      <c r="L58" s="17"/>
      <c r="M58" s="17"/>
      <c r="N58" s="17"/>
      <c r="O58" s="17"/>
      <c r="P58" s="17"/>
      <c r="Q58" s="17"/>
      <c r="R58" s="17"/>
      <c r="S58" s="17"/>
    </row>
    <row r="59" spans="1:19" ht="15.6">
      <c r="A59" s="58" t="s">
        <v>3582</v>
      </c>
      <c r="B59" s="58" t="s">
        <v>8601</v>
      </c>
      <c r="C59" s="58" t="s">
        <v>8602</v>
      </c>
      <c r="D59" s="60">
        <v>7</v>
      </c>
      <c r="E59" s="58" t="s">
        <v>3338</v>
      </c>
      <c r="F59" s="17"/>
      <c r="G59" s="17"/>
      <c r="H59" s="17"/>
      <c r="I59" s="17"/>
      <c r="J59" s="17"/>
      <c r="K59" s="17"/>
      <c r="L59" s="17"/>
      <c r="M59" s="17"/>
      <c r="N59" s="17"/>
      <c r="O59" s="17"/>
      <c r="P59" s="17"/>
      <c r="Q59" s="17"/>
      <c r="R59" s="17"/>
      <c r="S59" s="17"/>
    </row>
    <row r="60" spans="1:19" ht="15.6">
      <c r="A60" s="58" t="s">
        <v>3582</v>
      </c>
      <c r="B60" s="58" t="s">
        <v>8603</v>
      </c>
      <c r="C60" s="58" t="s">
        <v>8604</v>
      </c>
      <c r="D60" s="60">
        <v>8</v>
      </c>
      <c r="E60" s="58" t="s">
        <v>2991</v>
      </c>
      <c r="F60" s="17"/>
      <c r="G60" s="17"/>
      <c r="H60" s="17"/>
      <c r="I60" s="17"/>
      <c r="J60" s="17"/>
      <c r="K60" s="17"/>
      <c r="L60" s="17"/>
      <c r="M60" s="17"/>
      <c r="N60" s="17"/>
      <c r="O60" s="17"/>
      <c r="P60" s="17"/>
      <c r="Q60" s="17"/>
      <c r="R60" s="17"/>
      <c r="S60" s="17"/>
    </row>
    <row r="61" spans="1:19" ht="15.6">
      <c r="A61" s="58" t="s">
        <v>3582</v>
      </c>
      <c r="B61" s="58" t="s">
        <v>8605</v>
      </c>
      <c r="C61" s="58" t="s">
        <v>8606</v>
      </c>
      <c r="D61" s="60">
        <v>9</v>
      </c>
      <c r="E61" s="58" t="s">
        <v>2992</v>
      </c>
      <c r="F61" s="17"/>
      <c r="G61" s="17"/>
      <c r="H61" s="17"/>
      <c r="I61" s="17"/>
      <c r="J61" s="17"/>
      <c r="K61" s="17"/>
      <c r="L61" s="17"/>
      <c r="M61" s="17"/>
      <c r="N61" s="17"/>
      <c r="O61" s="17"/>
      <c r="P61" s="17"/>
      <c r="Q61" s="17"/>
      <c r="R61" s="17"/>
      <c r="S61" s="17"/>
    </row>
    <row r="62" spans="1:19" ht="15.6">
      <c r="A62" s="58" t="s">
        <v>3584</v>
      </c>
      <c r="B62" s="58" t="s">
        <v>8607</v>
      </c>
      <c r="C62" s="58" t="s">
        <v>8608</v>
      </c>
      <c r="D62" s="60">
        <v>1</v>
      </c>
      <c r="E62" s="58" t="s">
        <v>3699</v>
      </c>
      <c r="F62" s="17"/>
      <c r="G62" s="17"/>
      <c r="H62" s="17"/>
      <c r="I62" s="17"/>
      <c r="J62" s="17"/>
      <c r="K62" s="17"/>
      <c r="L62" s="17"/>
      <c r="M62" s="17"/>
      <c r="N62" s="17"/>
      <c r="O62" s="17"/>
      <c r="P62" s="17"/>
      <c r="Q62" s="17"/>
      <c r="R62" s="17"/>
      <c r="S62" s="17"/>
    </row>
    <row r="63" spans="1:19" ht="15.6">
      <c r="A63" s="58" t="s">
        <v>3584</v>
      </c>
      <c r="B63" s="58" t="s">
        <v>1866</v>
      </c>
      <c r="C63" s="58" t="s">
        <v>8609</v>
      </c>
      <c r="D63" s="60">
        <v>5</v>
      </c>
      <c r="E63" s="58" t="s">
        <v>3697</v>
      </c>
      <c r="F63" s="17"/>
      <c r="G63" s="17"/>
      <c r="H63" s="17"/>
      <c r="I63" s="17"/>
      <c r="J63" s="17"/>
      <c r="K63" s="17"/>
      <c r="L63" s="17"/>
      <c r="M63" s="17"/>
      <c r="N63" s="17"/>
      <c r="O63" s="17"/>
      <c r="P63" s="17"/>
      <c r="Q63" s="17"/>
      <c r="R63" s="17"/>
      <c r="S63" s="17"/>
    </row>
    <row r="64" spans="1:19" ht="15.6">
      <c r="A64" s="58" t="s">
        <v>3584</v>
      </c>
      <c r="B64" s="58" t="s">
        <v>8599</v>
      </c>
      <c r="C64" s="58" t="s">
        <v>8610</v>
      </c>
      <c r="D64" s="60">
        <v>6</v>
      </c>
      <c r="E64" s="58" t="s">
        <v>3343</v>
      </c>
      <c r="F64" s="17"/>
      <c r="G64" s="17"/>
      <c r="H64" s="17"/>
      <c r="I64" s="17"/>
      <c r="J64" s="17"/>
      <c r="K64" s="17"/>
      <c r="L64" s="17"/>
      <c r="M64" s="17"/>
      <c r="N64" s="17"/>
      <c r="O64" s="17"/>
      <c r="P64" s="17"/>
      <c r="Q64" s="17"/>
      <c r="R64" s="17"/>
      <c r="S64" s="17"/>
    </row>
    <row r="65" spans="1:19" ht="15.6">
      <c r="A65" s="58" t="s">
        <v>3584</v>
      </c>
      <c r="B65" s="58" t="s">
        <v>8601</v>
      </c>
      <c r="C65" s="58" t="s">
        <v>8611</v>
      </c>
      <c r="D65" s="60">
        <v>7</v>
      </c>
      <c r="E65" s="58" t="s">
        <v>3344</v>
      </c>
      <c r="F65" s="17"/>
      <c r="G65" s="17"/>
      <c r="H65" s="17"/>
      <c r="I65" s="17"/>
      <c r="J65" s="17"/>
      <c r="K65" s="17"/>
      <c r="L65" s="17"/>
      <c r="M65" s="17"/>
      <c r="N65" s="17"/>
      <c r="O65" s="17"/>
      <c r="P65" s="17"/>
      <c r="Q65" s="17"/>
      <c r="R65" s="17"/>
      <c r="S65" s="17"/>
    </row>
    <row r="66" spans="1:19" ht="15.6">
      <c r="A66" s="58" t="s">
        <v>3584</v>
      </c>
      <c r="B66" s="58" t="s">
        <v>8603</v>
      </c>
      <c r="C66" s="58" t="s">
        <v>8612</v>
      </c>
      <c r="D66" s="60">
        <v>8</v>
      </c>
      <c r="E66" s="58" t="s">
        <v>3345</v>
      </c>
      <c r="F66" s="17"/>
      <c r="G66" s="17"/>
      <c r="H66" s="17"/>
      <c r="I66" s="17"/>
      <c r="J66" s="17"/>
      <c r="K66" s="17"/>
      <c r="L66" s="17"/>
      <c r="M66" s="17"/>
      <c r="N66" s="17"/>
      <c r="O66" s="17"/>
      <c r="P66" s="17"/>
      <c r="Q66" s="17"/>
      <c r="R66" s="17"/>
      <c r="S66" s="17"/>
    </row>
    <row r="67" spans="1:19" ht="15.6">
      <c r="A67" s="58" t="s">
        <v>3584</v>
      </c>
      <c r="B67" s="58" t="s">
        <v>8605</v>
      </c>
      <c r="C67" s="58" t="s">
        <v>8613</v>
      </c>
      <c r="D67" s="60">
        <v>9</v>
      </c>
      <c r="E67" s="58" t="s">
        <v>3346</v>
      </c>
      <c r="F67" s="17"/>
      <c r="G67" s="17"/>
      <c r="H67" s="17"/>
      <c r="I67" s="17"/>
      <c r="J67" s="17"/>
      <c r="K67" s="17"/>
      <c r="L67" s="17"/>
      <c r="M67" s="17"/>
      <c r="N67" s="17"/>
      <c r="O67" s="17"/>
      <c r="P67" s="17"/>
      <c r="Q67" s="17"/>
      <c r="R67" s="17"/>
      <c r="S67" s="17"/>
    </row>
    <row r="68" spans="1:19" ht="15.6">
      <c r="A68" s="58" t="s">
        <v>3586</v>
      </c>
      <c r="B68" s="58" t="s">
        <v>1291</v>
      </c>
      <c r="C68" s="58" t="s">
        <v>8614</v>
      </c>
      <c r="D68" s="60">
        <v>1</v>
      </c>
      <c r="E68" s="58" t="s">
        <v>3698</v>
      </c>
      <c r="F68" s="17"/>
      <c r="G68" s="17"/>
      <c r="H68" s="17"/>
      <c r="I68" s="17"/>
      <c r="J68" s="17"/>
      <c r="K68" s="17"/>
      <c r="L68" s="17"/>
      <c r="M68" s="17"/>
      <c r="N68" s="17"/>
      <c r="O68" s="17"/>
      <c r="P68" s="17"/>
      <c r="Q68" s="17"/>
      <c r="R68" s="17"/>
      <c r="S68" s="17"/>
    </row>
    <row r="69" spans="1:19" ht="15.6">
      <c r="A69" s="58" t="s">
        <v>3586</v>
      </c>
      <c r="B69" s="58" t="s">
        <v>1693</v>
      </c>
      <c r="C69" s="58" t="s">
        <v>8615</v>
      </c>
      <c r="D69" s="60">
        <v>7</v>
      </c>
      <c r="E69" s="58" t="s">
        <v>3363</v>
      </c>
      <c r="F69" s="17"/>
      <c r="G69" s="17"/>
      <c r="H69" s="17"/>
      <c r="I69" s="17"/>
      <c r="J69" s="17"/>
      <c r="K69" s="17"/>
      <c r="L69" s="17"/>
      <c r="M69" s="17"/>
      <c r="N69" s="17"/>
      <c r="O69" s="17"/>
      <c r="P69" s="17"/>
      <c r="Q69" s="17"/>
      <c r="R69" s="17"/>
      <c r="S69" s="17"/>
    </row>
    <row r="70" spans="1:19" ht="15.6">
      <c r="A70" s="58" t="s">
        <v>3586</v>
      </c>
      <c r="B70" s="58" t="s">
        <v>1694</v>
      </c>
      <c r="C70" s="58" t="s">
        <v>8616</v>
      </c>
      <c r="D70" s="60">
        <v>8</v>
      </c>
      <c r="E70" s="58" t="s">
        <v>3364</v>
      </c>
      <c r="F70" s="17"/>
      <c r="G70" s="17"/>
      <c r="H70" s="17"/>
      <c r="I70" s="17"/>
      <c r="J70" s="17"/>
      <c r="K70" s="17"/>
      <c r="L70" s="17"/>
      <c r="M70" s="17"/>
      <c r="N70" s="17"/>
      <c r="O70" s="17"/>
      <c r="P70" s="17"/>
      <c r="Q70" s="17"/>
      <c r="R70" s="17"/>
      <c r="S70" s="17"/>
    </row>
    <row r="71" spans="1:19" ht="15.6">
      <c r="A71" s="58" t="s">
        <v>3586</v>
      </c>
      <c r="B71" s="58" t="s">
        <v>4324</v>
      </c>
      <c r="C71" s="58" t="s">
        <v>8617</v>
      </c>
      <c r="D71" s="60">
        <v>9</v>
      </c>
      <c r="E71" s="58" t="s">
        <v>3365</v>
      </c>
      <c r="F71" s="17"/>
      <c r="G71" s="17"/>
      <c r="H71" s="17"/>
      <c r="I71" s="17"/>
      <c r="J71" s="17"/>
      <c r="K71" s="17"/>
      <c r="L71" s="17"/>
      <c r="M71" s="17"/>
      <c r="N71" s="17"/>
      <c r="O71" s="17"/>
      <c r="P71" s="17"/>
      <c r="Q71" s="17"/>
      <c r="R71" s="17"/>
      <c r="S71" s="17"/>
    </row>
    <row r="72" spans="1:19" ht="15.6">
      <c r="A72" s="58" t="s">
        <v>3587</v>
      </c>
      <c r="B72" s="58" t="s">
        <v>1326</v>
      </c>
      <c r="C72" s="58" t="s">
        <v>8618</v>
      </c>
      <c r="D72" s="60">
        <v>1</v>
      </c>
      <c r="E72" s="58" t="s">
        <v>3700</v>
      </c>
      <c r="F72" s="17"/>
      <c r="G72" s="17"/>
      <c r="H72" s="17"/>
      <c r="I72" s="17"/>
      <c r="J72" s="17"/>
      <c r="K72" s="17"/>
      <c r="L72" s="17"/>
      <c r="M72" s="17"/>
      <c r="N72" s="17"/>
      <c r="O72" s="17"/>
      <c r="P72" s="17"/>
      <c r="Q72" s="17"/>
      <c r="R72" s="17"/>
      <c r="S72" s="17"/>
    </row>
    <row r="73" spans="1:19" ht="15.6">
      <c r="A73" s="58" t="s">
        <v>3587</v>
      </c>
      <c r="B73" s="58" t="s">
        <v>1693</v>
      </c>
      <c r="C73" s="58" t="s">
        <v>8619</v>
      </c>
      <c r="D73" s="60">
        <v>7</v>
      </c>
      <c r="E73" s="58" t="s">
        <v>3371</v>
      </c>
      <c r="F73" s="17"/>
      <c r="G73" s="17"/>
      <c r="H73" s="17"/>
      <c r="I73" s="17"/>
      <c r="J73" s="17"/>
      <c r="K73" s="17"/>
      <c r="L73" s="17"/>
      <c r="M73" s="17"/>
      <c r="N73" s="17"/>
      <c r="O73" s="17"/>
      <c r="P73" s="17"/>
      <c r="Q73" s="17"/>
      <c r="R73" s="17"/>
      <c r="S73" s="17"/>
    </row>
    <row r="74" spans="1:19" ht="15.6">
      <c r="A74" s="58" t="s">
        <v>3587</v>
      </c>
      <c r="B74" s="58" t="s">
        <v>1694</v>
      </c>
      <c r="C74" s="58" t="s">
        <v>8620</v>
      </c>
      <c r="D74" s="60">
        <v>8</v>
      </c>
      <c r="E74" s="58" t="s">
        <v>3372</v>
      </c>
      <c r="F74" s="17"/>
      <c r="G74" s="17"/>
      <c r="H74" s="17"/>
      <c r="I74" s="17"/>
      <c r="J74" s="17"/>
      <c r="K74" s="17"/>
      <c r="L74" s="17"/>
      <c r="M74" s="17"/>
      <c r="N74" s="17"/>
      <c r="O74" s="17"/>
      <c r="P74" s="17"/>
      <c r="Q74" s="17"/>
      <c r="R74" s="17"/>
      <c r="S74" s="17"/>
    </row>
    <row r="75" spans="1:19" ht="15.6">
      <c r="A75" s="58" t="s">
        <v>3587</v>
      </c>
      <c r="B75" s="58" t="s">
        <v>4324</v>
      </c>
      <c r="C75" s="58" t="s">
        <v>8621</v>
      </c>
      <c r="D75" s="60">
        <v>9</v>
      </c>
      <c r="E75" s="58" t="s">
        <v>3373</v>
      </c>
      <c r="F75" s="17"/>
      <c r="G75" s="17"/>
      <c r="H75" s="17"/>
      <c r="I75" s="17"/>
      <c r="J75" s="17"/>
      <c r="K75" s="17"/>
      <c r="L75" s="17"/>
      <c r="M75" s="17"/>
      <c r="N75" s="17"/>
      <c r="O75" s="17"/>
      <c r="P75" s="17"/>
      <c r="Q75" s="17"/>
      <c r="R75" s="17"/>
      <c r="S75" s="17"/>
    </row>
    <row r="76" spans="1:19" ht="15.6">
      <c r="A76" s="58" t="s">
        <v>2970</v>
      </c>
      <c r="B76" s="58" t="s">
        <v>1881</v>
      </c>
      <c r="C76" s="58" t="s">
        <v>3264</v>
      </c>
      <c r="D76" s="60">
        <v>1</v>
      </c>
      <c r="E76" s="58" t="s">
        <v>2994</v>
      </c>
      <c r="F76" s="17"/>
      <c r="G76" s="17"/>
      <c r="H76" s="17"/>
      <c r="I76" s="17"/>
      <c r="J76" s="17"/>
      <c r="K76" s="17"/>
      <c r="L76" s="17"/>
      <c r="M76" s="17"/>
      <c r="N76" s="17"/>
      <c r="O76" s="17"/>
      <c r="P76" s="17"/>
      <c r="Q76" s="17"/>
      <c r="R76" s="17"/>
      <c r="S76" s="17"/>
    </row>
    <row r="77" spans="1:19" ht="15.6">
      <c r="A77" s="58" t="s">
        <v>2970</v>
      </c>
      <c r="B77" s="58" t="s">
        <v>1882</v>
      </c>
      <c r="C77" s="58" t="s">
        <v>3265</v>
      </c>
      <c r="D77" s="60">
        <v>5</v>
      </c>
      <c r="E77" s="58" t="s">
        <v>3517</v>
      </c>
      <c r="F77" s="17"/>
      <c r="G77" s="17"/>
      <c r="H77" s="17"/>
      <c r="I77" s="17"/>
      <c r="J77" s="17"/>
      <c r="K77" s="17"/>
      <c r="L77" s="17"/>
      <c r="M77" s="17"/>
      <c r="N77" s="17"/>
      <c r="O77" s="17"/>
      <c r="P77" s="17"/>
      <c r="Q77" s="17"/>
      <c r="R77" s="17"/>
      <c r="S77" s="17"/>
    </row>
    <row r="78" spans="1:19" ht="15.6">
      <c r="A78" s="58" t="s">
        <v>2970</v>
      </c>
      <c r="B78" s="58" t="s">
        <v>1099</v>
      </c>
      <c r="C78" s="58" t="s">
        <v>3266</v>
      </c>
      <c r="D78" s="60">
        <v>6</v>
      </c>
      <c r="E78" s="58" t="s">
        <v>3518</v>
      </c>
      <c r="F78" s="17"/>
      <c r="G78" s="17"/>
      <c r="H78" s="17"/>
      <c r="I78" s="17"/>
      <c r="J78" s="17"/>
      <c r="K78" s="17"/>
      <c r="L78" s="17"/>
      <c r="M78" s="17"/>
      <c r="N78" s="17"/>
      <c r="O78" s="17"/>
      <c r="P78" s="17"/>
      <c r="Q78" s="17"/>
      <c r="R78" s="17"/>
      <c r="S78" s="17"/>
    </row>
    <row r="79" spans="1:19" ht="15.6">
      <c r="A79" s="58" t="s">
        <v>2970</v>
      </c>
      <c r="B79" s="58" t="s">
        <v>1883</v>
      </c>
      <c r="C79" s="58" t="s">
        <v>3267</v>
      </c>
      <c r="D79" s="60">
        <v>7</v>
      </c>
      <c r="E79" s="58" t="s">
        <v>3519</v>
      </c>
      <c r="F79" s="17"/>
      <c r="G79" s="17"/>
      <c r="H79" s="17"/>
      <c r="I79" s="17"/>
      <c r="J79" s="17"/>
      <c r="K79" s="17"/>
      <c r="L79" s="17"/>
      <c r="M79" s="17"/>
      <c r="N79" s="17"/>
      <c r="O79" s="17"/>
      <c r="P79" s="17"/>
      <c r="Q79" s="17"/>
      <c r="R79" s="17"/>
      <c r="S79" s="17"/>
    </row>
    <row r="80" spans="1:19" ht="15.6">
      <c r="A80" s="58" t="s">
        <v>2970</v>
      </c>
      <c r="B80" s="58" t="s">
        <v>1884</v>
      </c>
      <c r="C80" s="58" t="s">
        <v>3268</v>
      </c>
      <c r="D80" s="60">
        <v>8</v>
      </c>
      <c r="E80" s="58" t="s">
        <v>3520</v>
      </c>
      <c r="F80" s="17"/>
      <c r="G80" s="17"/>
      <c r="H80" s="17"/>
      <c r="I80" s="17"/>
      <c r="J80" s="17"/>
      <c r="K80" s="17"/>
      <c r="L80" s="17"/>
      <c r="M80" s="17"/>
      <c r="N80" s="17"/>
      <c r="O80" s="17"/>
      <c r="P80" s="17"/>
      <c r="Q80" s="17"/>
      <c r="R80" s="17"/>
      <c r="S80" s="17"/>
    </row>
    <row r="81" spans="1:19" ht="15.6">
      <c r="A81" s="58" t="s">
        <v>2970</v>
      </c>
      <c r="B81" s="58" t="s">
        <v>3312</v>
      </c>
      <c r="C81" s="58" t="s">
        <v>3269</v>
      </c>
      <c r="D81" s="60">
        <v>9</v>
      </c>
      <c r="E81" s="58" t="s">
        <v>3521</v>
      </c>
      <c r="F81" s="17"/>
      <c r="G81" s="17"/>
      <c r="H81" s="17"/>
      <c r="I81" s="17"/>
      <c r="J81" s="17"/>
      <c r="K81" s="17"/>
      <c r="L81" s="17"/>
      <c r="M81" s="17"/>
      <c r="N81" s="17"/>
      <c r="O81" s="17"/>
      <c r="P81" s="17"/>
      <c r="Q81" s="17"/>
      <c r="R81" s="17"/>
      <c r="S81" s="17"/>
    </row>
    <row r="82" spans="1:19" ht="15.6">
      <c r="A82" s="58" t="s">
        <v>2970</v>
      </c>
      <c r="B82" s="58" t="s">
        <v>1886</v>
      </c>
      <c r="C82" s="58" t="s">
        <v>3270</v>
      </c>
      <c r="D82" s="60">
        <v>10</v>
      </c>
      <c r="E82" s="58" t="s">
        <v>3505</v>
      </c>
      <c r="F82" s="17"/>
      <c r="G82" s="17"/>
      <c r="H82" s="17"/>
      <c r="I82" s="17"/>
      <c r="J82" s="17"/>
      <c r="K82" s="17"/>
      <c r="L82" s="17"/>
      <c r="M82" s="17"/>
      <c r="N82" s="17"/>
      <c r="O82" s="17"/>
      <c r="P82" s="17"/>
      <c r="Q82" s="17"/>
      <c r="R82" s="17"/>
      <c r="S82" s="17"/>
    </row>
    <row r="83" spans="1:19" ht="15.6">
      <c r="A83" s="58" t="s">
        <v>2970</v>
      </c>
      <c r="B83" s="58" t="s">
        <v>1887</v>
      </c>
      <c r="C83" s="58" t="s">
        <v>3271</v>
      </c>
      <c r="D83" s="60">
        <v>11</v>
      </c>
      <c r="E83" s="58" t="s">
        <v>3522</v>
      </c>
      <c r="F83" s="17"/>
      <c r="G83" s="17"/>
      <c r="H83" s="17"/>
      <c r="I83" s="17"/>
      <c r="J83" s="17"/>
      <c r="K83" s="17"/>
      <c r="L83" s="17"/>
      <c r="M83" s="17"/>
      <c r="N83" s="17"/>
      <c r="O83" s="17"/>
      <c r="P83" s="17"/>
      <c r="Q83" s="17"/>
      <c r="R83" s="17"/>
      <c r="S83" s="17"/>
    </row>
    <row r="84" spans="1:19" ht="15.6">
      <c r="A84" s="58" t="s">
        <v>2970</v>
      </c>
      <c r="B84" s="58" t="s">
        <v>2998</v>
      </c>
      <c r="C84" s="58" t="s">
        <v>3272</v>
      </c>
      <c r="D84" s="60">
        <v>12</v>
      </c>
      <c r="E84" s="58" t="s">
        <v>8741</v>
      </c>
      <c r="F84" s="17"/>
      <c r="G84" s="17"/>
      <c r="H84" s="17"/>
      <c r="I84" s="17"/>
      <c r="J84" s="17"/>
      <c r="K84" s="17"/>
      <c r="L84" s="17"/>
      <c r="M84" s="17"/>
      <c r="N84" s="17"/>
      <c r="O84" s="17"/>
      <c r="P84" s="17"/>
      <c r="Q84" s="17"/>
      <c r="R84" s="17"/>
      <c r="S84" s="17"/>
    </row>
    <row r="85" spans="1:19" ht="15.6">
      <c r="A85" s="58" t="s">
        <v>3608</v>
      </c>
      <c r="B85" s="58" t="s">
        <v>8622</v>
      </c>
      <c r="C85" s="58" t="s">
        <v>8623</v>
      </c>
      <c r="D85" s="60">
        <v>1</v>
      </c>
      <c r="E85" s="58" t="s">
        <v>2993</v>
      </c>
      <c r="F85" s="17"/>
      <c r="G85" s="17"/>
      <c r="H85" s="17"/>
      <c r="I85" s="17"/>
      <c r="J85" s="17"/>
      <c r="K85" s="17"/>
      <c r="L85" s="17"/>
      <c r="M85" s="17"/>
      <c r="N85" s="17"/>
      <c r="O85" s="17"/>
      <c r="P85" s="17"/>
      <c r="Q85" s="17"/>
      <c r="R85" s="17"/>
      <c r="S85" s="17"/>
    </row>
    <row r="86" spans="1:19" ht="15.6">
      <c r="A86" s="58" t="s">
        <v>3608</v>
      </c>
      <c r="B86" s="58" t="s">
        <v>1693</v>
      </c>
      <c r="C86" s="58" t="s">
        <v>8624</v>
      </c>
      <c r="D86" s="60">
        <v>7</v>
      </c>
      <c r="E86" s="58" t="s">
        <v>3338</v>
      </c>
      <c r="F86" s="17"/>
      <c r="G86" s="17"/>
      <c r="H86" s="17"/>
      <c r="I86" s="17"/>
      <c r="J86" s="17"/>
      <c r="K86" s="17"/>
      <c r="L86" s="17"/>
      <c r="M86" s="17"/>
      <c r="N86" s="17"/>
      <c r="O86" s="17"/>
      <c r="P86" s="17"/>
      <c r="Q86" s="17"/>
      <c r="R86" s="17"/>
      <c r="S86" s="17"/>
    </row>
    <row r="87" spans="1:19" ht="15.6">
      <c r="A87" s="58" t="s">
        <v>3608</v>
      </c>
      <c r="B87" s="58" t="s">
        <v>1694</v>
      </c>
      <c r="C87" s="58" t="s">
        <v>8625</v>
      </c>
      <c r="D87" s="60">
        <v>8</v>
      </c>
      <c r="E87" s="58" t="s">
        <v>2991</v>
      </c>
      <c r="F87" s="17"/>
      <c r="G87" s="17"/>
      <c r="H87" s="17"/>
      <c r="I87" s="17"/>
      <c r="J87" s="17"/>
      <c r="K87" s="17"/>
      <c r="L87" s="17"/>
      <c r="M87" s="17"/>
      <c r="N87" s="17"/>
      <c r="O87" s="17"/>
      <c r="P87" s="17"/>
      <c r="Q87" s="17"/>
      <c r="R87" s="17"/>
      <c r="S87" s="17"/>
    </row>
    <row r="88" spans="1:19" ht="15.6">
      <c r="A88" s="58" t="s">
        <v>3610</v>
      </c>
      <c r="B88" s="58" t="s">
        <v>8626</v>
      </c>
      <c r="C88" s="58" t="s">
        <v>8627</v>
      </c>
      <c r="D88" s="60">
        <v>1</v>
      </c>
      <c r="E88" s="58" t="s">
        <v>3702</v>
      </c>
      <c r="F88" s="17"/>
      <c r="G88" s="17"/>
      <c r="H88" s="17"/>
      <c r="I88" s="17"/>
      <c r="J88" s="17"/>
      <c r="K88" s="17"/>
      <c r="L88" s="17"/>
      <c r="M88" s="17"/>
      <c r="N88" s="17"/>
      <c r="O88" s="17"/>
      <c r="P88" s="17"/>
      <c r="Q88" s="17"/>
      <c r="R88" s="17"/>
      <c r="S88" s="17"/>
    </row>
    <row r="89" spans="1:19" ht="15.6">
      <c r="A89" s="58" t="s">
        <v>3610</v>
      </c>
      <c r="B89" s="58" t="s">
        <v>1693</v>
      </c>
      <c r="C89" s="58" t="s">
        <v>8628</v>
      </c>
      <c r="D89" s="60">
        <v>7</v>
      </c>
      <c r="E89" s="58" t="s">
        <v>3348</v>
      </c>
      <c r="F89" s="17"/>
      <c r="G89" s="17"/>
      <c r="H89" s="17"/>
      <c r="I89" s="17"/>
      <c r="J89" s="17"/>
      <c r="K89" s="17"/>
      <c r="L89" s="17"/>
      <c r="M89" s="17"/>
      <c r="N89" s="17"/>
      <c r="O89" s="17"/>
      <c r="P89" s="17"/>
      <c r="Q89" s="17"/>
      <c r="R89" s="17"/>
      <c r="S89" s="17"/>
    </row>
    <row r="90" spans="1:19" ht="15.6">
      <c r="A90" s="58" t="s">
        <v>3610</v>
      </c>
      <c r="B90" s="58" t="s">
        <v>1694</v>
      </c>
      <c r="C90" s="58" t="s">
        <v>8629</v>
      </c>
      <c r="D90" s="60">
        <v>8</v>
      </c>
      <c r="E90" s="58" t="s">
        <v>3349</v>
      </c>
      <c r="F90" s="17"/>
      <c r="G90" s="17"/>
      <c r="H90" s="17"/>
      <c r="I90" s="17"/>
      <c r="J90" s="17"/>
      <c r="K90" s="17"/>
      <c r="L90" s="17"/>
      <c r="M90" s="17"/>
      <c r="N90" s="17"/>
      <c r="O90" s="17"/>
      <c r="P90" s="17"/>
      <c r="Q90" s="17"/>
      <c r="R90" s="17"/>
      <c r="S90" s="17"/>
    </row>
    <row r="91" spans="1:19" ht="15.6">
      <c r="A91" s="58" t="s">
        <v>3620</v>
      </c>
      <c r="B91" s="58" t="s">
        <v>1278</v>
      </c>
      <c r="C91" s="58" t="s">
        <v>8630</v>
      </c>
      <c r="D91" s="60">
        <v>1</v>
      </c>
      <c r="E91" s="58" t="s">
        <v>3703</v>
      </c>
      <c r="F91" s="17"/>
      <c r="G91" s="17"/>
      <c r="H91" s="17"/>
      <c r="I91" s="17"/>
      <c r="J91" s="17"/>
      <c r="K91" s="17"/>
      <c r="L91" s="17"/>
      <c r="M91" s="17"/>
      <c r="N91" s="17"/>
      <c r="O91" s="17"/>
      <c r="P91" s="17"/>
      <c r="Q91" s="17"/>
      <c r="R91" s="17"/>
      <c r="S91" s="17"/>
    </row>
    <row r="92" spans="1:19" ht="15.6">
      <c r="A92" s="58" t="s">
        <v>3620</v>
      </c>
      <c r="B92" s="58" t="s">
        <v>1693</v>
      </c>
      <c r="C92" s="58" t="s">
        <v>8631</v>
      </c>
      <c r="D92" s="60">
        <v>6</v>
      </c>
      <c r="E92" s="58" t="s">
        <v>3402</v>
      </c>
      <c r="F92" s="17"/>
      <c r="G92" s="17"/>
      <c r="H92" s="17"/>
      <c r="I92" s="17"/>
      <c r="J92" s="17"/>
      <c r="K92" s="17"/>
      <c r="L92" s="17"/>
      <c r="M92" s="17"/>
      <c r="N92" s="17"/>
      <c r="O92" s="17"/>
      <c r="P92" s="17"/>
      <c r="Q92" s="17"/>
      <c r="R92" s="17"/>
      <c r="S92" s="17"/>
    </row>
    <row r="93" spans="1:19" ht="15.6">
      <c r="A93" s="58" t="s">
        <v>3620</v>
      </c>
      <c r="B93" s="58" t="s">
        <v>1694</v>
      </c>
      <c r="C93" s="58" t="s">
        <v>8632</v>
      </c>
      <c r="D93" s="60">
        <v>7</v>
      </c>
      <c r="E93" s="58" t="s">
        <v>3403</v>
      </c>
      <c r="F93" s="17"/>
      <c r="G93" s="17"/>
      <c r="H93" s="17"/>
      <c r="I93" s="17"/>
      <c r="J93" s="17"/>
      <c r="K93" s="17"/>
      <c r="L93" s="17"/>
      <c r="M93" s="17"/>
      <c r="N93" s="17"/>
      <c r="O93" s="17"/>
      <c r="P93" s="17"/>
      <c r="Q93" s="17"/>
      <c r="R93" s="17"/>
      <c r="S93" s="17"/>
    </row>
    <row r="94" spans="1:19" ht="15.6">
      <c r="A94" s="58" t="s">
        <v>3620</v>
      </c>
      <c r="B94" s="58" t="s">
        <v>4324</v>
      </c>
      <c r="C94" s="58" t="s">
        <v>8633</v>
      </c>
      <c r="D94" s="60">
        <v>8</v>
      </c>
      <c r="E94" s="58" t="s">
        <v>3404</v>
      </c>
      <c r="F94" s="17"/>
      <c r="G94" s="17"/>
      <c r="H94" s="17"/>
      <c r="I94" s="17"/>
      <c r="J94" s="17"/>
      <c r="K94" s="17"/>
      <c r="L94" s="17"/>
      <c r="M94" s="17"/>
      <c r="N94" s="17"/>
      <c r="O94" s="17"/>
      <c r="P94" s="17"/>
      <c r="Q94" s="17"/>
      <c r="R94" s="17"/>
      <c r="S94" s="17"/>
    </row>
    <row r="95" spans="1:19" ht="15.6">
      <c r="A95" s="58" t="s">
        <v>3641</v>
      </c>
      <c r="B95" s="58" t="s">
        <v>8634</v>
      </c>
      <c r="C95" s="58" t="s">
        <v>8635</v>
      </c>
      <c r="D95" s="60">
        <v>1</v>
      </c>
      <c r="E95" s="58" t="s">
        <v>2994</v>
      </c>
      <c r="F95" s="17"/>
      <c r="G95" s="17"/>
      <c r="H95" s="17"/>
      <c r="I95" s="17"/>
      <c r="J95" s="17"/>
      <c r="K95" s="17"/>
      <c r="L95" s="17"/>
      <c r="M95" s="17"/>
      <c r="N95" s="17"/>
      <c r="O95" s="17"/>
      <c r="P95" s="17"/>
      <c r="Q95" s="17"/>
      <c r="R95" s="17"/>
      <c r="S95" s="17"/>
    </row>
    <row r="96" spans="1:19" ht="15.6">
      <c r="A96" s="58" t="s">
        <v>3641</v>
      </c>
      <c r="B96" s="58" t="s">
        <v>1693</v>
      </c>
      <c r="C96" s="58" t="s">
        <v>8636</v>
      </c>
      <c r="D96" s="60">
        <v>6</v>
      </c>
      <c r="E96" s="58" t="s">
        <v>3518</v>
      </c>
      <c r="F96" s="17"/>
      <c r="G96" s="17"/>
      <c r="H96" s="17"/>
      <c r="I96" s="17"/>
      <c r="J96" s="17"/>
      <c r="K96" s="17"/>
      <c r="L96" s="17"/>
      <c r="M96" s="17"/>
      <c r="N96" s="17"/>
      <c r="O96" s="17"/>
      <c r="P96" s="17"/>
      <c r="Q96" s="17"/>
      <c r="R96" s="17"/>
      <c r="S96" s="17"/>
    </row>
    <row r="97" spans="1:19" ht="15.6">
      <c r="A97" s="58" t="s">
        <v>3641</v>
      </c>
      <c r="B97" s="58" t="s">
        <v>1694</v>
      </c>
      <c r="C97" s="58" t="s">
        <v>8637</v>
      </c>
      <c r="D97" s="60">
        <v>7</v>
      </c>
      <c r="E97" s="58" t="s">
        <v>3519</v>
      </c>
      <c r="F97" s="17"/>
      <c r="G97" s="17"/>
      <c r="H97" s="17"/>
      <c r="I97" s="17"/>
      <c r="J97" s="17"/>
      <c r="K97" s="17"/>
      <c r="L97" s="17"/>
      <c r="M97" s="17"/>
      <c r="N97" s="17"/>
      <c r="O97" s="17"/>
      <c r="P97" s="17"/>
      <c r="Q97" s="17"/>
      <c r="R97" s="17"/>
      <c r="S97" s="17"/>
    </row>
    <row r="98" spans="1:19" ht="15.6">
      <c r="A98" s="58" t="s">
        <v>3641</v>
      </c>
      <c r="B98" s="58" t="s">
        <v>4324</v>
      </c>
      <c r="C98" s="58" t="s">
        <v>8638</v>
      </c>
      <c r="D98" s="60">
        <v>8</v>
      </c>
      <c r="E98" s="58" t="s">
        <v>3520</v>
      </c>
      <c r="F98" s="17"/>
      <c r="G98" s="17"/>
      <c r="H98" s="17"/>
      <c r="I98" s="17"/>
      <c r="J98" s="17"/>
      <c r="K98" s="17"/>
      <c r="L98" s="17"/>
      <c r="M98" s="17"/>
      <c r="N98" s="17"/>
      <c r="O98" s="17"/>
      <c r="P98" s="17"/>
      <c r="Q98" s="17"/>
      <c r="R98" s="17"/>
      <c r="S98" s="17"/>
    </row>
    <row r="99" spans="1:19" ht="15.6">
      <c r="A99" s="58" t="s">
        <v>3643</v>
      </c>
      <c r="B99" s="58" t="s">
        <v>8639</v>
      </c>
      <c r="C99" s="58" t="s">
        <v>8640</v>
      </c>
      <c r="D99" s="60">
        <v>1</v>
      </c>
      <c r="E99" s="58" t="s">
        <v>3700</v>
      </c>
      <c r="F99" s="17"/>
      <c r="G99" s="17"/>
      <c r="H99" s="17"/>
      <c r="I99" s="17"/>
      <c r="J99" s="17"/>
      <c r="K99" s="17"/>
      <c r="L99" s="17"/>
      <c r="M99" s="17"/>
      <c r="N99" s="17"/>
      <c r="O99" s="17"/>
      <c r="P99" s="17"/>
      <c r="Q99" s="17"/>
      <c r="R99" s="17"/>
      <c r="S99" s="17"/>
    </row>
    <row r="100" spans="1:19" ht="15.6">
      <c r="A100" s="58" t="s">
        <v>3643</v>
      </c>
      <c r="B100" s="58" t="s">
        <v>1693</v>
      </c>
      <c r="C100" s="58" t="s">
        <v>8641</v>
      </c>
      <c r="D100" s="60">
        <v>6</v>
      </c>
      <c r="E100" s="58" t="s">
        <v>3370</v>
      </c>
      <c r="F100" s="17"/>
      <c r="G100" s="17"/>
      <c r="H100" s="17"/>
      <c r="I100" s="17"/>
      <c r="J100" s="17"/>
      <c r="K100" s="17"/>
      <c r="L100" s="17"/>
      <c r="M100" s="17"/>
      <c r="N100" s="17"/>
      <c r="O100" s="17"/>
      <c r="P100" s="17"/>
      <c r="Q100" s="17"/>
      <c r="R100" s="17"/>
      <c r="S100" s="17"/>
    </row>
    <row r="101" spans="1:19" ht="15.6">
      <c r="A101" s="58" t="s">
        <v>3643</v>
      </c>
      <c r="B101" s="58" t="s">
        <v>1694</v>
      </c>
      <c r="C101" s="58" t="s">
        <v>8642</v>
      </c>
      <c r="D101" s="60">
        <v>7</v>
      </c>
      <c r="E101" s="58" t="s">
        <v>3371</v>
      </c>
      <c r="F101" s="17"/>
      <c r="G101" s="17"/>
      <c r="H101" s="17"/>
      <c r="I101" s="17"/>
      <c r="J101" s="17"/>
      <c r="K101" s="17"/>
      <c r="L101" s="17"/>
      <c r="M101" s="17"/>
      <c r="N101" s="17"/>
      <c r="O101" s="17"/>
      <c r="P101" s="17"/>
      <c r="Q101" s="17"/>
      <c r="R101" s="17"/>
      <c r="S101" s="17"/>
    </row>
    <row r="102" spans="1:19" ht="15.6">
      <c r="A102" s="58" t="s">
        <v>3643</v>
      </c>
      <c r="B102" s="58" t="s">
        <v>4324</v>
      </c>
      <c r="C102" s="58" t="s">
        <v>8643</v>
      </c>
      <c r="D102" s="60">
        <v>8</v>
      </c>
      <c r="E102" s="58" t="s">
        <v>3372</v>
      </c>
      <c r="F102" s="17"/>
      <c r="G102" s="17"/>
      <c r="H102" s="17"/>
      <c r="I102" s="17"/>
      <c r="J102" s="17"/>
      <c r="K102" s="17"/>
      <c r="L102" s="17"/>
      <c r="M102" s="17"/>
      <c r="N102" s="17"/>
      <c r="O102" s="17"/>
      <c r="P102" s="17"/>
      <c r="Q102" s="17"/>
      <c r="R102" s="17"/>
      <c r="S102" s="17"/>
    </row>
    <row r="103" spans="1:19" ht="15.6">
      <c r="A103" s="58" t="s">
        <v>3647</v>
      </c>
      <c r="B103" s="58" t="s">
        <v>8644</v>
      </c>
      <c r="C103" s="58" t="s">
        <v>8645</v>
      </c>
      <c r="D103" s="60">
        <v>1</v>
      </c>
      <c r="E103" s="58" t="s">
        <v>2993</v>
      </c>
      <c r="F103" s="17"/>
      <c r="G103" s="17"/>
      <c r="H103" s="17"/>
      <c r="I103" s="17"/>
      <c r="J103" s="17"/>
      <c r="K103" s="17"/>
      <c r="L103" s="17"/>
      <c r="M103" s="17"/>
      <c r="N103" s="17"/>
      <c r="O103" s="17"/>
      <c r="P103" s="17"/>
      <c r="Q103" s="17"/>
      <c r="R103" s="17"/>
      <c r="S103" s="17"/>
    </row>
    <row r="104" spans="1:19" ht="15.6">
      <c r="A104" s="58" t="s">
        <v>3647</v>
      </c>
      <c r="B104" s="58" t="s">
        <v>8646</v>
      </c>
      <c r="C104" s="58" t="s">
        <v>8647</v>
      </c>
      <c r="D104" s="60">
        <v>4</v>
      </c>
      <c r="E104" s="58" t="s">
        <v>3691</v>
      </c>
      <c r="F104" s="17"/>
      <c r="G104" s="17"/>
      <c r="H104" s="17"/>
      <c r="I104" s="17"/>
      <c r="J104" s="17"/>
      <c r="K104" s="17"/>
      <c r="L104" s="17"/>
      <c r="M104" s="17"/>
      <c r="N104" s="17"/>
      <c r="O104" s="17"/>
      <c r="P104" s="17"/>
      <c r="Q104" s="17"/>
      <c r="R104" s="17"/>
      <c r="S104" s="17"/>
    </row>
    <row r="105" spans="1:19" ht="15.6">
      <c r="A105" s="58" t="s">
        <v>3647</v>
      </c>
      <c r="B105" s="58" t="s">
        <v>8648</v>
      </c>
      <c r="C105" s="58" t="s">
        <v>8649</v>
      </c>
      <c r="D105" s="60">
        <v>5</v>
      </c>
      <c r="E105" s="58" t="s">
        <v>3326</v>
      </c>
      <c r="F105" s="17"/>
      <c r="G105" s="17"/>
      <c r="H105" s="17"/>
      <c r="I105" s="17"/>
      <c r="J105" s="17"/>
      <c r="K105" s="17"/>
      <c r="L105" s="17"/>
      <c r="M105" s="17"/>
      <c r="N105" s="17"/>
      <c r="O105" s="17"/>
      <c r="P105" s="17"/>
      <c r="Q105" s="17"/>
      <c r="R105" s="17"/>
      <c r="S105" s="17"/>
    </row>
    <row r="106" spans="1:19" ht="15.6">
      <c r="A106" s="58" t="s">
        <v>3647</v>
      </c>
      <c r="B106" s="58" t="s">
        <v>8650</v>
      </c>
      <c r="C106" s="58" t="s">
        <v>8651</v>
      </c>
      <c r="D106" s="60">
        <v>6</v>
      </c>
      <c r="E106" s="58" t="s">
        <v>2990</v>
      </c>
      <c r="F106" s="17"/>
      <c r="G106" s="17"/>
      <c r="H106" s="17"/>
      <c r="I106" s="17"/>
      <c r="J106" s="17"/>
      <c r="K106" s="17"/>
      <c r="L106" s="17"/>
      <c r="M106" s="17"/>
      <c r="N106" s="17"/>
      <c r="O106" s="17"/>
      <c r="P106" s="17"/>
      <c r="Q106" s="17"/>
      <c r="R106" s="17"/>
      <c r="S106" s="17"/>
    </row>
    <row r="107" spans="1:19" ht="15.6">
      <c r="A107" s="58" t="s">
        <v>3647</v>
      </c>
      <c r="B107" s="58" t="s">
        <v>8652</v>
      </c>
      <c r="C107" s="58" t="s">
        <v>8653</v>
      </c>
      <c r="D107" s="60">
        <v>7</v>
      </c>
      <c r="E107" s="58" t="s">
        <v>3338</v>
      </c>
      <c r="F107" s="17"/>
      <c r="G107" s="17"/>
      <c r="H107" s="17"/>
      <c r="I107" s="17"/>
      <c r="J107" s="17"/>
      <c r="K107" s="17"/>
      <c r="L107" s="17"/>
      <c r="M107" s="17"/>
      <c r="N107" s="17"/>
      <c r="O107" s="17"/>
      <c r="P107" s="17"/>
      <c r="Q107" s="17"/>
      <c r="R107" s="17"/>
      <c r="S107" s="17"/>
    </row>
    <row r="108" spans="1:19" ht="15.6">
      <c r="A108" s="58" t="s">
        <v>3647</v>
      </c>
      <c r="B108" s="58" t="s">
        <v>8654</v>
      </c>
      <c r="C108" s="58" t="s">
        <v>8655</v>
      </c>
      <c r="D108" s="60">
        <v>8</v>
      </c>
      <c r="E108" s="58" t="s">
        <v>2991</v>
      </c>
      <c r="F108" s="17"/>
      <c r="G108" s="17"/>
      <c r="H108" s="17"/>
      <c r="I108" s="17"/>
      <c r="J108" s="17"/>
      <c r="K108" s="17"/>
      <c r="L108" s="17"/>
      <c r="M108" s="17"/>
      <c r="N108" s="17"/>
      <c r="O108" s="17"/>
      <c r="P108" s="17"/>
      <c r="Q108" s="17"/>
      <c r="R108" s="17"/>
      <c r="S108" s="17"/>
    </row>
    <row r="109" spans="1:19" ht="15.6">
      <c r="A109" s="58" t="s">
        <v>3647</v>
      </c>
      <c r="B109" s="58" t="s">
        <v>8656</v>
      </c>
      <c r="C109" s="58" t="s">
        <v>8657</v>
      </c>
      <c r="D109" s="60">
        <v>9</v>
      </c>
      <c r="E109" s="58" t="s">
        <v>2992</v>
      </c>
      <c r="F109" s="17"/>
      <c r="G109" s="17"/>
      <c r="H109" s="17"/>
      <c r="I109" s="17"/>
      <c r="J109" s="17"/>
      <c r="K109" s="17"/>
      <c r="L109" s="17"/>
      <c r="M109" s="17"/>
      <c r="N109" s="17"/>
      <c r="O109" s="17"/>
      <c r="P109" s="17"/>
      <c r="Q109" s="17"/>
      <c r="R109" s="17"/>
      <c r="S109" s="17"/>
    </row>
    <row r="110" spans="1:19" ht="15.6">
      <c r="A110" s="58" t="s">
        <v>3647</v>
      </c>
      <c r="B110" s="58" t="s">
        <v>8658</v>
      </c>
      <c r="C110" s="58" t="s">
        <v>8659</v>
      </c>
      <c r="D110" s="60">
        <v>10</v>
      </c>
      <c r="E110" s="58" t="s">
        <v>3450</v>
      </c>
      <c r="F110" s="17"/>
      <c r="G110" s="17"/>
      <c r="H110" s="17"/>
      <c r="I110" s="17"/>
      <c r="J110" s="17"/>
      <c r="K110" s="17"/>
      <c r="L110" s="17"/>
      <c r="M110" s="17"/>
      <c r="N110" s="17"/>
      <c r="O110" s="17"/>
      <c r="P110" s="17"/>
      <c r="Q110" s="17"/>
      <c r="R110" s="17"/>
      <c r="S110" s="17"/>
    </row>
    <row r="111" spans="1:19" ht="15.6">
      <c r="A111" s="58" t="s">
        <v>3647</v>
      </c>
      <c r="B111" s="58" t="s">
        <v>8660</v>
      </c>
      <c r="C111" s="58" t="s">
        <v>8661</v>
      </c>
      <c r="D111" s="60">
        <v>11</v>
      </c>
      <c r="E111" s="58" t="s">
        <v>7803</v>
      </c>
      <c r="F111" s="17"/>
      <c r="G111" s="17"/>
      <c r="H111" s="17"/>
      <c r="I111" s="17"/>
      <c r="J111" s="17"/>
      <c r="K111" s="17"/>
      <c r="L111" s="17"/>
      <c r="M111" s="17"/>
      <c r="N111" s="17"/>
      <c r="O111" s="17"/>
      <c r="P111" s="17"/>
      <c r="Q111" s="17"/>
      <c r="R111" s="17"/>
      <c r="S111" s="17"/>
    </row>
    <row r="112" spans="1:19" ht="15.6">
      <c r="A112" s="58" t="s">
        <v>3647</v>
      </c>
      <c r="B112" s="58" t="s">
        <v>8662</v>
      </c>
      <c r="C112" s="58" t="s">
        <v>8663</v>
      </c>
      <c r="D112" s="60">
        <v>12</v>
      </c>
      <c r="E112" s="58" t="s">
        <v>3329</v>
      </c>
      <c r="F112" s="17"/>
      <c r="G112" s="17"/>
      <c r="H112" s="17"/>
      <c r="I112" s="17"/>
      <c r="J112" s="17"/>
      <c r="K112" s="17"/>
      <c r="L112" s="17"/>
      <c r="M112" s="17"/>
      <c r="N112" s="17"/>
      <c r="O112" s="17"/>
      <c r="P112" s="17"/>
      <c r="Q112" s="17"/>
      <c r="R112" s="17"/>
      <c r="S112" s="17"/>
    </row>
    <row r="113" spans="1:19" ht="15.6">
      <c r="A113" s="58" t="s">
        <v>3647</v>
      </c>
      <c r="B113" s="58" t="s">
        <v>8664</v>
      </c>
      <c r="C113" s="58" t="s">
        <v>8665</v>
      </c>
      <c r="D113" s="60">
        <v>13</v>
      </c>
      <c r="E113" s="58" t="s">
        <v>8742</v>
      </c>
      <c r="F113" s="17"/>
      <c r="G113" s="17"/>
      <c r="H113" s="17"/>
      <c r="I113" s="17"/>
      <c r="J113" s="17"/>
      <c r="K113" s="17"/>
      <c r="L113" s="17"/>
      <c r="M113" s="17"/>
      <c r="N113" s="17"/>
      <c r="O113" s="17"/>
      <c r="P113" s="17"/>
      <c r="Q113" s="17"/>
      <c r="R113" s="17"/>
      <c r="S113" s="17"/>
    </row>
    <row r="114" spans="1:19" ht="15.6">
      <c r="A114" s="58" t="s">
        <v>3647</v>
      </c>
      <c r="B114" s="58" t="s">
        <v>8666</v>
      </c>
      <c r="C114" s="58" t="s">
        <v>8667</v>
      </c>
      <c r="D114" s="60">
        <v>14</v>
      </c>
      <c r="E114" s="58" t="s">
        <v>8743</v>
      </c>
      <c r="F114" s="17"/>
      <c r="G114" s="17"/>
      <c r="H114" s="17"/>
      <c r="I114" s="17"/>
      <c r="J114" s="17"/>
      <c r="K114" s="17"/>
      <c r="L114" s="17"/>
      <c r="M114" s="17"/>
      <c r="N114" s="17"/>
      <c r="O114" s="17"/>
      <c r="P114" s="17"/>
      <c r="Q114" s="17"/>
      <c r="R114" s="17"/>
      <c r="S114" s="17"/>
    </row>
    <row r="115" spans="1:19" ht="15.6">
      <c r="A115" s="58" t="s">
        <v>3647</v>
      </c>
      <c r="B115" s="58" t="s">
        <v>8668</v>
      </c>
      <c r="C115" s="58" t="s">
        <v>8669</v>
      </c>
      <c r="D115" s="60">
        <v>15</v>
      </c>
      <c r="E115" s="58" t="s">
        <v>8744</v>
      </c>
      <c r="F115" s="17"/>
      <c r="G115" s="17"/>
      <c r="H115" s="17"/>
      <c r="I115" s="17"/>
      <c r="J115" s="17"/>
      <c r="K115" s="17"/>
      <c r="L115" s="17"/>
      <c r="M115" s="17"/>
      <c r="N115" s="17"/>
      <c r="O115" s="17"/>
      <c r="P115" s="17"/>
      <c r="Q115" s="17"/>
      <c r="R115" s="17"/>
      <c r="S115" s="17"/>
    </row>
    <row r="116" spans="1:19" ht="15.6">
      <c r="A116" s="58" t="s">
        <v>3647</v>
      </c>
      <c r="B116" s="58" t="s">
        <v>8670</v>
      </c>
      <c r="C116" s="58" t="s">
        <v>8671</v>
      </c>
      <c r="D116" s="60">
        <v>16</v>
      </c>
      <c r="E116" s="58" t="s">
        <v>3706</v>
      </c>
      <c r="F116" s="17"/>
      <c r="G116" s="17"/>
      <c r="H116" s="17"/>
      <c r="I116" s="17"/>
      <c r="J116" s="17"/>
      <c r="K116" s="17"/>
      <c r="L116" s="17"/>
      <c r="M116" s="17"/>
      <c r="N116" s="17"/>
      <c r="O116" s="17"/>
      <c r="P116" s="17"/>
      <c r="Q116" s="17"/>
      <c r="R116" s="17"/>
      <c r="S116" s="17"/>
    </row>
    <row r="117" spans="1:19" ht="15.6">
      <c r="A117" s="58" t="s">
        <v>3648</v>
      </c>
      <c r="B117" s="58" t="s">
        <v>8672</v>
      </c>
      <c r="C117" s="58" t="s">
        <v>8673</v>
      </c>
      <c r="D117" s="60">
        <v>1</v>
      </c>
      <c r="E117" s="58" t="s">
        <v>3524</v>
      </c>
      <c r="F117" s="17"/>
      <c r="G117" s="17"/>
      <c r="H117" s="17"/>
      <c r="I117" s="17"/>
      <c r="J117" s="17"/>
      <c r="K117" s="17"/>
      <c r="L117" s="17"/>
      <c r="M117" s="17"/>
      <c r="N117" s="17"/>
      <c r="O117" s="17"/>
      <c r="P117" s="17"/>
      <c r="Q117" s="17"/>
      <c r="R117" s="17"/>
      <c r="S117" s="17"/>
    </row>
    <row r="118" spans="1:19" ht="15.6">
      <c r="A118" s="58" t="s">
        <v>3648</v>
      </c>
      <c r="B118" s="58" t="s">
        <v>8646</v>
      </c>
      <c r="C118" s="58" t="s">
        <v>8674</v>
      </c>
      <c r="D118" s="60">
        <v>5</v>
      </c>
      <c r="E118" s="58" t="s">
        <v>3525</v>
      </c>
      <c r="F118" s="17"/>
      <c r="G118" s="17"/>
      <c r="H118" s="17"/>
      <c r="I118" s="17"/>
      <c r="J118" s="17"/>
      <c r="K118" s="17"/>
      <c r="L118" s="17"/>
      <c r="M118" s="17"/>
      <c r="N118" s="17"/>
      <c r="O118" s="17"/>
      <c r="P118" s="17"/>
      <c r="Q118" s="17"/>
      <c r="R118" s="17"/>
      <c r="S118" s="17"/>
    </row>
    <row r="119" spans="1:19" ht="15.6">
      <c r="A119" s="58" t="s">
        <v>3648</v>
      </c>
      <c r="B119" s="58" t="s">
        <v>8675</v>
      </c>
      <c r="C119" s="58" t="s">
        <v>8676</v>
      </c>
      <c r="D119" s="60">
        <v>6</v>
      </c>
      <c r="E119" s="58" t="s">
        <v>3339</v>
      </c>
      <c r="F119" s="17"/>
      <c r="G119" s="17"/>
      <c r="H119" s="17"/>
      <c r="I119" s="17"/>
      <c r="J119" s="17"/>
      <c r="K119" s="17"/>
      <c r="L119" s="17"/>
      <c r="M119" s="17"/>
      <c r="N119" s="17"/>
      <c r="O119" s="17"/>
      <c r="P119" s="17"/>
      <c r="Q119" s="17"/>
      <c r="R119" s="17"/>
      <c r="S119" s="17"/>
    </row>
    <row r="120" spans="1:19" ht="15.6">
      <c r="A120" s="58" t="s">
        <v>3648</v>
      </c>
      <c r="B120" s="58" t="s">
        <v>8677</v>
      </c>
      <c r="C120" s="58" t="s">
        <v>8678</v>
      </c>
      <c r="D120" s="60">
        <v>7</v>
      </c>
      <c r="E120" s="58" t="s">
        <v>3340</v>
      </c>
      <c r="F120" s="17"/>
      <c r="G120" s="17"/>
      <c r="H120" s="17"/>
      <c r="I120" s="17"/>
      <c r="J120" s="17"/>
      <c r="K120" s="17"/>
      <c r="L120" s="17"/>
      <c r="M120" s="17"/>
      <c r="N120" s="17"/>
      <c r="O120" s="17"/>
      <c r="P120" s="17"/>
      <c r="Q120" s="17"/>
      <c r="R120" s="17"/>
      <c r="S120" s="17"/>
    </row>
    <row r="121" spans="1:19" ht="15.6">
      <c r="A121" s="58" t="s">
        <v>3648</v>
      </c>
      <c r="B121" s="58" t="s">
        <v>8679</v>
      </c>
      <c r="C121" s="58" t="s">
        <v>8680</v>
      </c>
      <c r="D121" s="60">
        <v>8</v>
      </c>
      <c r="E121" s="58" t="s">
        <v>3341</v>
      </c>
      <c r="F121" s="17"/>
      <c r="G121" s="17"/>
      <c r="H121" s="17"/>
      <c r="I121" s="17"/>
      <c r="J121" s="17"/>
      <c r="K121" s="17"/>
      <c r="L121" s="17"/>
      <c r="M121" s="17"/>
      <c r="N121" s="17"/>
      <c r="O121" s="17"/>
      <c r="P121" s="17"/>
      <c r="Q121" s="17"/>
      <c r="R121" s="17"/>
      <c r="S121" s="17"/>
    </row>
    <row r="122" spans="1:19" ht="15.6">
      <c r="A122" s="58" t="s">
        <v>3648</v>
      </c>
      <c r="B122" s="58" t="s">
        <v>8681</v>
      </c>
      <c r="C122" s="58" t="s">
        <v>8682</v>
      </c>
      <c r="D122" s="60">
        <v>9</v>
      </c>
      <c r="E122" s="58" t="s">
        <v>3342</v>
      </c>
      <c r="F122" s="17"/>
      <c r="G122" s="17"/>
      <c r="H122" s="17"/>
      <c r="I122" s="17"/>
      <c r="J122" s="17"/>
      <c r="K122" s="17"/>
      <c r="L122" s="17"/>
      <c r="M122" s="17"/>
      <c r="N122" s="17"/>
      <c r="O122" s="17"/>
      <c r="P122" s="17"/>
      <c r="Q122" s="17"/>
      <c r="R122" s="17"/>
      <c r="S122" s="17"/>
    </row>
    <row r="123" spans="1:19" ht="15.6">
      <c r="A123" s="58" t="s">
        <v>3648</v>
      </c>
      <c r="B123" s="58" t="s">
        <v>8683</v>
      </c>
      <c r="C123" s="58" t="s">
        <v>8684</v>
      </c>
      <c r="D123" s="60">
        <v>10</v>
      </c>
      <c r="E123" s="58" t="s">
        <v>3451</v>
      </c>
      <c r="F123" s="17"/>
      <c r="G123" s="17"/>
      <c r="H123" s="17"/>
      <c r="I123" s="17"/>
      <c r="J123" s="17"/>
      <c r="K123" s="17"/>
      <c r="L123" s="17"/>
      <c r="M123" s="17"/>
      <c r="N123" s="17"/>
      <c r="O123" s="17"/>
      <c r="P123" s="17"/>
      <c r="Q123" s="17"/>
      <c r="R123" s="17"/>
      <c r="S123" s="17"/>
    </row>
    <row r="124" spans="1:19" ht="15.6">
      <c r="A124" s="58" t="s">
        <v>3648</v>
      </c>
      <c r="B124" s="58" t="s">
        <v>8685</v>
      </c>
      <c r="C124" s="58" t="s">
        <v>8686</v>
      </c>
      <c r="D124" s="60">
        <v>11</v>
      </c>
      <c r="E124" s="58" t="s">
        <v>7804</v>
      </c>
      <c r="F124" s="17"/>
      <c r="G124" s="17"/>
      <c r="H124" s="17"/>
      <c r="I124" s="17"/>
      <c r="J124" s="17"/>
      <c r="K124" s="17"/>
      <c r="L124" s="17"/>
      <c r="M124" s="17"/>
      <c r="N124" s="17"/>
      <c r="O124" s="17"/>
      <c r="P124" s="17"/>
      <c r="Q124" s="17"/>
      <c r="R124" s="17"/>
      <c r="S124" s="17"/>
    </row>
    <row r="125" spans="1:19" ht="15.6">
      <c r="A125" s="58" t="s">
        <v>3648</v>
      </c>
      <c r="B125" s="58" t="s">
        <v>8687</v>
      </c>
      <c r="C125" s="58" t="s">
        <v>8688</v>
      </c>
      <c r="D125" s="60">
        <v>12</v>
      </c>
      <c r="E125" s="58" t="s">
        <v>3526</v>
      </c>
      <c r="F125" s="17"/>
      <c r="G125" s="17"/>
      <c r="H125" s="17"/>
      <c r="I125" s="17"/>
      <c r="J125" s="17"/>
      <c r="K125" s="17"/>
      <c r="L125" s="17"/>
      <c r="M125" s="17"/>
      <c r="N125" s="17"/>
      <c r="O125" s="17"/>
      <c r="P125" s="17"/>
      <c r="Q125" s="17"/>
      <c r="R125" s="17"/>
      <c r="S125" s="17"/>
    </row>
    <row r="126" spans="1:19" ht="15.6">
      <c r="A126" s="58" t="s">
        <v>3661</v>
      </c>
      <c r="B126" s="58" t="s">
        <v>8689</v>
      </c>
      <c r="C126" s="58" t="s">
        <v>8690</v>
      </c>
      <c r="D126" s="60">
        <v>1</v>
      </c>
      <c r="E126" s="58" t="s">
        <v>3718</v>
      </c>
      <c r="F126" s="17"/>
      <c r="G126" s="17"/>
      <c r="H126" s="17"/>
      <c r="I126" s="17"/>
      <c r="J126" s="17"/>
      <c r="K126" s="17"/>
      <c r="L126" s="17"/>
      <c r="M126" s="17"/>
      <c r="N126" s="17"/>
      <c r="O126" s="17"/>
      <c r="P126" s="17"/>
      <c r="Q126" s="17"/>
      <c r="R126" s="17"/>
      <c r="S126" s="17"/>
    </row>
    <row r="127" spans="1:19" ht="15.6">
      <c r="A127" s="58" t="s">
        <v>3661</v>
      </c>
      <c r="B127" s="58" t="s">
        <v>7544</v>
      </c>
      <c r="C127" s="58" t="s">
        <v>8691</v>
      </c>
      <c r="D127" s="60">
        <v>4</v>
      </c>
      <c r="E127" s="58" t="s">
        <v>7787</v>
      </c>
      <c r="F127" s="17"/>
      <c r="G127" s="17"/>
      <c r="H127" s="17"/>
      <c r="I127" s="17"/>
      <c r="J127" s="17"/>
      <c r="K127" s="17"/>
      <c r="L127" s="17"/>
      <c r="M127" s="17"/>
      <c r="N127" s="17"/>
      <c r="O127" s="17"/>
      <c r="P127" s="17"/>
      <c r="Q127" s="17"/>
      <c r="R127" s="17"/>
      <c r="S127" s="17"/>
    </row>
    <row r="128" spans="1:19" ht="15.6">
      <c r="A128" s="58" t="s">
        <v>3661</v>
      </c>
      <c r="B128" s="58" t="s">
        <v>7546</v>
      </c>
      <c r="C128" s="58" t="s">
        <v>8692</v>
      </c>
      <c r="D128" s="60">
        <v>6</v>
      </c>
      <c r="E128" s="58" t="s">
        <v>3382</v>
      </c>
      <c r="F128" s="17"/>
      <c r="G128" s="17"/>
      <c r="H128" s="17"/>
      <c r="I128" s="17"/>
      <c r="J128" s="17"/>
      <c r="K128" s="17"/>
      <c r="L128" s="17"/>
      <c r="M128" s="17"/>
      <c r="N128" s="17"/>
      <c r="O128" s="17"/>
      <c r="P128" s="17"/>
      <c r="Q128" s="17"/>
      <c r="R128" s="17"/>
      <c r="S128" s="17"/>
    </row>
    <row r="129" spans="1:19" ht="15.6">
      <c r="A129" s="58" t="s">
        <v>3663</v>
      </c>
      <c r="B129" s="58" t="s">
        <v>2410</v>
      </c>
      <c r="C129" s="58" t="s">
        <v>8693</v>
      </c>
      <c r="D129" s="60">
        <v>1</v>
      </c>
      <c r="E129" s="58" t="s">
        <v>3346</v>
      </c>
      <c r="F129" s="17"/>
      <c r="G129" s="17"/>
      <c r="H129" s="17"/>
      <c r="I129" s="17"/>
      <c r="J129" s="17"/>
      <c r="K129" s="17"/>
      <c r="L129" s="17"/>
      <c r="M129" s="17"/>
      <c r="N129" s="17"/>
      <c r="O129" s="17"/>
      <c r="P129" s="17"/>
      <c r="Q129" s="17"/>
      <c r="R129" s="17"/>
      <c r="S129" s="17"/>
    </row>
    <row r="130" spans="1:19" ht="15.6">
      <c r="A130" s="58" t="s">
        <v>3663</v>
      </c>
      <c r="B130" s="58" t="s">
        <v>2856</v>
      </c>
      <c r="C130" s="58" t="s">
        <v>8694</v>
      </c>
      <c r="D130" s="60">
        <v>2</v>
      </c>
      <c r="E130" s="58" t="s">
        <v>3452</v>
      </c>
      <c r="F130" s="17"/>
      <c r="G130" s="17"/>
      <c r="H130" s="17"/>
      <c r="I130" s="17"/>
      <c r="J130" s="17"/>
      <c r="K130" s="17"/>
      <c r="L130" s="17"/>
      <c r="M130" s="17"/>
      <c r="N130" s="17"/>
      <c r="O130" s="17"/>
      <c r="P130" s="17"/>
      <c r="Q130" s="17"/>
      <c r="R130" s="17"/>
      <c r="S130" s="17"/>
    </row>
    <row r="131" spans="1:19" ht="15.6">
      <c r="A131" s="58" t="s">
        <v>3663</v>
      </c>
      <c r="B131" s="58" t="s">
        <v>8695</v>
      </c>
      <c r="C131" s="58" t="s">
        <v>8696</v>
      </c>
      <c r="D131" s="60">
        <v>3</v>
      </c>
      <c r="E131" s="58" t="s">
        <v>7805</v>
      </c>
      <c r="F131" s="17"/>
      <c r="G131" s="17"/>
      <c r="H131" s="17"/>
      <c r="I131" s="17"/>
      <c r="J131" s="17"/>
      <c r="K131" s="17"/>
      <c r="L131" s="17"/>
      <c r="M131" s="17"/>
      <c r="N131" s="17"/>
      <c r="O131" s="17"/>
      <c r="P131" s="17"/>
      <c r="Q131" s="17"/>
      <c r="R131" s="17"/>
      <c r="S131" s="17"/>
    </row>
    <row r="132" spans="1:19" ht="15.6">
      <c r="A132" s="58" t="s">
        <v>3663</v>
      </c>
      <c r="B132" s="58" t="s">
        <v>8697</v>
      </c>
      <c r="C132" s="58" t="s">
        <v>8698</v>
      </c>
      <c r="D132" s="60">
        <v>4</v>
      </c>
      <c r="E132" s="58" t="s">
        <v>7806</v>
      </c>
      <c r="F132" s="17"/>
      <c r="G132" s="17"/>
      <c r="H132" s="17"/>
      <c r="I132" s="17"/>
      <c r="J132" s="17"/>
      <c r="K132" s="17"/>
      <c r="L132" s="17"/>
      <c r="M132" s="17"/>
      <c r="N132" s="17"/>
      <c r="O132" s="17"/>
      <c r="P132" s="17"/>
      <c r="Q132" s="17"/>
      <c r="R132" s="17"/>
      <c r="S132" s="17"/>
    </row>
    <row r="133" spans="1:19" ht="15.6">
      <c r="A133" s="58" t="s">
        <v>3663</v>
      </c>
      <c r="B133" s="58" t="s">
        <v>8699</v>
      </c>
      <c r="C133" s="58" t="s">
        <v>8700</v>
      </c>
      <c r="D133" s="60">
        <v>5</v>
      </c>
      <c r="E133" s="58" t="s">
        <v>7842</v>
      </c>
      <c r="F133" s="17"/>
      <c r="G133" s="17"/>
      <c r="H133" s="17"/>
      <c r="I133" s="17"/>
      <c r="J133" s="17"/>
      <c r="K133" s="17"/>
      <c r="L133" s="17"/>
      <c r="M133" s="17"/>
      <c r="N133" s="17"/>
      <c r="O133" s="17"/>
      <c r="P133" s="17"/>
      <c r="Q133" s="17"/>
      <c r="R133" s="17"/>
      <c r="S133" s="17"/>
    </row>
    <row r="134" spans="1:19" ht="15.6">
      <c r="A134" s="58" t="s">
        <v>3663</v>
      </c>
      <c r="B134" s="58" t="s">
        <v>8701</v>
      </c>
      <c r="C134" s="58" t="s">
        <v>8702</v>
      </c>
      <c r="D134" s="60">
        <v>6</v>
      </c>
      <c r="E134" s="58" t="s">
        <v>3719</v>
      </c>
      <c r="F134" s="17"/>
      <c r="G134" s="17"/>
      <c r="H134" s="17"/>
      <c r="I134" s="17"/>
      <c r="J134" s="17"/>
      <c r="K134" s="17"/>
      <c r="L134" s="17"/>
      <c r="M134" s="17"/>
      <c r="N134" s="17"/>
      <c r="O134" s="17"/>
      <c r="P134" s="17"/>
      <c r="Q134" s="17"/>
      <c r="R134" s="17"/>
      <c r="S134" s="17"/>
    </row>
    <row r="135" spans="1:19" ht="15.6">
      <c r="A135" s="58" t="s">
        <v>3668</v>
      </c>
      <c r="B135" s="58" t="s">
        <v>2882</v>
      </c>
      <c r="C135" s="58" t="s">
        <v>8703</v>
      </c>
      <c r="D135" s="60">
        <v>1</v>
      </c>
      <c r="E135" s="58" t="s">
        <v>2995</v>
      </c>
      <c r="F135" s="17"/>
      <c r="G135" s="17"/>
      <c r="H135" s="17"/>
      <c r="I135" s="17"/>
      <c r="J135" s="17"/>
      <c r="K135" s="17"/>
      <c r="L135" s="17"/>
      <c r="M135" s="17"/>
      <c r="N135" s="17"/>
      <c r="O135" s="17"/>
      <c r="P135" s="17"/>
      <c r="Q135" s="17"/>
      <c r="R135" s="17"/>
      <c r="S135" s="17"/>
    </row>
    <row r="136" spans="1:19" ht="15.6">
      <c r="A136" s="58" t="s">
        <v>3668</v>
      </c>
      <c r="B136" s="58" t="s">
        <v>2883</v>
      </c>
      <c r="C136" s="58" t="s">
        <v>8704</v>
      </c>
      <c r="D136" s="60">
        <v>3</v>
      </c>
      <c r="E136" s="58" t="s">
        <v>7926</v>
      </c>
      <c r="F136" s="17"/>
      <c r="G136" s="17"/>
      <c r="H136" s="17"/>
      <c r="I136" s="17"/>
      <c r="J136" s="17"/>
      <c r="K136" s="17"/>
      <c r="L136" s="17"/>
      <c r="M136" s="17"/>
      <c r="N136" s="17"/>
      <c r="O136" s="17"/>
      <c r="P136" s="17"/>
      <c r="Q136" s="17"/>
      <c r="R136" s="17"/>
      <c r="S136" s="17"/>
    </row>
    <row r="137" spans="1:19" ht="15.6">
      <c r="A137" s="58" t="s">
        <v>3668</v>
      </c>
      <c r="B137" s="58" t="s">
        <v>8705</v>
      </c>
      <c r="C137" s="58" t="s">
        <v>8706</v>
      </c>
      <c r="D137" s="60">
        <v>6</v>
      </c>
      <c r="E137" s="58" t="s">
        <v>3692</v>
      </c>
      <c r="F137" s="17"/>
      <c r="G137" s="17"/>
      <c r="H137" s="17"/>
      <c r="I137" s="17"/>
      <c r="J137" s="17"/>
      <c r="K137" s="17"/>
      <c r="L137" s="17"/>
      <c r="M137" s="17"/>
      <c r="N137" s="17"/>
      <c r="O137" s="17"/>
      <c r="P137" s="17"/>
      <c r="Q137" s="17"/>
      <c r="R137" s="17"/>
      <c r="S137" s="17"/>
    </row>
    <row r="138" spans="1:19" ht="15.6">
      <c r="A138" s="58" t="s">
        <v>3668</v>
      </c>
      <c r="B138" s="58" t="s">
        <v>8707</v>
      </c>
      <c r="C138" s="58" t="s">
        <v>8708</v>
      </c>
      <c r="D138" s="60">
        <v>7</v>
      </c>
      <c r="E138" s="58" t="s">
        <v>3701</v>
      </c>
      <c r="F138" s="17"/>
      <c r="G138" s="17"/>
      <c r="H138" s="17"/>
      <c r="I138" s="17"/>
      <c r="J138" s="17"/>
      <c r="K138" s="17"/>
      <c r="L138" s="17"/>
      <c r="M138" s="17"/>
      <c r="N138" s="17"/>
      <c r="O138" s="17"/>
      <c r="P138" s="17"/>
      <c r="Q138" s="17"/>
      <c r="R138" s="17"/>
      <c r="S138" s="17"/>
    </row>
    <row r="139" spans="1:19" ht="15.6">
      <c r="A139" s="58" t="s">
        <v>3668</v>
      </c>
      <c r="B139" s="58" t="s">
        <v>8709</v>
      </c>
      <c r="C139" s="58" t="s">
        <v>8710</v>
      </c>
      <c r="D139" s="60">
        <v>8</v>
      </c>
      <c r="E139" s="58" t="s">
        <v>3714</v>
      </c>
      <c r="F139" s="17"/>
      <c r="G139" s="17"/>
      <c r="H139" s="17"/>
      <c r="I139" s="17"/>
      <c r="J139" s="17"/>
      <c r="K139" s="17"/>
      <c r="L139" s="17"/>
      <c r="M139" s="17"/>
      <c r="N139" s="17"/>
      <c r="O139" s="17"/>
      <c r="P139" s="17"/>
      <c r="Q139" s="17"/>
      <c r="R139" s="17"/>
      <c r="S139" s="17"/>
    </row>
    <row r="140" spans="1:19" ht="15.6">
      <c r="A140" s="58" t="s">
        <v>3668</v>
      </c>
      <c r="B140" s="58" t="s">
        <v>8711</v>
      </c>
      <c r="C140" s="58" t="s">
        <v>8712</v>
      </c>
      <c r="D140" s="60">
        <v>9</v>
      </c>
      <c r="E140" s="58" t="s">
        <v>3720</v>
      </c>
      <c r="F140" s="17"/>
      <c r="G140" s="17"/>
      <c r="H140" s="17"/>
      <c r="I140" s="17"/>
      <c r="J140" s="17"/>
      <c r="K140" s="17"/>
      <c r="L140" s="17"/>
      <c r="M140" s="17"/>
      <c r="N140" s="17"/>
      <c r="O140" s="17"/>
      <c r="P140" s="17"/>
      <c r="Q140" s="17"/>
      <c r="R140" s="17"/>
      <c r="S140" s="17"/>
    </row>
    <row r="141" spans="1:19" ht="15.6">
      <c r="A141" s="58" t="s">
        <v>3668</v>
      </c>
      <c r="B141" s="58" t="s">
        <v>6052</v>
      </c>
      <c r="C141" s="58" t="s">
        <v>8713</v>
      </c>
      <c r="D141" s="60">
        <v>10</v>
      </c>
      <c r="E141" s="58" t="s">
        <v>3721</v>
      </c>
      <c r="F141" s="17"/>
      <c r="G141" s="17"/>
      <c r="H141" s="17"/>
      <c r="I141" s="17"/>
      <c r="J141" s="17"/>
      <c r="K141" s="17"/>
      <c r="L141" s="17"/>
      <c r="M141" s="17"/>
      <c r="N141" s="17"/>
      <c r="O141" s="17"/>
      <c r="P141" s="17"/>
      <c r="Q141" s="17"/>
      <c r="R141" s="17"/>
      <c r="S141" s="17"/>
    </row>
    <row r="142" spans="1:19" ht="15.6">
      <c r="A142" s="58" t="s">
        <v>3671</v>
      </c>
      <c r="B142" s="58" t="s">
        <v>8714</v>
      </c>
      <c r="C142" s="58" t="s">
        <v>8715</v>
      </c>
      <c r="D142" s="60">
        <v>1</v>
      </c>
      <c r="E142" s="58" t="s">
        <v>2994</v>
      </c>
      <c r="F142" s="17"/>
      <c r="G142" s="17"/>
      <c r="H142" s="17"/>
      <c r="I142" s="17"/>
      <c r="J142" s="17"/>
      <c r="K142" s="17"/>
      <c r="L142" s="17"/>
      <c r="M142" s="17"/>
      <c r="N142" s="17"/>
      <c r="O142" s="17"/>
      <c r="P142" s="17"/>
      <c r="Q142" s="17"/>
      <c r="R142" s="17"/>
      <c r="S142" s="17"/>
    </row>
    <row r="143" spans="1:19" ht="15.6">
      <c r="A143" s="58" t="s">
        <v>3671</v>
      </c>
      <c r="B143" s="58" t="s">
        <v>8716</v>
      </c>
      <c r="C143" s="58" t="s">
        <v>8717</v>
      </c>
      <c r="D143" s="60">
        <v>2</v>
      </c>
      <c r="E143" s="58" t="s">
        <v>8745</v>
      </c>
      <c r="F143" s="17"/>
      <c r="G143" s="17"/>
      <c r="H143" s="17"/>
      <c r="I143" s="17"/>
      <c r="J143" s="17"/>
      <c r="K143" s="17"/>
      <c r="L143" s="17"/>
      <c r="M143" s="17"/>
      <c r="N143" s="17"/>
      <c r="O143" s="17"/>
      <c r="P143" s="17"/>
      <c r="Q143" s="17"/>
      <c r="R143" s="17"/>
      <c r="S143" s="17"/>
    </row>
    <row r="144" spans="1:19" ht="15.6">
      <c r="A144" s="58" t="s">
        <v>3671</v>
      </c>
      <c r="B144" s="58" t="s">
        <v>8718</v>
      </c>
      <c r="C144" s="58" t="s">
        <v>8719</v>
      </c>
      <c r="D144" s="60">
        <v>5</v>
      </c>
      <c r="E144" s="58" t="s">
        <v>3517</v>
      </c>
      <c r="F144" s="17"/>
      <c r="G144" s="17"/>
      <c r="H144" s="17"/>
      <c r="I144" s="17"/>
      <c r="J144" s="17"/>
      <c r="K144" s="17"/>
      <c r="L144" s="17"/>
      <c r="M144" s="17"/>
      <c r="N144" s="17"/>
      <c r="O144" s="17"/>
      <c r="P144" s="17"/>
      <c r="Q144" s="17"/>
      <c r="R144" s="17"/>
      <c r="S144" s="17"/>
    </row>
    <row r="145" spans="1:19" ht="15.6">
      <c r="A145" s="58" t="s">
        <v>3671</v>
      </c>
      <c r="B145" s="58" t="s">
        <v>2900</v>
      </c>
      <c r="C145" s="58" t="s">
        <v>8720</v>
      </c>
      <c r="D145" s="60">
        <v>6</v>
      </c>
      <c r="E145" s="58" t="s">
        <v>3518</v>
      </c>
      <c r="F145" s="17"/>
      <c r="G145" s="17"/>
      <c r="H145" s="17"/>
      <c r="I145" s="17"/>
      <c r="J145" s="17"/>
      <c r="K145" s="17"/>
      <c r="L145" s="17"/>
      <c r="M145" s="17"/>
      <c r="N145" s="17"/>
      <c r="O145" s="17"/>
      <c r="P145" s="17"/>
      <c r="Q145" s="17"/>
      <c r="R145" s="17"/>
      <c r="S145" s="17"/>
    </row>
    <row r="146" spans="1:19" ht="15.6">
      <c r="A146" s="58" t="s">
        <v>3671</v>
      </c>
      <c r="B146" s="58" t="s">
        <v>8721</v>
      </c>
      <c r="C146" s="58" t="s">
        <v>8722</v>
      </c>
      <c r="D146" s="60">
        <v>7</v>
      </c>
      <c r="E146" s="58" t="s">
        <v>3519</v>
      </c>
      <c r="F146" s="17"/>
      <c r="G146" s="17"/>
      <c r="H146" s="17"/>
      <c r="I146" s="17"/>
      <c r="J146" s="17"/>
      <c r="K146" s="17"/>
      <c r="L146" s="17"/>
      <c r="M146" s="17"/>
      <c r="N146" s="17"/>
      <c r="O146" s="17"/>
      <c r="P146" s="17"/>
      <c r="Q146" s="17"/>
      <c r="R146" s="17"/>
      <c r="S146" s="17"/>
    </row>
    <row r="147" spans="1:19" ht="15.6">
      <c r="A147" s="58" t="s">
        <v>3671</v>
      </c>
      <c r="B147" s="58" t="s">
        <v>8723</v>
      </c>
      <c r="C147" s="58" t="s">
        <v>8724</v>
      </c>
      <c r="D147" s="60">
        <v>8</v>
      </c>
      <c r="E147" s="58" t="s">
        <v>3520</v>
      </c>
      <c r="F147" s="17"/>
      <c r="G147" s="17"/>
      <c r="H147" s="17"/>
      <c r="I147" s="17"/>
      <c r="J147" s="17"/>
      <c r="K147" s="17"/>
      <c r="L147" s="17"/>
      <c r="M147" s="17"/>
      <c r="N147" s="17"/>
      <c r="O147" s="17"/>
      <c r="P147" s="17"/>
      <c r="Q147" s="17"/>
      <c r="R147" s="17"/>
      <c r="S147" s="17"/>
    </row>
    <row r="148" spans="1:19" ht="15.6">
      <c r="A148" s="58" t="s">
        <v>3671</v>
      </c>
      <c r="B148" s="58" t="s">
        <v>8725</v>
      </c>
      <c r="C148" s="58" t="s">
        <v>8726</v>
      </c>
      <c r="D148" s="60">
        <v>9</v>
      </c>
      <c r="E148" s="58" t="s">
        <v>3521</v>
      </c>
      <c r="F148" s="17"/>
      <c r="G148" s="17"/>
      <c r="H148" s="17"/>
      <c r="I148" s="17"/>
      <c r="J148" s="17"/>
      <c r="K148" s="17"/>
      <c r="L148" s="17"/>
      <c r="M148" s="17"/>
      <c r="N148" s="17"/>
      <c r="O148" s="17"/>
      <c r="P148" s="17"/>
      <c r="Q148" s="17"/>
      <c r="R148" s="17"/>
      <c r="S148" s="17"/>
    </row>
    <row r="149" spans="1:19" ht="15.6">
      <c r="A149" s="58" t="s">
        <v>3671</v>
      </c>
      <c r="B149" s="58" t="s">
        <v>8727</v>
      </c>
      <c r="C149" s="58" t="s">
        <v>8728</v>
      </c>
      <c r="D149" s="60">
        <v>10</v>
      </c>
      <c r="E149" s="58" t="s">
        <v>3505</v>
      </c>
      <c r="F149" s="17"/>
      <c r="G149" s="17"/>
      <c r="H149" s="17"/>
      <c r="I149" s="17"/>
      <c r="J149" s="17"/>
      <c r="K149" s="17"/>
      <c r="L149" s="17"/>
      <c r="M149" s="17"/>
      <c r="N149" s="17"/>
      <c r="O149" s="17"/>
      <c r="P149" s="17"/>
      <c r="Q149" s="17"/>
      <c r="R149" s="17"/>
      <c r="S149" s="17"/>
    </row>
    <row r="150" spans="1:19" ht="15.6">
      <c r="A150" s="58" t="s">
        <v>3671</v>
      </c>
      <c r="B150" s="58" t="s">
        <v>8729</v>
      </c>
      <c r="C150" s="58" t="s">
        <v>8730</v>
      </c>
      <c r="D150" s="60">
        <v>11</v>
      </c>
      <c r="E150" s="58" t="s">
        <v>3522</v>
      </c>
      <c r="F150" s="17"/>
      <c r="G150" s="17"/>
      <c r="H150" s="17"/>
      <c r="I150" s="17"/>
      <c r="J150" s="17"/>
      <c r="K150" s="17"/>
      <c r="L150" s="17"/>
      <c r="M150" s="17"/>
      <c r="N150" s="17"/>
      <c r="O150" s="17"/>
      <c r="P150" s="17"/>
      <c r="Q150" s="17"/>
      <c r="R150" s="17"/>
      <c r="S150" s="17"/>
    </row>
    <row r="151" spans="1:19" ht="15.6">
      <c r="A151" s="58" t="s">
        <v>3671</v>
      </c>
      <c r="B151" s="58" t="s">
        <v>2904</v>
      </c>
      <c r="C151" s="58" t="s">
        <v>8731</v>
      </c>
      <c r="D151" s="60">
        <v>12</v>
      </c>
      <c r="E151" s="58" t="s">
        <v>8741</v>
      </c>
      <c r="F151" s="17"/>
      <c r="G151" s="17"/>
      <c r="H151" s="17"/>
      <c r="I151" s="17"/>
      <c r="J151" s="17"/>
      <c r="K151" s="17"/>
      <c r="L151" s="17"/>
      <c r="M151" s="17"/>
      <c r="N151" s="17"/>
      <c r="O151" s="17"/>
      <c r="P151" s="17"/>
      <c r="Q151" s="17"/>
      <c r="R151" s="17"/>
      <c r="S151" s="17"/>
    </row>
    <row r="152" spans="1:19" ht="15.6">
      <c r="A152" s="58" t="s">
        <v>3671</v>
      </c>
      <c r="B152" s="58" t="s">
        <v>2905</v>
      </c>
      <c r="C152" s="58" t="s">
        <v>8732</v>
      </c>
      <c r="D152" s="60">
        <v>13</v>
      </c>
      <c r="E152" s="58" t="s">
        <v>8932</v>
      </c>
      <c r="F152" s="17"/>
      <c r="G152" s="17"/>
      <c r="H152" s="17"/>
      <c r="I152" s="17"/>
      <c r="J152" s="17"/>
      <c r="K152" s="17"/>
      <c r="L152" s="17"/>
      <c r="M152" s="17"/>
      <c r="N152" s="17"/>
      <c r="O152" s="17"/>
      <c r="P152" s="17"/>
      <c r="Q152" s="17"/>
      <c r="R152" s="17"/>
      <c r="S152" s="17"/>
    </row>
    <row r="153" spans="1:19" ht="15.6">
      <c r="A153" s="58" t="s">
        <v>3671</v>
      </c>
      <c r="B153" s="58" t="s">
        <v>2906</v>
      </c>
      <c r="C153" s="58" t="s">
        <v>8733</v>
      </c>
      <c r="D153" s="60">
        <v>14</v>
      </c>
      <c r="E153" s="58" t="s">
        <v>3722</v>
      </c>
      <c r="F153" s="17"/>
      <c r="G153" s="17"/>
      <c r="H153" s="17"/>
      <c r="I153" s="17"/>
      <c r="J153" s="17"/>
      <c r="K153" s="17"/>
      <c r="L153" s="17"/>
      <c r="M153" s="17"/>
      <c r="N153" s="17"/>
      <c r="O153" s="17"/>
      <c r="P153" s="17"/>
      <c r="Q153" s="17"/>
      <c r="R153" s="17"/>
      <c r="S153" s="17"/>
    </row>
    <row r="154" spans="1:19" ht="15.6">
      <c r="A154" s="58" t="s">
        <v>3677</v>
      </c>
      <c r="B154" s="58" t="s">
        <v>2947</v>
      </c>
      <c r="C154" s="58" t="s">
        <v>8734</v>
      </c>
      <c r="D154" s="60">
        <v>1</v>
      </c>
      <c r="E154" s="58" t="s">
        <v>2995</v>
      </c>
      <c r="F154" s="17"/>
      <c r="G154" s="17"/>
      <c r="H154" s="17"/>
      <c r="I154" s="17"/>
      <c r="J154" s="17"/>
      <c r="K154" s="17"/>
      <c r="L154" s="17"/>
      <c r="M154" s="17"/>
      <c r="N154" s="17"/>
      <c r="O154" s="17"/>
      <c r="P154" s="17"/>
      <c r="Q154" s="17"/>
      <c r="R154" s="17"/>
      <c r="S154" s="17"/>
    </row>
    <row r="155" spans="1:19" ht="15.6">
      <c r="A155" s="58" t="s">
        <v>3677</v>
      </c>
      <c r="B155" s="58" t="s">
        <v>2948</v>
      </c>
      <c r="C155" s="58" t="s">
        <v>8735</v>
      </c>
      <c r="D155" s="60">
        <v>8</v>
      </c>
      <c r="E155" s="58" t="s">
        <v>3714</v>
      </c>
      <c r="F155" s="17"/>
      <c r="G155" s="17"/>
      <c r="H155" s="17"/>
      <c r="I155" s="17"/>
      <c r="J155" s="17"/>
      <c r="K155" s="17"/>
      <c r="L155" s="17"/>
      <c r="M155" s="17"/>
      <c r="N155" s="17"/>
      <c r="O155" s="17"/>
      <c r="P155" s="17"/>
      <c r="Q155" s="17"/>
      <c r="R155" s="17"/>
      <c r="S155" s="17"/>
    </row>
    <row r="156" spans="1:19" ht="15.6">
      <c r="A156" s="58" t="s">
        <v>3677</v>
      </c>
      <c r="B156" s="58" t="s">
        <v>2949</v>
      </c>
      <c r="C156" s="58" t="s">
        <v>8736</v>
      </c>
      <c r="D156" s="60">
        <v>9</v>
      </c>
      <c r="E156" s="58" t="s">
        <v>3720</v>
      </c>
      <c r="F156" s="17"/>
      <c r="G156" s="17"/>
      <c r="H156" s="17"/>
      <c r="I156" s="17"/>
      <c r="J156" s="17"/>
      <c r="K156" s="17"/>
      <c r="L156" s="17"/>
      <c r="M156" s="17"/>
      <c r="N156" s="17"/>
      <c r="O156" s="17"/>
      <c r="P156" s="17"/>
      <c r="Q156" s="17"/>
      <c r="R156" s="17"/>
      <c r="S156" s="17"/>
    </row>
    <row r="157" spans="1:19" ht="15.6">
      <c r="A157" s="58" t="s">
        <v>3680</v>
      </c>
      <c r="B157" s="58" t="s">
        <v>2950</v>
      </c>
      <c r="C157" s="58" t="s">
        <v>8737</v>
      </c>
      <c r="D157" s="60">
        <v>1</v>
      </c>
      <c r="E157" s="58" t="s">
        <v>2993</v>
      </c>
      <c r="F157" s="17"/>
      <c r="G157" s="17"/>
      <c r="H157" s="17"/>
      <c r="I157" s="17"/>
      <c r="J157" s="17"/>
      <c r="K157" s="17"/>
      <c r="L157" s="17"/>
      <c r="M157" s="17"/>
      <c r="N157" s="17"/>
      <c r="O157" s="17"/>
      <c r="P157" s="17"/>
      <c r="Q157" s="17"/>
      <c r="R157" s="17"/>
      <c r="S157" s="17"/>
    </row>
    <row r="158" spans="1:19" ht="15.6">
      <c r="A158" s="58" t="s">
        <v>3680</v>
      </c>
      <c r="B158" s="58" t="s">
        <v>2948</v>
      </c>
      <c r="C158" s="58" t="s">
        <v>8738</v>
      </c>
      <c r="D158" s="60">
        <v>8</v>
      </c>
      <c r="E158" s="58" t="s">
        <v>2991</v>
      </c>
      <c r="F158" s="17"/>
      <c r="G158" s="17"/>
      <c r="H158" s="17"/>
      <c r="I158" s="17"/>
      <c r="J158" s="17"/>
      <c r="K158" s="17"/>
      <c r="L158" s="17"/>
      <c r="M158" s="17"/>
      <c r="N158" s="17"/>
      <c r="O158" s="17"/>
      <c r="P158" s="17"/>
      <c r="Q158" s="17"/>
      <c r="R158" s="17"/>
      <c r="S158" s="17"/>
    </row>
    <row r="159" spans="1:19" ht="15.6">
      <c r="A159" s="58" t="s">
        <v>3680</v>
      </c>
      <c r="B159" s="58" t="s">
        <v>2949</v>
      </c>
      <c r="C159" s="58" t="s">
        <v>8739</v>
      </c>
      <c r="D159" s="60">
        <v>9</v>
      </c>
      <c r="E159" s="58" t="s">
        <v>2992</v>
      </c>
    </row>
  </sheetData>
  <sheetProtection algorithmName="SHA-512" hashValue="lxYPdxE3ELPtVsgkblQ7wXSYkTkRgS5Dgs5mEp5fz3IWDjEi3G2pmq177xrGFgnfNdVL1xzHxLsfr6RHP8bBPg==" saltValue="Mb/P8PAmUzfqdTVtTVl9SA==" spinCount="100000" sheet="1" objects="1" scenarios="1" selectLockedCells="1"/>
  <mergeCells count="15">
    <mergeCell ref="A1:E2"/>
    <mergeCell ref="A8:E8"/>
    <mergeCell ref="A23:C23"/>
    <mergeCell ref="B13:E13"/>
    <mergeCell ref="B14:E14"/>
    <mergeCell ref="B15:E15"/>
    <mergeCell ref="B16:E16"/>
    <mergeCell ref="A18:E18"/>
    <mergeCell ref="B11:E11"/>
    <mergeCell ref="B12:E12"/>
    <mergeCell ref="A10:E10"/>
    <mergeCell ref="A3:E3"/>
    <mergeCell ref="B6:C6"/>
    <mergeCell ref="D6:E6"/>
    <mergeCell ref="A4:E4"/>
  </mergeCells>
  <phoneticPr fontId="62" type="noConversion"/>
  <conditionalFormatting sqref="B14">
    <cfRule type="expression" priority="4">
      <formula>"C3 = ""variable"""</formula>
    </cfRule>
  </conditionalFormatting>
  <conditionalFormatting sqref="B13">
    <cfRule type="expression" priority="3">
      <formula>"C3 = ""variable"""</formula>
    </cfRule>
  </conditionalFormatting>
  <conditionalFormatting sqref="B15">
    <cfRule type="expression" priority="1">
      <formula>"C3 = ""variable"""</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8BE9D-930A-476D-84F7-AD2C4AA4C0FF}">
  <sheetPr codeName="Feuil91">
    <tabColor theme="3"/>
  </sheetPr>
  <dimension ref="A1:F35"/>
  <sheetViews>
    <sheetView zoomScaleNormal="100" workbookViewId="0">
      <selection activeCell="H929" sqref="H929"/>
    </sheetView>
  </sheetViews>
  <sheetFormatPr baseColWidth="10" defaultRowHeight="14.4"/>
  <cols>
    <col min="1" max="1" width="19.68359375" customWidth="1"/>
    <col min="2" max="2" width="15.68359375" customWidth="1"/>
    <col min="3" max="3" width="38.68359375" customWidth="1"/>
    <col min="5" max="5" width="17.89453125" customWidth="1"/>
    <col min="6" max="6" width="47.1015625" customWidth="1"/>
    <col min="8" max="8" width="15.89453125" customWidth="1"/>
  </cols>
  <sheetData>
    <row r="1" spans="1:6" ht="14.4" customHeight="1">
      <c r="A1" s="1399" t="s">
        <v>3528</v>
      </c>
      <c r="B1" s="1399"/>
      <c r="C1" s="1399"/>
      <c r="D1" s="1399"/>
      <c r="E1" s="1399"/>
      <c r="F1" s="1399"/>
    </row>
    <row r="2" spans="1:6" ht="14.4" customHeight="1">
      <c r="A2" s="1399"/>
      <c r="B2" s="1399"/>
      <c r="C2" s="1399"/>
      <c r="D2" s="1399"/>
      <c r="E2" s="1399"/>
      <c r="F2" s="1399"/>
    </row>
    <row r="3" spans="1:6" ht="14.4" customHeight="1" thickBot="1"/>
    <row r="4" spans="1:6" ht="26.1" thickBot="1">
      <c r="A4" s="1395" t="s">
        <v>3299</v>
      </c>
      <c r="B4" s="1396"/>
      <c r="C4" s="1396"/>
      <c r="D4" s="1396"/>
      <c r="E4" s="1396"/>
      <c r="F4" s="1396"/>
    </row>
    <row r="6" spans="1:6" ht="90.6" customHeight="1">
      <c r="A6" s="1401" t="s">
        <v>3536</v>
      </c>
      <c r="B6" s="1401"/>
      <c r="C6" s="1401" t="s">
        <v>3538</v>
      </c>
      <c r="D6" s="1401"/>
      <c r="E6" s="1400" t="s">
        <v>3539</v>
      </c>
      <c r="F6" s="1400"/>
    </row>
    <row r="7" spans="1:6" ht="14.7" thickBot="1"/>
    <row r="8" spans="1:6" ht="26.1" thickBot="1">
      <c r="A8" s="1395" t="s">
        <v>3537</v>
      </c>
      <c r="B8" s="1396"/>
      <c r="C8" s="1396"/>
      <c r="D8" s="1396"/>
      <c r="E8" s="1396"/>
      <c r="F8" s="1396"/>
    </row>
    <row r="10" spans="1:6" ht="15.6">
      <c r="A10" s="3" t="s">
        <v>2971</v>
      </c>
      <c r="B10" s="5" t="s">
        <v>2972</v>
      </c>
      <c r="C10" s="3" t="s">
        <v>2973</v>
      </c>
    </row>
    <row r="11" spans="1:6" ht="15.6">
      <c r="A11" s="6" t="str">
        <f>'Export XML'!G10</f>
        <v>NO</v>
      </c>
      <c r="B11" s="7" t="str">
        <f>'Export XML'!G11</f>
        <v/>
      </c>
      <c r="C11" s="8">
        <f>'Export XML'!G12</f>
        <v>1900</v>
      </c>
    </row>
    <row r="13" spans="1:6" ht="15.6">
      <c r="A13" s="1397" t="s">
        <v>3529</v>
      </c>
      <c r="B13" s="1398"/>
      <c r="C13" s="1398"/>
      <c r="E13" s="1397" t="s">
        <v>3530</v>
      </c>
      <c r="F13" s="1398"/>
    </row>
    <row r="14" spans="1:6" ht="15.6">
      <c r="A14" s="2" t="s">
        <v>3311</v>
      </c>
      <c r="B14" s="2" t="s">
        <v>3523</v>
      </c>
      <c r="C14" s="3" t="s">
        <v>2419</v>
      </c>
      <c r="E14" s="1" t="s">
        <v>3304</v>
      </c>
      <c r="F14" s="1" t="s">
        <v>2419</v>
      </c>
    </row>
    <row r="15" spans="1:6" ht="15.6">
      <c r="A15" s="4" t="s">
        <v>9052</v>
      </c>
      <c r="B15" s="4">
        <v>2</v>
      </c>
      <c r="C15" s="99" t="s">
        <v>9181</v>
      </c>
      <c r="E15" s="1" t="s">
        <v>9095</v>
      </c>
      <c r="F15" s="98" t="s">
        <v>11583</v>
      </c>
    </row>
    <row r="16" spans="1:6" ht="15.6">
      <c r="A16" s="11" t="s">
        <v>3264</v>
      </c>
      <c r="B16" s="11">
        <v>2</v>
      </c>
      <c r="C16" s="100" t="s">
        <v>1889</v>
      </c>
      <c r="E16" s="1" t="s">
        <v>9096</v>
      </c>
      <c r="F16" s="98" t="s">
        <v>11584</v>
      </c>
    </row>
    <row r="17" spans="1:6" ht="15.6">
      <c r="A17" s="11" t="s">
        <v>8645</v>
      </c>
      <c r="B17" s="11">
        <v>2</v>
      </c>
      <c r="C17" s="100" t="s">
        <v>2864</v>
      </c>
      <c r="E17" s="1" t="s">
        <v>9097</v>
      </c>
      <c r="F17" s="98" t="s">
        <v>11585</v>
      </c>
    </row>
    <row r="18" spans="1:6" ht="15.6">
      <c r="A18" s="11" t="s">
        <v>8673</v>
      </c>
      <c r="B18" s="11">
        <v>2</v>
      </c>
      <c r="C18" s="100" t="s">
        <v>2864</v>
      </c>
      <c r="E18" s="1" t="s">
        <v>9098</v>
      </c>
      <c r="F18" s="98" t="s">
        <v>11584</v>
      </c>
    </row>
    <row r="19" spans="1:6" ht="15.6">
      <c r="A19" s="11" t="s">
        <v>8693</v>
      </c>
      <c r="B19" s="11">
        <v>52</v>
      </c>
      <c r="C19" s="100" t="s">
        <v>2864</v>
      </c>
      <c r="E19" s="1" t="s">
        <v>9100</v>
      </c>
      <c r="F19" s="9">
        <v>12</v>
      </c>
    </row>
    <row r="20" spans="1:6" ht="15.6">
      <c r="E20" s="1" t="s">
        <v>9101</v>
      </c>
      <c r="F20" s="98" t="s">
        <v>11581</v>
      </c>
    </row>
    <row r="21" spans="1:6" ht="15.6">
      <c r="E21" s="1" t="s">
        <v>9102</v>
      </c>
      <c r="F21" s="98" t="s">
        <v>11582</v>
      </c>
    </row>
    <row r="22" spans="1:6" ht="15.6">
      <c r="E22" s="1" t="s">
        <v>9104</v>
      </c>
      <c r="F22" s="9">
        <v>362401</v>
      </c>
    </row>
    <row r="23" spans="1:6" ht="15.6">
      <c r="E23" s="1" t="s">
        <v>9233</v>
      </c>
      <c r="F23" s="98" t="s">
        <v>507</v>
      </c>
    </row>
    <row r="24" spans="1:6" ht="15.6">
      <c r="E24" s="1" t="s">
        <v>9597</v>
      </c>
      <c r="F24" s="98" t="s">
        <v>11459</v>
      </c>
    </row>
    <row r="25" spans="1:6" ht="15.6">
      <c r="E25" s="1" t="s">
        <v>9594</v>
      </c>
      <c r="F25" s="98" t="s">
        <v>9042</v>
      </c>
    </row>
    <row r="26" spans="1:6" ht="15.6">
      <c r="E26" s="1" t="s">
        <v>9595</v>
      </c>
      <c r="F26" s="9">
        <v>3181</v>
      </c>
    </row>
    <row r="27" spans="1:6" ht="15.6">
      <c r="E27" s="1" t="s">
        <v>9596</v>
      </c>
      <c r="F27" s="98" t="s">
        <v>11580</v>
      </c>
    </row>
    <row r="28" spans="1:6" ht="15.6">
      <c r="E28" s="1" t="s">
        <v>9106</v>
      </c>
      <c r="F28" s="98" t="s">
        <v>11586</v>
      </c>
    </row>
    <row r="29" spans="1:6" ht="15.6">
      <c r="E29" s="1" t="s">
        <v>9615</v>
      </c>
      <c r="F29" s="98" t="s">
        <v>9037</v>
      </c>
    </row>
    <row r="30" spans="1:6" ht="15.6">
      <c r="E30" s="1" t="s">
        <v>9616</v>
      </c>
      <c r="F30" s="9">
        <v>2</v>
      </c>
    </row>
    <row r="31" spans="1:6" ht="15.6">
      <c r="E31" s="1" t="s">
        <v>9015</v>
      </c>
      <c r="F31" s="98" t="s">
        <v>9037</v>
      </c>
    </row>
    <row r="32" spans="1:6" ht="15.6">
      <c r="E32" s="1" t="s">
        <v>9019</v>
      </c>
      <c r="F32" s="9">
        <v>2018</v>
      </c>
    </row>
    <row r="33" spans="5:6" ht="15.6">
      <c r="E33" s="1" t="s">
        <v>6499</v>
      </c>
      <c r="F33" s="98" t="s">
        <v>8747</v>
      </c>
    </row>
    <row r="34" spans="5:6" ht="15.6">
      <c r="E34" s="1" t="s">
        <v>6502</v>
      </c>
      <c r="F34" s="98" t="s">
        <v>8747</v>
      </c>
    </row>
    <row r="35" spans="5:6" ht="15.6">
      <c r="E35" s="1" t="s">
        <v>9209</v>
      </c>
      <c r="F35" s="9">
        <v>0.25</v>
      </c>
    </row>
  </sheetData>
  <sheetProtection algorithmName="SHA-512" hashValue="woeVuBoIv7Mk0gFFC2zFVuMkVjWJb5OAgkO2wWkdyb2WkdppqOmYgRmpW9V235KvzKRnMZ+p1RDLaXRKtJj/HQ==" saltValue="4cNL0JJip1h4nrif1nfyZg==" spinCount="100000" sheet="1" objects="1" scenarios="1" selectLockedCells="1"/>
  <mergeCells count="8">
    <mergeCell ref="A8:F8"/>
    <mergeCell ref="A13:C13"/>
    <mergeCell ref="A1:F2"/>
    <mergeCell ref="E13:F13"/>
    <mergeCell ref="E6:F6"/>
    <mergeCell ref="A6:B6"/>
    <mergeCell ref="C6:D6"/>
    <mergeCell ref="A4:F4"/>
  </mergeCells>
  <pageMargins left="0.7" right="0.7" top="0.75" bottom="0.75" header="0.3" footer="0.3"/>
  <pageSetup paperSize="9" orientation="portrait" r:id="rId1"/>
  <drawing r:id="rId2"/>
  <tableParts count="3">
    <tablePart r:id="rId3"/>
    <tablePart r:id="rId4"/>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63D5C-4393-448F-BA1A-DA8C920A0B77}">
  <sheetPr codeName="Feuil94">
    <tabColor theme="3" tint="-0.499984740745262"/>
    <outlinePr showOutlineSymbols="0"/>
    <pageSetUpPr autoPageBreaks="0"/>
  </sheetPr>
  <dimension ref="A1:X76"/>
  <sheetViews>
    <sheetView showGridLines="0" showRowColHeaders="0" showZeros="0" showOutlineSymbols="0" zoomScale="85" zoomScaleNormal="85" workbookViewId="0">
      <selection activeCell="K15" sqref="K15"/>
    </sheetView>
  </sheetViews>
  <sheetFormatPr baseColWidth="10" defaultColWidth="11.5234375" defaultRowHeight="16.5"/>
  <cols>
    <col min="1" max="1" width="2.5234375" style="221" customWidth="1"/>
    <col min="2" max="2" width="38.5234375" style="128" customWidth="1"/>
    <col min="3" max="3" width="1.5234375" style="128" customWidth="1"/>
    <col min="4" max="4" width="4.5234375" style="128" customWidth="1"/>
    <col min="5" max="5" width="1.5234375" style="128" customWidth="1"/>
    <col min="6" max="6" width="10.5234375" style="128" customWidth="1"/>
    <col min="7" max="7" width="1.5234375" style="128" customWidth="1"/>
    <col min="8" max="8" width="26.5234375" style="128" customWidth="1"/>
    <col min="9" max="9" width="4.5234375" style="128" customWidth="1"/>
    <col min="10" max="10" width="1.5234375" style="128" customWidth="1"/>
    <col min="11" max="11" width="34.5234375" style="128" customWidth="1"/>
    <col min="12" max="12" width="1.5234375" style="128" customWidth="1"/>
    <col min="13" max="13" width="4.5234375" style="128" customWidth="1"/>
    <col min="14" max="14" width="1.5234375" style="128" customWidth="1"/>
    <col min="15" max="15" width="10.5234375" style="128" customWidth="1"/>
    <col min="16" max="16" width="1.5234375" style="128" customWidth="1"/>
    <col min="17" max="17" width="26.5234375" style="128" customWidth="1"/>
    <col min="18" max="18" width="4.5234375" style="128" customWidth="1"/>
    <col min="19" max="19" width="1.5234375" style="221" customWidth="1"/>
    <col min="20" max="20" width="4.5234375" style="221" customWidth="1"/>
    <col min="21" max="21" width="11.5234375" style="221"/>
    <col min="22" max="22" width="20.41796875" style="221" customWidth="1"/>
    <col min="23" max="23" width="3.41796875" style="221" customWidth="1"/>
    <col min="24" max="24" width="11.5234375" style="221"/>
    <col min="25" max="25" width="4.5234375" style="221" customWidth="1"/>
    <col min="26" max="16384" width="11.5234375" style="221"/>
  </cols>
  <sheetData>
    <row r="1" spans="1:24" ht="8.25" customHeight="1"/>
    <row r="2" spans="1:24" s="223" customFormat="1" ht="31.5" customHeight="1">
      <c r="A2" s="221"/>
      <c r="B2" s="1402" t="s">
        <v>11460</v>
      </c>
      <c r="C2" s="1402"/>
      <c r="D2" s="1402"/>
      <c r="E2" s="1402"/>
      <c r="F2" s="1402"/>
      <c r="G2" s="1402"/>
      <c r="H2" s="1402"/>
      <c r="I2" s="1402"/>
      <c r="J2" s="1402"/>
      <c r="K2" s="1402"/>
      <c r="L2" s="1402"/>
      <c r="M2" s="1402"/>
      <c r="O2" s="1403" t="s">
        <v>11461</v>
      </c>
      <c r="P2" s="1403"/>
      <c r="Q2" s="1403"/>
      <c r="R2" s="1403"/>
    </row>
    <row r="3" spans="1:24" s="223" customFormat="1" ht="7.5" customHeight="1">
      <c r="A3" s="221"/>
      <c r="B3" s="222"/>
      <c r="C3" s="222"/>
      <c r="D3" s="222"/>
      <c r="E3" s="224"/>
      <c r="F3" s="222"/>
      <c r="G3" s="222"/>
      <c r="H3" s="222"/>
      <c r="I3" s="222"/>
      <c r="J3" s="224"/>
      <c r="K3" s="221"/>
      <c r="L3" s="221"/>
      <c r="M3" s="222"/>
      <c r="N3" s="221"/>
      <c r="O3" s="221"/>
      <c r="P3" s="221"/>
      <c r="Q3" s="221"/>
      <c r="R3" s="222"/>
    </row>
    <row r="4" spans="1:24" s="232" customFormat="1" ht="15.75" customHeight="1">
      <c r="A4" s="225"/>
      <c r="B4" s="226" t="s">
        <v>9980</v>
      </c>
      <c r="C4" s="227"/>
      <c r="D4" s="228"/>
      <c r="E4" s="229"/>
      <c r="F4" s="1404" t="s">
        <v>11462</v>
      </c>
      <c r="G4" s="1404"/>
      <c r="H4" s="1404"/>
      <c r="I4" s="230" t="b">
        <v>0</v>
      </c>
      <c r="J4" s="229">
        <f t="shared" ref="J4:J25" si="0">IF(I4=TRUE,1,0)</f>
        <v>0</v>
      </c>
      <c r="K4" s="226" t="s">
        <v>11463</v>
      </c>
      <c r="L4" s="227"/>
      <c r="M4" s="231" t="b">
        <v>1</v>
      </c>
      <c r="N4" s="229">
        <f t="shared" ref="N4:N23" si="1">IF(M4=TRUE,1,0)</f>
        <v>1</v>
      </c>
      <c r="O4" s="1404" t="s">
        <v>11464</v>
      </c>
      <c r="P4" s="1404"/>
      <c r="Q4" s="1404"/>
      <c r="R4" s="230" t="b">
        <v>1</v>
      </c>
    </row>
    <row r="5" spans="1:24" s="232" customFormat="1" ht="15.75" customHeight="1">
      <c r="A5" s="225"/>
      <c r="B5" s="233" t="s">
        <v>9945</v>
      </c>
      <c r="C5" s="234"/>
      <c r="D5" s="235" t="b">
        <v>1</v>
      </c>
      <c r="E5" s="229">
        <f>IF(D5=TRUE,1,0)</f>
        <v>1</v>
      </c>
      <c r="F5" s="1405" t="s">
        <v>11465</v>
      </c>
      <c r="G5" s="1405"/>
      <c r="H5" s="1405"/>
      <c r="I5" s="236" t="b">
        <v>0</v>
      </c>
      <c r="J5" s="229">
        <f t="shared" si="0"/>
        <v>0</v>
      </c>
      <c r="K5" s="233" t="s">
        <v>11466</v>
      </c>
      <c r="L5" s="234"/>
      <c r="M5" s="235" t="b">
        <v>0</v>
      </c>
      <c r="N5" s="229">
        <f t="shared" si="1"/>
        <v>0</v>
      </c>
      <c r="O5" s="1405" t="s">
        <v>11467</v>
      </c>
      <c r="P5" s="1405"/>
      <c r="Q5" s="1405"/>
      <c r="R5" s="236" t="b">
        <v>1</v>
      </c>
    </row>
    <row r="6" spans="1:24" s="232" customFormat="1" ht="15.75" customHeight="1">
      <c r="A6" s="225"/>
      <c r="B6" s="226" t="s">
        <v>9948</v>
      </c>
      <c r="C6" s="227"/>
      <c r="D6" s="231" t="b">
        <v>1</v>
      </c>
      <c r="E6" s="229">
        <f t="shared" ref="E6:E23" si="2">IF(D6=TRUE,1,0)</f>
        <v>1</v>
      </c>
      <c r="F6" s="1404" t="s">
        <v>11468</v>
      </c>
      <c r="G6" s="1404"/>
      <c r="H6" s="1404"/>
      <c r="I6" s="230" t="b">
        <v>0</v>
      </c>
      <c r="J6" s="229">
        <f t="shared" si="0"/>
        <v>0</v>
      </c>
      <c r="K6" s="226" t="s">
        <v>11469</v>
      </c>
      <c r="L6" s="227"/>
      <c r="M6" s="231" t="b">
        <v>1</v>
      </c>
      <c r="N6" s="229">
        <f t="shared" si="1"/>
        <v>1</v>
      </c>
      <c r="O6" s="1404" t="s">
        <v>11470</v>
      </c>
      <c r="P6" s="1404"/>
      <c r="Q6" s="1404"/>
      <c r="R6" s="230" t="b">
        <v>1</v>
      </c>
    </row>
    <row r="7" spans="1:24" s="232" customFormat="1" ht="15.75" customHeight="1">
      <c r="A7" s="225"/>
      <c r="B7" s="233" t="s">
        <v>9953</v>
      </c>
      <c r="C7" s="234"/>
      <c r="D7" s="235" t="b">
        <v>1</v>
      </c>
      <c r="E7" s="229">
        <f t="shared" si="2"/>
        <v>1</v>
      </c>
      <c r="F7" s="1405" t="s">
        <v>11471</v>
      </c>
      <c r="G7" s="1405"/>
      <c r="H7" s="1405"/>
      <c r="I7" s="236" t="b">
        <v>0</v>
      </c>
      <c r="J7" s="229">
        <f t="shared" si="0"/>
        <v>0</v>
      </c>
      <c r="K7" s="233" t="s">
        <v>11472</v>
      </c>
      <c r="L7" s="234"/>
      <c r="M7" s="235" t="b">
        <v>1</v>
      </c>
      <c r="N7" s="229">
        <f t="shared" si="1"/>
        <v>1</v>
      </c>
      <c r="O7" s="1405" t="s">
        <v>11473</v>
      </c>
      <c r="P7" s="1405"/>
      <c r="Q7" s="1405"/>
      <c r="R7" s="236" t="b">
        <v>1</v>
      </c>
    </row>
    <row r="8" spans="1:24" s="232" customFormat="1" ht="15.75" customHeight="1">
      <c r="A8" s="225"/>
      <c r="B8" s="226" t="s">
        <v>11474</v>
      </c>
      <c r="C8" s="227"/>
      <c r="D8" s="231" t="b">
        <v>1</v>
      </c>
      <c r="E8" s="229">
        <f t="shared" si="2"/>
        <v>1</v>
      </c>
      <c r="F8" s="1404" t="s">
        <v>11475</v>
      </c>
      <c r="G8" s="1404"/>
      <c r="H8" s="1404"/>
      <c r="I8" s="230" t="b">
        <v>0</v>
      </c>
      <c r="J8" s="229">
        <f t="shared" si="0"/>
        <v>0</v>
      </c>
      <c r="K8" s="226" t="s">
        <v>11476</v>
      </c>
      <c r="L8" s="227"/>
      <c r="M8" s="231" t="b">
        <v>1</v>
      </c>
      <c r="N8" s="229">
        <f t="shared" si="1"/>
        <v>1</v>
      </c>
      <c r="O8" s="1404" t="s">
        <v>11477</v>
      </c>
      <c r="P8" s="1404"/>
      <c r="Q8" s="1404"/>
      <c r="R8" s="230" t="b">
        <v>0</v>
      </c>
    </row>
    <row r="9" spans="1:24" s="232" customFormat="1" ht="15.75" customHeight="1">
      <c r="A9" s="225"/>
      <c r="B9" s="233" t="s">
        <v>11478</v>
      </c>
      <c r="C9" s="234"/>
      <c r="D9" s="235" t="b">
        <v>1</v>
      </c>
      <c r="E9" s="229">
        <f t="shared" si="2"/>
        <v>1</v>
      </c>
      <c r="F9" s="1405" t="s">
        <v>11479</v>
      </c>
      <c r="G9" s="1405"/>
      <c r="H9" s="1405"/>
      <c r="I9" s="236" t="b">
        <v>0</v>
      </c>
      <c r="J9" s="229">
        <f t="shared" si="0"/>
        <v>0</v>
      </c>
      <c r="K9" s="233" t="s">
        <v>11480</v>
      </c>
      <c r="L9" s="234"/>
      <c r="M9" s="235" t="b">
        <v>1</v>
      </c>
      <c r="N9" s="229">
        <f t="shared" si="1"/>
        <v>1</v>
      </c>
      <c r="O9" s="1405" t="s">
        <v>11481</v>
      </c>
      <c r="P9" s="1405"/>
      <c r="Q9" s="1405"/>
      <c r="R9" s="236" t="b">
        <v>0</v>
      </c>
      <c r="U9" s="1406" t="s">
        <v>11455</v>
      </c>
      <c r="V9" s="1406"/>
    </row>
    <row r="10" spans="1:24" s="232" customFormat="1" ht="15.75" customHeight="1">
      <c r="A10" s="225"/>
      <c r="B10" s="226" t="s">
        <v>11482</v>
      </c>
      <c r="C10" s="227"/>
      <c r="D10" s="231" t="b">
        <v>1</v>
      </c>
      <c r="E10" s="229">
        <f t="shared" si="2"/>
        <v>1</v>
      </c>
      <c r="F10" s="1404" t="s">
        <v>11483</v>
      </c>
      <c r="G10" s="1404"/>
      <c r="H10" s="1404"/>
      <c r="I10" s="230" t="b">
        <v>0</v>
      </c>
      <c r="J10" s="229">
        <f t="shared" si="0"/>
        <v>0</v>
      </c>
      <c r="K10" s="226" t="s">
        <v>11484</v>
      </c>
      <c r="L10" s="227"/>
      <c r="M10" s="231" t="b">
        <v>1</v>
      </c>
      <c r="N10" s="229">
        <f t="shared" si="1"/>
        <v>1</v>
      </c>
      <c r="O10" s="1404" t="s">
        <v>11485</v>
      </c>
      <c r="P10" s="1404"/>
      <c r="Q10" s="1404"/>
      <c r="R10" s="230" t="b">
        <v>0</v>
      </c>
      <c r="U10" s="1407"/>
      <c r="V10" s="1407"/>
    </row>
    <row r="11" spans="1:24" s="232" customFormat="1" ht="15.75" customHeight="1">
      <c r="A11" s="225"/>
      <c r="B11" s="233" t="s">
        <v>11486</v>
      </c>
      <c r="C11" s="234"/>
      <c r="D11" s="235" t="b">
        <v>1</v>
      </c>
      <c r="E11" s="229">
        <f t="shared" si="2"/>
        <v>1</v>
      </c>
      <c r="F11" s="1405" t="s">
        <v>11487</v>
      </c>
      <c r="G11" s="1405"/>
      <c r="H11" s="1405"/>
      <c r="I11" s="236" t="b">
        <v>0</v>
      </c>
      <c r="J11" s="229">
        <f t="shared" si="0"/>
        <v>0</v>
      </c>
      <c r="K11" s="233" t="s">
        <v>11488</v>
      </c>
      <c r="L11" s="234"/>
      <c r="M11" s="235" t="b">
        <v>1</v>
      </c>
      <c r="N11" s="229">
        <f t="shared" si="1"/>
        <v>1</v>
      </c>
      <c r="O11" s="1405" t="s">
        <v>11489</v>
      </c>
      <c r="P11" s="1405"/>
      <c r="Q11" s="1405"/>
      <c r="R11" s="236" t="b">
        <v>1</v>
      </c>
      <c r="U11" s="1408" t="s">
        <v>11456</v>
      </c>
      <c r="V11" s="1407"/>
      <c r="X11"/>
    </row>
    <row r="12" spans="1:24" s="232" customFormat="1" ht="15.75" customHeight="1">
      <c r="A12" s="225"/>
      <c r="B12" s="226" t="s">
        <v>11490</v>
      </c>
      <c r="C12" s="227"/>
      <c r="D12" s="231" t="b">
        <v>1</v>
      </c>
      <c r="E12" s="229">
        <f t="shared" si="2"/>
        <v>1</v>
      </c>
      <c r="F12" s="1404" t="s">
        <v>11491</v>
      </c>
      <c r="G12" s="1404"/>
      <c r="H12" s="1404"/>
      <c r="I12" s="230" t="b">
        <v>0</v>
      </c>
      <c r="J12" s="229">
        <f t="shared" si="0"/>
        <v>0</v>
      </c>
      <c r="K12" s="226" t="s">
        <v>11492</v>
      </c>
      <c r="L12" s="227"/>
      <c r="M12" s="231" t="b">
        <v>0</v>
      </c>
      <c r="N12" s="229">
        <f t="shared" si="1"/>
        <v>0</v>
      </c>
      <c r="O12" s="1404" t="s">
        <v>11493</v>
      </c>
      <c r="P12" s="1404"/>
      <c r="Q12" s="1404"/>
      <c r="R12" s="230" t="b">
        <v>0</v>
      </c>
      <c r="U12" s="1407" t="s">
        <v>11457</v>
      </c>
      <c r="V12" s="1407"/>
    </row>
    <row r="13" spans="1:24" s="232" customFormat="1" ht="15.75" customHeight="1">
      <c r="A13" s="225"/>
      <c r="B13" s="233" t="s">
        <v>1110</v>
      </c>
      <c r="C13" s="234"/>
      <c r="D13" s="235" t="b">
        <v>1</v>
      </c>
      <c r="E13" s="229">
        <f t="shared" si="2"/>
        <v>1</v>
      </c>
      <c r="F13" s="1405" t="s">
        <v>11494</v>
      </c>
      <c r="G13" s="1405"/>
      <c r="H13" s="1405"/>
      <c r="I13" s="236" t="b">
        <v>0</v>
      </c>
      <c r="J13" s="229">
        <f t="shared" si="0"/>
        <v>0</v>
      </c>
      <c r="K13" s="233" t="s">
        <v>11495</v>
      </c>
      <c r="L13" s="234"/>
      <c r="M13" s="235" t="b">
        <v>1</v>
      </c>
      <c r="N13" s="229">
        <f t="shared" si="1"/>
        <v>1</v>
      </c>
      <c r="O13" s="1405" t="s">
        <v>11496</v>
      </c>
      <c r="P13" s="1405"/>
      <c r="Q13" s="1405"/>
      <c r="R13" s="236" t="b">
        <v>0</v>
      </c>
      <c r="U13" s="1408" t="s">
        <v>11458</v>
      </c>
      <c r="V13" s="1407"/>
    </row>
    <row r="14" spans="1:24" s="232" customFormat="1" ht="15.75" customHeight="1">
      <c r="A14" s="225"/>
      <c r="B14" s="226" t="s">
        <v>11497</v>
      </c>
      <c r="C14" s="227"/>
      <c r="D14" s="231" t="b">
        <v>1</v>
      </c>
      <c r="E14" s="229">
        <f t="shared" si="2"/>
        <v>1</v>
      </c>
      <c r="F14" s="1404" t="s">
        <v>11498</v>
      </c>
      <c r="G14" s="1404"/>
      <c r="H14" s="1404"/>
      <c r="I14" s="230" t="b">
        <v>0</v>
      </c>
      <c r="J14" s="229">
        <f t="shared" si="0"/>
        <v>0</v>
      </c>
      <c r="K14" s="226" t="s">
        <v>11499</v>
      </c>
      <c r="L14" s="227"/>
      <c r="M14" s="231" t="b">
        <v>1</v>
      </c>
      <c r="N14" s="229">
        <f t="shared" si="1"/>
        <v>1</v>
      </c>
      <c r="O14" s="1404" t="s">
        <v>11500</v>
      </c>
      <c r="P14" s="1404"/>
      <c r="Q14" s="1404"/>
      <c r="R14" s="230" t="b">
        <v>1</v>
      </c>
      <c r="U14" s="1409" t="s">
        <v>11459</v>
      </c>
      <c r="V14" s="1409"/>
    </row>
    <row r="15" spans="1:24" s="232" customFormat="1" ht="15.75" customHeight="1">
      <c r="A15" s="225"/>
      <c r="B15" s="233" t="s">
        <v>11501</v>
      </c>
      <c r="C15" s="234"/>
      <c r="D15" s="235" t="b">
        <v>1</v>
      </c>
      <c r="E15" s="229">
        <f t="shared" si="2"/>
        <v>1</v>
      </c>
      <c r="F15" s="1405" t="s">
        <v>11502</v>
      </c>
      <c r="G15" s="1405"/>
      <c r="H15" s="1405"/>
      <c r="I15" s="236" t="b">
        <v>1</v>
      </c>
      <c r="J15" s="229">
        <f t="shared" si="0"/>
        <v>1</v>
      </c>
      <c r="K15" s="233" t="s">
        <v>11503</v>
      </c>
      <c r="L15" s="234"/>
      <c r="M15" s="235" t="b">
        <v>1</v>
      </c>
      <c r="N15" s="229">
        <f t="shared" si="1"/>
        <v>1</v>
      </c>
      <c r="O15" s="1410" t="s">
        <v>3689</v>
      </c>
      <c r="P15" s="1410"/>
      <c r="Q15" s="1410"/>
      <c r="R15" s="1264" t="b">
        <v>1</v>
      </c>
      <c r="U15" s="1409"/>
      <c r="V15" s="1409"/>
    </row>
    <row r="16" spans="1:24" s="232" customFormat="1" ht="15.75" customHeight="1" thickBot="1">
      <c r="A16" s="225"/>
      <c r="B16" s="226" t="s">
        <v>1253</v>
      </c>
      <c r="C16" s="227"/>
      <c r="D16" s="231" t="b">
        <v>1</v>
      </c>
      <c r="E16" s="229">
        <f t="shared" si="2"/>
        <v>1</v>
      </c>
      <c r="F16" s="1404" t="s">
        <v>11504</v>
      </c>
      <c r="G16" s="1404"/>
      <c r="H16" s="1404"/>
      <c r="I16" s="230" t="b">
        <v>0</v>
      </c>
      <c r="J16" s="229">
        <f t="shared" si="0"/>
        <v>0</v>
      </c>
      <c r="K16" s="226" t="s">
        <v>11505</v>
      </c>
      <c r="L16" s="227"/>
      <c r="M16" s="231" t="b">
        <v>0</v>
      </c>
      <c r="N16" s="229">
        <f t="shared" si="1"/>
        <v>0</v>
      </c>
      <c r="O16" s="1411"/>
      <c r="P16" s="1411"/>
      <c r="Q16" s="1411"/>
      <c r="R16" s="1263"/>
    </row>
    <row r="17" spans="1:23" s="232" customFormat="1" ht="15.75" customHeight="1" thickTop="1">
      <c r="A17" s="225"/>
      <c r="B17" s="233" t="s">
        <v>1359</v>
      </c>
      <c r="C17" s="234"/>
      <c r="D17" s="235" t="b">
        <v>1</v>
      </c>
      <c r="E17" s="229">
        <f t="shared" si="2"/>
        <v>1</v>
      </c>
      <c r="F17" s="1405" t="s">
        <v>11506</v>
      </c>
      <c r="G17" s="1405"/>
      <c r="H17" s="1405"/>
      <c r="I17" s="236" t="b">
        <v>1</v>
      </c>
      <c r="J17" s="229">
        <f t="shared" si="0"/>
        <v>1</v>
      </c>
      <c r="K17" s="233" t="s">
        <v>11507</v>
      </c>
      <c r="L17" s="234"/>
      <c r="M17" s="235" t="b">
        <v>0</v>
      </c>
      <c r="N17" s="229">
        <f t="shared" si="1"/>
        <v>0</v>
      </c>
      <c r="O17" s="1413" t="s">
        <v>11523</v>
      </c>
      <c r="P17" s="1414"/>
      <c r="Q17" s="1414"/>
      <c r="R17" s="1415"/>
    </row>
    <row r="18" spans="1:23" s="232" customFormat="1" ht="15.75" customHeight="1">
      <c r="A18" s="225"/>
      <c r="B18" s="226" t="s">
        <v>11508</v>
      </c>
      <c r="C18" s="227"/>
      <c r="D18" s="231" t="b">
        <v>1</v>
      </c>
      <c r="E18" s="229">
        <f t="shared" si="2"/>
        <v>1</v>
      </c>
      <c r="F18" s="1404" t="s">
        <v>11509</v>
      </c>
      <c r="G18" s="1404"/>
      <c r="H18" s="1404"/>
      <c r="I18" s="230" t="b">
        <v>1</v>
      </c>
      <c r="J18" s="229">
        <f t="shared" si="0"/>
        <v>1</v>
      </c>
      <c r="K18" s="226" t="s">
        <v>11510</v>
      </c>
      <c r="L18" s="227"/>
      <c r="M18" s="231" t="b">
        <v>1</v>
      </c>
      <c r="N18" s="229">
        <f t="shared" si="1"/>
        <v>1</v>
      </c>
      <c r="O18" s="1416"/>
      <c r="P18" s="1417"/>
      <c r="Q18" s="1417"/>
      <c r="R18" s="1418"/>
    </row>
    <row r="19" spans="1:23" s="232" customFormat="1" ht="15.75" customHeight="1">
      <c r="A19" s="225"/>
      <c r="B19" s="233" t="s">
        <v>11511</v>
      </c>
      <c r="C19" s="234"/>
      <c r="D19" s="235" t="b">
        <v>0</v>
      </c>
      <c r="E19" s="229">
        <f t="shared" si="2"/>
        <v>0</v>
      </c>
      <c r="F19" s="1405" t="s">
        <v>11512</v>
      </c>
      <c r="G19" s="1405"/>
      <c r="H19" s="1405"/>
      <c r="I19" s="236" t="b">
        <v>0</v>
      </c>
      <c r="J19" s="229">
        <f t="shared" si="0"/>
        <v>0</v>
      </c>
      <c r="K19" s="233" t="s">
        <v>11513</v>
      </c>
      <c r="L19" s="234"/>
      <c r="M19" s="235" t="b">
        <v>0</v>
      </c>
      <c r="N19" s="229">
        <f t="shared" si="1"/>
        <v>0</v>
      </c>
      <c r="O19" s="1416"/>
      <c r="P19" s="1417"/>
      <c r="Q19" s="1417"/>
      <c r="R19" s="1418"/>
    </row>
    <row r="20" spans="1:23" s="232" customFormat="1" ht="15.75" customHeight="1">
      <c r="A20" s="225"/>
      <c r="B20" s="226" t="s">
        <v>11514</v>
      </c>
      <c r="C20" s="227"/>
      <c r="D20" s="231" t="b">
        <v>0</v>
      </c>
      <c r="E20" s="229">
        <f t="shared" si="2"/>
        <v>0</v>
      </c>
      <c r="F20" s="1404" t="s">
        <v>11515</v>
      </c>
      <c r="G20" s="1404"/>
      <c r="H20" s="1404"/>
      <c r="I20" s="230" t="b">
        <v>0</v>
      </c>
      <c r="J20" s="229">
        <f t="shared" si="0"/>
        <v>0</v>
      </c>
      <c r="K20" s="226" t="s">
        <v>11516</v>
      </c>
      <c r="L20" s="227"/>
      <c r="M20" s="231" t="b">
        <v>0</v>
      </c>
      <c r="N20" s="229">
        <f t="shared" si="1"/>
        <v>0</v>
      </c>
      <c r="O20" s="1416"/>
      <c r="P20" s="1417"/>
      <c r="Q20" s="1417"/>
      <c r="R20" s="1418"/>
    </row>
    <row r="21" spans="1:23" s="232" customFormat="1" ht="15.75" customHeight="1">
      <c r="A21" s="225"/>
      <c r="B21" s="233" t="s">
        <v>11517</v>
      </c>
      <c r="C21" s="234"/>
      <c r="D21" s="235" t="b">
        <v>1</v>
      </c>
      <c r="E21" s="229">
        <f t="shared" si="2"/>
        <v>1</v>
      </c>
      <c r="F21" s="1405" t="s">
        <v>11518</v>
      </c>
      <c r="G21" s="1405"/>
      <c r="H21" s="1405"/>
      <c r="I21" s="236" t="b">
        <v>1</v>
      </c>
      <c r="J21" s="229">
        <f t="shared" si="0"/>
        <v>1</v>
      </c>
      <c r="K21" s="233" t="s">
        <v>11519</v>
      </c>
      <c r="L21" s="234"/>
      <c r="M21" s="235" t="b">
        <v>1</v>
      </c>
      <c r="N21" s="229">
        <f t="shared" si="1"/>
        <v>1</v>
      </c>
      <c r="O21" s="1416"/>
      <c r="P21" s="1417"/>
      <c r="Q21" s="1417"/>
      <c r="R21" s="1418"/>
    </row>
    <row r="22" spans="1:23" s="232" customFormat="1" ht="15.75" customHeight="1">
      <c r="A22" s="225"/>
      <c r="B22" s="226" t="s">
        <v>11520</v>
      </c>
      <c r="C22" s="227"/>
      <c r="D22" s="231" t="b">
        <v>0</v>
      </c>
      <c r="E22" s="229">
        <f t="shared" si="2"/>
        <v>0</v>
      </c>
      <c r="F22" s="1404" t="s">
        <v>11521</v>
      </c>
      <c r="G22" s="1404"/>
      <c r="H22" s="1404"/>
      <c r="I22" s="230" t="b">
        <v>0</v>
      </c>
      <c r="J22" s="229">
        <f t="shared" si="0"/>
        <v>0</v>
      </c>
      <c r="K22" s="226" t="s">
        <v>11522</v>
      </c>
      <c r="L22" s="227"/>
      <c r="M22" s="231" t="b">
        <v>0</v>
      </c>
      <c r="N22" s="229">
        <f t="shared" si="1"/>
        <v>0</v>
      </c>
      <c r="O22" s="1416"/>
      <c r="P22" s="1417"/>
      <c r="Q22" s="1417"/>
      <c r="R22" s="1418"/>
      <c r="T22" s="1412" t="str">
        <f>IF(OR(Code!$R$6=Code!$S$6,Code!$U$6="vert"),"","Veuillez saisir la clé d'activation        Pour activer les calculs automatiques")</f>
        <v/>
      </c>
      <c r="U22" s="1412"/>
      <c r="V22" s="1412"/>
      <c r="W22" s="1412"/>
    </row>
    <row r="23" spans="1:23" s="232" customFormat="1" ht="15.75" customHeight="1">
      <c r="A23" s="225"/>
      <c r="B23" s="233" t="s">
        <v>11524</v>
      </c>
      <c r="C23" s="234"/>
      <c r="D23" s="235" t="b">
        <v>1</v>
      </c>
      <c r="E23" s="229">
        <f t="shared" si="2"/>
        <v>1</v>
      </c>
      <c r="F23" s="1405" t="s">
        <v>11525</v>
      </c>
      <c r="G23" s="1405"/>
      <c r="H23" s="1405"/>
      <c r="I23" s="236" t="b">
        <v>0</v>
      </c>
      <c r="J23" s="229">
        <f t="shared" si="0"/>
        <v>0</v>
      </c>
      <c r="K23" s="233" t="s">
        <v>11526</v>
      </c>
      <c r="L23" s="234"/>
      <c r="M23" s="235" t="b">
        <v>1</v>
      </c>
      <c r="N23" s="229">
        <f t="shared" si="1"/>
        <v>1</v>
      </c>
      <c r="O23" s="1416"/>
      <c r="P23" s="1417"/>
      <c r="Q23" s="1417"/>
      <c r="R23" s="1418"/>
      <c r="T23" s="1412"/>
      <c r="U23" s="1412"/>
      <c r="V23" s="1412"/>
      <c r="W23" s="1412"/>
    </row>
    <row r="24" spans="1:23" s="223" customFormat="1" ht="15" customHeight="1">
      <c r="A24" s="221"/>
      <c r="B24" s="226" t="s">
        <v>11527</v>
      </c>
      <c r="C24" s="227"/>
      <c r="D24" s="231" t="b">
        <v>0</v>
      </c>
      <c r="E24" s="229">
        <f>IF(D24=TRUE,1,0)</f>
        <v>0</v>
      </c>
      <c r="F24" s="1404" t="s">
        <v>11528</v>
      </c>
      <c r="G24" s="1404"/>
      <c r="H24" s="1404"/>
      <c r="I24" s="230" t="b">
        <v>0</v>
      </c>
      <c r="J24" s="229">
        <f t="shared" si="0"/>
        <v>0</v>
      </c>
      <c r="K24" s="226" t="s">
        <v>11529</v>
      </c>
      <c r="L24" s="227"/>
      <c r="M24" s="231" t="b">
        <v>0</v>
      </c>
      <c r="N24" s="237"/>
      <c r="O24" s="1416"/>
      <c r="P24" s="1417"/>
      <c r="Q24" s="1417"/>
      <c r="R24" s="1418"/>
      <c r="T24" s="1412"/>
      <c r="U24" s="1412"/>
      <c r="V24" s="1412"/>
      <c r="W24" s="1412"/>
    </row>
    <row r="25" spans="1:23" s="223" customFormat="1" ht="16.8" thickBot="1">
      <c r="A25" s="221"/>
      <c r="B25" s="233" t="s">
        <v>11587</v>
      </c>
      <c r="C25" s="234"/>
      <c r="D25" s="235" t="b">
        <v>0</v>
      </c>
      <c r="E25" s="229">
        <f>IF(D25=TRUE,1,0)</f>
        <v>0</v>
      </c>
      <c r="F25" s="1405" t="s">
        <v>11530</v>
      </c>
      <c r="G25" s="1405"/>
      <c r="H25" s="1405"/>
      <c r="I25" s="236" t="b">
        <v>1</v>
      </c>
      <c r="J25" s="229">
        <f t="shared" si="0"/>
        <v>1</v>
      </c>
      <c r="K25" s="233" t="s">
        <v>11531</v>
      </c>
      <c r="L25" s="234"/>
      <c r="M25" s="235" t="b">
        <v>0</v>
      </c>
      <c r="N25" s="229">
        <f>IF(M25=TRUE,1,0)</f>
        <v>0</v>
      </c>
      <c r="O25" s="1419"/>
      <c r="P25" s="1420"/>
      <c r="Q25" s="1420"/>
      <c r="R25" s="1421"/>
      <c r="T25" s="1412"/>
      <c r="U25" s="1412"/>
      <c r="V25" s="1412"/>
      <c r="W25" s="1412"/>
    </row>
    <row r="26" spans="1:23" ht="13.95" customHeight="1" thickTop="1">
      <c r="B26" s="238"/>
      <c r="D26" s="238"/>
      <c r="E26" s="239"/>
      <c r="F26" s="238"/>
      <c r="G26" s="238"/>
      <c r="H26" s="238"/>
      <c r="I26" s="238"/>
      <c r="K26" s="240"/>
      <c r="L26" s="241"/>
      <c r="M26" s="238"/>
      <c r="T26" s="223"/>
      <c r="U26" s="223"/>
      <c r="V26" s="223"/>
      <c r="W26" s="223"/>
    </row>
    <row r="27" spans="1:23" ht="13.95" customHeight="1">
      <c r="B27" s="242" t="s">
        <v>11532</v>
      </c>
      <c r="C27" s="243"/>
      <c r="D27" s="1425" t="s">
        <v>11595</v>
      </c>
      <c r="E27" s="1426"/>
      <c r="F27" s="1426"/>
      <c r="G27" s="1426"/>
      <c r="H27" s="1427"/>
      <c r="K27" s="242" t="s">
        <v>11533</v>
      </c>
      <c r="L27" s="243"/>
      <c r="M27" s="1428"/>
      <c r="N27" s="1429"/>
      <c r="O27" s="1430"/>
      <c r="P27" s="244"/>
      <c r="Q27" s="244"/>
      <c r="R27" s="244"/>
      <c r="T27" s="223"/>
      <c r="U27" s="245"/>
      <c r="V27" s="223"/>
      <c r="W27" s="223"/>
    </row>
    <row r="28" spans="1:23" ht="2.25" customHeight="1">
      <c r="B28" s="246"/>
      <c r="C28" s="246"/>
      <c r="D28" s="247"/>
      <c r="E28" s="247"/>
      <c r="F28" s="247"/>
      <c r="G28" s="247"/>
      <c r="H28" s="247"/>
      <c r="K28" s="248"/>
      <c r="L28" s="248"/>
      <c r="M28" s="249"/>
      <c r="N28" s="249"/>
      <c r="O28" s="249"/>
      <c r="P28" s="244"/>
      <c r="Q28" s="244"/>
      <c r="R28" s="244"/>
    </row>
    <row r="29" spans="1:23" ht="13.95" customHeight="1">
      <c r="B29" s="242" t="s">
        <v>1021</v>
      </c>
      <c r="C29" s="243"/>
      <c r="D29" s="1425"/>
      <c r="E29" s="1426"/>
      <c r="F29" s="1426"/>
      <c r="G29" s="1426"/>
      <c r="H29" s="1427"/>
      <c r="K29" s="242" t="s">
        <v>11534</v>
      </c>
      <c r="L29" s="243"/>
      <c r="M29" s="1428"/>
      <c r="N29" s="1429"/>
      <c r="O29" s="1430"/>
      <c r="P29" s="244"/>
      <c r="Q29" s="250"/>
      <c r="R29" s="244"/>
      <c r="V29"/>
    </row>
    <row r="30" spans="1:23" ht="2.25" customHeight="1">
      <c r="B30" s="246"/>
      <c r="C30" s="246"/>
      <c r="D30" s="247"/>
      <c r="E30" s="247"/>
      <c r="F30" s="247"/>
      <c r="G30" s="247"/>
      <c r="H30" s="247"/>
      <c r="K30" s="248"/>
      <c r="L30" s="248"/>
      <c r="M30" s="249"/>
      <c r="N30" s="249"/>
      <c r="O30" s="249"/>
      <c r="P30" s="244"/>
      <c r="Q30" s="250"/>
      <c r="R30" s="244"/>
    </row>
    <row r="31" spans="1:23" ht="13.95" customHeight="1">
      <c r="B31" s="242" t="s">
        <v>11535</v>
      </c>
      <c r="C31" s="243"/>
      <c r="D31" s="251"/>
      <c r="E31" s="247"/>
      <c r="F31" s="247"/>
      <c r="G31" s="247"/>
      <c r="H31" s="244"/>
      <c r="K31" s="242" t="s">
        <v>11536</v>
      </c>
      <c r="L31" s="243"/>
      <c r="M31" s="1428"/>
      <c r="N31" s="1429"/>
      <c r="O31" s="1430"/>
      <c r="P31" s="244"/>
      <c r="Q31" s="250"/>
      <c r="R31" s="244"/>
    </row>
    <row r="32" spans="1:23" ht="2.25" customHeight="1">
      <c r="B32" s="246"/>
      <c r="C32" s="246"/>
      <c r="D32" s="247"/>
      <c r="E32" s="247"/>
      <c r="F32" s="247"/>
      <c r="G32" s="247"/>
      <c r="H32" s="247"/>
      <c r="K32" s="248"/>
      <c r="L32" s="248"/>
      <c r="M32" s="252"/>
      <c r="N32" s="252"/>
      <c r="O32" s="252"/>
      <c r="P32" s="244"/>
      <c r="Q32" s="244"/>
      <c r="R32" s="244"/>
    </row>
    <row r="33" spans="2:23" s="128" customFormat="1" ht="13.95" customHeight="1">
      <c r="B33" s="242" t="s">
        <v>9012</v>
      </c>
      <c r="C33" s="243"/>
      <c r="D33" s="1431"/>
      <c r="E33" s="1432"/>
      <c r="F33" s="1433"/>
      <c r="G33" s="253"/>
      <c r="H33" s="247"/>
      <c r="K33" s="242" t="s">
        <v>11537</v>
      </c>
      <c r="L33" s="243"/>
      <c r="M33" s="1434"/>
      <c r="N33" s="1429"/>
      <c r="O33" s="1430"/>
      <c r="P33" s="247"/>
      <c r="Q33" s="1435"/>
      <c r="R33" s="1436"/>
      <c r="T33" s="221"/>
      <c r="U33" s="221"/>
      <c r="V33" s="221"/>
      <c r="W33" s="221"/>
    </row>
    <row r="34" spans="2:23" s="128" customFormat="1" ht="2.25" customHeight="1">
      <c r="B34" s="246"/>
      <c r="C34" s="246"/>
      <c r="D34" s="247"/>
      <c r="E34" s="247"/>
      <c r="F34" s="247"/>
      <c r="G34" s="247"/>
      <c r="H34" s="247"/>
      <c r="K34" s="248"/>
      <c r="L34" s="248"/>
      <c r="M34" s="252"/>
      <c r="N34" s="252"/>
      <c r="O34" s="252"/>
      <c r="P34" s="244"/>
      <c r="Q34" s="252"/>
      <c r="R34" s="252"/>
      <c r="T34" s="221"/>
      <c r="U34" s="221"/>
      <c r="V34" s="221"/>
      <c r="W34" s="221"/>
    </row>
    <row r="35" spans="2:23" s="128" customFormat="1" ht="13.95" customHeight="1">
      <c r="B35" s="242" t="s">
        <v>11538</v>
      </c>
      <c r="C35" s="243"/>
      <c r="D35" s="1431"/>
      <c r="E35" s="1432"/>
      <c r="F35" s="1432"/>
      <c r="G35" s="1432"/>
      <c r="H35" s="1433"/>
      <c r="K35" s="242" t="s">
        <v>11539</v>
      </c>
      <c r="L35" s="243"/>
      <c r="M35" s="1422"/>
      <c r="N35" s="1423"/>
      <c r="O35" s="1424"/>
      <c r="P35" s="254"/>
      <c r="Q35" s="255"/>
      <c r="R35" s="252"/>
    </row>
    <row r="36" spans="2:23" s="128" customFormat="1" ht="2.25" customHeight="1">
      <c r="B36" s="246"/>
      <c r="C36" s="246"/>
      <c r="D36" s="247"/>
      <c r="E36" s="247"/>
      <c r="F36" s="247"/>
      <c r="G36" s="247"/>
      <c r="H36" s="247"/>
      <c r="K36" s="248"/>
      <c r="L36" s="248"/>
      <c r="M36" s="256"/>
      <c r="N36" s="256"/>
      <c r="O36" s="256"/>
      <c r="P36" s="254"/>
      <c r="Q36" s="256"/>
      <c r="R36" s="252"/>
    </row>
    <row r="37" spans="2:23" s="128" customFormat="1" ht="13.95" customHeight="1">
      <c r="B37" s="242" t="s">
        <v>9051</v>
      </c>
      <c r="C37" s="243"/>
      <c r="D37" s="1431"/>
      <c r="E37" s="1432"/>
      <c r="F37" s="1432"/>
      <c r="G37" s="1432"/>
      <c r="H37" s="1433"/>
      <c r="K37" s="242" t="s">
        <v>11540</v>
      </c>
      <c r="L37" s="243"/>
      <c r="M37" s="1422"/>
      <c r="N37" s="1423"/>
      <c r="O37" s="1424"/>
      <c r="P37" s="254"/>
      <c r="Q37" s="255"/>
      <c r="R37" s="252"/>
    </row>
    <row r="38" spans="2:23" s="128" customFormat="1" ht="2.25" customHeight="1">
      <c r="B38" s="246"/>
      <c r="C38" s="246"/>
      <c r="D38" s="247"/>
      <c r="E38" s="247"/>
      <c r="F38" s="247"/>
      <c r="G38" s="247"/>
      <c r="H38" s="247"/>
      <c r="K38" s="246"/>
      <c r="L38" s="246"/>
      <c r="M38" s="252"/>
      <c r="N38" s="252"/>
      <c r="O38" s="252"/>
      <c r="P38" s="244"/>
      <c r="Q38" s="252"/>
      <c r="R38" s="252"/>
    </row>
    <row r="39" spans="2:23" s="128" customFormat="1" ht="13.95" customHeight="1">
      <c r="B39" s="242" t="s">
        <v>11541</v>
      </c>
      <c r="C39" s="243"/>
      <c r="D39" s="251"/>
      <c r="E39" s="247"/>
      <c r="F39" s="251"/>
      <c r="G39" s="247"/>
      <c r="H39" s="251"/>
      <c r="K39" s="242" t="s">
        <v>11542</v>
      </c>
      <c r="L39" s="243"/>
      <c r="M39" s="1422"/>
      <c r="N39" s="1423"/>
      <c r="O39" s="1424"/>
      <c r="P39" s="244"/>
      <c r="Q39" s="244"/>
      <c r="R39" s="252"/>
    </row>
    <row r="40" spans="2:23" s="128" customFormat="1" ht="2.25" customHeight="1">
      <c r="B40" s="246"/>
      <c r="C40" s="246"/>
      <c r="D40" s="247"/>
      <c r="E40" s="247"/>
      <c r="F40" s="247"/>
      <c r="G40" s="247"/>
      <c r="H40" s="247"/>
      <c r="K40" s="246"/>
      <c r="L40" s="246"/>
      <c r="M40" s="252"/>
      <c r="N40" s="252"/>
      <c r="O40" s="252"/>
      <c r="P40" s="244"/>
      <c r="Q40" s="244"/>
      <c r="R40" s="244"/>
    </row>
    <row r="41" spans="2:23" s="128" customFormat="1" ht="13.95" customHeight="1">
      <c r="B41" s="242" t="s">
        <v>11543</v>
      </c>
      <c r="C41" s="243"/>
      <c r="D41" s="1437"/>
      <c r="E41" s="1438"/>
      <c r="F41" s="1439"/>
      <c r="G41" s="247"/>
      <c r="H41" s="251"/>
      <c r="K41" s="242" t="s">
        <v>11544</v>
      </c>
      <c r="L41" s="243"/>
      <c r="M41" s="1428"/>
      <c r="N41" s="1429"/>
      <c r="O41" s="1430"/>
      <c r="P41" s="244"/>
      <c r="Q41" s="244"/>
      <c r="R41" s="244"/>
    </row>
    <row r="42" spans="2:23" s="128" customFormat="1" ht="2.25" customHeight="1">
      <c r="B42" s="246"/>
      <c r="C42" s="246"/>
      <c r="D42" s="247"/>
      <c r="E42" s="247"/>
      <c r="F42" s="247"/>
      <c r="G42" s="247"/>
      <c r="H42" s="247"/>
      <c r="K42" s="248"/>
      <c r="L42" s="248"/>
      <c r="M42" s="252"/>
      <c r="N42" s="252"/>
      <c r="O42" s="252"/>
      <c r="P42" s="244"/>
      <c r="Q42" s="244"/>
      <c r="R42" s="244"/>
    </row>
    <row r="43" spans="2:23" s="128" customFormat="1" ht="13.95" customHeight="1">
      <c r="B43" s="242" t="s">
        <v>11545</v>
      </c>
      <c r="C43" s="243"/>
      <c r="D43" s="251"/>
      <c r="E43" s="247"/>
      <c r="F43" s="1440"/>
      <c r="G43" s="1441"/>
      <c r="H43" s="1442"/>
      <c r="K43" s="242" t="s">
        <v>11546</v>
      </c>
      <c r="L43" s="243"/>
      <c r="M43" s="1443">
        <v>0.25</v>
      </c>
      <c r="N43" s="1444"/>
      <c r="O43" s="1445"/>
      <c r="P43" s="244"/>
      <c r="Q43" s="244"/>
      <c r="R43" s="244"/>
    </row>
    <row r="44" spans="2:23" s="128" customFormat="1" ht="2.25" customHeight="1">
      <c r="B44" s="246"/>
      <c r="C44" s="246"/>
      <c r="D44" s="247"/>
      <c r="E44" s="247"/>
      <c r="F44" s="247"/>
      <c r="G44" s="247"/>
      <c r="H44" s="247"/>
      <c r="K44" s="248"/>
      <c r="L44" s="248"/>
      <c r="M44" s="252"/>
      <c r="N44" s="252"/>
      <c r="O44" s="252"/>
      <c r="P44" s="244"/>
      <c r="Q44" s="244"/>
      <c r="R44" s="244"/>
    </row>
    <row r="45" spans="2:23" s="128" customFormat="1" ht="13.95" customHeight="1">
      <c r="B45" s="242" t="s">
        <v>11547</v>
      </c>
      <c r="C45" s="243"/>
      <c r="D45" s="1428"/>
      <c r="E45" s="1429"/>
      <c r="F45" s="1430"/>
      <c r="G45" s="253"/>
      <c r="H45" s="257"/>
      <c r="K45" s="242" t="s">
        <v>11548</v>
      </c>
      <c r="L45" s="243"/>
      <c r="M45" s="1443">
        <v>5.0000000000000001E-3</v>
      </c>
      <c r="N45" s="1444"/>
      <c r="O45" s="1445"/>
      <c r="P45" s="244"/>
      <c r="Q45" s="244"/>
      <c r="R45" s="244"/>
    </row>
    <row r="46" spans="2:23" s="128" customFormat="1" ht="2.25" customHeight="1">
      <c r="B46" s="246"/>
      <c r="C46" s="246"/>
      <c r="D46" s="247"/>
      <c r="E46" s="247"/>
      <c r="F46" s="247"/>
      <c r="G46" s="247"/>
      <c r="H46" s="247"/>
      <c r="M46" s="248"/>
      <c r="N46" s="248"/>
      <c r="O46" s="248"/>
      <c r="P46" s="248"/>
      <c r="Q46" s="248"/>
    </row>
    <row r="47" spans="2:23" s="128" customFormat="1" ht="13.95" customHeight="1">
      <c r="B47" s="242" t="s">
        <v>11549</v>
      </c>
      <c r="C47" s="243"/>
      <c r="D47" s="1431"/>
      <c r="E47" s="1432"/>
      <c r="F47" s="1433"/>
      <c r="G47" s="247"/>
      <c r="H47" s="251"/>
    </row>
    <row r="48" spans="2:23" s="128" customFormat="1" ht="2.25" customHeight="1">
      <c r="B48" s="246"/>
      <c r="C48" s="246"/>
      <c r="D48" s="247"/>
      <c r="E48" s="247"/>
      <c r="F48" s="247"/>
      <c r="G48" s="247"/>
      <c r="H48" s="247"/>
    </row>
    <row r="49" spans="2:8" s="128" customFormat="1" ht="13.95" customHeight="1">
      <c r="B49" s="242" t="s">
        <v>11550</v>
      </c>
      <c r="C49" s="243"/>
      <c r="D49" s="1431"/>
      <c r="E49" s="1432"/>
      <c r="F49" s="1433"/>
      <c r="G49" s="253"/>
      <c r="H49" s="257"/>
    </row>
    <row r="50" spans="2:8" s="128" customFormat="1" ht="13.95" customHeight="1"/>
    <row r="51" spans="2:8" s="128" customFormat="1" ht="13.95" customHeight="1"/>
    <row r="52" spans="2:8" s="128" customFormat="1" ht="13.95" customHeight="1"/>
    <row r="53" spans="2:8" s="128" customFormat="1" ht="13.95" customHeight="1"/>
    <row r="54" spans="2:8" s="128" customFormat="1" ht="13.95" customHeight="1"/>
    <row r="55" spans="2:8" s="128" customFormat="1" ht="13.95" customHeight="1"/>
    <row r="56" spans="2:8" s="128" customFormat="1" ht="13.95" customHeight="1"/>
    <row r="57" spans="2:8" s="128" customFormat="1" ht="13.95" customHeight="1"/>
    <row r="58" spans="2:8" s="128" customFormat="1" ht="13.95" customHeight="1"/>
    <row r="59" spans="2:8" s="128" customFormat="1" ht="13.95" customHeight="1"/>
    <row r="60" spans="2:8" s="128" customFormat="1" ht="13.95" customHeight="1"/>
    <row r="61" spans="2:8" s="128" customFormat="1" ht="13.95" customHeight="1"/>
    <row r="62" spans="2:8" s="128" customFormat="1" ht="13.95" customHeight="1"/>
    <row r="63" spans="2:8" s="128" customFormat="1" ht="13.95" customHeight="1"/>
    <row r="64" spans="2:8" s="128" customFormat="1" ht="13.95" customHeight="1"/>
    <row r="65" spans="20:23" ht="13.95" customHeight="1">
      <c r="T65" s="128"/>
      <c r="U65" s="128"/>
      <c r="V65" s="128"/>
      <c r="W65" s="128"/>
    </row>
    <row r="66" spans="20:23" ht="13.95" customHeight="1">
      <c r="T66" s="128"/>
      <c r="U66" s="128"/>
      <c r="V66" s="128"/>
      <c r="W66" s="128"/>
    </row>
    <row r="67" spans="20:23" ht="13.95" customHeight="1"/>
    <row r="68" spans="20:23" ht="13.95" customHeight="1"/>
    <row r="69" spans="20:23" ht="13.95" customHeight="1"/>
    <row r="70" spans="20:23" ht="13.95" customHeight="1"/>
    <row r="71" spans="20:23" ht="13.95" customHeight="1"/>
    <row r="72" spans="20:23" ht="13.95" customHeight="1"/>
    <row r="73" spans="20:23" ht="13.95" customHeight="1"/>
    <row r="74" spans="20:23" ht="13.95" customHeight="1"/>
    <row r="75" spans="20:23" ht="13.95" customHeight="1"/>
    <row r="76" spans="20:23" ht="13.95" customHeight="1"/>
  </sheetData>
  <sheetProtection algorithmName="SHA-512" hashValue="2p8RMAhVSgVhPlaotzMaXVIedVk7/bql1aQA8KRrpqQXJ55N5L8n/0X1UT8nKoMp7rvYxbRv+XyHKeRaUjCRGQ==" saltValue="ew7ZohEc+nor3UR0W0TXtA==" spinCount="100000" sheet="1" objects="1" scenarios="1" selectLockedCells="1"/>
  <mergeCells count="66">
    <mergeCell ref="D47:F47"/>
    <mergeCell ref="D49:F49"/>
    <mergeCell ref="D41:F41"/>
    <mergeCell ref="M41:O41"/>
    <mergeCell ref="F43:H43"/>
    <mergeCell ref="M43:O43"/>
    <mergeCell ref="D45:F45"/>
    <mergeCell ref="M45:O45"/>
    <mergeCell ref="Q33:R33"/>
    <mergeCell ref="D35:H35"/>
    <mergeCell ref="M35:O35"/>
    <mergeCell ref="D37:H37"/>
    <mergeCell ref="M37:O37"/>
    <mergeCell ref="M39:O39"/>
    <mergeCell ref="D27:H27"/>
    <mergeCell ref="M27:O27"/>
    <mergeCell ref="D29:H29"/>
    <mergeCell ref="M29:O29"/>
    <mergeCell ref="M31:O31"/>
    <mergeCell ref="D33:F33"/>
    <mergeCell ref="M33:O33"/>
    <mergeCell ref="F22:H22"/>
    <mergeCell ref="T22:W25"/>
    <mergeCell ref="F23:H23"/>
    <mergeCell ref="F24:H24"/>
    <mergeCell ref="F25:H25"/>
    <mergeCell ref="O17:R25"/>
    <mergeCell ref="F19:H19"/>
    <mergeCell ref="F20:H20"/>
    <mergeCell ref="F21:H21"/>
    <mergeCell ref="F16:H16"/>
    <mergeCell ref="O16:Q16"/>
    <mergeCell ref="F17:H17"/>
    <mergeCell ref="F18:H18"/>
    <mergeCell ref="F13:H13"/>
    <mergeCell ref="O13:Q13"/>
    <mergeCell ref="U13:V13"/>
    <mergeCell ref="F14:H14"/>
    <mergeCell ref="O14:Q14"/>
    <mergeCell ref="U14:V15"/>
    <mergeCell ref="F15:H15"/>
    <mergeCell ref="O15:Q15"/>
    <mergeCell ref="F11:H11"/>
    <mergeCell ref="O11:Q11"/>
    <mergeCell ref="U11:V11"/>
    <mergeCell ref="F12:H12"/>
    <mergeCell ref="O12:Q12"/>
    <mergeCell ref="U12:V12"/>
    <mergeCell ref="F9:H9"/>
    <mergeCell ref="O9:Q9"/>
    <mergeCell ref="U9:V9"/>
    <mergeCell ref="F10:H10"/>
    <mergeCell ref="O10:Q10"/>
    <mergeCell ref="U10:V10"/>
    <mergeCell ref="F6:H6"/>
    <mergeCell ref="O6:Q6"/>
    <mergeCell ref="F7:H7"/>
    <mergeCell ref="O7:Q7"/>
    <mergeCell ref="F8:H8"/>
    <mergeCell ref="O8:Q8"/>
    <mergeCell ref="B2:M2"/>
    <mergeCell ref="O2:R2"/>
    <mergeCell ref="F4:H4"/>
    <mergeCell ref="O4:Q4"/>
    <mergeCell ref="F5:H5"/>
    <mergeCell ref="O5:Q5"/>
  </mergeCells>
  <conditionalFormatting sqref="T22:W25">
    <cfRule type="cellIs" dxfId="371" priority="1" operator="notEqual">
      <formula>""</formula>
    </cfRule>
  </conditionalFormatting>
  <dataValidations disablePrompts="1" count="2">
    <dataValidation type="list" allowBlank="1" showInputMessage="1" showErrorMessage="1" sqref="D31:E31" xr:uid="{72B62DB4-BCAF-4A47-8A30-03B49E4721B9}">
      <formula1>"Oui,Non"</formula1>
    </dataValidation>
    <dataValidation type="list" allowBlank="1" showInputMessage="1" showErrorMessage="1" sqref="D33:F33" xr:uid="{68C087AF-ADF1-42A4-81D3-298806D658E2}">
      <formula1>Forme</formula1>
    </dataValidation>
  </dataValidations>
  <hyperlinks>
    <hyperlink ref="B5" location="COUVERTURE!A1" display="COUVERTURE" xr:uid="{5D405A38-856F-4486-8118-6592DD1AFAAD}"/>
    <hyperlink ref="B4" location="'TABLE DE CONVERSION'!A1" display="TABLE DE CONVERSION" xr:uid="{D084C09D-A293-4584-B513-3E6F16FEE8D8}"/>
    <hyperlink ref="B7" location="RECEVABILITE!A1" display="RECEVABILITE" xr:uid="{C48C326A-0DD6-4471-B060-11860F626D51}"/>
    <hyperlink ref="B6" location="GARDE!A1" display="GARDE" xr:uid="{F68F19FE-EF95-4C47-859E-29FB27857400}"/>
    <hyperlink ref="B8" location="'NOTE36 (TABLE DES CODES)'!A1" display="NOTE36 - TABLE DES CODES" xr:uid="{4A3DF5AE-2A02-4427-A1EE-BB926B803A6E}"/>
    <hyperlink ref="B9" location="'NOTE36 Suite (Nomenclature)'!A1" display="NOTE36 Suite - Nomenclature" xr:uid="{5B589FB5-4208-4F45-924C-0E6EAEC8B6F4}"/>
    <hyperlink ref="B10" location="'FICHE R1'!A1" display="FICHE R1 - FICHE IDENTIFICATION ET RENS. DIVERS 1" xr:uid="{5FA2DE0C-7350-4860-B273-D3DF1A8129C7}"/>
    <hyperlink ref="B11" location="'FICHE R2'!A1" display="FICHE R2 - FICHE IDENTIFICATION ET RENS. DIVERS 2" xr:uid="{45244DA8-087C-48D9-BA46-8BE860C01BC0}"/>
    <hyperlink ref="B12" location="'FICHE R3'!A1" display="FICHE R3 - FICHE IDENTIFICATION ET RENS. DIVERS 3" xr:uid="{497C9F80-5400-4971-BD62-9BC460C0AA3E}"/>
    <hyperlink ref="B13" location="BILAN!A1" display="BILAN" xr:uid="{2AB92BEA-7B7D-40ED-A2A6-57502B31D9D1}"/>
    <hyperlink ref="B14" location="ACTIF!A1" display="BILAN - ACTIF" xr:uid="{70CE14EA-7311-4E67-BA30-8FCC50BF35BC}"/>
    <hyperlink ref="B15" location="PASSIF!A1" display="BILAN - PASSIF" xr:uid="{6F179114-C266-4B3F-A8BB-7146A1FBDF47}"/>
    <hyperlink ref="B16" location="RESULTAT!A1" display="COMPTE DE RESULTAT" xr:uid="{FC9A7CC1-B476-4912-8183-F00265E882B1}"/>
    <hyperlink ref="B17" location="TFT!A1" display="TABLEAU DES FLUX DE TRESORERIE" xr:uid="{14C63223-2586-488F-B850-2190B64160B6}"/>
    <hyperlink ref="B18" location="'FICHE R4'!A1" display="FICHE R4 - FICHE RECAPITULATIVE DES NOTES ANNEXES " xr:uid="{31B579AA-E6CE-4A16-A042-618AC14C11E1}"/>
    <hyperlink ref="B19" location="'NOTE 1'!A1" display="NOTE 1 - DETTES GARANTIES PAR DES SURETES REELLES " xr:uid="{E0060323-90A4-45B8-B1FF-4FAA0EAAE1C3}"/>
    <hyperlink ref="B20" location="'NOTE 2'!A1" display="NOTE 2 - INFORMATIONS OBLIGATOIRES" xr:uid="{32CDD01B-35BB-41C7-B8F7-889239D411B5}"/>
    <hyperlink ref="B21" location="'NOTE 3A'!A1" display="NOTE 3A - IMMOBILISATIONS BRUTES" xr:uid="{802A785B-0270-4C4D-8DCF-0DD3E12DE905}"/>
    <hyperlink ref="B22" location="'NOTE 3B'!A1" display="NOTE 3B - BIENS PRIS EN LOCATION-ACQUISITION" xr:uid="{2B65928B-640C-4C0E-B69B-A63DAAC9CF43}"/>
    <hyperlink ref="B23" location="'NOTE 3C'!A1" display="NOTE 3C - IMMOBILISATIONS : AMORTISSEMENTS" xr:uid="{596531B4-5445-467E-B9DB-FC675B14E5CC}"/>
    <hyperlink ref="B24" location="'NOTE 3C BIS'!A1" display="NOTE 3C BIS - IMMOBILISATIONS : DEPRECIATIONS" xr:uid="{7FED917D-A843-44C1-861E-A72AEE000C61}"/>
    <hyperlink ref="F4:H4" location="'NOTE 3E'!A1" display="NOTE 3E - INFORMATIONS SUR LES REEVALUATIONS EFFEC" xr:uid="{7A608EF4-36A0-42B4-B16A-6A487B3AE76C}"/>
    <hyperlink ref="F5:H5" location="'NOTE 4'!A1" display="NOTE 4 - IMMOBILISATIONS FINANCIERES" xr:uid="{2E600C8E-F025-4A69-A068-64B220FAE72E}"/>
    <hyperlink ref="F6:H6" location="'NOTE 5'!A1" display="NOTE 5 - ACTIF CIRCULANT  ET DETTES CIRCULANTES HA" xr:uid="{6C49F446-8AC9-481E-8E07-4A84C98BEADD}"/>
    <hyperlink ref="F7:H7" location="'NOTE 6'!A1" display="NOTE 6 - STOCKS ET ENCOURS" xr:uid="{044E4A93-A9B7-4CF4-85F1-4B3042DCD7B2}"/>
    <hyperlink ref="F8:H8" location="'NOTE 7'!A1" display="NOTE 7 - CLIENTS" xr:uid="{0EF6B766-A59C-44D7-AE18-EF7A18215533}"/>
    <hyperlink ref="F9:H9" location="'NOTE 8'!A1" display="NOTE 8 - AUTRES CREANCES" xr:uid="{AEA8F99A-F147-47AB-81D4-DCE0274CBC84}"/>
    <hyperlink ref="F10:H10" location="'NOTE 8A'!A1" display="NOTE 8A - TAB D’ETALEMENT DES CHARGES IMMOBILISEES" xr:uid="{F5614A89-4CD5-4A69-A993-AA985558F0B9}"/>
    <hyperlink ref="F11:H11" location="'NOTE 8B'!A1" display="NOTE 8B - TAB D’ETALEMENT DES PROVISIONS POUR CHAR" xr:uid="{08A43E3C-58E4-44E1-97B0-2EEC4E0D87CA}"/>
    <hyperlink ref="F12:H12" location="'NOTE 8C'!A1" display="NOTE 8C - TAB D'ETALEMENT DES PROVISIONS POUR ENGA" xr:uid="{B7881A3A-F4B9-465C-B9F2-BA33D4E15A11}"/>
    <hyperlink ref="F13:H13" location="'NOTE 9'!A1" display="NOTE 9 - TITRES DE PLACEMENT" xr:uid="{4EF08AF2-F967-45F0-AD3D-39974BB7B068}"/>
    <hyperlink ref="F14:H14" location="'NOTE 10'!A1" display="NOTE 10 - VALEURS A ENCAISSER" xr:uid="{D960F4BA-115C-45B1-97A5-070265CCCF45}"/>
    <hyperlink ref="F15:H15" location="'NOTE 11'!A1" display="NOTE 11 - DISPONIBILITES" xr:uid="{4C496B67-C5E5-4EB6-BBCA-A8A7E0EB3292}"/>
    <hyperlink ref="F16:H16" location="'NOTE 12'!A1" display="NOTE 12 - ECARTS DE CONVERSION ET TRANSFERT DE CHA" xr:uid="{22449797-4F8F-4355-9CE3-11A3096BCA29}"/>
    <hyperlink ref="F17:H17" location="'NOTE 13'!A1" display="NOTE 13 - CAPITAL : VALEUR NOMINALE DES ACTIONS OU" xr:uid="{BFBA0F62-93C4-4C0D-B1F9-3239FECB3758}"/>
    <hyperlink ref="F18:H18" location="'NOTE 14'!A1" display="NOTE 14 - PRIMES ET RESERVES" xr:uid="{4CBE7D6A-D37A-4579-8BC5-D655BACD9036}"/>
    <hyperlink ref="F19:H19" location="'NOTE 15A'!A1" display="NOTE 15A - SUBVENTIONS ET PROVISIONS REGLEMENTEES" xr:uid="{71C3CC0D-B12B-4F51-855E-340329962F48}"/>
    <hyperlink ref="F20:H20" location="'NOTE 15B'!A1" display="NOTE 15B - AUTRES FONDS PROPRES" xr:uid="{D8CE6E90-6063-49CF-9376-AC31C857EC90}"/>
    <hyperlink ref="F21:H21" location="'NOTE 16A'!A1" display="NOTE 16A - DETTES FINANCIERES ET RESSOURCES ASSIMI" xr:uid="{24CA039F-2377-4701-A080-92EFD4C2EF39}"/>
    <hyperlink ref="F22:H22" location="'NOTE 16B'!A1" display="NOTE 16B - ENGAGEMENTS DE RETRAITE ET AVANTAGES AS" xr:uid="{E027B285-5741-4AC0-BE56-95BD833DBABD}"/>
    <hyperlink ref="F23:H23" location="'NOTE 16B BIS'!A1" display="NOTE 16B BIS - ENGAGEMENTS DE RETRAITE ET AVANTAGE" xr:uid="{FB233A82-6241-4A9E-9CB5-64D300060D81}"/>
    <hyperlink ref="F24:H24" location="'NOTE 16C'!A1" display="NOTE 16C - ACTIFS ET PASSIFS EVENTUELS" xr:uid="{6B61C616-2877-4CF5-A98F-B4F88FB94AB0}"/>
    <hyperlink ref="F25:H25" location="'NOTE 17'!A1" display="NOTE 17 - FOURNISSEURS D'EXPLOITATION" xr:uid="{519DD091-2BFC-4E4A-A31B-C9200F31CD04}"/>
    <hyperlink ref="K4" location="'NOTE 18'!A1" display="NOTE 18 - DETTES  FISCALES ET SOCIALES" xr:uid="{1F877A3E-22BD-4B0C-97BC-5B5BC5282EDA}"/>
    <hyperlink ref="K5" location="'NOTE 19'!A1" display="NOTE 19 - AUTRES DETTES ET PROVISIONS POUR RISQUES" xr:uid="{E7F46BA2-A9CD-41E8-AAAE-55C990392BA9}"/>
    <hyperlink ref="K6" location="'NOTE 20'!A1" display="NOTE 20 - BANQUES, CREDIT D'ESCOMPTE ET DE TRESORE" xr:uid="{7D9E45E3-E523-489D-9591-FD81B88B7664}"/>
    <hyperlink ref="K7" location="'NOTE 21'!A1" display="NOTE 21 - CHIFFRE D'AFFAIRES  ET AUTRES PRODUITS" xr:uid="{D93E05F2-1BC2-4D22-BC93-B34DA7BE5E75}"/>
    <hyperlink ref="K8" location="'NOTE 22'!A1" display="NOTE 22 - ACHATS" xr:uid="{2CA54595-3022-4136-9936-A9CF6591B627}"/>
    <hyperlink ref="K9" location="'NOTE 23'!A1" display="NOTE 23 - TRANSPORTS" xr:uid="{13C749F5-E837-4387-B720-12BFA5552CB5}"/>
    <hyperlink ref="K10" location="'NOTE 24'!A1" display="NOTE 24 - SERVICES EXTERIEURS" xr:uid="{C53546FF-27CD-480D-B3CB-7A7BCF4131F3}"/>
    <hyperlink ref="K11" location="'NOTE 25'!A1" display="NOTE 25 - IMPOTS ET TAXES" xr:uid="{68D4A34E-3A8F-4888-84BB-B1FBD34577D0}"/>
    <hyperlink ref="K12" location="'NOTE 26'!A1" display="NOTE 26 - AUTRES CHARGES" xr:uid="{ADF6E1C1-F9EC-46FB-A89A-3F9D867BFE81}"/>
    <hyperlink ref="K13" location="'NOTE 27A'!A1" display="NOTE 27A - CHARGES DE PERSONNEL" xr:uid="{1064754F-8CFB-458F-B9D9-0A029ACCA44F}"/>
    <hyperlink ref="K14" location="'NOTE 27B'!A1" display="NOTE 27B - EFFECTIFS, MASSE SALARIALE ET PERSONNEL" xr:uid="{E3EE5581-7CB2-410C-94A2-A49221A7EFA2}"/>
    <hyperlink ref="K15" location="'NOTE 28'!A1" display="NOTE 28 - DOTATIONS ET CHARGES POUR PROVISIONS ET " xr:uid="{870A585C-94CC-47FD-8C17-1E51C4212D78}"/>
    <hyperlink ref="K16" location="'NOTE 29'!A1" display="NOTE 29 - CHARGES ET REVENUS FINANCIERS" xr:uid="{22D03894-F394-4BCF-B2F0-AF841341561B}"/>
    <hyperlink ref="K17" location="'NOTE 30'!A1" display="NOTE 30 - AUTRES  CHARGES ET PRODUITS HAO" xr:uid="{8A323479-0958-4B2C-BE0D-C6585F16C94D}"/>
    <hyperlink ref="K18" location="'NOTE 31'!A1" display="NOTE 31 - REPARTITION DU RESULTAT ET AUTRES ELEMEN" xr:uid="{32033910-3FBE-43FF-B0ED-6D9CB3A90E9E}"/>
    <hyperlink ref="K19" location="'NOTE 32'!A1" display="NOTE 32 - PRODUCTION DE L'EXERCICE" xr:uid="{F2835D49-D300-4D7E-83FC-750DC4838949}"/>
    <hyperlink ref="K20" location="'NOTE 33'!A1" display="NOTE 33 - ACHATS DESTINES A LA PRODUCTION" xr:uid="{A2AA8A68-6616-45CA-B532-BDDE786A7FB6}"/>
    <hyperlink ref="K21" location="'NOTE 34'!A1" display="NOTE 34 - FICHE DE SYNTHESE DES PRINCIPAUX INDICAT" xr:uid="{60F52A7E-A2AE-4549-8B2C-3AB646D2ED6B}"/>
    <hyperlink ref="K22" location="'NOTE 35'!A1" display="NOTE 35 - LISTE DES INFORMATIONS SOCIALES, ENVIRON" xr:uid="{1E728FA8-7664-4047-B6EE-3FF370B03584}"/>
    <hyperlink ref="K24" location="'NOTE 38'!A1" display="NOTE 38 - EVENEMENTS POSTERIEURS A LA CLOTURE DE L" xr:uid="{B3501EA0-D07D-4637-8292-BC160C36367F}"/>
    <hyperlink ref="K25" location="'NOTE 39'!A1" display="NOTE 39 - CHANGEMENTS DE METHODES COMPTABLES, D’ES" xr:uid="{4A464469-BDA0-4ECD-B7F2-896C0F26DA65}"/>
    <hyperlink ref="K23" location="'NOTE 37'!A1" display="NOTE 37 - DETERMINATION IMPOT SUR RESULTAT" xr:uid="{520ADD92-D72C-46B8-92DF-7977ECA9C3D8}"/>
    <hyperlink ref="O4:Q4" location="'NOTES DGI - INS'!A1" display="NOTES DGI - INS - FICHE RECAPITULATIVE DES ETATS S" xr:uid="{2B8E135F-701E-460C-A3D2-DBAA823EBF18}"/>
    <hyperlink ref="O5:Q5" location="'COMP-CHARGES'!A1" display="COMP-CHARGES - DETAIL DES CHARGES" xr:uid="{DD7905AA-B1F8-45AE-A5DA-CA898E45F048}"/>
    <hyperlink ref="O6:Q6" location="'COMP-TVA'!A1" display="COMP-TVA - ETAT TVA" xr:uid="{2704406D-2ABB-4197-BF6C-A9ED77B4506B}"/>
    <hyperlink ref="O7:Q7" location="'COMP-TVA (2)'!A1" display="COMP-TVA (2) - ETAT TVA SUPPORTE NON DEDUCTIBLE" xr:uid="{3FE85514-95F3-4927-8578-419539244E45}"/>
    <hyperlink ref="O8:Q8" location="SUPPL1!A1" display="SUPPL1 - ELEMENTS STATISTIQUES UEMOA" xr:uid="{3300E385-16C5-451B-A8AC-4D5B6B6D58B9}"/>
    <hyperlink ref="O9:Q9" location="SUPPL2!A1" display="SUPPL2 - REPARTITION DU RESULTAT FISCAL DES SOCIET" xr:uid="{2D7E642C-9776-4644-9484-F7E6A6C67377}"/>
    <hyperlink ref="O10:Q10" location="SUPPL3!A1" display="SUPPL3 - COMPLEMENT INFORMATIONS ENTITES INDIVIDUE" xr:uid="{C049AA07-B5C7-4646-9B3F-E08C631DE67A}"/>
    <hyperlink ref="O11:Q11" location="SUPPL4!A1" display="SUPPL4 - TABLEAU DES AMORTISSEMENTS ET INVENTAIRE " xr:uid="{DA145DDD-7844-4570-AD80-DF70C058BAF3}"/>
    <hyperlink ref="O12:Q12" location="SUPPL5!A1" display="SUPPL5 - DETAIL DES FRAIS ACCESSOIRES SUR ACHATS" xr:uid="{680EC64C-2861-4093-A4DB-77E9D7519BB3}"/>
    <hyperlink ref="O13:Q13" location="SUPPL6!A1" display="SUPPL6 - DETAIL DES AVANTAGES EN NATURE ET EN ESPE" xr:uid="{B24FA806-0DE5-4696-A970-7641093568DE}"/>
    <hyperlink ref="O14:Q14" location="SUPPL7!A1" display="SUPPL7 - CREANCES &amp; DETTES ECHUES DE L'EXERCICE" xr:uid="{C7AB2C1E-575A-4B2F-B297-E8848387D5EE}"/>
    <hyperlink ref="U14" r:id="rId1" xr:uid="{058DBFA5-482C-46C6-9F08-0FC8CFE1BE93}"/>
    <hyperlink ref="B25" location="'NOTE 3D'!A1" display="NOTE 3D - IMMOBILISATIONS : PLUS-VALUES ET MOINS V" xr:uid="{6A73833B-FFEE-4A8A-8809-447D22D75CB3}"/>
    <hyperlink ref="O15:Q15" location="COMMENTAIRE!A1" display="COMMENTAIRE" xr:uid="{99B7F50D-4300-4B89-85B0-49845F6DBC03}"/>
  </hyperlinks>
  <printOptions horizontalCentered="1"/>
  <pageMargins left="0.39370078740157483" right="0.39370078740157483" top="0.39370078740157483" bottom="0.39370078740157483" header="0" footer="0.23622047244094491"/>
  <pageSetup paperSize="9" scale="87" orientation="portrait" r:id="rId2"/>
  <headerFooter>
    <oddFooter>&amp;C&amp;"-,Gras"&amp;P &amp;"-,Normal"sur &amp;N</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431105" r:id="rId5" name="Check Box 1">
              <controlPr defaultSize="0" autoFill="0" autoLine="0" autoPict="0">
                <anchor moveWithCells="1">
                  <from>
                    <xdr:col>3</xdr:col>
                    <xdr:colOff>53340</xdr:colOff>
                    <xdr:row>4</xdr:row>
                    <xdr:rowOff>15240</xdr:rowOff>
                  </from>
                  <to>
                    <xdr:col>3</xdr:col>
                    <xdr:colOff>304800</xdr:colOff>
                    <xdr:row>5</xdr:row>
                    <xdr:rowOff>0</xdr:rowOff>
                  </to>
                </anchor>
              </controlPr>
            </control>
          </mc:Choice>
        </mc:AlternateContent>
        <mc:AlternateContent xmlns:mc="http://schemas.openxmlformats.org/markup-compatibility/2006">
          <mc:Choice Requires="x14">
            <control shapeId="431106" r:id="rId6" name="Check Box 2">
              <controlPr defaultSize="0" autoFill="0" autoLine="0" autoPict="0">
                <anchor moveWithCells="1">
                  <from>
                    <xdr:col>3</xdr:col>
                    <xdr:colOff>53340</xdr:colOff>
                    <xdr:row>6</xdr:row>
                    <xdr:rowOff>15240</xdr:rowOff>
                  </from>
                  <to>
                    <xdr:col>3</xdr:col>
                    <xdr:colOff>304800</xdr:colOff>
                    <xdr:row>7</xdr:row>
                    <xdr:rowOff>0</xdr:rowOff>
                  </to>
                </anchor>
              </controlPr>
            </control>
          </mc:Choice>
        </mc:AlternateContent>
        <mc:AlternateContent xmlns:mc="http://schemas.openxmlformats.org/markup-compatibility/2006">
          <mc:Choice Requires="x14">
            <control shapeId="431107" r:id="rId7" name="Check Box 3">
              <controlPr defaultSize="0" autoFill="0" autoLine="0" autoPict="0">
                <anchor moveWithCells="1">
                  <from>
                    <xdr:col>3</xdr:col>
                    <xdr:colOff>53340</xdr:colOff>
                    <xdr:row>5</xdr:row>
                    <xdr:rowOff>15240</xdr:rowOff>
                  </from>
                  <to>
                    <xdr:col>3</xdr:col>
                    <xdr:colOff>304800</xdr:colOff>
                    <xdr:row>6</xdr:row>
                    <xdr:rowOff>0</xdr:rowOff>
                  </to>
                </anchor>
              </controlPr>
            </control>
          </mc:Choice>
        </mc:AlternateContent>
        <mc:AlternateContent xmlns:mc="http://schemas.openxmlformats.org/markup-compatibility/2006">
          <mc:Choice Requires="x14">
            <control shapeId="431108" r:id="rId8" name="Check Box 4">
              <controlPr defaultSize="0" autoFill="0" autoLine="0" autoPict="0">
                <anchor moveWithCells="1">
                  <from>
                    <xdr:col>3</xdr:col>
                    <xdr:colOff>53340</xdr:colOff>
                    <xdr:row>8</xdr:row>
                    <xdr:rowOff>15240</xdr:rowOff>
                  </from>
                  <to>
                    <xdr:col>3</xdr:col>
                    <xdr:colOff>304800</xdr:colOff>
                    <xdr:row>9</xdr:row>
                    <xdr:rowOff>0</xdr:rowOff>
                  </to>
                </anchor>
              </controlPr>
            </control>
          </mc:Choice>
        </mc:AlternateContent>
        <mc:AlternateContent xmlns:mc="http://schemas.openxmlformats.org/markup-compatibility/2006">
          <mc:Choice Requires="x14">
            <control shapeId="431109" r:id="rId9" name="Check Box 5">
              <controlPr defaultSize="0" autoFill="0" autoLine="0" autoPict="0">
                <anchor moveWithCells="1">
                  <from>
                    <xdr:col>3</xdr:col>
                    <xdr:colOff>53340</xdr:colOff>
                    <xdr:row>7</xdr:row>
                    <xdr:rowOff>15240</xdr:rowOff>
                  </from>
                  <to>
                    <xdr:col>3</xdr:col>
                    <xdr:colOff>304800</xdr:colOff>
                    <xdr:row>8</xdr:row>
                    <xdr:rowOff>0</xdr:rowOff>
                  </to>
                </anchor>
              </controlPr>
            </control>
          </mc:Choice>
        </mc:AlternateContent>
        <mc:AlternateContent xmlns:mc="http://schemas.openxmlformats.org/markup-compatibility/2006">
          <mc:Choice Requires="x14">
            <control shapeId="431110" r:id="rId10" name="Check Box 6">
              <controlPr defaultSize="0" autoFill="0" autoLine="0" autoPict="0">
                <anchor moveWithCells="1">
                  <from>
                    <xdr:col>3</xdr:col>
                    <xdr:colOff>53340</xdr:colOff>
                    <xdr:row>10</xdr:row>
                    <xdr:rowOff>15240</xdr:rowOff>
                  </from>
                  <to>
                    <xdr:col>3</xdr:col>
                    <xdr:colOff>304800</xdr:colOff>
                    <xdr:row>11</xdr:row>
                    <xdr:rowOff>0</xdr:rowOff>
                  </to>
                </anchor>
              </controlPr>
            </control>
          </mc:Choice>
        </mc:AlternateContent>
        <mc:AlternateContent xmlns:mc="http://schemas.openxmlformats.org/markup-compatibility/2006">
          <mc:Choice Requires="x14">
            <control shapeId="431111" r:id="rId11" name="Check Box 7">
              <controlPr defaultSize="0" autoFill="0" autoLine="0" autoPict="0">
                <anchor moveWithCells="1">
                  <from>
                    <xdr:col>3</xdr:col>
                    <xdr:colOff>53340</xdr:colOff>
                    <xdr:row>9</xdr:row>
                    <xdr:rowOff>15240</xdr:rowOff>
                  </from>
                  <to>
                    <xdr:col>3</xdr:col>
                    <xdr:colOff>304800</xdr:colOff>
                    <xdr:row>10</xdr:row>
                    <xdr:rowOff>0</xdr:rowOff>
                  </to>
                </anchor>
              </controlPr>
            </control>
          </mc:Choice>
        </mc:AlternateContent>
        <mc:AlternateContent xmlns:mc="http://schemas.openxmlformats.org/markup-compatibility/2006">
          <mc:Choice Requires="x14">
            <control shapeId="431112" r:id="rId12" name="Check Box 8">
              <controlPr defaultSize="0" autoFill="0" autoLine="0" autoPict="0">
                <anchor moveWithCells="1">
                  <from>
                    <xdr:col>3</xdr:col>
                    <xdr:colOff>53340</xdr:colOff>
                    <xdr:row>12</xdr:row>
                    <xdr:rowOff>15240</xdr:rowOff>
                  </from>
                  <to>
                    <xdr:col>3</xdr:col>
                    <xdr:colOff>304800</xdr:colOff>
                    <xdr:row>13</xdr:row>
                    <xdr:rowOff>0</xdr:rowOff>
                  </to>
                </anchor>
              </controlPr>
            </control>
          </mc:Choice>
        </mc:AlternateContent>
        <mc:AlternateContent xmlns:mc="http://schemas.openxmlformats.org/markup-compatibility/2006">
          <mc:Choice Requires="x14">
            <control shapeId="431113" r:id="rId13" name="Check Box 9">
              <controlPr defaultSize="0" autoFill="0" autoLine="0" autoPict="0">
                <anchor moveWithCells="1">
                  <from>
                    <xdr:col>3</xdr:col>
                    <xdr:colOff>53340</xdr:colOff>
                    <xdr:row>11</xdr:row>
                    <xdr:rowOff>15240</xdr:rowOff>
                  </from>
                  <to>
                    <xdr:col>3</xdr:col>
                    <xdr:colOff>304800</xdr:colOff>
                    <xdr:row>12</xdr:row>
                    <xdr:rowOff>0</xdr:rowOff>
                  </to>
                </anchor>
              </controlPr>
            </control>
          </mc:Choice>
        </mc:AlternateContent>
        <mc:AlternateContent xmlns:mc="http://schemas.openxmlformats.org/markup-compatibility/2006">
          <mc:Choice Requires="x14">
            <control shapeId="431114" r:id="rId14" name="Check Box 10">
              <controlPr defaultSize="0" autoFill="0" autoLine="0" autoPict="0">
                <anchor moveWithCells="1">
                  <from>
                    <xdr:col>3</xdr:col>
                    <xdr:colOff>53340</xdr:colOff>
                    <xdr:row>14</xdr:row>
                    <xdr:rowOff>15240</xdr:rowOff>
                  </from>
                  <to>
                    <xdr:col>3</xdr:col>
                    <xdr:colOff>304800</xdr:colOff>
                    <xdr:row>15</xdr:row>
                    <xdr:rowOff>0</xdr:rowOff>
                  </to>
                </anchor>
              </controlPr>
            </control>
          </mc:Choice>
        </mc:AlternateContent>
        <mc:AlternateContent xmlns:mc="http://schemas.openxmlformats.org/markup-compatibility/2006">
          <mc:Choice Requires="x14">
            <control shapeId="431115" r:id="rId15" name="Check Box 11">
              <controlPr defaultSize="0" autoFill="0" autoLine="0" autoPict="0">
                <anchor moveWithCells="1">
                  <from>
                    <xdr:col>3</xdr:col>
                    <xdr:colOff>53340</xdr:colOff>
                    <xdr:row>13</xdr:row>
                    <xdr:rowOff>15240</xdr:rowOff>
                  </from>
                  <to>
                    <xdr:col>3</xdr:col>
                    <xdr:colOff>304800</xdr:colOff>
                    <xdr:row>14</xdr:row>
                    <xdr:rowOff>0</xdr:rowOff>
                  </to>
                </anchor>
              </controlPr>
            </control>
          </mc:Choice>
        </mc:AlternateContent>
        <mc:AlternateContent xmlns:mc="http://schemas.openxmlformats.org/markup-compatibility/2006">
          <mc:Choice Requires="x14">
            <control shapeId="431116" r:id="rId16" name="Check Box 12">
              <controlPr locked="0" defaultSize="0" autoFill="0" autoLine="0" autoPict="0">
                <anchor moveWithCells="1">
                  <from>
                    <xdr:col>3</xdr:col>
                    <xdr:colOff>53340</xdr:colOff>
                    <xdr:row>16</xdr:row>
                    <xdr:rowOff>15240</xdr:rowOff>
                  </from>
                  <to>
                    <xdr:col>3</xdr:col>
                    <xdr:colOff>304800</xdr:colOff>
                    <xdr:row>17</xdr:row>
                    <xdr:rowOff>0</xdr:rowOff>
                  </to>
                </anchor>
              </controlPr>
            </control>
          </mc:Choice>
        </mc:AlternateContent>
        <mc:AlternateContent xmlns:mc="http://schemas.openxmlformats.org/markup-compatibility/2006">
          <mc:Choice Requires="x14">
            <control shapeId="431117" r:id="rId17" name="Check Box 13">
              <controlPr defaultSize="0" autoFill="0" autoLine="0" autoPict="0">
                <anchor moveWithCells="1">
                  <from>
                    <xdr:col>3</xdr:col>
                    <xdr:colOff>53340</xdr:colOff>
                    <xdr:row>15</xdr:row>
                    <xdr:rowOff>15240</xdr:rowOff>
                  </from>
                  <to>
                    <xdr:col>3</xdr:col>
                    <xdr:colOff>304800</xdr:colOff>
                    <xdr:row>16</xdr:row>
                    <xdr:rowOff>0</xdr:rowOff>
                  </to>
                </anchor>
              </controlPr>
            </control>
          </mc:Choice>
        </mc:AlternateContent>
        <mc:AlternateContent xmlns:mc="http://schemas.openxmlformats.org/markup-compatibility/2006">
          <mc:Choice Requires="x14">
            <control shapeId="431118" r:id="rId18" name="Check Box 14">
              <controlPr locked="0" defaultSize="0" autoFill="0" autoLine="0" autoPict="0">
                <anchor moveWithCells="1">
                  <from>
                    <xdr:col>3</xdr:col>
                    <xdr:colOff>53340</xdr:colOff>
                    <xdr:row>18</xdr:row>
                    <xdr:rowOff>15240</xdr:rowOff>
                  </from>
                  <to>
                    <xdr:col>3</xdr:col>
                    <xdr:colOff>304800</xdr:colOff>
                    <xdr:row>19</xdr:row>
                    <xdr:rowOff>0</xdr:rowOff>
                  </to>
                </anchor>
              </controlPr>
            </control>
          </mc:Choice>
        </mc:AlternateContent>
        <mc:AlternateContent xmlns:mc="http://schemas.openxmlformats.org/markup-compatibility/2006">
          <mc:Choice Requires="x14">
            <control shapeId="431119" r:id="rId19" name="Check Box 15">
              <controlPr locked="0" defaultSize="0" autoFill="0" autoLine="0" autoPict="0">
                <anchor moveWithCells="1">
                  <from>
                    <xdr:col>3</xdr:col>
                    <xdr:colOff>53340</xdr:colOff>
                    <xdr:row>17</xdr:row>
                    <xdr:rowOff>15240</xdr:rowOff>
                  </from>
                  <to>
                    <xdr:col>3</xdr:col>
                    <xdr:colOff>304800</xdr:colOff>
                    <xdr:row>18</xdr:row>
                    <xdr:rowOff>0</xdr:rowOff>
                  </to>
                </anchor>
              </controlPr>
            </control>
          </mc:Choice>
        </mc:AlternateContent>
        <mc:AlternateContent xmlns:mc="http://schemas.openxmlformats.org/markup-compatibility/2006">
          <mc:Choice Requires="x14">
            <control shapeId="431120" r:id="rId20" name="Check Box 16">
              <controlPr locked="0" defaultSize="0" autoFill="0" autoLine="0" autoPict="0">
                <anchor moveWithCells="1">
                  <from>
                    <xdr:col>3</xdr:col>
                    <xdr:colOff>53340</xdr:colOff>
                    <xdr:row>20</xdr:row>
                    <xdr:rowOff>15240</xdr:rowOff>
                  </from>
                  <to>
                    <xdr:col>3</xdr:col>
                    <xdr:colOff>304800</xdr:colOff>
                    <xdr:row>21</xdr:row>
                    <xdr:rowOff>0</xdr:rowOff>
                  </to>
                </anchor>
              </controlPr>
            </control>
          </mc:Choice>
        </mc:AlternateContent>
        <mc:AlternateContent xmlns:mc="http://schemas.openxmlformats.org/markup-compatibility/2006">
          <mc:Choice Requires="x14">
            <control shapeId="431121" r:id="rId21" name="Check Box 17">
              <controlPr locked="0" defaultSize="0" autoFill="0" autoLine="0" autoPict="0">
                <anchor moveWithCells="1">
                  <from>
                    <xdr:col>3</xdr:col>
                    <xdr:colOff>53340</xdr:colOff>
                    <xdr:row>19</xdr:row>
                    <xdr:rowOff>15240</xdr:rowOff>
                  </from>
                  <to>
                    <xdr:col>3</xdr:col>
                    <xdr:colOff>304800</xdr:colOff>
                    <xdr:row>20</xdr:row>
                    <xdr:rowOff>0</xdr:rowOff>
                  </to>
                </anchor>
              </controlPr>
            </control>
          </mc:Choice>
        </mc:AlternateContent>
        <mc:AlternateContent xmlns:mc="http://schemas.openxmlformats.org/markup-compatibility/2006">
          <mc:Choice Requires="x14">
            <control shapeId="431122" r:id="rId22" name="Check Box 18">
              <controlPr locked="0" defaultSize="0" autoFill="0" autoLine="0" autoPict="0">
                <anchor moveWithCells="1">
                  <from>
                    <xdr:col>3</xdr:col>
                    <xdr:colOff>53340</xdr:colOff>
                    <xdr:row>22</xdr:row>
                    <xdr:rowOff>15240</xdr:rowOff>
                  </from>
                  <to>
                    <xdr:col>3</xdr:col>
                    <xdr:colOff>304800</xdr:colOff>
                    <xdr:row>23</xdr:row>
                    <xdr:rowOff>0</xdr:rowOff>
                  </to>
                </anchor>
              </controlPr>
            </control>
          </mc:Choice>
        </mc:AlternateContent>
        <mc:AlternateContent xmlns:mc="http://schemas.openxmlformats.org/markup-compatibility/2006">
          <mc:Choice Requires="x14">
            <control shapeId="431123" r:id="rId23" name="Check Box 19">
              <controlPr locked="0" defaultSize="0" autoFill="0" autoLine="0" autoPict="0">
                <anchor moveWithCells="1">
                  <from>
                    <xdr:col>3</xdr:col>
                    <xdr:colOff>53340</xdr:colOff>
                    <xdr:row>21</xdr:row>
                    <xdr:rowOff>15240</xdr:rowOff>
                  </from>
                  <to>
                    <xdr:col>3</xdr:col>
                    <xdr:colOff>304800</xdr:colOff>
                    <xdr:row>22</xdr:row>
                    <xdr:rowOff>0</xdr:rowOff>
                  </to>
                </anchor>
              </controlPr>
            </control>
          </mc:Choice>
        </mc:AlternateContent>
        <mc:AlternateContent xmlns:mc="http://schemas.openxmlformats.org/markup-compatibility/2006">
          <mc:Choice Requires="x14">
            <control shapeId="431124" r:id="rId24" name="Check Box 20">
              <controlPr locked="0" defaultSize="0" autoFill="0" autoLine="0" autoPict="0">
                <anchor moveWithCells="1">
                  <from>
                    <xdr:col>8</xdr:col>
                    <xdr:colOff>53340</xdr:colOff>
                    <xdr:row>4</xdr:row>
                    <xdr:rowOff>15240</xdr:rowOff>
                  </from>
                  <to>
                    <xdr:col>8</xdr:col>
                    <xdr:colOff>304800</xdr:colOff>
                    <xdr:row>5</xdr:row>
                    <xdr:rowOff>0</xdr:rowOff>
                  </to>
                </anchor>
              </controlPr>
            </control>
          </mc:Choice>
        </mc:AlternateContent>
        <mc:AlternateContent xmlns:mc="http://schemas.openxmlformats.org/markup-compatibility/2006">
          <mc:Choice Requires="x14">
            <control shapeId="431125" r:id="rId25" name="Check Box 21">
              <controlPr locked="0" defaultSize="0" autoFill="0" autoLine="0" autoPict="0">
                <anchor moveWithCells="1">
                  <from>
                    <xdr:col>8</xdr:col>
                    <xdr:colOff>53340</xdr:colOff>
                    <xdr:row>3</xdr:row>
                    <xdr:rowOff>15240</xdr:rowOff>
                  </from>
                  <to>
                    <xdr:col>8</xdr:col>
                    <xdr:colOff>304800</xdr:colOff>
                    <xdr:row>4</xdr:row>
                    <xdr:rowOff>0</xdr:rowOff>
                  </to>
                </anchor>
              </controlPr>
            </control>
          </mc:Choice>
        </mc:AlternateContent>
        <mc:AlternateContent xmlns:mc="http://schemas.openxmlformats.org/markup-compatibility/2006">
          <mc:Choice Requires="x14">
            <control shapeId="431126" r:id="rId26" name="Check Box 22">
              <controlPr locked="0" defaultSize="0" autoFill="0" autoLine="0" autoPict="0">
                <anchor moveWithCells="1">
                  <from>
                    <xdr:col>8</xdr:col>
                    <xdr:colOff>53340</xdr:colOff>
                    <xdr:row>6</xdr:row>
                    <xdr:rowOff>15240</xdr:rowOff>
                  </from>
                  <to>
                    <xdr:col>8</xdr:col>
                    <xdr:colOff>304800</xdr:colOff>
                    <xdr:row>7</xdr:row>
                    <xdr:rowOff>0</xdr:rowOff>
                  </to>
                </anchor>
              </controlPr>
            </control>
          </mc:Choice>
        </mc:AlternateContent>
        <mc:AlternateContent xmlns:mc="http://schemas.openxmlformats.org/markup-compatibility/2006">
          <mc:Choice Requires="x14">
            <control shapeId="431127" r:id="rId27" name="Check Box 23">
              <controlPr locked="0" defaultSize="0" autoFill="0" autoLine="0" autoPict="0">
                <anchor moveWithCells="1">
                  <from>
                    <xdr:col>8</xdr:col>
                    <xdr:colOff>53340</xdr:colOff>
                    <xdr:row>5</xdr:row>
                    <xdr:rowOff>15240</xdr:rowOff>
                  </from>
                  <to>
                    <xdr:col>8</xdr:col>
                    <xdr:colOff>304800</xdr:colOff>
                    <xdr:row>6</xdr:row>
                    <xdr:rowOff>0</xdr:rowOff>
                  </to>
                </anchor>
              </controlPr>
            </control>
          </mc:Choice>
        </mc:AlternateContent>
        <mc:AlternateContent xmlns:mc="http://schemas.openxmlformats.org/markup-compatibility/2006">
          <mc:Choice Requires="x14">
            <control shapeId="431128" r:id="rId28" name="Check Box 24">
              <controlPr locked="0" defaultSize="0" autoFill="0" autoLine="0" autoPict="0">
                <anchor moveWithCells="1">
                  <from>
                    <xdr:col>8</xdr:col>
                    <xdr:colOff>53340</xdr:colOff>
                    <xdr:row>8</xdr:row>
                    <xdr:rowOff>15240</xdr:rowOff>
                  </from>
                  <to>
                    <xdr:col>8</xdr:col>
                    <xdr:colOff>304800</xdr:colOff>
                    <xdr:row>9</xdr:row>
                    <xdr:rowOff>0</xdr:rowOff>
                  </to>
                </anchor>
              </controlPr>
            </control>
          </mc:Choice>
        </mc:AlternateContent>
        <mc:AlternateContent xmlns:mc="http://schemas.openxmlformats.org/markup-compatibility/2006">
          <mc:Choice Requires="x14">
            <control shapeId="431129" r:id="rId29" name="Check Box 25">
              <controlPr locked="0" defaultSize="0" autoFill="0" autoLine="0" autoPict="0">
                <anchor moveWithCells="1">
                  <from>
                    <xdr:col>8</xdr:col>
                    <xdr:colOff>53340</xdr:colOff>
                    <xdr:row>7</xdr:row>
                    <xdr:rowOff>15240</xdr:rowOff>
                  </from>
                  <to>
                    <xdr:col>8</xdr:col>
                    <xdr:colOff>304800</xdr:colOff>
                    <xdr:row>8</xdr:row>
                    <xdr:rowOff>0</xdr:rowOff>
                  </to>
                </anchor>
              </controlPr>
            </control>
          </mc:Choice>
        </mc:AlternateContent>
        <mc:AlternateContent xmlns:mc="http://schemas.openxmlformats.org/markup-compatibility/2006">
          <mc:Choice Requires="x14">
            <control shapeId="431130" r:id="rId30" name="Check Box 26">
              <controlPr locked="0" defaultSize="0" autoFill="0" autoLine="0" autoPict="0">
                <anchor moveWithCells="1">
                  <from>
                    <xdr:col>8</xdr:col>
                    <xdr:colOff>53340</xdr:colOff>
                    <xdr:row>10</xdr:row>
                    <xdr:rowOff>15240</xdr:rowOff>
                  </from>
                  <to>
                    <xdr:col>8</xdr:col>
                    <xdr:colOff>304800</xdr:colOff>
                    <xdr:row>11</xdr:row>
                    <xdr:rowOff>0</xdr:rowOff>
                  </to>
                </anchor>
              </controlPr>
            </control>
          </mc:Choice>
        </mc:AlternateContent>
        <mc:AlternateContent xmlns:mc="http://schemas.openxmlformats.org/markup-compatibility/2006">
          <mc:Choice Requires="x14">
            <control shapeId="431131" r:id="rId31" name="Check Box 27">
              <controlPr locked="0" defaultSize="0" autoFill="0" autoLine="0" autoPict="0">
                <anchor moveWithCells="1">
                  <from>
                    <xdr:col>8</xdr:col>
                    <xdr:colOff>53340</xdr:colOff>
                    <xdr:row>9</xdr:row>
                    <xdr:rowOff>15240</xdr:rowOff>
                  </from>
                  <to>
                    <xdr:col>8</xdr:col>
                    <xdr:colOff>304800</xdr:colOff>
                    <xdr:row>10</xdr:row>
                    <xdr:rowOff>0</xdr:rowOff>
                  </to>
                </anchor>
              </controlPr>
            </control>
          </mc:Choice>
        </mc:AlternateContent>
        <mc:AlternateContent xmlns:mc="http://schemas.openxmlformats.org/markup-compatibility/2006">
          <mc:Choice Requires="x14">
            <control shapeId="431132" r:id="rId32" name="Check Box 28">
              <controlPr locked="0" defaultSize="0" autoFill="0" autoLine="0" autoPict="0">
                <anchor moveWithCells="1">
                  <from>
                    <xdr:col>8</xdr:col>
                    <xdr:colOff>53340</xdr:colOff>
                    <xdr:row>12</xdr:row>
                    <xdr:rowOff>15240</xdr:rowOff>
                  </from>
                  <to>
                    <xdr:col>8</xdr:col>
                    <xdr:colOff>304800</xdr:colOff>
                    <xdr:row>13</xdr:row>
                    <xdr:rowOff>0</xdr:rowOff>
                  </to>
                </anchor>
              </controlPr>
            </control>
          </mc:Choice>
        </mc:AlternateContent>
        <mc:AlternateContent xmlns:mc="http://schemas.openxmlformats.org/markup-compatibility/2006">
          <mc:Choice Requires="x14">
            <control shapeId="431133" r:id="rId33" name="Check Box 29">
              <controlPr locked="0" defaultSize="0" autoFill="0" autoLine="0" autoPict="0">
                <anchor moveWithCells="1">
                  <from>
                    <xdr:col>8</xdr:col>
                    <xdr:colOff>53340</xdr:colOff>
                    <xdr:row>11</xdr:row>
                    <xdr:rowOff>15240</xdr:rowOff>
                  </from>
                  <to>
                    <xdr:col>8</xdr:col>
                    <xdr:colOff>304800</xdr:colOff>
                    <xdr:row>12</xdr:row>
                    <xdr:rowOff>0</xdr:rowOff>
                  </to>
                </anchor>
              </controlPr>
            </control>
          </mc:Choice>
        </mc:AlternateContent>
        <mc:AlternateContent xmlns:mc="http://schemas.openxmlformats.org/markup-compatibility/2006">
          <mc:Choice Requires="x14">
            <control shapeId="431134" r:id="rId34" name="Check Box 30">
              <controlPr locked="0" defaultSize="0" autoFill="0" autoLine="0" autoPict="0">
                <anchor moveWithCells="1">
                  <from>
                    <xdr:col>8</xdr:col>
                    <xdr:colOff>53340</xdr:colOff>
                    <xdr:row>14</xdr:row>
                    <xdr:rowOff>15240</xdr:rowOff>
                  </from>
                  <to>
                    <xdr:col>8</xdr:col>
                    <xdr:colOff>304800</xdr:colOff>
                    <xdr:row>15</xdr:row>
                    <xdr:rowOff>0</xdr:rowOff>
                  </to>
                </anchor>
              </controlPr>
            </control>
          </mc:Choice>
        </mc:AlternateContent>
        <mc:AlternateContent xmlns:mc="http://schemas.openxmlformats.org/markup-compatibility/2006">
          <mc:Choice Requires="x14">
            <control shapeId="431135" r:id="rId35" name="Check Box 31">
              <controlPr locked="0" defaultSize="0" autoFill="0" autoLine="0" autoPict="0">
                <anchor moveWithCells="1">
                  <from>
                    <xdr:col>8</xdr:col>
                    <xdr:colOff>53340</xdr:colOff>
                    <xdr:row>13</xdr:row>
                    <xdr:rowOff>15240</xdr:rowOff>
                  </from>
                  <to>
                    <xdr:col>8</xdr:col>
                    <xdr:colOff>304800</xdr:colOff>
                    <xdr:row>14</xdr:row>
                    <xdr:rowOff>0</xdr:rowOff>
                  </to>
                </anchor>
              </controlPr>
            </control>
          </mc:Choice>
        </mc:AlternateContent>
        <mc:AlternateContent xmlns:mc="http://schemas.openxmlformats.org/markup-compatibility/2006">
          <mc:Choice Requires="x14">
            <control shapeId="431136" r:id="rId36" name="Check Box 32">
              <controlPr locked="0" defaultSize="0" autoFill="0" autoLine="0" autoPict="0">
                <anchor moveWithCells="1">
                  <from>
                    <xdr:col>8</xdr:col>
                    <xdr:colOff>53340</xdr:colOff>
                    <xdr:row>16</xdr:row>
                    <xdr:rowOff>15240</xdr:rowOff>
                  </from>
                  <to>
                    <xdr:col>8</xdr:col>
                    <xdr:colOff>304800</xdr:colOff>
                    <xdr:row>17</xdr:row>
                    <xdr:rowOff>0</xdr:rowOff>
                  </to>
                </anchor>
              </controlPr>
            </control>
          </mc:Choice>
        </mc:AlternateContent>
        <mc:AlternateContent xmlns:mc="http://schemas.openxmlformats.org/markup-compatibility/2006">
          <mc:Choice Requires="x14">
            <control shapeId="431137" r:id="rId37" name="Check Box 33">
              <controlPr locked="0" defaultSize="0" autoFill="0" autoLine="0" autoPict="0">
                <anchor moveWithCells="1">
                  <from>
                    <xdr:col>8</xdr:col>
                    <xdr:colOff>53340</xdr:colOff>
                    <xdr:row>15</xdr:row>
                    <xdr:rowOff>15240</xdr:rowOff>
                  </from>
                  <to>
                    <xdr:col>8</xdr:col>
                    <xdr:colOff>304800</xdr:colOff>
                    <xdr:row>16</xdr:row>
                    <xdr:rowOff>0</xdr:rowOff>
                  </to>
                </anchor>
              </controlPr>
            </control>
          </mc:Choice>
        </mc:AlternateContent>
        <mc:AlternateContent xmlns:mc="http://schemas.openxmlformats.org/markup-compatibility/2006">
          <mc:Choice Requires="x14">
            <control shapeId="431138" r:id="rId38" name="Check Box 34">
              <controlPr locked="0" defaultSize="0" autoFill="0" autoLine="0" autoPict="0">
                <anchor moveWithCells="1">
                  <from>
                    <xdr:col>8</xdr:col>
                    <xdr:colOff>53340</xdr:colOff>
                    <xdr:row>18</xdr:row>
                    <xdr:rowOff>15240</xdr:rowOff>
                  </from>
                  <to>
                    <xdr:col>8</xdr:col>
                    <xdr:colOff>304800</xdr:colOff>
                    <xdr:row>19</xdr:row>
                    <xdr:rowOff>0</xdr:rowOff>
                  </to>
                </anchor>
              </controlPr>
            </control>
          </mc:Choice>
        </mc:AlternateContent>
        <mc:AlternateContent xmlns:mc="http://schemas.openxmlformats.org/markup-compatibility/2006">
          <mc:Choice Requires="x14">
            <control shapeId="431139" r:id="rId39" name="Check Box 35">
              <controlPr locked="0" defaultSize="0" autoFill="0" autoLine="0" autoPict="0">
                <anchor moveWithCells="1">
                  <from>
                    <xdr:col>8</xdr:col>
                    <xdr:colOff>53340</xdr:colOff>
                    <xdr:row>17</xdr:row>
                    <xdr:rowOff>15240</xdr:rowOff>
                  </from>
                  <to>
                    <xdr:col>8</xdr:col>
                    <xdr:colOff>304800</xdr:colOff>
                    <xdr:row>18</xdr:row>
                    <xdr:rowOff>0</xdr:rowOff>
                  </to>
                </anchor>
              </controlPr>
            </control>
          </mc:Choice>
        </mc:AlternateContent>
        <mc:AlternateContent xmlns:mc="http://schemas.openxmlformats.org/markup-compatibility/2006">
          <mc:Choice Requires="x14">
            <control shapeId="431140" r:id="rId40" name="Check Box 36">
              <controlPr locked="0" defaultSize="0" autoFill="0" autoLine="0" autoPict="0">
                <anchor moveWithCells="1">
                  <from>
                    <xdr:col>8</xdr:col>
                    <xdr:colOff>53340</xdr:colOff>
                    <xdr:row>20</xdr:row>
                    <xdr:rowOff>15240</xdr:rowOff>
                  </from>
                  <to>
                    <xdr:col>8</xdr:col>
                    <xdr:colOff>304800</xdr:colOff>
                    <xdr:row>21</xdr:row>
                    <xdr:rowOff>0</xdr:rowOff>
                  </to>
                </anchor>
              </controlPr>
            </control>
          </mc:Choice>
        </mc:AlternateContent>
        <mc:AlternateContent xmlns:mc="http://schemas.openxmlformats.org/markup-compatibility/2006">
          <mc:Choice Requires="x14">
            <control shapeId="431141" r:id="rId41" name="Check Box 37">
              <controlPr locked="0" defaultSize="0" autoFill="0" autoLine="0" autoPict="0">
                <anchor moveWithCells="1">
                  <from>
                    <xdr:col>8</xdr:col>
                    <xdr:colOff>53340</xdr:colOff>
                    <xdr:row>19</xdr:row>
                    <xdr:rowOff>15240</xdr:rowOff>
                  </from>
                  <to>
                    <xdr:col>8</xdr:col>
                    <xdr:colOff>304800</xdr:colOff>
                    <xdr:row>20</xdr:row>
                    <xdr:rowOff>0</xdr:rowOff>
                  </to>
                </anchor>
              </controlPr>
            </control>
          </mc:Choice>
        </mc:AlternateContent>
        <mc:AlternateContent xmlns:mc="http://schemas.openxmlformats.org/markup-compatibility/2006">
          <mc:Choice Requires="x14">
            <control shapeId="431142" r:id="rId42" name="Check Box 38">
              <controlPr locked="0" defaultSize="0" autoFill="0" autoLine="0" autoPict="0">
                <anchor moveWithCells="1">
                  <from>
                    <xdr:col>8</xdr:col>
                    <xdr:colOff>53340</xdr:colOff>
                    <xdr:row>22</xdr:row>
                    <xdr:rowOff>15240</xdr:rowOff>
                  </from>
                  <to>
                    <xdr:col>8</xdr:col>
                    <xdr:colOff>304800</xdr:colOff>
                    <xdr:row>23</xdr:row>
                    <xdr:rowOff>0</xdr:rowOff>
                  </to>
                </anchor>
              </controlPr>
            </control>
          </mc:Choice>
        </mc:AlternateContent>
        <mc:AlternateContent xmlns:mc="http://schemas.openxmlformats.org/markup-compatibility/2006">
          <mc:Choice Requires="x14">
            <control shapeId="431143" r:id="rId43" name="Check Box 39">
              <controlPr locked="0" defaultSize="0" autoFill="0" autoLine="0" autoPict="0">
                <anchor moveWithCells="1">
                  <from>
                    <xdr:col>8</xdr:col>
                    <xdr:colOff>53340</xdr:colOff>
                    <xdr:row>21</xdr:row>
                    <xdr:rowOff>15240</xdr:rowOff>
                  </from>
                  <to>
                    <xdr:col>8</xdr:col>
                    <xdr:colOff>304800</xdr:colOff>
                    <xdr:row>22</xdr:row>
                    <xdr:rowOff>0</xdr:rowOff>
                  </to>
                </anchor>
              </controlPr>
            </control>
          </mc:Choice>
        </mc:AlternateContent>
        <mc:AlternateContent xmlns:mc="http://schemas.openxmlformats.org/markup-compatibility/2006">
          <mc:Choice Requires="x14">
            <control shapeId="431144" r:id="rId44" name="Check Box 40">
              <controlPr locked="0" defaultSize="0" autoFill="0" autoLine="0" autoPict="0">
                <anchor moveWithCells="1">
                  <from>
                    <xdr:col>12</xdr:col>
                    <xdr:colOff>53340</xdr:colOff>
                    <xdr:row>4</xdr:row>
                    <xdr:rowOff>15240</xdr:rowOff>
                  </from>
                  <to>
                    <xdr:col>12</xdr:col>
                    <xdr:colOff>304800</xdr:colOff>
                    <xdr:row>5</xdr:row>
                    <xdr:rowOff>0</xdr:rowOff>
                  </to>
                </anchor>
              </controlPr>
            </control>
          </mc:Choice>
        </mc:AlternateContent>
        <mc:AlternateContent xmlns:mc="http://schemas.openxmlformats.org/markup-compatibility/2006">
          <mc:Choice Requires="x14">
            <control shapeId="431145" r:id="rId45" name="Check Box 41">
              <controlPr locked="0" defaultSize="0" autoFill="0" autoLine="0" autoPict="0">
                <anchor moveWithCells="1">
                  <from>
                    <xdr:col>12</xdr:col>
                    <xdr:colOff>53340</xdr:colOff>
                    <xdr:row>3</xdr:row>
                    <xdr:rowOff>15240</xdr:rowOff>
                  </from>
                  <to>
                    <xdr:col>12</xdr:col>
                    <xdr:colOff>304800</xdr:colOff>
                    <xdr:row>4</xdr:row>
                    <xdr:rowOff>0</xdr:rowOff>
                  </to>
                </anchor>
              </controlPr>
            </control>
          </mc:Choice>
        </mc:AlternateContent>
        <mc:AlternateContent xmlns:mc="http://schemas.openxmlformats.org/markup-compatibility/2006">
          <mc:Choice Requires="x14">
            <control shapeId="431146" r:id="rId46" name="Check Box 42">
              <controlPr locked="0" defaultSize="0" autoFill="0" autoLine="0" autoPict="0">
                <anchor moveWithCells="1">
                  <from>
                    <xdr:col>12</xdr:col>
                    <xdr:colOff>53340</xdr:colOff>
                    <xdr:row>6</xdr:row>
                    <xdr:rowOff>15240</xdr:rowOff>
                  </from>
                  <to>
                    <xdr:col>12</xdr:col>
                    <xdr:colOff>304800</xdr:colOff>
                    <xdr:row>7</xdr:row>
                    <xdr:rowOff>0</xdr:rowOff>
                  </to>
                </anchor>
              </controlPr>
            </control>
          </mc:Choice>
        </mc:AlternateContent>
        <mc:AlternateContent xmlns:mc="http://schemas.openxmlformats.org/markup-compatibility/2006">
          <mc:Choice Requires="x14">
            <control shapeId="431147" r:id="rId47" name="Check Box 43">
              <controlPr locked="0" defaultSize="0" autoFill="0" autoLine="0" autoPict="0">
                <anchor moveWithCells="1">
                  <from>
                    <xdr:col>12</xdr:col>
                    <xdr:colOff>53340</xdr:colOff>
                    <xdr:row>5</xdr:row>
                    <xdr:rowOff>15240</xdr:rowOff>
                  </from>
                  <to>
                    <xdr:col>12</xdr:col>
                    <xdr:colOff>304800</xdr:colOff>
                    <xdr:row>6</xdr:row>
                    <xdr:rowOff>0</xdr:rowOff>
                  </to>
                </anchor>
              </controlPr>
            </control>
          </mc:Choice>
        </mc:AlternateContent>
        <mc:AlternateContent xmlns:mc="http://schemas.openxmlformats.org/markup-compatibility/2006">
          <mc:Choice Requires="x14">
            <control shapeId="431148" r:id="rId48" name="Check Box 44">
              <controlPr locked="0" defaultSize="0" autoFill="0" autoLine="0" autoPict="0">
                <anchor moveWithCells="1">
                  <from>
                    <xdr:col>12</xdr:col>
                    <xdr:colOff>53340</xdr:colOff>
                    <xdr:row>8</xdr:row>
                    <xdr:rowOff>15240</xdr:rowOff>
                  </from>
                  <to>
                    <xdr:col>12</xdr:col>
                    <xdr:colOff>304800</xdr:colOff>
                    <xdr:row>9</xdr:row>
                    <xdr:rowOff>0</xdr:rowOff>
                  </to>
                </anchor>
              </controlPr>
            </control>
          </mc:Choice>
        </mc:AlternateContent>
        <mc:AlternateContent xmlns:mc="http://schemas.openxmlformats.org/markup-compatibility/2006">
          <mc:Choice Requires="x14">
            <control shapeId="431149" r:id="rId49" name="Check Box 45">
              <controlPr locked="0" defaultSize="0" autoFill="0" autoLine="0" autoPict="0">
                <anchor moveWithCells="1">
                  <from>
                    <xdr:col>12</xdr:col>
                    <xdr:colOff>53340</xdr:colOff>
                    <xdr:row>7</xdr:row>
                    <xdr:rowOff>15240</xdr:rowOff>
                  </from>
                  <to>
                    <xdr:col>12</xdr:col>
                    <xdr:colOff>304800</xdr:colOff>
                    <xdr:row>8</xdr:row>
                    <xdr:rowOff>0</xdr:rowOff>
                  </to>
                </anchor>
              </controlPr>
            </control>
          </mc:Choice>
        </mc:AlternateContent>
        <mc:AlternateContent xmlns:mc="http://schemas.openxmlformats.org/markup-compatibility/2006">
          <mc:Choice Requires="x14">
            <control shapeId="431150" r:id="rId50" name="Check Box 46">
              <controlPr locked="0" defaultSize="0" autoFill="0" autoLine="0" autoPict="0">
                <anchor moveWithCells="1">
                  <from>
                    <xdr:col>12</xdr:col>
                    <xdr:colOff>53340</xdr:colOff>
                    <xdr:row>10</xdr:row>
                    <xdr:rowOff>15240</xdr:rowOff>
                  </from>
                  <to>
                    <xdr:col>12</xdr:col>
                    <xdr:colOff>304800</xdr:colOff>
                    <xdr:row>11</xdr:row>
                    <xdr:rowOff>0</xdr:rowOff>
                  </to>
                </anchor>
              </controlPr>
            </control>
          </mc:Choice>
        </mc:AlternateContent>
        <mc:AlternateContent xmlns:mc="http://schemas.openxmlformats.org/markup-compatibility/2006">
          <mc:Choice Requires="x14">
            <control shapeId="431151" r:id="rId51" name="Check Box 47">
              <controlPr locked="0" defaultSize="0" autoFill="0" autoLine="0" autoPict="0">
                <anchor moveWithCells="1">
                  <from>
                    <xdr:col>12</xdr:col>
                    <xdr:colOff>53340</xdr:colOff>
                    <xdr:row>9</xdr:row>
                    <xdr:rowOff>15240</xdr:rowOff>
                  </from>
                  <to>
                    <xdr:col>12</xdr:col>
                    <xdr:colOff>304800</xdr:colOff>
                    <xdr:row>10</xdr:row>
                    <xdr:rowOff>0</xdr:rowOff>
                  </to>
                </anchor>
              </controlPr>
            </control>
          </mc:Choice>
        </mc:AlternateContent>
        <mc:AlternateContent xmlns:mc="http://schemas.openxmlformats.org/markup-compatibility/2006">
          <mc:Choice Requires="x14">
            <control shapeId="431152" r:id="rId52" name="Check Box 48">
              <controlPr locked="0" defaultSize="0" autoFill="0" autoLine="0" autoPict="0">
                <anchor moveWithCells="1">
                  <from>
                    <xdr:col>12</xdr:col>
                    <xdr:colOff>53340</xdr:colOff>
                    <xdr:row>12</xdr:row>
                    <xdr:rowOff>15240</xdr:rowOff>
                  </from>
                  <to>
                    <xdr:col>12</xdr:col>
                    <xdr:colOff>304800</xdr:colOff>
                    <xdr:row>13</xdr:row>
                    <xdr:rowOff>0</xdr:rowOff>
                  </to>
                </anchor>
              </controlPr>
            </control>
          </mc:Choice>
        </mc:AlternateContent>
        <mc:AlternateContent xmlns:mc="http://schemas.openxmlformats.org/markup-compatibility/2006">
          <mc:Choice Requires="x14">
            <control shapeId="431153" r:id="rId53" name="Check Box 49">
              <controlPr locked="0" defaultSize="0" autoFill="0" autoLine="0" autoPict="0">
                <anchor moveWithCells="1">
                  <from>
                    <xdr:col>12</xdr:col>
                    <xdr:colOff>53340</xdr:colOff>
                    <xdr:row>11</xdr:row>
                    <xdr:rowOff>15240</xdr:rowOff>
                  </from>
                  <to>
                    <xdr:col>12</xdr:col>
                    <xdr:colOff>304800</xdr:colOff>
                    <xdr:row>12</xdr:row>
                    <xdr:rowOff>0</xdr:rowOff>
                  </to>
                </anchor>
              </controlPr>
            </control>
          </mc:Choice>
        </mc:AlternateContent>
        <mc:AlternateContent xmlns:mc="http://schemas.openxmlformats.org/markup-compatibility/2006">
          <mc:Choice Requires="x14">
            <control shapeId="431154" r:id="rId54" name="Check Box 50">
              <controlPr locked="0" defaultSize="0" autoFill="0" autoLine="0" autoPict="0">
                <anchor moveWithCells="1">
                  <from>
                    <xdr:col>12</xdr:col>
                    <xdr:colOff>53340</xdr:colOff>
                    <xdr:row>14</xdr:row>
                    <xdr:rowOff>15240</xdr:rowOff>
                  </from>
                  <to>
                    <xdr:col>12</xdr:col>
                    <xdr:colOff>304800</xdr:colOff>
                    <xdr:row>15</xdr:row>
                    <xdr:rowOff>0</xdr:rowOff>
                  </to>
                </anchor>
              </controlPr>
            </control>
          </mc:Choice>
        </mc:AlternateContent>
        <mc:AlternateContent xmlns:mc="http://schemas.openxmlformats.org/markup-compatibility/2006">
          <mc:Choice Requires="x14">
            <control shapeId="431155" r:id="rId55" name="Check Box 51">
              <controlPr locked="0" defaultSize="0" autoFill="0" autoLine="0" autoPict="0">
                <anchor moveWithCells="1">
                  <from>
                    <xdr:col>12</xdr:col>
                    <xdr:colOff>53340</xdr:colOff>
                    <xdr:row>13</xdr:row>
                    <xdr:rowOff>15240</xdr:rowOff>
                  </from>
                  <to>
                    <xdr:col>12</xdr:col>
                    <xdr:colOff>304800</xdr:colOff>
                    <xdr:row>14</xdr:row>
                    <xdr:rowOff>0</xdr:rowOff>
                  </to>
                </anchor>
              </controlPr>
            </control>
          </mc:Choice>
        </mc:AlternateContent>
        <mc:AlternateContent xmlns:mc="http://schemas.openxmlformats.org/markup-compatibility/2006">
          <mc:Choice Requires="x14">
            <control shapeId="431156" r:id="rId56" name="Check Box 52">
              <controlPr locked="0" defaultSize="0" autoFill="0" autoLine="0" autoPict="0">
                <anchor moveWithCells="1">
                  <from>
                    <xdr:col>12</xdr:col>
                    <xdr:colOff>53340</xdr:colOff>
                    <xdr:row>16</xdr:row>
                    <xdr:rowOff>15240</xdr:rowOff>
                  </from>
                  <to>
                    <xdr:col>12</xdr:col>
                    <xdr:colOff>304800</xdr:colOff>
                    <xdr:row>17</xdr:row>
                    <xdr:rowOff>0</xdr:rowOff>
                  </to>
                </anchor>
              </controlPr>
            </control>
          </mc:Choice>
        </mc:AlternateContent>
        <mc:AlternateContent xmlns:mc="http://schemas.openxmlformats.org/markup-compatibility/2006">
          <mc:Choice Requires="x14">
            <control shapeId="431157" r:id="rId57" name="Check Box 53">
              <controlPr locked="0" defaultSize="0" autoFill="0" autoLine="0" autoPict="0">
                <anchor moveWithCells="1">
                  <from>
                    <xdr:col>12</xdr:col>
                    <xdr:colOff>53340</xdr:colOff>
                    <xdr:row>15</xdr:row>
                    <xdr:rowOff>15240</xdr:rowOff>
                  </from>
                  <to>
                    <xdr:col>12</xdr:col>
                    <xdr:colOff>304800</xdr:colOff>
                    <xdr:row>16</xdr:row>
                    <xdr:rowOff>0</xdr:rowOff>
                  </to>
                </anchor>
              </controlPr>
            </control>
          </mc:Choice>
        </mc:AlternateContent>
        <mc:AlternateContent xmlns:mc="http://schemas.openxmlformats.org/markup-compatibility/2006">
          <mc:Choice Requires="x14">
            <control shapeId="431158" r:id="rId58" name="Check Box 54">
              <controlPr locked="0" defaultSize="0" autoFill="0" autoLine="0" autoPict="0">
                <anchor moveWithCells="1">
                  <from>
                    <xdr:col>12</xdr:col>
                    <xdr:colOff>53340</xdr:colOff>
                    <xdr:row>18</xdr:row>
                    <xdr:rowOff>15240</xdr:rowOff>
                  </from>
                  <to>
                    <xdr:col>12</xdr:col>
                    <xdr:colOff>304800</xdr:colOff>
                    <xdr:row>19</xdr:row>
                    <xdr:rowOff>0</xdr:rowOff>
                  </to>
                </anchor>
              </controlPr>
            </control>
          </mc:Choice>
        </mc:AlternateContent>
        <mc:AlternateContent xmlns:mc="http://schemas.openxmlformats.org/markup-compatibility/2006">
          <mc:Choice Requires="x14">
            <control shapeId="431159" r:id="rId59" name="Check Box 55">
              <controlPr locked="0" defaultSize="0" autoFill="0" autoLine="0" autoPict="0">
                <anchor moveWithCells="1">
                  <from>
                    <xdr:col>12</xdr:col>
                    <xdr:colOff>53340</xdr:colOff>
                    <xdr:row>17</xdr:row>
                    <xdr:rowOff>15240</xdr:rowOff>
                  </from>
                  <to>
                    <xdr:col>12</xdr:col>
                    <xdr:colOff>304800</xdr:colOff>
                    <xdr:row>18</xdr:row>
                    <xdr:rowOff>0</xdr:rowOff>
                  </to>
                </anchor>
              </controlPr>
            </control>
          </mc:Choice>
        </mc:AlternateContent>
        <mc:AlternateContent xmlns:mc="http://schemas.openxmlformats.org/markup-compatibility/2006">
          <mc:Choice Requires="x14">
            <control shapeId="431160" r:id="rId60" name="Check Box 56">
              <controlPr locked="0" defaultSize="0" autoFill="0" autoLine="0" autoPict="0">
                <anchor moveWithCells="1">
                  <from>
                    <xdr:col>12</xdr:col>
                    <xdr:colOff>53340</xdr:colOff>
                    <xdr:row>20</xdr:row>
                    <xdr:rowOff>15240</xdr:rowOff>
                  </from>
                  <to>
                    <xdr:col>12</xdr:col>
                    <xdr:colOff>304800</xdr:colOff>
                    <xdr:row>21</xdr:row>
                    <xdr:rowOff>0</xdr:rowOff>
                  </to>
                </anchor>
              </controlPr>
            </control>
          </mc:Choice>
        </mc:AlternateContent>
        <mc:AlternateContent xmlns:mc="http://schemas.openxmlformats.org/markup-compatibility/2006">
          <mc:Choice Requires="x14">
            <control shapeId="431161" r:id="rId61" name="Check Box 57">
              <controlPr locked="0" defaultSize="0" autoFill="0" autoLine="0" autoPict="0">
                <anchor moveWithCells="1">
                  <from>
                    <xdr:col>12</xdr:col>
                    <xdr:colOff>53340</xdr:colOff>
                    <xdr:row>19</xdr:row>
                    <xdr:rowOff>15240</xdr:rowOff>
                  </from>
                  <to>
                    <xdr:col>12</xdr:col>
                    <xdr:colOff>304800</xdr:colOff>
                    <xdr:row>20</xdr:row>
                    <xdr:rowOff>0</xdr:rowOff>
                  </to>
                </anchor>
              </controlPr>
            </control>
          </mc:Choice>
        </mc:AlternateContent>
        <mc:AlternateContent xmlns:mc="http://schemas.openxmlformats.org/markup-compatibility/2006">
          <mc:Choice Requires="x14">
            <control shapeId="431162" r:id="rId62" name="Check Box 58">
              <controlPr defaultSize="0" autoFill="0" autoLine="0" autoPict="0">
                <anchor moveWithCells="1">
                  <from>
                    <xdr:col>12</xdr:col>
                    <xdr:colOff>53340</xdr:colOff>
                    <xdr:row>22</xdr:row>
                    <xdr:rowOff>15240</xdr:rowOff>
                  </from>
                  <to>
                    <xdr:col>12</xdr:col>
                    <xdr:colOff>304800</xdr:colOff>
                    <xdr:row>23</xdr:row>
                    <xdr:rowOff>0</xdr:rowOff>
                  </to>
                </anchor>
              </controlPr>
            </control>
          </mc:Choice>
        </mc:AlternateContent>
        <mc:AlternateContent xmlns:mc="http://schemas.openxmlformats.org/markup-compatibility/2006">
          <mc:Choice Requires="x14">
            <control shapeId="431163" r:id="rId63" name="Check Box 59">
              <controlPr locked="0" defaultSize="0" autoFill="0" autoLine="0" autoPict="0">
                <anchor moveWithCells="1">
                  <from>
                    <xdr:col>12</xdr:col>
                    <xdr:colOff>53340</xdr:colOff>
                    <xdr:row>21</xdr:row>
                    <xdr:rowOff>15240</xdr:rowOff>
                  </from>
                  <to>
                    <xdr:col>12</xdr:col>
                    <xdr:colOff>304800</xdr:colOff>
                    <xdr:row>22</xdr:row>
                    <xdr:rowOff>0</xdr:rowOff>
                  </to>
                </anchor>
              </controlPr>
            </control>
          </mc:Choice>
        </mc:AlternateContent>
        <mc:AlternateContent xmlns:mc="http://schemas.openxmlformats.org/markup-compatibility/2006">
          <mc:Choice Requires="x14">
            <control shapeId="431164" r:id="rId64" name="Check Box 60">
              <controlPr defaultSize="0" autoFill="0" autoLine="0" autoPict="0">
                <anchor moveWithCells="1">
                  <from>
                    <xdr:col>3</xdr:col>
                    <xdr:colOff>53340</xdr:colOff>
                    <xdr:row>23</xdr:row>
                    <xdr:rowOff>15240</xdr:rowOff>
                  </from>
                  <to>
                    <xdr:col>3</xdr:col>
                    <xdr:colOff>304800</xdr:colOff>
                    <xdr:row>24</xdr:row>
                    <xdr:rowOff>15240</xdr:rowOff>
                  </to>
                </anchor>
              </controlPr>
            </control>
          </mc:Choice>
        </mc:AlternateContent>
        <mc:AlternateContent xmlns:mc="http://schemas.openxmlformats.org/markup-compatibility/2006">
          <mc:Choice Requires="x14">
            <control shapeId="431165" r:id="rId65" name="Check Box 61">
              <controlPr locked="0" defaultSize="0" autoFill="0" autoLine="0" autoPict="0">
                <anchor moveWithCells="1">
                  <from>
                    <xdr:col>8</xdr:col>
                    <xdr:colOff>53340</xdr:colOff>
                    <xdr:row>23</xdr:row>
                    <xdr:rowOff>15240</xdr:rowOff>
                  </from>
                  <to>
                    <xdr:col>8</xdr:col>
                    <xdr:colOff>304800</xdr:colOff>
                    <xdr:row>24</xdr:row>
                    <xdr:rowOff>15240</xdr:rowOff>
                  </to>
                </anchor>
              </controlPr>
            </control>
          </mc:Choice>
        </mc:AlternateContent>
        <mc:AlternateContent xmlns:mc="http://schemas.openxmlformats.org/markup-compatibility/2006">
          <mc:Choice Requires="x14">
            <control shapeId="431166" r:id="rId66" name="Check Box 62">
              <controlPr locked="0" defaultSize="0" autoFill="0" autoLine="0" autoPict="0">
                <anchor moveWithCells="1">
                  <from>
                    <xdr:col>12</xdr:col>
                    <xdr:colOff>53340</xdr:colOff>
                    <xdr:row>23</xdr:row>
                    <xdr:rowOff>15240</xdr:rowOff>
                  </from>
                  <to>
                    <xdr:col>12</xdr:col>
                    <xdr:colOff>304800</xdr:colOff>
                    <xdr:row>24</xdr:row>
                    <xdr:rowOff>15240</xdr:rowOff>
                  </to>
                </anchor>
              </controlPr>
            </control>
          </mc:Choice>
        </mc:AlternateContent>
        <mc:AlternateContent xmlns:mc="http://schemas.openxmlformats.org/markup-compatibility/2006">
          <mc:Choice Requires="x14">
            <control shapeId="431167" r:id="rId67" name="Check Box 63">
              <controlPr locked="0" defaultSize="0" autoFill="0" autoLine="0" autoPict="0">
                <anchor moveWithCells="1">
                  <from>
                    <xdr:col>3</xdr:col>
                    <xdr:colOff>53340</xdr:colOff>
                    <xdr:row>24</xdr:row>
                    <xdr:rowOff>15240</xdr:rowOff>
                  </from>
                  <to>
                    <xdr:col>3</xdr:col>
                    <xdr:colOff>304800</xdr:colOff>
                    <xdr:row>24</xdr:row>
                    <xdr:rowOff>205740</xdr:rowOff>
                  </to>
                </anchor>
              </controlPr>
            </control>
          </mc:Choice>
        </mc:AlternateContent>
        <mc:AlternateContent xmlns:mc="http://schemas.openxmlformats.org/markup-compatibility/2006">
          <mc:Choice Requires="x14">
            <control shapeId="431168" r:id="rId68" name="Check Box 64">
              <controlPr locked="0" defaultSize="0" autoFill="0" autoLine="0" autoPict="0">
                <anchor moveWithCells="1">
                  <from>
                    <xdr:col>8</xdr:col>
                    <xdr:colOff>53340</xdr:colOff>
                    <xdr:row>24</xdr:row>
                    <xdr:rowOff>15240</xdr:rowOff>
                  </from>
                  <to>
                    <xdr:col>8</xdr:col>
                    <xdr:colOff>304800</xdr:colOff>
                    <xdr:row>24</xdr:row>
                    <xdr:rowOff>205740</xdr:rowOff>
                  </to>
                </anchor>
              </controlPr>
            </control>
          </mc:Choice>
        </mc:AlternateContent>
        <mc:AlternateContent xmlns:mc="http://schemas.openxmlformats.org/markup-compatibility/2006">
          <mc:Choice Requires="x14">
            <control shapeId="431169" r:id="rId69" name="Check Box 65">
              <controlPr defaultSize="0" autoFill="0" autoLine="0" autoPict="0">
                <anchor moveWithCells="1">
                  <from>
                    <xdr:col>12</xdr:col>
                    <xdr:colOff>53340</xdr:colOff>
                    <xdr:row>24</xdr:row>
                    <xdr:rowOff>15240</xdr:rowOff>
                  </from>
                  <to>
                    <xdr:col>12</xdr:col>
                    <xdr:colOff>304800</xdr:colOff>
                    <xdr:row>24</xdr:row>
                    <xdr:rowOff>205740</xdr:rowOff>
                  </to>
                </anchor>
              </controlPr>
            </control>
          </mc:Choice>
        </mc:AlternateContent>
        <mc:AlternateContent xmlns:mc="http://schemas.openxmlformats.org/markup-compatibility/2006">
          <mc:Choice Requires="x14">
            <control shapeId="431170" r:id="rId70" name="Check Box 66">
              <controlPr locked="0" defaultSize="0" autoFill="0" autoLine="0" autoPict="0">
                <anchor moveWithCells="1">
                  <from>
                    <xdr:col>17</xdr:col>
                    <xdr:colOff>53340</xdr:colOff>
                    <xdr:row>4</xdr:row>
                    <xdr:rowOff>15240</xdr:rowOff>
                  </from>
                  <to>
                    <xdr:col>17</xdr:col>
                    <xdr:colOff>304800</xdr:colOff>
                    <xdr:row>5</xdr:row>
                    <xdr:rowOff>0</xdr:rowOff>
                  </to>
                </anchor>
              </controlPr>
            </control>
          </mc:Choice>
        </mc:AlternateContent>
        <mc:AlternateContent xmlns:mc="http://schemas.openxmlformats.org/markup-compatibility/2006">
          <mc:Choice Requires="x14">
            <control shapeId="431171" r:id="rId71" name="Check Box 67">
              <controlPr defaultSize="0" autoFill="0" autoLine="0" autoPict="0">
                <anchor moveWithCells="1">
                  <from>
                    <xdr:col>17</xdr:col>
                    <xdr:colOff>53340</xdr:colOff>
                    <xdr:row>3</xdr:row>
                    <xdr:rowOff>15240</xdr:rowOff>
                  </from>
                  <to>
                    <xdr:col>17</xdr:col>
                    <xdr:colOff>304800</xdr:colOff>
                    <xdr:row>4</xdr:row>
                    <xdr:rowOff>0</xdr:rowOff>
                  </to>
                </anchor>
              </controlPr>
            </control>
          </mc:Choice>
        </mc:AlternateContent>
        <mc:AlternateContent xmlns:mc="http://schemas.openxmlformats.org/markup-compatibility/2006">
          <mc:Choice Requires="x14">
            <control shapeId="431172" r:id="rId72" name="Check Box 68">
              <controlPr locked="0" defaultSize="0" autoFill="0" autoLine="0" autoPict="0">
                <anchor moveWithCells="1">
                  <from>
                    <xdr:col>17</xdr:col>
                    <xdr:colOff>53340</xdr:colOff>
                    <xdr:row>6</xdr:row>
                    <xdr:rowOff>15240</xdr:rowOff>
                  </from>
                  <to>
                    <xdr:col>17</xdr:col>
                    <xdr:colOff>304800</xdr:colOff>
                    <xdr:row>7</xdr:row>
                    <xdr:rowOff>0</xdr:rowOff>
                  </to>
                </anchor>
              </controlPr>
            </control>
          </mc:Choice>
        </mc:AlternateContent>
        <mc:AlternateContent xmlns:mc="http://schemas.openxmlformats.org/markup-compatibility/2006">
          <mc:Choice Requires="x14">
            <control shapeId="431173" r:id="rId73" name="Check Box 69">
              <controlPr locked="0" defaultSize="0" autoFill="0" autoLine="0" autoPict="0">
                <anchor moveWithCells="1">
                  <from>
                    <xdr:col>17</xdr:col>
                    <xdr:colOff>53340</xdr:colOff>
                    <xdr:row>5</xdr:row>
                    <xdr:rowOff>15240</xdr:rowOff>
                  </from>
                  <to>
                    <xdr:col>17</xdr:col>
                    <xdr:colOff>304800</xdr:colOff>
                    <xdr:row>6</xdr:row>
                    <xdr:rowOff>0</xdr:rowOff>
                  </to>
                </anchor>
              </controlPr>
            </control>
          </mc:Choice>
        </mc:AlternateContent>
        <mc:AlternateContent xmlns:mc="http://schemas.openxmlformats.org/markup-compatibility/2006">
          <mc:Choice Requires="x14">
            <control shapeId="431174" r:id="rId74" name="Check Box 70">
              <controlPr locked="0" defaultSize="0" autoFill="0" autoLine="0" autoPict="0">
                <anchor moveWithCells="1">
                  <from>
                    <xdr:col>17</xdr:col>
                    <xdr:colOff>53340</xdr:colOff>
                    <xdr:row>8</xdr:row>
                    <xdr:rowOff>15240</xdr:rowOff>
                  </from>
                  <to>
                    <xdr:col>17</xdr:col>
                    <xdr:colOff>304800</xdr:colOff>
                    <xdr:row>9</xdr:row>
                    <xdr:rowOff>0</xdr:rowOff>
                  </to>
                </anchor>
              </controlPr>
            </control>
          </mc:Choice>
        </mc:AlternateContent>
        <mc:AlternateContent xmlns:mc="http://schemas.openxmlformats.org/markup-compatibility/2006">
          <mc:Choice Requires="x14">
            <control shapeId="431175" r:id="rId75" name="Check Box 71">
              <controlPr locked="0" defaultSize="0" autoFill="0" autoLine="0" autoPict="0">
                <anchor moveWithCells="1">
                  <from>
                    <xdr:col>17</xdr:col>
                    <xdr:colOff>53340</xdr:colOff>
                    <xdr:row>7</xdr:row>
                    <xdr:rowOff>15240</xdr:rowOff>
                  </from>
                  <to>
                    <xdr:col>17</xdr:col>
                    <xdr:colOff>304800</xdr:colOff>
                    <xdr:row>8</xdr:row>
                    <xdr:rowOff>0</xdr:rowOff>
                  </to>
                </anchor>
              </controlPr>
            </control>
          </mc:Choice>
        </mc:AlternateContent>
        <mc:AlternateContent xmlns:mc="http://schemas.openxmlformats.org/markup-compatibility/2006">
          <mc:Choice Requires="x14">
            <control shapeId="431176" r:id="rId76" name="Check Box 72">
              <controlPr locked="0" defaultSize="0" autoFill="0" autoLine="0" autoPict="0">
                <anchor moveWithCells="1">
                  <from>
                    <xdr:col>17</xdr:col>
                    <xdr:colOff>53340</xdr:colOff>
                    <xdr:row>10</xdr:row>
                    <xdr:rowOff>15240</xdr:rowOff>
                  </from>
                  <to>
                    <xdr:col>17</xdr:col>
                    <xdr:colOff>304800</xdr:colOff>
                    <xdr:row>11</xdr:row>
                    <xdr:rowOff>0</xdr:rowOff>
                  </to>
                </anchor>
              </controlPr>
            </control>
          </mc:Choice>
        </mc:AlternateContent>
        <mc:AlternateContent xmlns:mc="http://schemas.openxmlformats.org/markup-compatibility/2006">
          <mc:Choice Requires="x14">
            <control shapeId="431177" r:id="rId77" name="Check Box 73">
              <controlPr locked="0" defaultSize="0" autoFill="0" autoLine="0" autoPict="0">
                <anchor moveWithCells="1">
                  <from>
                    <xdr:col>17</xdr:col>
                    <xdr:colOff>53340</xdr:colOff>
                    <xdr:row>9</xdr:row>
                    <xdr:rowOff>15240</xdr:rowOff>
                  </from>
                  <to>
                    <xdr:col>17</xdr:col>
                    <xdr:colOff>304800</xdr:colOff>
                    <xdr:row>10</xdr:row>
                    <xdr:rowOff>0</xdr:rowOff>
                  </to>
                </anchor>
              </controlPr>
            </control>
          </mc:Choice>
        </mc:AlternateContent>
        <mc:AlternateContent xmlns:mc="http://schemas.openxmlformats.org/markup-compatibility/2006">
          <mc:Choice Requires="x14">
            <control shapeId="431178" r:id="rId78" name="Check Box 74">
              <controlPr locked="0" defaultSize="0" autoFill="0" autoLine="0" autoPict="0">
                <anchor moveWithCells="1">
                  <from>
                    <xdr:col>17</xdr:col>
                    <xdr:colOff>53340</xdr:colOff>
                    <xdr:row>12</xdr:row>
                    <xdr:rowOff>15240</xdr:rowOff>
                  </from>
                  <to>
                    <xdr:col>17</xdr:col>
                    <xdr:colOff>304800</xdr:colOff>
                    <xdr:row>13</xdr:row>
                    <xdr:rowOff>0</xdr:rowOff>
                  </to>
                </anchor>
              </controlPr>
            </control>
          </mc:Choice>
        </mc:AlternateContent>
        <mc:AlternateContent xmlns:mc="http://schemas.openxmlformats.org/markup-compatibility/2006">
          <mc:Choice Requires="x14">
            <control shapeId="431179" r:id="rId79" name="Check Box 75">
              <controlPr locked="0" defaultSize="0" autoFill="0" autoLine="0" autoPict="0">
                <anchor moveWithCells="1">
                  <from>
                    <xdr:col>17</xdr:col>
                    <xdr:colOff>53340</xdr:colOff>
                    <xdr:row>11</xdr:row>
                    <xdr:rowOff>15240</xdr:rowOff>
                  </from>
                  <to>
                    <xdr:col>17</xdr:col>
                    <xdr:colOff>304800</xdr:colOff>
                    <xdr:row>12</xdr:row>
                    <xdr:rowOff>0</xdr:rowOff>
                  </to>
                </anchor>
              </controlPr>
            </control>
          </mc:Choice>
        </mc:AlternateContent>
        <mc:AlternateContent xmlns:mc="http://schemas.openxmlformats.org/markup-compatibility/2006">
          <mc:Choice Requires="x14">
            <control shapeId="431180" r:id="rId80" name="Check Box 76">
              <controlPr locked="0" defaultSize="0" autoFill="0" autoLine="0" autoPict="0">
                <anchor moveWithCells="1">
                  <from>
                    <xdr:col>17</xdr:col>
                    <xdr:colOff>53340</xdr:colOff>
                    <xdr:row>13</xdr:row>
                    <xdr:rowOff>15240</xdr:rowOff>
                  </from>
                  <to>
                    <xdr:col>17</xdr:col>
                    <xdr:colOff>304800</xdr:colOff>
                    <xdr:row>14</xdr:row>
                    <xdr:rowOff>0</xdr:rowOff>
                  </to>
                </anchor>
              </controlPr>
            </control>
          </mc:Choice>
        </mc:AlternateContent>
        <mc:AlternateContent xmlns:mc="http://schemas.openxmlformats.org/markup-compatibility/2006">
          <mc:Choice Requires="x14">
            <control shapeId="431181" r:id="rId81" name="Check Box 77">
              <controlPr locked="0" defaultSize="0" autoFill="0" autoLine="0" autoPict="0">
                <anchor moveWithCells="1">
                  <from>
                    <xdr:col>17</xdr:col>
                    <xdr:colOff>53340</xdr:colOff>
                    <xdr:row>14</xdr:row>
                    <xdr:rowOff>15240</xdr:rowOff>
                  </from>
                  <to>
                    <xdr:col>17</xdr:col>
                    <xdr:colOff>304800</xdr:colOff>
                    <xdr:row>15</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E12002B6-BC9E-4428-93E0-6578C0936D2E}">
          <x14:formula1>
            <xm:f>Code!$A$2:$A$32</xm:f>
          </x14:formula1>
          <xm:sqref>D49:F49</xm:sqref>
        </x14:dataValidation>
        <x14:dataValidation type="list" allowBlank="1" showInputMessage="1" showErrorMessage="1" xr:uid="{CA014BEE-6809-4A3D-AB23-A7FC6D413BD3}">
          <x14:formula1>
            <xm:f>Code!$E$14:$E$17</xm:f>
          </x14:formula1>
          <xm:sqref>D47:F47</xm:sqref>
        </x14:dataValidation>
        <x14:dataValidation type="list" allowBlank="1" showInputMessage="1" showErrorMessage="1" xr:uid="{D77028C2-26FA-4DEB-B21D-8775C73BF46D}">
          <x14:formula1>
            <xm:f>Referentiels!$G$3:$G$457</xm:f>
          </x14:formula1>
          <xm:sqref>H49</xm:sqref>
        </x14:dataValidation>
        <x14:dataValidation type="list" allowBlank="1" showInputMessage="1" showErrorMessage="1" xr:uid="{2DBAC015-8396-480F-A0DB-190734F354E6}">
          <x14:formula1>
            <xm:f>parametrage!$C$2</xm:f>
          </x14:formula1>
          <xm:sqref>D27:H27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1B24-5AE3-4307-B43A-5B2AE878254B}">
  <sheetPr codeName="Feuil87">
    <tabColor theme="3" tint="-0.499984740745262"/>
    <outlinePr showOutlineSymbols="0"/>
    <pageSetUpPr autoPageBreaks="0"/>
  </sheetPr>
  <dimension ref="A1:Z914"/>
  <sheetViews>
    <sheetView showGridLines="0" showRowColHeaders="0" showZeros="0" showOutlineSymbols="0" zoomScaleNormal="100" zoomScalePageLayoutView="75" workbookViewId="0">
      <pane ySplit="8" topLeftCell="A18" activePane="bottomLeft" state="frozen"/>
      <selection activeCell="N9" sqref="N9:U155"/>
      <selection pane="bottomLeft" activeCell="N9" sqref="N9:U155"/>
    </sheetView>
  </sheetViews>
  <sheetFormatPr baseColWidth="10" defaultColWidth="11.41796875" defaultRowHeight="18" customHeight="1"/>
  <cols>
    <col min="1" max="1" width="8.89453125" style="287" bestFit="1" customWidth="1"/>
    <col min="2" max="2" width="45.89453125" style="287" bestFit="1" customWidth="1"/>
    <col min="3" max="8" width="20.1015625" style="288" bestFit="1" customWidth="1"/>
    <col min="9" max="12" width="6.5234375" style="287" hidden="1" customWidth="1"/>
    <col min="13" max="13" width="3.5234375" style="1246" customWidth="1"/>
    <col min="14" max="14" width="8.89453125" style="287" bestFit="1" customWidth="1"/>
    <col min="15" max="15" width="45.89453125" style="287" bestFit="1" customWidth="1"/>
    <col min="16" max="21" width="20.1015625" style="288" bestFit="1" customWidth="1"/>
    <col min="22" max="25" width="6.5234375" style="287" hidden="1" customWidth="1"/>
    <col min="26" max="26" width="3.5234375" style="1246" customWidth="1"/>
    <col min="27" max="16384" width="11.41796875" style="1247"/>
  </cols>
  <sheetData>
    <row r="1" spans="1:26" s="261" customFormat="1" ht="32.700000000000003">
      <c r="A1" s="1108" t="str">
        <f>"BALANCE A 6 COLONNES DE L'EXERCICE "&amp;TEXT(Sommaire!Q35,"yyyy")</f>
        <v>BALANCE A 6 COLONNES DE L'EXERCICE 1900</v>
      </c>
      <c r="B1" s="259"/>
      <c r="C1" s="260"/>
      <c r="D1" s="260"/>
      <c r="E1" s="260"/>
      <c r="F1" s="260"/>
      <c r="G1" s="260"/>
      <c r="H1" s="260"/>
      <c r="I1" s="259"/>
      <c r="J1" s="259"/>
      <c r="K1" s="259"/>
      <c r="L1" s="259"/>
      <c r="M1" s="1132">
        <f>IF(AND(A3="",A4="",N3="",N4=""),0,1)</f>
        <v>0</v>
      </c>
      <c r="N1" s="1120" t="str">
        <f>"BALANCE A 6 COLONNES DE L'EXERCICE "&amp;TEXT(Sommaire!Q37,"yyyy")</f>
        <v>BALANCE A 6 COLONNES DE L'EXERCICE 1900</v>
      </c>
      <c r="O1" s="263"/>
      <c r="P1" s="264"/>
      <c r="Q1" s="264"/>
      <c r="R1" s="264"/>
      <c r="S1" s="264"/>
      <c r="T1" s="264"/>
      <c r="U1" s="264"/>
      <c r="V1" s="263"/>
      <c r="W1" s="263"/>
      <c r="X1" s="263"/>
      <c r="Y1" s="263"/>
    </row>
    <row r="2" spans="1:26" s="261" customFormat="1" ht="15.3">
      <c r="A2" s="1109" t="str">
        <f>"Veuillez copier et coller en valeur votre balance à 6 colonnes de l'exercice "&amp;TEXT(Sommaire!Q35,"yyyy")</f>
        <v>Veuillez copier et coller en valeur votre balance à 6 colonnes de l'exercice 1900</v>
      </c>
      <c r="B2" s="265"/>
      <c r="C2" s="266"/>
      <c r="D2" s="266"/>
      <c r="E2" s="266"/>
      <c r="F2" s="266"/>
      <c r="G2" s="266"/>
      <c r="H2" s="266"/>
      <c r="I2" s="265"/>
      <c r="J2" s="265"/>
      <c r="K2" s="265"/>
      <c r="L2" s="265"/>
      <c r="M2" s="267"/>
      <c r="N2" s="1109" t="str">
        <f>"Veuillez copier et coller en valeur votre balance à 6 colonnes de l'exercice "&amp;TEXT(Sommaire!Q37,"yyyy")</f>
        <v>Veuillez copier et coller en valeur votre balance à 6 colonnes de l'exercice 1900</v>
      </c>
      <c r="O2" s="265"/>
      <c r="P2" s="266"/>
      <c r="Q2" s="266"/>
      <c r="R2" s="266"/>
      <c r="S2" s="266"/>
      <c r="T2" s="266"/>
      <c r="U2" s="266"/>
      <c r="V2" s="265"/>
      <c r="W2" s="265"/>
      <c r="X2" s="265"/>
      <c r="Y2" s="265"/>
      <c r="Z2" s="267"/>
    </row>
    <row r="3" spans="1:26" s="261" customFormat="1" ht="25.05" customHeight="1">
      <c r="A3" s="1117" t="str">
        <f>IF(COUNTIF(BalanceN[Vérif],"A")=0,"","Veuillez vérifier le numéro de comptes des Lignes surlignés en rouges en tenant compte du plan comptable OHADA Révisé")</f>
        <v/>
      </c>
      <c r="B3" s="268"/>
      <c r="C3" s="269"/>
      <c r="D3" s="269"/>
      <c r="E3" s="269"/>
      <c r="F3" s="269"/>
      <c r="G3" s="269"/>
      <c r="H3" s="269"/>
      <c r="I3" s="270"/>
      <c r="J3" s="270"/>
      <c r="K3" s="270"/>
      <c r="L3" s="270"/>
      <c r="M3" s="267"/>
      <c r="N3" s="1118" t="str">
        <f>IF(COUNTIF(BalanceN1[Vérif],"A")=0,"","Veuillez vérifier le numéro de comptes des Lignes surlignés en rouges en tenant compte du plan comptable OHADA Révisé")</f>
        <v/>
      </c>
      <c r="O3" s="268"/>
      <c r="P3" s="269"/>
      <c r="Q3" s="269"/>
      <c r="R3" s="269"/>
      <c r="S3" s="269"/>
      <c r="T3" s="269"/>
      <c r="U3" s="269"/>
      <c r="V3" s="271"/>
      <c r="W3" s="271"/>
      <c r="X3" s="271"/>
      <c r="Y3" s="271"/>
      <c r="Z3" s="267"/>
    </row>
    <row r="4" spans="1:26" s="261" customFormat="1" ht="25.05" customHeight="1">
      <c r="A4" s="1117" t="str">
        <f>IF(AND(COUNTIF(BalanceN[SF],"A")=0,COUNTIF(BalanceN[SI],"A")=0),"","Veuillez corriger l'imputation des comptes des Lignes surlignés en orange (Voir Balance d'entrée et/ou balance sortie)")</f>
        <v/>
      </c>
      <c r="B4" s="268"/>
      <c r="C4" s="269"/>
      <c r="D4" s="269"/>
      <c r="E4" s="269"/>
      <c r="F4" s="269"/>
      <c r="G4" s="269"/>
      <c r="H4" s="269"/>
      <c r="I4" s="270"/>
      <c r="J4" s="270"/>
      <c r="K4" s="270"/>
      <c r="L4" s="270"/>
      <c r="M4" s="267"/>
      <c r="N4" s="1118" t="str">
        <f>IF(AND(COUNTIF(BalanceN1[SF],"A")=0,COUNTIF(BalanceN1[SI],"A")=0),"","Veuillez corriger l'imputation des comptes des Lignes surlignés en orange (Voir Balance d'entrée et/ou balance sortie)")</f>
        <v/>
      </c>
      <c r="O4" s="268"/>
      <c r="P4" s="269"/>
      <c r="Q4" s="269"/>
      <c r="R4" s="269"/>
      <c r="S4" s="269"/>
      <c r="T4" s="269"/>
      <c r="U4" s="269"/>
      <c r="V4" s="271"/>
      <c r="W4" s="271"/>
      <c r="X4" s="271"/>
      <c r="Y4" s="271"/>
      <c r="Z4" s="267"/>
    </row>
    <row r="5" spans="1:26" s="261" customFormat="1" ht="25.05" customHeight="1">
      <c r="A5" s="1119" t="str">
        <f>IF(AND(M5=M6,Z5=Z6),"","Balance d'entrée "&amp;TEXT(Sommaire!Q35,"yyyy")&amp;" différent de Balance de sortie "&amp;TEXT(Sommaire!Q37,"yyyy"))</f>
        <v/>
      </c>
      <c r="B5" s="273"/>
      <c r="C5" s="274"/>
      <c r="D5" s="274"/>
      <c r="E5" s="274"/>
      <c r="F5" s="274"/>
      <c r="G5" s="275"/>
      <c r="H5" s="275"/>
      <c r="I5" s="276"/>
      <c r="J5" s="276"/>
      <c r="K5" s="276"/>
      <c r="L5" s="276"/>
      <c r="M5" s="277">
        <f xml:space="preserve">
SUMIFS(BalanceN[BE_Debit],BalanceN[Table],"&gt;=10000",BalanceN[Table],"&lt;60000")</f>
        <v>825656309</v>
      </c>
      <c r="N5" s="1119" t="s">
        <v>9941</v>
      </c>
      <c r="O5" s="273"/>
      <c r="P5" s="274"/>
      <c r="Q5" s="274"/>
      <c r="R5" s="274"/>
      <c r="S5" s="274"/>
      <c r="T5" s="274"/>
      <c r="U5" s="274"/>
      <c r="V5" s="278"/>
      <c r="W5" s="278"/>
      <c r="X5" s="278"/>
      <c r="Y5" s="278"/>
      <c r="Z5" s="277">
        <f xml:space="preserve">
SUMIFS(BalanceN[BE_Credit],BalanceN[Table],"&gt;=10000",BalanceN[Table],"&lt;60000")</f>
        <v>825656309</v>
      </c>
    </row>
    <row r="6" spans="1:26" s="261" customFormat="1" ht="25.05" customHeight="1" thickBot="1">
      <c r="A6" s="1119" t="str">
        <f>IF(OR('Table TFT'!B36&lt;&gt;"",'Table TFT'!B37&lt;&gt;"",'Table TFT'!B38&lt;&gt;"",'Table TFT'!B39&lt;&gt;"",'Table TFT'!B40&lt;&gt;"",'Table TFT'!B41&lt;&gt;"",'Table TFT'!B42&lt;&gt;"",'Table TFT'!B43&lt;&gt;""),"Attention, veuillez remplir la Table TFT de l'exercice "&amp;TEXT(Sommaire!Q35,"yyyy"),"")</f>
        <v/>
      </c>
      <c r="B6" s="279"/>
      <c r="C6" s="280"/>
      <c r="D6" s="280"/>
      <c r="E6" s="280"/>
      <c r="F6" s="280"/>
      <c r="G6" s="280"/>
      <c r="H6" s="280"/>
      <c r="I6" s="281"/>
      <c r="J6" s="281"/>
      <c r="K6" s="281"/>
      <c r="L6" s="281"/>
      <c r="M6" s="277">
        <f>IF(
SUMIFS(BalanceN1[BS_Credit],BalanceN1[Table],"&gt;=60000",BalanceN1[Table],"&lt;90000")
&gt;=
SUMIFS(BalanceN1[BS_Debit],BalanceN1[Table],"&gt;=60000",BalanceN1[Table],"&lt;90000"),
SUMIFS(BalanceN1[BS_Debit],BalanceN1[Table],"&gt;=10000",BalanceN1[Table],"&lt;60000"),
SUMIFS(BalanceN1[BS_Debit],BalanceN1[Table],"&gt;=10000",BalanceN1[Table],"&lt;60000")
+
SUMIFS(BalanceN1[BS_Debit],BalanceN1[Table],"&gt;=60000",BalanceN1[Table],"&lt;90000")
-
SUMIFS(BalanceN1[BS_Credit],BalanceN1[Table],"&gt;=60000",BalanceN1[Table],"&lt;90000")
)</f>
        <v>825656309</v>
      </c>
      <c r="N6" s="1119" t="str">
        <f>IF(OR('Table TFT'!K36&lt;&gt;"",'Table TFT'!K37&lt;&gt;"",'Table TFT'!K38&lt;&gt;"",'Table TFT'!K39&lt;&gt;"",'Table TFT'!K40&lt;&gt;"",'Table TFT'!K41&lt;&gt;"",'Table TFT'!K42&lt;&gt;"",'Table TFT'!K43&lt;&gt;""),"Attention, veuillez remplir Attention, veuillez remplir la Table TFT de l'exercice "&amp;TEXT(Sommaire!AD35,"yyyy"),"")</f>
        <v/>
      </c>
      <c r="O6" s="279"/>
      <c r="P6" s="280"/>
      <c r="Q6" s="280"/>
      <c r="R6" s="280"/>
      <c r="S6" s="280"/>
      <c r="T6" s="280"/>
      <c r="U6" s="280"/>
      <c r="V6" s="281"/>
      <c r="W6" s="281"/>
      <c r="X6" s="281"/>
      <c r="Y6" s="281"/>
      <c r="Z6" s="277">
        <f>IF(
SUMIFS(BalanceN1[BS_Credit],BalanceN1[Table],"&gt;=60000",BalanceN1[Table],"&lt;90000")
&gt;=
SUMIFS(BalanceN1[BS_Debit],BalanceN1[Table],"&gt;=60000",BalanceN1[Table],"&lt;90000"),
SUMIFS(BalanceN1[BS_Credit],BalanceN1[Table],"&gt;=10000",BalanceN1[Table],"&lt;60000")
+
SUMIFS(BalanceN1[BS_Credit],BalanceN1[Table],"&gt;=60000",BalanceN1[Table],"&lt;90000")
-
SUMIFS(BalanceN1[BS_Debit],BalanceN1[Table],"&gt;=60000",BalanceN1[Table],"&lt;90000"),
SUMIFS(BalanceN1[BS_Credit],BalanceN1[Table],"&gt;=10000",BalanceN1[Table],"&lt;60000"))</f>
        <v>825656309</v>
      </c>
    </row>
    <row r="7" spans="1:26" s="261" customFormat="1" ht="25.05" customHeight="1" thickTop="1">
      <c r="A7" s="1119"/>
      <c r="B7" s="1133" t="str">
        <f>IF(AND(C7=D7,E7=F7,G7=H7),"","Attention la balance n'est pas équilibré")</f>
        <v/>
      </c>
      <c r="C7" s="1134">
        <f>SUM(BalanceN[BE_Debit])</f>
        <v>825656309</v>
      </c>
      <c r="D7" s="1134">
        <f>SUM(BalanceN[BE_Credit])</f>
        <v>825656309</v>
      </c>
      <c r="E7" s="1134">
        <f>SUM(BalanceN[Mvt_Debit])</f>
        <v>9736437162</v>
      </c>
      <c r="F7" s="1134">
        <f>SUM(BalanceN[Mvt_Credit])</f>
        <v>9736437162</v>
      </c>
      <c r="G7" s="1134">
        <f>SUM(BalanceN[BS_Debit])</f>
        <v>3382628833</v>
      </c>
      <c r="H7" s="1135">
        <f>SUM(BalanceN[BS_Credit])</f>
        <v>3382628833</v>
      </c>
      <c r="I7" s="281"/>
      <c r="J7" s="281"/>
      <c r="K7" s="281"/>
      <c r="L7" s="281"/>
      <c r="M7" s="277"/>
      <c r="N7" s="1119"/>
      <c r="O7" s="1133" t="str">
        <f>IF(AND(P7=Q7,R7=S7,T7=U7),"","Attention la balance n'est pas équilibré")</f>
        <v/>
      </c>
      <c r="P7" s="1136">
        <f>SUM(BalanceN1[BE_Debit])</f>
        <v>743900145</v>
      </c>
      <c r="Q7" s="1136">
        <f>SUM(BalanceN1[BE_Credit])</f>
        <v>743900145</v>
      </c>
      <c r="R7" s="1136">
        <f>SUM(BalanceN1[Mvt_Debit])</f>
        <v>7011264571</v>
      </c>
      <c r="S7" s="1136">
        <f>SUM(BalanceN1[Mvt_Credit])</f>
        <v>7011264571</v>
      </c>
      <c r="T7" s="1136">
        <f>SUM(BalanceN1[BS_Debit])</f>
        <v>2613872627</v>
      </c>
      <c r="U7" s="1137">
        <f>SUM(BalanceN1[BS_Credit])</f>
        <v>2613872627</v>
      </c>
      <c r="V7" s="281"/>
      <c r="W7" s="281"/>
      <c r="X7" s="281"/>
      <c r="Y7" s="281"/>
      <c r="Z7" s="277"/>
    </row>
    <row r="8" spans="1:26" s="1113" customFormat="1" ht="25.05" customHeight="1">
      <c r="A8" s="1110" t="s">
        <v>9988</v>
      </c>
      <c r="B8" s="1110" t="s">
        <v>9985</v>
      </c>
      <c r="C8" s="1111" t="s">
        <v>11551</v>
      </c>
      <c r="D8" s="1111" t="s">
        <v>11552</v>
      </c>
      <c r="E8" s="1111" t="s">
        <v>11553</v>
      </c>
      <c r="F8" s="1111" t="s">
        <v>11554</v>
      </c>
      <c r="G8" s="1111" t="s">
        <v>11555</v>
      </c>
      <c r="H8" s="1111" t="s">
        <v>11556</v>
      </c>
      <c r="I8" s="1112" t="s">
        <v>11557</v>
      </c>
      <c r="J8" s="1256" t="s">
        <v>11558</v>
      </c>
      <c r="K8" s="1256" t="s">
        <v>11592</v>
      </c>
      <c r="L8" s="1256" t="s">
        <v>11593</v>
      </c>
      <c r="N8" s="1110" t="s">
        <v>9988</v>
      </c>
      <c r="O8" s="1110" t="s">
        <v>9985</v>
      </c>
      <c r="P8" s="1111" t="s">
        <v>11551</v>
      </c>
      <c r="Q8" s="1111" t="s">
        <v>11552</v>
      </c>
      <c r="R8" s="1111" t="s">
        <v>11553</v>
      </c>
      <c r="S8" s="1111" t="s">
        <v>11554</v>
      </c>
      <c r="T8" s="1111" t="s">
        <v>11555</v>
      </c>
      <c r="U8" s="1111" t="s">
        <v>11556</v>
      </c>
      <c r="V8" s="1112" t="s">
        <v>11557</v>
      </c>
      <c r="W8" s="1257" t="s">
        <v>11558</v>
      </c>
      <c r="X8" s="1258" t="s">
        <v>11592</v>
      </c>
      <c r="Y8" s="1258" t="s">
        <v>11593</v>
      </c>
    </row>
    <row r="9" spans="1:26" ht="18" customHeight="1">
      <c r="A9" s="1124">
        <v>101100</v>
      </c>
      <c r="B9" s="1124" t="s">
        <v>9990</v>
      </c>
      <c r="C9" s="1125"/>
      <c r="D9" s="1125"/>
      <c r="E9" s="1125">
        <v>200000000</v>
      </c>
      <c r="F9" s="1125">
        <v>300000000</v>
      </c>
      <c r="G9" s="1125"/>
      <c r="H9" s="1125">
        <v>100000000</v>
      </c>
      <c r="I9" s="1122">
        <f>VALUE(LEFT(BalanceN[[#This Row],[Compte]]&amp;"00000000",5))</f>
        <v>10110</v>
      </c>
      <c r="J9" s="1123" cm="1">
        <f t="array" ref="J9">IF(BalanceN[[#This Row],[Compte]]="",0,_xlfn.IFNA(INDEX(Plan_Comptable[[Table de Compte]:[Sens]],MATCH(VALUE(LEFT(BalanceN[[#This Row],[Table]],4)),VALUE(Plan_Comptable[Table de Compte]),0),2),"A"))</f>
        <v>0</v>
      </c>
      <c r="K9" s="1121" t="str">
        <f>IF(AND(BalanceN[[#This Row],[Vérif]]="D",BalanceN[[#This Row],[BS_Credit]]&gt;0),"A",IF(AND(BalanceN[[#This Row],[Vérif]]="C",BalanceN[[#This Row],[BS_Debit]]&gt;0),"A",""))</f>
        <v/>
      </c>
      <c r="L9" s="1121" t="str">
        <f>IF(AND(BalanceN[[#This Row],[Vérif]]="D",BalanceN[[#This Row],[BE_Credit]]&gt;0),"A",IF(AND(BalanceN[[#This Row],[Vérif]]="C",BalanceN[[#This Row],[BE_Debit]]&gt;0),"A",""))</f>
        <v/>
      </c>
      <c r="N9" s="1126">
        <v>101300</v>
      </c>
      <c r="O9" s="1124" t="s">
        <v>11882</v>
      </c>
      <c r="P9" s="1127"/>
      <c r="Q9" s="1127">
        <v>100000000</v>
      </c>
      <c r="R9" s="1127"/>
      <c r="S9" s="1127"/>
      <c r="T9" s="1127"/>
      <c r="U9" s="1127">
        <v>100000000</v>
      </c>
      <c r="V9" s="1260">
        <f>VALUE(LEFT(BalanceN1[[#This Row],[Compte]]&amp;"00000000",5))</f>
        <v>10130</v>
      </c>
      <c r="W9" s="1261" cm="1">
        <f t="array" ref="W9">IF(BalanceN1[[#This Row],[Compte]]="",0,_xlfn.IFNA(INDEX(Plan_Comptable[[Table de Compte]:[Sens]],MATCH(VALUE(LEFT(BalanceN1[[#This Row],[Table]],4)),VALUE(Plan_Comptable[Table de Compte]),0),2),"A"))</f>
        <v>0</v>
      </c>
      <c r="X9" s="1262" t="str">
        <f>IF(AND(BalanceN1[[#This Row],[Vérif]]="D",BalanceN1[[#This Row],[BS_Credit]]&gt;0),"A",IF(AND(BalanceN1[[#This Row],[Vérif]]="C",BalanceN1[[#This Row],[BS_Debit]]&gt;0),"A",""))</f>
        <v/>
      </c>
      <c r="Y9" s="1262" t="str">
        <f>IF(AND(BalanceN1[[#This Row],[Vérif]]="D",BalanceN1[[#This Row],[BE_Credit]]&gt;0),"A",IF(AND(BalanceN1[[#This Row],[Vérif]]="C",BalanceN1[[#This Row],[BE_Debit]]&gt;0),"A",""))</f>
        <v/>
      </c>
    </row>
    <row r="10" spans="1:26" ht="18" customHeight="1">
      <c r="A10" s="1124">
        <v>101200</v>
      </c>
      <c r="B10" s="1124" t="s">
        <v>9992</v>
      </c>
      <c r="C10" s="1125"/>
      <c r="D10" s="1125"/>
      <c r="E10" s="1125">
        <v>200000000</v>
      </c>
      <c r="F10" s="1125">
        <v>200000000</v>
      </c>
      <c r="G10" s="1125"/>
      <c r="H10" s="1125"/>
      <c r="I10" s="1122">
        <f>VALUE(LEFT(BalanceN[[#This Row],[Compte]]&amp;"00000000",5))</f>
        <v>10120</v>
      </c>
      <c r="J10" s="1123" cm="1">
        <f t="array" ref="J10">IF(BalanceN[[#This Row],[Compte]]="",0,_xlfn.IFNA(INDEX(Plan_Comptable[[Table de Compte]:[Sens]],MATCH(VALUE(LEFT(BalanceN[[#This Row],[Table]],4)),VALUE(Plan_Comptable[Table de Compte]),0),2),"A"))</f>
        <v>0</v>
      </c>
      <c r="K10" s="1121" t="str">
        <f>IF(AND(BalanceN[[#This Row],[Vérif]]="D",BalanceN[[#This Row],[BS_Credit]]&gt;0),"A",IF(AND(BalanceN[[#This Row],[Vérif]]="C",BalanceN[[#This Row],[BS_Debit]]&gt;0),"A",""))</f>
        <v/>
      </c>
      <c r="L10" s="1121" t="str">
        <f>IF(AND(BalanceN[[#This Row],[Vérif]]="D",BalanceN[[#This Row],[BE_Credit]]&gt;0),"A",IF(AND(BalanceN[[#This Row],[Vérif]]="C",BalanceN[[#This Row],[BE_Debit]]&gt;0),"A",""))</f>
        <v/>
      </c>
      <c r="N10" s="1126">
        <v>111000</v>
      </c>
      <c r="O10" s="1124" t="s">
        <v>11766</v>
      </c>
      <c r="P10" s="1127"/>
      <c r="Q10" s="1127">
        <v>20000000</v>
      </c>
      <c r="R10" s="1127"/>
      <c r="S10" s="1127"/>
      <c r="T10" s="1127"/>
      <c r="U10" s="1127">
        <v>20000000</v>
      </c>
      <c r="V10" s="1260">
        <f>VALUE(LEFT(BalanceN1[[#This Row],[Compte]]&amp;"00000000",5))</f>
        <v>11100</v>
      </c>
      <c r="W10" s="1261" cm="1">
        <f t="array" ref="W10">IF(BalanceN1[[#This Row],[Compte]]="",0,_xlfn.IFNA(INDEX(Plan_Comptable[[Table de Compte]:[Sens]],MATCH(VALUE(LEFT(BalanceN1[[#This Row],[Table]],4)),VALUE(Plan_Comptable[Table de Compte]),0),2),"A"))</f>
        <v>0</v>
      </c>
      <c r="X10" s="1262" t="str">
        <f>IF(AND(BalanceN1[[#This Row],[Vérif]]="D",BalanceN1[[#This Row],[BS_Credit]]&gt;0),"A",IF(AND(BalanceN1[[#This Row],[Vérif]]="C",BalanceN1[[#This Row],[BS_Debit]]&gt;0),"A",""))</f>
        <v/>
      </c>
      <c r="Y10" s="1262" t="str">
        <f>IF(AND(BalanceN1[[#This Row],[Vérif]]="D",BalanceN1[[#This Row],[BE_Credit]]&gt;0),"A",IF(AND(BalanceN1[[#This Row],[Vérif]]="C",BalanceN1[[#This Row],[BE_Debit]]&gt;0),"A",""))</f>
        <v/>
      </c>
    </row>
    <row r="11" spans="1:26" ht="18" customHeight="1">
      <c r="A11" s="1124">
        <v>101300</v>
      </c>
      <c r="B11" s="1124" t="s">
        <v>11764</v>
      </c>
      <c r="C11" s="1125"/>
      <c r="D11" s="1125">
        <v>100000000</v>
      </c>
      <c r="E11" s="1125"/>
      <c r="F11" s="1125">
        <v>200000000</v>
      </c>
      <c r="G11" s="1125"/>
      <c r="H11" s="1125">
        <v>300000000</v>
      </c>
      <c r="I11" s="1122">
        <f>VALUE(LEFT(BalanceN[[#This Row],[Compte]]&amp;"00000000",5))</f>
        <v>10130</v>
      </c>
      <c r="J11" s="1123" cm="1">
        <f t="array" ref="J11">IF(BalanceN[[#This Row],[Compte]]="",0,_xlfn.IFNA(INDEX(Plan_Comptable[[Table de Compte]:[Sens]],MATCH(VALUE(LEFT(BalanceN[[#This Row],[Table]],4)),VALUE(Plan_Comptable[Table de Compte]),0),2),"A"))</f>
        <v>0</v>
      </c>
      <c r="K11" s="1121" t="str">
        <f>IF(AND(BalanceN[[#This Row],[Vérif]]="D",BalanceN[[#This Row],[BS_Credit]]&gt;0),"A",IF(AND(BalanceN[[#This Row],[Vérif]]="C",BalanceN[[#This Row],[BS_Debit]]&gt;0),"A",""))</f>
        <v/>
      </c>
      <c r="L11" s="1121" t="str">
        <f>IF(AND(BalanceN[[#This Row],[Vérif]]="D",BalanceN[[#This Row],[BE_Credit]]&gt;0),"A",IF(AND(BalanceN[[#This Row],[Vérif]]="C",BalanceN[[#This Row],[BE_Debit]]&gt;0),"A",""))</f>
        <v/>
      </c>
      <c r="N11" s="1126">
        <v>121</v>
      </c>
      <c r="O11" s="1124" t="s">
        <v>1917</v>
      </c>
      <c r="P11" s="1127"/>
      <c r="Q11" s="1127">
        <v>20818799</v>
      </c>
      <c r="R11" s="1127"/>
      <c r="S11" s="1127">
        <v>26631518</v>
      </c>
      <c r="T11" s="1127"/>
      <c r="U11" s="1127">
        <v>47450317</v>
      </c>
      <c r="V11" s="1260">
        <f>VALUE(LEFT(BalanceN1[[#This Row],[Compte]]&amp;"00000000",5))</f>
        <v>12100</v>
      </c>
      <c r="W11" s="1261" cm="1">
        <f t="array" ref="W11">IF(BalanceN1[[#This Row],[Compte]]="",0,_xlfn.IFNA(INDEX(Plan_Comptable[[Table de Compte]:[Sens]],MATCH(VALUE(LEFT(BalanceN1[[#This Row],[Table]],4)),VALUE(Plan_Comptable[Table de Compte]),0),2),"A"))</f>
        <v>0</v>
      </c>
      <c r="X11" s="1262" t="str">
        <f>IF(AND(BalanceN1[[#This Row],[Vérif]]="D",BalanceN1[[#This Row],[BS_Credit]]&gt;0),"A",IF(AND(BalanceN1[[#This Row],[Vérif]]="C",BalanceN1[[#This Row],[BS_Debit]]&gt;0),"A",""))</f>
        <v/>
      </c>
      <c r="Y11" s="1262" t="str">
        <f>IF(AND(BalanceN1[[#This Row],[Vérif]]="D",BalanceN1[[#This Row],[BE_Credit]]&gt;0),"A",IF(AND(BalanceN1[[#This Row],[Vérif]]="C",BalanceN1[[#This Row],[BE_Debit]]&gt;0),"A",""))</f>
        <v/>
      </c>
    </row>
    <row r="12" spans="1:26" ht="18" customHeight="1">
      <c r="A12" s="1124">
        <v>106200</v>
      </c>
      <c r="B12" s="1124" t="s">
        <v>1137</v>
      </c>
      <c r="C12" s="1125"/>
      <c r="D12" s="1125"/>
      <c r="E12" s="1125"/>
      <c r="F12" s="1125">
        <v>3500000</v>
      </c>
      <c r="G12" s="1125"/>
      <c r="H12" s="1125">
        <v>3500000</v>
      </c>
      <c r="I12" s="1122">
        <f>VALUE(LEFT(BalanceN[[#This Row],[Compte]]&amp;"00000000",5))</f>
        <v>10620</v>
      </c>
      <c r="J12" s="1123" cm="1">
        <f t="array" ref="J12">IF(BalanceN[[#This Row],[Compte]]="",0,_xlfn.IFNA(INDEX(Plan_Comptable[[Table de Compte]:[Sens]],MATCH(VALUE(LEFT(BalanceN[[#This Row],[Table]],4)),VALUE(Plan_Comptable[Table de Compte]),0),2),"A"))</f>
        <v>0</v>
      </c>
      <c r="K12" s="1121" t="str">
        <f>IF(AND(BalanceN[[#This Row],[Vérif]]="D",BalanceN[[#This Row],[BS_Credit]]&gt;0),"A",IF(AND(BalanceN[[#This Row],[Vérif]]="C",BalanceN[[#This Row],[BS_Debit]]&gt;0),"A",""))</f>
        <v/>
      </c>
      <c r="L12" s="1121" t="str">
        <f>IF(AND(BalanceN[[#This Row],[Vérif]]="D",BalanceN[[#This Row],[BE_Credit]]&gt;0),"A",IF(AND(BalanceN[[#This Row],[Vérif]]="C",BalanceN[[#This Row],[BE_Debit]]&gt;0),"A",""))</f>
        <v/>
      </c>
      <c r="N12" s="1126">
        <v>131000</v>
      </c>
      <c r="O12" s="1124" t="s">
        <v>11767</v>
      </c>
      <c r="P12" s="1127"/>
      <c r="Q12" s="1127">
        <v>66631518</v>
      </c>
      <c r="R12" s="1127">
        <v>66631518</v>
      </c>
      <c r="S12" s="1127"/>
      <c r="T12" s="1127"/>
      <c r="U12" s="1127"/>
      <c r="V12" s="1260">
        <f>VALUE(LEFT(BalanceN1[[#This Row],[Compte]]&amp;"00000000",5))</f>
        <v>13100</v>
      </c>
      <c r="W12" s="1261" cm="1">
        <f t="array" ref="W12">IF(BalanceN1[[#This Row],[Compte]]="",0,_xlfn.IFNA(INDEX(Plan_Comptable[[Table de Compte]:[Sens]],MATCH(VALUE(LEFT(BalanceN1[[#This Row],[Table]],4)),VALUE(Plan_Comptable[Table de Compte]),0),2),"A"))</f>
        <v>0</v>
      </c>
      <c r="X12" s="1262" t="str">
        <f>IF(AND(BalanceN1[[#This Row],[Vérif]]="D",BalanceN1[[#This Row],[BS_Credit]]&gt;0),"A",IF(AND(BalanceN1[[#This Row],[Vérif]]="C",BalanceN1[[#This Row],[BS_Debit]]&gt;0),"A",""))</f>
        <v/>
      </c>
      <c r="Y12" s="1262" t="str">
        <f>IF(AND(BalanceN1[[#This Row],[Vérif]]="D",BalanceN1[[#This Row],[BE_Credit]]&gt;0),"A",IF(AND(BalanceN1[[#This Row],[Vérif]]="C",BalanceN1[[#This Row],[BE_Debit]]&gt;0),"A",""))</f>
        <v/>
      </c>
    </row>
    <row r="13" spans="1:26" ht="18" customHeight="1">
      <c r="A13" s="1124">
        <v>109000</v>
      </c>
      <c r="B13" s="1124" t="s">
        <v>11765</v>
      </c>
      <c r="C13" s="1125"/>
      <c r="D13" s="1125"/>
      <c r="E13" s="1125">
        <v>300000000</v>
      </c>
      <c r="F13" s="1125">
        <v>200000000</v>
      </c>
      <c r="G13" s="1125">
        <v>100000000</v>
      </c>
      <c r="H13" s="1125"/>
      <c r="I13" s="1122">
        <f>VALUE(LEFT(BalanceN[[#This Row],[Compte]]&amp;"00000000",5))</f>
        <v>10900</v>
      </c>
      <c r="J13" s="1123" cm="1">
        <f t="array" ref="J13">IF(BalanceN[[#This Row],[Compte]]="",0,_xlfn.IFNA(INDEX(Plan_Comptable[[Table de Compte]:[Sens]],MATCH(VALUE(LEFT(BalanceN[[#This Row],[Table]],4)),VALUE(Plan_Comptable[Table de Compte]),0),2),"A"))</f>
        <v>0</v>
      </c>
      <c r="K13" s="1121" t="str">
        <f>IF(AND(BalanceN[[#This Row],[Vérif]]="D",BalanceN[[#This Row],[BS_Credit]]&gt;0),"A",IF(AND(BalanceN[[#This Row],[Vérif]]="C",BalanceN[[#This Row],[BS_Debit]]&gt;0),"A",""))</f>
        <v/>
      </c>
      <c r="L13" s="1121" t="str">
        <f>IF(AND(BalanceN[[#This Row],[Vérif]]="D",BalanceN[[#This Row],[BE_Credit]]&gt;0),"A",IF(AND(BalanceN[[#This Row],[Vérif]]="C",BalanceN[[#This Row],[BE_Debit]]&gt;0),"A",""))</f>
        <v/>
      </c>
      <c r="N13" s="1126">
        <v>165200</v>
      </c>
      <c r="O13" s="1124" t="s">
        <v>11883</v>
      </c>
      <c r="P13" s="1127"/>
      <c r="Q13" s="1127">
        <v>2200000</v>
      </c>
      <c r="R13" s="1127"/>
      <c r="S13" s="1127"/>
      <c r="T13" s="1127"/>
      <c r="U13" s="1127">
        <v>2200000</v>
      </c>
      <c r="V13" s="1260">
        <f>VALUE(LEFT(BalanceN1[[#This Row],[Compte]]&amp;"00000000",5))</f>
        <v>16520</v>
      </c>
      <c r="W13" s="1261" cm="1">
        <f t="array" ref="W13">IF(BalanceN1[[#This Row],[Compte]]="",0,_xlfn.IFNA(INDEX(Plan_Comptable[[Table de Compte]:[Sens]],MATCH(VALUE(LEFT(BalanceN1[[#This Row],[Table]],4)),VALUE(Plan_Comptable[Table de Compte]),0),2),"A"))</f>
        <v>0</v>
      </c>
      <c r="X13" s="1262" t="str">
        <f>IF(AND(BalanceN1[[#This Row],[Vérif]]="D",BalanceN1[[#This Row],[BS_Credit]]&gt;0),"A",IF(AND(BalanceN1[[#This Row],[Vérif]]="C",BalanceN1[[#This Row],[BS_Debit]]&gt;0),"A",""))</f>
        <v/>
      </c>
      <c r="Y13" s="1262" t="str">
        <f>IF(AND(BalanceN1[[#This Row],[Vérif]]="D",BalanceN1[[#This Row],[BE_Credit]]&gt;0),"A",IF(AND(BalanceN1[[#This Row],[Vérif]]="C",BalanceN1[[#This Row],[BE_Debit]]&gt;0),"A",""))</f>
        <v/>
      </c>
    </row>
    <row r="14" spans="1:26" ht="18" customHeight="1">
      <c r="A14" s="1124">
        <v>111000</v>
      </c>
      <c r="B14" s="1124" t="s">
        <v>11766</v>
      </c>
      <c r="C14" s="1125"/>
      <c r="D14" s="1125">
        <v>20000000</v>
      </c>
      <c r="E14" s="1125"/>
      <c r="F14" s="1125"/>
      <c r="G14" s="1125"/>
      <c r="H14" s="1125">
        <v>20000000</v>
      </c>
      <c r="I14" s="1122">
        <f>VALUE(LEFT(BalanceN[[#This Row],[Compte]]&amp;"00000000",5))</f>
        <v>11100</v>
      </c>
      <c r="J14" s="1123" cm="1">
        <f t="array" ref="J14">IF(BalanceN[[#This Row],[Compte]]="",0,_xlfn.IFNA(INDEX(Plan_Comptable[[Table de Compte]:[Sens]],MATCH(VALUE(LEFT(BalanceN[[#This Row],[Table]],4)),VALUE(Plan_Comptable[Table de Compte]),0),2),"A"))</f>
        <v>0</v>
      </c>
      <c r="K14" s="1121" t="str">
        <f>IF(AND(BalanceN[[#This Row],[Vérif]]="D",BalanceN[[#This Row],[BS_Credit]]&gt;0),"A",IF(AND(BalanceN[[#This Row],[Vérif]]="C",BalanceN[[#This Row],[BS_Debit]]&gt;0),"A",""))</f>
        <v/>
      </c>
      <c r="L14" s="1121" t="str">
        <f>IF(AND(BalanceN[[#This Row],[Vérif]]="D",BalanceN[[#This Row],[BE_Credit]]&gt;0),"A",IF(AND(BalanceN[[#This Row],[Vérif]]="C",BalanceN[[#This Row],[BE_Debit]]&gt;0),"A",""))</f>
        <v/>
      </c>
      <c r="N14" s="1126">
        <v>196100</v>
      </c>
      <c r="O14" s="1124" t="s">
        <v>11884</v>
      </c>
      <c r="P14" s="1127"/>
      <c r="Q14" s="1127">
        <v>47553935</v>
      </c>
      <c r="R14" s="1127">
        <v>3771900</v>
      </c>
      <c r="S14" s="1127">
        <v>11082662</v>
      </c>
      <c r="T14" s="1127"/>
      <c r="U14" s="1127">
        <v>54864697</v>
      </c>
      <c r="V14" s="1260">
        <f>VALUE(LEFT(BalanceN1[[#This Row],[Compte]]&amp;"00000000",5))</f>
        <v>19610</v>
      </c>
      <c r="W14" s="1261" cm="1">
        <f t="array" ref="W14">IF(BalanceN1[[#This Row],[Compte]]="",0,_xlfn.IFNA(INDEX(Plan_Comptable[[Table de Compte]:[Sens]],MATCH(VALUE(LEFT(BalanceN1[[#This Row],[Table]],4)),VALUE(Plan_Comptable[Table de Compte]),0),2),"A"))</f>
        <v>0</v>
      </c>
      <c r="X14" s="1262" t="str">
        <f>IF(AND(BalanceN1[[#This Row],[Vérif]]="D",BalanceN1[[#This Row],[BS_Credit]]&gt;0),"A",IF(AND(BalanceN1[[#This Row],[Vérif]]="C",BalanceN1[[#This Row],[BS_Debit]]&gt;0),"A",""))</f>
        <v/>
      </c>
      <c r="Y14" s="1262" t="str">
        <f>IF(AND(BalanceN1[[#This Row],[Vérif]]="D",BalanceN1[[#This Row],[BE_Credit]]&gt;0),"A",IF(AND(BalanceN1[[#This Row],[Vérif]]="C",BalanceN1[[#This Row],[BE_Debit]]&gt;0),"A",""))</f>
        <v/>
      </c>
    </row>
    <row r="15" spans="1:26" s="1249" customFormat="1" ht="18" customHeight="1">
      <c r="A15" s="1124">
        <v>121</v>
      </c>
      <c r="B15" s="1124" t="s">
        <v>1917</v>
      </c>
      <c r="C15" s="1125"/>
      <c r="D15" s="1125">
        <v>47450317</v>
      </c>
      <c r="E15" s="1125">
        <v>90000000</v>
      </c>
      <c r="F15" s="1125">
        <v>118619674</v>
      </c>
      <c r="G15" s="1125"/>
      <c r="H15" s="1125">
        <v>76069991</v>
      </c>
      <c r="I15" s="1122">
        <f>VALUE(LEFT(BalanceN[[#This Row],[Compte]]&amp;"00000000",5))</f>
        <v>12100</v>
      </c>
      <c r="J15" s="1123" cm="1">
        <f t="array" ref="J15">IF(BalanceN[[#This Row],[Compte]]="",0,_xlfn.IFNA(INDEX(Plan_Comptable[[Table de Compte]:[Sens]],MATCH(VALUE(LEFT(BalanceN[[#This Row],[Table]],4)),VALUE(Plan_Comptable[Table de Compte]),0),2),"A"))</f>
        <v>0</v>
      </c>
      <c r="K15" s="1121" t="str">
        <f>IF(AND(BalanceN[[#This Row],[Vérif]]="D",BalanceN[[#This Row],[BS_Credit]]&gt;0),"A",IF(AND(BalanceN[[#This Row],[Vérif]]="C",BalanceN[[#This Row],[BS_Debit]]&gt;0),"A",""))</f>
        <v/>
      </c>
      <c r="L15" s="1121" t="str">
        <f>IF(AND(BalanceN[[#This Row],[Vérif]]="D",BalanceN[[#This Row],[BE_Credit]]&gt;0),"A",IF(AND(BalanceN[[#This Row],[Vérif]]="C",BalanceN[[#This Row],[BE_Debit]]&gt;0),"A",""))</f>
        <v/>
      </c>
      <c r="M15" s="1248"/>
      <c r="N15" s="1126">
        <v>2131</v>
      </c>
      <c r="O15" s="1124" t="s">
        <v>10149</v>
      </c>
      <c r="P15" s="1127">
        <v>1050000</v>
      </c>
      <c r="Q15" s="1127"/>
      <c r="R15" s="1127"/>
      <c r="S15" s="1127"/>
      <c r="T15" s="1127">
        <v>1050000</v>
      </c>
      <c r="U15" s="1127"/>
      <c r="V15" s="1260">
        <f>VALUE(LEFT(BalanceN1[[#This Row],[Compte]]&amp;"00000000",5))</f>
        <v>21310</v>
      </c>
      <c r="W15" s="1261" t="str" cm="1">
        <f t="array" ref="W15">IF(BalanceN1[[#This Row],[Compte]]="",0,_xlfn.IFNA(INDEX(Plan_Comptable[[Table de Compte]:[Sens]],MATCH(VALUE(LEFT(BalanceN1[[#This Row],[Table]],4)),VALUE(Plan_Comptable[Table de Compte]),0),2),"A"))</f>
        <v>D</v>
      </c>
      <c r="X15" s="1262" t="str">
        <f>IF(AND(BalanceN1[[#This Row],[Vérif]]="D",BalanceN1[[#This Row],[BS_Credit]]&gt;0),"A",IF(AND(BalanceN1[[#This Row],[Vérif]]="C",BalanceN1[[#This Row],[BS_Debit]]&gt;0),"A",""))</f>
        <v/>
      </c>
      <c r="Y15" s="1262" t="str">
        <f>IF(AND(BalanceN1[[#This Row],[Vérif]]="D",BalanceN1[[#This Row],[BE_Credit]]&gt;0),"A",IF(AND(BalanceN1[[#This Row],[Vérif]]="C",BalanceN1[[#This Row],[BE_Debit]]&gt;0),"A",""))</f>
        <v/>
      </c>
      <c r="Z15" s="1248"/>
    </row>
    <row r="16" spans="1:26" ht="18" customHeight="1">
      <c r="A16" s="1124">
        <v>131000</v>
      </c>
      <c r="B16" s="1124" t="s">
        <v>11767</v>
      </c>
      <c r="C16" s="1125"/>
      <c r="D16" s="1125">
        <v>118619674</v>
      </c>
      <c r="E16" s="1125">
        <v>118619674</v>
      </c>
      <c r="F16" s="1125"/>
      <c r="G16" s="1125"/>
      <c r="H16" s="1125"/>
      <c r="I16" s="1122">
        <f>VALUE(LEFT(BalanceN[[#This Row],[Compte]]&amp;"00000000",5))</f>
        <v>13100</v>
      </c>
      <c r="J16" s="1123" cm="1">
        <f t="array" ref="J16">IF(BalanceN[[#This Row],[Compte]]="",0,_xlfn.IFNA(INDEX(Plan_Comptable[[Table de Compte]:[Sens]],MATCH(VALUE(LEFT(BalanceN[[#This Row],[Table]],4)),VALUE(Plan_Comptable[Table de Compte]),0),2),"A"))</f>
        <v>0</v>
      </c>
      <c r="K16" s="1121" t="str">
        <f>IF(AND(BalanceN[[#This Row],[Vérif]]="D",BalanceN[[#This Row],[BS_Credit]]&gt;0),"A",IF(AND(BalanceN[[#This Row],[Vérif]]="C",BalanceN[[#This Row],[BS_Debit]]&gt;0),"A",""))</f>
        <v/>
      </c>
      <c r="L16" s="1121" t="str">
        <f>IF(AND(BalanceN[[#This Row],[Vérif]]="D",BalanceN[[#This Row],[BE_Credit]]&gt;0),"A",IF(AND(BalanceN[[#This Row],[Vérif]]="C",BalanceN[[#This Row],[BE_Debit]]&gt;0),"A",""))</f>
        <v/>
      </c>
      <c r="N16" s="1126">
        <v>215000</v>
      </c>
      <c r="O16" s="1124" t="s">
        <v>11772</v>
      </c>
      <c r="P16" s="1127">
        <v>1600000</v>
      </c>
      <c r="Q16" s="1127"/>
      <c r="R16" s="1127"/>
      <c r="S16" s="1127"/>
      <c r="T16" s="1127">
        <v>1600000</v>
      </c>
      <c r="U16" s="1127"/>
      <c r="V16" s="1260">
        <f>VALUE(LEFT(BalanceN1[[#This Row],[Compte]]&amp;"00000000",5))</f>
        <v>21500</v>
      </c>
      <c r="W16" s="1261" t="str" cm="1">
        <f t="array" ref="W16">IF(BalanceN1[[#This Row],[Compte]]="",0,_xlfn.IFNA(INDEX(Plan_Comptable[[Table de Compte]:[Sens]],MATCH(VALUE(LEFT(BalanceN1[[#This Row],[Table]],4)),VALUE(Plan_Comptable[Table de Compte]),0),2),"A"))</f>
        <v>D</v>
      </c>
      <c r="X16" s="1262" t="str">
        <f>IF(AND(BalanceN1[[#This Row],[Vérif]]="D",BalanceN1[[#This Row],[BS_Credit]]&gt;0),"A",IF(AND(BalanceN1[[#This Row],[Vérif]]="C",BalanceN1[[#This Row],[BS_Debit]]&gt;0),"A",""))</f>
        <v/>
      </c>
      <c r="Y16" s="1262" t="str">
        <f>IF(AND(BalanceN1[[#This Row],[Vérif]]="D",BalanceN1[[#This Row],[BE_Credit]]&gt;0),"A",IF(AND(BalanceN1[[#This Row],[Vérif]]="C",BalanceN1[[#This Row],[BE_Debit]]&gt;0),"A",""))</f>
        <v/>
      </c>
    </row>
    <row r="17" spans="1:25" ht="18" customHeight="1">
      <c r="A17" s="1124">
        <v>141600</v>
      </c>
      <c r="B17" s="1124" t="s">
        <v>11768</v>
      </c>
      <c r="C17" s="1125"/>
      <c r="D17" s="1125"/>
      <c r="E17" s="1125"/>
      <c r="F17" s="1125">
        <v>2000000</v>
      </c>
      <c r="G17" s="1125"/>
      <c r="H17" s="1125">
        <v>2000000</v>
      </c>
      <c r="I17" s="1122">
        <f>VALUE(LEFT(BalanceN[[#This Row],[Compte]]&amp;"00000000",5))</f>
        <v>14160</v>
      </c>
      <c r="J17" s="1123" cm="1">
        <f t="array" ref="J17">IF(BalanceN[[#This Row],[Compte]]="",0,_xlfn.IFNA(INDEX(Plan_Comptable[[Table de Compte]:[Sens]],MATCH(VALUE(LEFT(BalanceN[[#This Row],[Table]],4)),VALUE(Plan_Comptable[Table de Compte]),0),2),"A"))</f>
        <v>0</v>
      </c>
      <c r="K17" s="1121" t="str">
        <f>IF(AND(BalanceN[[#This Row],[Vérif]]="D",BalanceN[[#This Row],[BS_Credit]]&gt;0),"A",IF(AND(BalanceN[[#This Row],[Vérif]]="C",BalanceN[[#This Row],[BS_Debit]]&gt;0),"A",""))</f>
        <v/>
      </c>
      <c r="L17" s="1121" t="str">
        <f>IF(AND(BalanceN[[#This Row],[Vérif]]="D",BalanceN[[#This Row],[BE_Credit]]&gt;0),"A",IF(AND(BalanceN[[#This Row],[Vérif]]="C",BalanceN[[#This Row],[BE_Debit]]&gt;0),"A",""))</f>
        <v/>
      </c>
      <c r="N17" s="1126">
        <v>2231</v>
      </c>
      <c r="O17" s="1124" t="s">
        <v>11773</v>
      </c>
      <c r="P17" s="1127">
        <v>12500000</v>
      </c>
      <c r="Q17" s="1127"/>
      <c r="R17" s="1127"/>
      <c r="S17" s="1127"/>
      <c r="T17" s="1127">
        <v>12500000</v>
      </c>
      <c r="U17" s="1127"/>
      <c r="V17" s="1260">
        <f>VALUE(LEFT(BalanceN1[[#This Row],[Compte]]&amp;"00000000",5))</f>
        <v>22310</v>
      </c>
      <c r="W17" s="1261" t="str" cm="1">
        <f t="array" ref="W17">IF(BalanceN1[[#This Row],[Compte]]="",0,_xlfn.IFNA(INDEX(Plan_Comptable[[Table de Compte]:[Sens]],MATCH(VALUE(LEFT(BalanceN1[[#This Row],[Table]],4)),VALUE(Plan_Comptable[Table de Compte]),0),2),"A"))</f>
        <v>D</v>
      </c>
      <c r="X17" s="1262" t="str">
        <f>IF(AND(BalanceN1[[#This Row],[Vérif]]="D",BalanceN1[[#This Row],[BS_Credit]]&gt;0),"A",IF(AND(BalanceN1[[#This Row],[Vérif]]="C",BalanceN1[[#This Row],[BS_Debit]]&gt;0),"A",""))</f>
        <v/>
      </c>
      <c r="Y17" s="1262" t="str">
        <f>IF(AND(BalanceN1[[#This Row],[Vérif]]="D",BalanceN1[[#This Row],[BE_Credit]]&gt;0),"A",IF(AND(BalanceN1[[#This Row],[Vérif]]="C",BalanceN1[[#This Row],[BE_Debit]]&gt;0),"A",""))</f>
        <v/>
      </c>
    </row>
    <row r="18" spans="1:25" ht="18" customHeight="1">
      <c r="A18" s="1124">
        <v>154000</v>
      </c>
      <c r="B18" s="1124" t="s">
        <v>1937</v>
      </c>
      <c r="C18" s="1125"/>
      <c r="D18" s="1125"/>
      <c r="E18" s="1125"/>
      <c r="F18" s="1125">
        <v>40000000</v>
      </c>
      <c r="G18" s="1125"/>
      <c r="H18" s="1125">
        <v>40000000</v>
      </c>
      <c r="I18" s="1122">
        <f>VALUE(LEFT(BalanceN[[#This Row],[Compte]]&amp;"00000000",5))</f>
        <v>15400</v>
      </c>
      <c r="J18" s="1123" cm="1">
        <f t="array" ref="J18">IF(BalanceN[[#This Row],[Compte]]="",0,_xlfn.IFNA(INDEX(Plan_Comptable[[Table de Compte]:[Sens]],MATCH(VALUE(LEFT(BalanceN[[#This Row],[Table]],4)),VALUE(Plan_Comptable[Table de Compte]),0),2),"A"))</f>
        <v>0</v>
      </c>
      <c r="K18" s="1121" t="str">
        <f>IF(AND(BalanceN[[#This Row],[Vérif]]="D",BalanceN[[#This Row],[BS_Credit]]&gt;0),"A",IF(AND(BalanceN[[#This Row],[Vérif]]="C",BalanceN[[#This Row],[BS_Debit]]&gt;0),"A",""))</f>
        <v/>
      </c>
      <c r="L18" s="1121" t="str">
        <f>IF(AND(BalanceN[[#This Row],[Vérif]]="D",BalanceN[[#This Row],[BE_Credit]]&gt;0),"A",IF(AND(BalanceN[[#This Row],[Vérif]]="C",BalanceN[[#This Row],[BE_Debit]]&gt;0),"A",""))</f>
        <v/>
      </c>
      <c r="N18" s="1126">
        <v>2298</v>
      </c>
      <c r="O18" s="1124" t="s">
        <v>11885</v>
      </c>
      <c r="P18" s="1127">
        <v>22673950</v>
      </c>
      <c r="Q18" s="1127"/>
      <c r="R18" s="1127"/>
      <c r="S18" s="1127"/>
      <c r="T18" s="1127">
        <v>22673950</v>
      </c>
      <c r="U18" s="1127"/>
      <c r="V18" s="1260">
        <f>VALUE(LEFT(BalanceN1[[#This Row],[Compte]]&amp;"00000000",5))</f>
        <v>22980</v>
      </c>
      <c r="W18" s="1261" t="str" cm="1">
        <f t="array" ref="W18">IF(BalanceN1[[#This Row],[Compte]]="",0,_xlfn.IFNA(INDEX(Plan_Comptable[[Table de Compte]:[Sens]],MATCH(VALUE(LEFT(BalanceN1[[#This Row],[Table]],4)),VALUE(Plan_Comptable[Table de Compte]),0),2),"A"))</f>
        <v>D</v>
      </c>
      <c r="X18" s="1262" t="str">
        <f>IF(AND(BalanceN1[[#This Row],[Vérif]]="D",BalanceN1[[#This Row],[BS_Credit]]&gt;0),"A",IF(AND(BalanceN1[[#This Row],[Vérif]]="C",BalanceN1[[#This Row],[BS_Debit]]&gt;0),"A",""))</f>
        <v/>
      </c>
      <c r="Y18" s="1262" t="str">
        <f>IF(AND(BalanceN1[[#This Row],[Vérif]]="D",BalanceN1[[#This Row],[BE_Credit]]&gt;0),"A",IF(AND(BalanceN1[[#This Row],[Vérif]]="C",BalanceN1[[#This Row],[BE_Debit]]&gt;0),"A",""))</f>
        <v/>
      </c>
    </row>
    <row r="19" spans="1:25" ht="18" customHeight="1">
      <c r="A19" s="1124">
        <v>162000</v>
      </c>
      <c r="B19" s="1124" t="s">
        <v>11769</v>
      </c>
      <c r="C19" s="1125"/>
      <c r="D19" s="1125"/>
      <c r="E19" s="1125">
        <v>7500925</v>
      </c>
      <c r="F19" s="1125">
        <v>100000000</v>
      </c>
      <c r="G19" s="1125"/>
      <c r="H19" s="1125">
        <v>92499075</v>
      </c>
      <c r="I19" s="1122">
        <f>VALUE(LEFT(BalanceN[[#This Row],[Compte]]&amp;"00000000",5))</f>
        <v>16200</v>
      </c>
      <c r="J19" s="1123" cm="1">
        <f t="array" ref="J19">IF(BalanceN[[#This Row],[Compte]]="",0,_xlfn.IFNA(INDEX(Plan_Comptable[[Table de Compte]:[Sens]],MATCH(VALUE(LEFT(BalanceN[[#This Row],[Table]],4)),VALUE(Plan_Comptable[Table de Compte]),0),2),"A"))</f>
        <v>0</v>
      </c>
      <c r="K19" s="1121" t="str">
        <f>IF(AND(BalanceN[[#This Row],[Vérif]]="D",BalanceN[[#This Row],[BS_Credit]]&gt;0),"A",IF(AND(BalanceN[[#This Row],[Vérif]]="C",BalanceN[[#This Row],[BS_Debit]]&gt;0),"A",""))</f>
        <v/>
      </c>
      <c r="L19" s="1121" t="str">
        <f>IF(AND(BalanceN[[#This Row],[Vérif]]="D",BalanceN[[#This Row],[BE_Credit]]&gt;0),"A",IF(AND(BalanceN[[#This Row],[Vérif]]="C",BalanceN[[#This Row],[BE_Debit]]&gt;0),"A",""))</f>
        <v/>
      </c>
      <c r="N19" s="1126">
        <v>231100</v>
      </c>
      <c r="O19" s="1124" t="s">
        <v>11775</v>
      </c>
      <c r="P19" s="1127">
        <v>55000000</v>
      </c>
      <c r="Q19" s="1127"/>
      <c r="R19" s="1127"/>
      <c r="S19" s="1127"/>
      <c r="T19" s="1127">
        <v>55000000</v>
      </c>
      <c r="U19" s="1127"/>
      <c r="V19" s="1260">
        <f>VALUE(LEFT(BalanceN1[[#This Row],[Compte]]&amp;"00000000",5))</f>
        <v>23110</v>
      </c>
      <c r="W19" s="1261" t="str" cm="1">
        <f t="array" ref="W19">IF(BalanceN1[[#This Row],[Compte]]="",0,_xlfn.IFNA(INDEX(Plan_Comptable[[Table de Compte]:[Sens]],MATCH(VALUE(LEFT(BalanceN1[[#This Row],[Table]],4)),VALUE(Plan_Comptable[Table de Compte]),0),2),"A"))</f>
        <v>D</v>
      </c>
      <c r="X19" s="1262" t="str">
        <f>IF(AND(BalanceN1[[#This Row],[Vérif]]="D",BalanceN1[[#This Row],[BS_Credit]]&gt;0),"A",IF(AND(BalanceN1[[#This Row],[Vérif]]="C",BalanceN1[[#This Row],[BS_Debit]]&gt;0),"A",""))</f>
        <v/>
      </c>
      <c r="Y19" s="1262" t="str">
        <f>IF(AND(BalanceN1[[#This Row],[Vérif]]="D",BalanceN1[[#This Row],[BE_Credit]]&gt;0),"A",IF(AND(BalanceN1[[#This Row],[Vérif]]="C",BalanceN1[[#This Row],[BE_Debit]]&gt;0),"A",""))</f>
        <v/>
      </c>
    </row>
    <row r="20" spans="1:25" ht="18" customHeight="1">
      <c r="A20" s="1124">
        <v>165200</v>
      </c>
      <c r="B20" s="1124" t="s">
        <v>11770</v>
      </c>
      <c r="C20" s="1125"/>
      <c r="D20" s="1125">
        <v>2200000</v>
      </c>
      <c r="E20" s="1125"/>
      <c r="F20" s="1125"/>
      <c r="G20" s="1125"/>
      <c r="H20" s="1125">
        <v>2200000</v>
      </c>
      <c r="I20" s="1122">
        <f>VALUE(LEFT(BalanceN[[#This Row],[Compte]]&amp;"00000000",5))</f>
        <v>16520</v>
      </c>
      <c r="J20" s="1123" cm="1">
        <f t="array" ref="J20">IF(BalanceN[[#This Row],[Compte]]="",0,_xlfn.IFNA(INDEX(Plan_Comptable[[Table de Compte]:[Sens]],MATCH(VALUE(LEFT(BalanceN[[#This Row],[Table]],4)),VALUE(Plan_Comptable[Table de Compte]),0),2),"A"))</f>
        <v>0</v>
      </c>
      <c r="K20" s="1121" t="str">
        <f>IF(AND(BalanceN[[#This Row],[Vérif]]="D",BalanceN[[#This Row],[BS_Credit]]&gt;0),"A",IF(AND(BalanceN[[#This Row],[Vérif]]="C",BalanceN[[#This Row],[BS_Debit]]&gt;0),"A",""))</f>
        <v/>
      </c>
      <c r="L20" s="1121" t="str">
        <f>IF(AND(BalanceN[[#This Row],[Vérif]]="D",BalanceN[[#This Row],[BE_Credit]]&gt;0),"A",IF(AND(BalanceN[[#This Row],[Vérif]]="C",BalanceN[[#This Row],[BE_Debit]]&gt;0),"A",""))</f>
        <v/>
      </c>
      <c r="N20" s="1126">
        <v>232100</v>
      </c>
      <c r="O20" s="1124" t="s">
        <v>11776</v>
      </c>
      <c r="P20" s="1127">
        <v>231411100</v>
      </c>
      <c r="Q20" s="1127"/>
      <c r="R20" s="1127"/>
      <c r="S20" s="1127"/>
      <c r="T20" s="1127">
        <v>231411100</v>
      </c>
      <c r="U20" s="1127"/>
      <c r="V20" s="1260">
        <f>VALUE(LEFT(BalanceN1[[#This Row],[Compte]]&amp;"00000000",5))</f>
        <v>23210</v>
      </c>
      <c r="W20" s="1261" t="str" cm="1">
        <f t="array" ref="W20">IF(BalanceN1[[#This Row],[Compte]]="",0,_xlfn.IFNA(INDEX(Plan_Comptable[[Table de Compte]:[Sens]],MATCH(VALUE(LEFT(BalanceN1[[#This Row],[Table]],4)),VALUE(Plan_Comptable[Table de Compte]),0),2),"A"))</f>
        <v>D</v>
      </c>
      <c r="X20" s="1262" t="str">
        <f>IF(AND(BalanceN1[[#This Row],[Vérif]]="D",BalanceN1[[#This Row],[BS_Credit]]&gt;0),"A",IF(AND(BalanceN1[[#This Row],[Vérif]]="C",BalanceN1[[#This Row],[BS_Debit]]&gt;0),"A",""))</f>
        <v/>
      </c>
      <c r="Y20" s="1262" t="str">
        <f>IF(AND(BalanceN1[[#This Row],[Vérif]]="D",BalanceN1[[#This Row],[BE_Credit]]&gt;0),"A",IF(AND(BalanceN1[[#This Row],[Vérif]]="C",BalanceN1[[#This Row],[BE_Debit]]&gt;0),"A",""))</f>
        <v/>
      </c>
    </row>
    <row r="21" spans="1:25" ht="18" customHeight="1">
      <c r="A21" s="1124">
        <v>196100</v>
      </c>
      <c r="B21" s="1124" t="s">
        <v>11771</v>
      </c>
      <c r="C21" s="1125"/>
      <c r="D21" s="1125">
        <v>54864697</v>
      </c>
      <c r="E21" s="1125">
        <v>6701530</v>
      </c>
      <c r="F21" s="1125">
        <v>13953199</v>
      </c>
      <c r="G21" s="1125"/>
      <c r="H21" s="1125">
        <v>62116366</v>
      </c>
      <c r="I21" s="1122">
        <f>VALUE(LEFT(BalanceN[[#This Row],[Compte]]&amp;"00000000",5))</f>
        <v>19610</v>
      </c>
      <c r="J21" s="1123" cm="1">
        <f t="array" ref="J21">IF(BalanceN[[#This Row],[Compte]]="",0,_xlfn.IFNA(INDEX(Plan_Comptable[[Table de Compte]:[Sens]],MATCH(VALUE(LEFT(BalanceN[[#This Row],[Table]],4)),VALUE(Plan_Comptable[Table de Compte]),0),2),"A"))</f>
        <v>0</v>
      </c>
      <c r="K21" s="1121" t="str">
        <f>IF(AND(BalanceN[[#This Row],[Vérif]]="D",BalanceN[[#This Row],[BS_Credit]]&gt;0),"A",IF(AND(BalanceN[[#This Row],[Vérif]]="C",BalanceN[[#This Row],[BS_Debit]]&gt;0),"A",""))</f>
        <v/>
      </c>
      <c r="L21" s="1121" t="str">
        <f>IF(AND(BalanceN[[#This Row],[Vérif]]="D",BalanceN[[#This Row],[BE_Credit]]&gt;0),"A",IF(AND(BalanceN[[#This Row],[Vérif]]="C",BalanceN[[#This Row],[BE_Debit]]&gt;0),"A",""))</f>
        <v/>
      </c>
      <c r="N21" s="1126">
        <v>235100</v>
      </c>
      <c r="O21" s="1124" t="s">
        <v>11886</v>
      </c>
      <c r="P21" s="1127">
        <v>60263648</v>
      </c>
      <c r="Q21" s="1127"/>
      <c r="R21" s="1127"/>
      <c r="S21" s="1127"/>
      <c r="T21" s="1127">
        <v>60263648</v>
      </c>
      <c r="U21" s="1127"/>
      <c r="V21" s="1260">
        <f>VALUE(LEFT(BalanceN1[[#This Row],[Compte]]&amp;"00000000",5))</f>
        <v>23510</v>
      </c>
      <c r="W21" s="1261" t="str" cm="1">
        <f t="array" ref="W21">IF(BalanceN1[[#This Row],[Compte]]="",0,_xlfn.IFNA(INDEX(Plan_Comptable[[Table de Compte]:[Sens]],MATCH(VALUE(LEFT(BalanceN1[[#This Row],[Table]],4)),VALUE(Plan_Comptable[Table de Compte]),0),2),"A"))</f>
        <v>D</v>
      </c>
      <c r="X21" s="1262" t="str">
        <f>IF(AND(BalanceN1[[#This Row],[Vérif]]="D",BalanceN1[[#This Row],[BS_Credit]]&gt;0),"A",IF(AND(BalanceN1[[#This Row],[Vérif]]="C",BalanceN1[[#This Row],[BS_Debit]]&gt;0),"A",""))</f>
        <v/>
      </c>
      <c r="Y21" s="1262" t="str">
        <f>IF(AND(BalanceN1[[#This Row],[Vérif]]="D",BalanceN1[[#This Row],[BE_Credit]]&gt;0),"A",IF(AND(BalanceN1[[#This Row],[Vérif]]="C",BalanceN1[[#This Row],[BE_Debit]]&gt;0),"A",""))</f>
        <v/>
      </c>
    </row>
    <row r="22" spans="1:25" ht="18" customHeight="1">
      <c r="A22" s="1124">
        <v>2131</v>
      </c>
      <c r="B22" s="1124" t="s">
        <v>10149</v>
      </c>
      <c r="C22" s="1125">
        <v>1050000</v>
      </c>
      <c r="D22" s="1125"/>
      <c r="E22" s="1125">
        <v>2000000</v>
      </c>
      <c r="F22" s="1125"/>
      <c r="G22" s="1125">
        <v>3050000</v>
      </c>
      <c r="H22" s="1125"/>
      <c r="I22" s="1122">
        <f>VALUE(LEFT(BalanceN[[#This Row],[Compte]]&amp;"00000000",5))</f>
        <v>21310</v>
      </c>
      <c r="J22" s="1123" t="str" cm="1">
        <f t="array" ref="J22">IF(BalanceN[[#This Row],[Compte]]="",0,_xlfn.IFNA(INDEX(Plan_Comptable[[Table de Compte]:[Sens]],MATCH(VALUE(LEFT(BalanceN[[#This Row],[Table]],4)),VALUE(Plan_Comptable[Table de Compte]),0),2),"A"))</f>
        <v>D</v>
      </c>
      <c r="K22" s="1121" t="str">
        <f>IF(AND(BalanceN[[#This Row],[Vérif]]="D",BalanceN[[#This Row],[BS_Credit]]&gt;0),"A",IF(AND(BalanceN[[#This Row],[Vérif]]="C",BalanceN[[#This Row],[BS_Debit]]&gt;0),"A",""))</f>
        <v/>
      </c>
      <c r="L22" s="1121" t="str">
        <f>IF(AND(BalanceN[[#This Row],[Vérif]]="D",BalanceN[[#This Row],[BE_Credit]]&gt;0),"A",IF(AND(BalanceN[[#This Row],[Vérif]]="C",BalanceN[[#This Row],[BE_Debit]]&gt;0),"A",""))</f>
        <v/>
      </c>
      <c r="N22" s="1126">
        <v>238000</v>
      </c>
      <c r="O22" s="1124" t="s">
        <v>11777</v>
      </c>
      <c r="P22" s="1127">
        <v>11064619</v>
      </c>
      <c r="Q22" s="1127"/>
      <c r="R22" s="1127"/>
      <c r="S22" s="1127"/>
      <c r="T22" s="1127">
        <v>11064619</v>
      </c>
      <c r="U22" s="1127"/>
      <c r="V22" s="1260">
        <f>VALUE(LEFT(BalanceN1[[#This Row],[Compte]]&amp;"00000000",5))</f>
        <v>23800</v>
      </c>
      <c r="W22" s="1261" t="str" cm="1">
        <f t="array" ref="W22">IF(BalanceN1[[#This Row],[Compte]]="",0,_xlfn.IFNA(INDEX(Plan_Comptable[[Table de Compte]:[Sens]],MATCH(VALUE(LEFT(BalanceN1[[#This Row],[Table]],4)),VALUE(Plan_Comptable[Table de Compte]),0),2),"A"))</f>
        <v>D</v>
      </c>
      <c r="X22" s="1262" t="str">
        <f>IF(AND(BalanceN1[[#This Row],[Vérif]]="D",BalanceN1[[#This Row],[BS_Credit]]&gt;0),"A",IF(AND(BalanceN1[[#This Row],[Vérif]]="C",BalanceN1[[#This Row],[BS_Debit]]&gt;0),"A",""))</f>
        <v/>
      </c>
      <c r="Y22" s="1262" t="str">
        <f>IF(AND(BalanceN1[[#This Row],[Vérif]]="D",BalanceN1[[#This Row],[BE_Credit]]&gt;0),"A",IF(AND(BalanceN1[[#This Row],[Vérif]]="C",BalanceN1[[#This Row],[BE_Debit]]&gt;0),"A",""))</f>
        <v/>
      </c>
    </row>
    <row r="23" spans="1:25" ht="18" customHeight="1">
      <c r="A23" s="1124">
        <v>215000</v>
      </c>
      <c r="B23" s="1124" t="s">
        <v>11772</v>
      </c>
      <c r="C23" s="1125">
        <v>1600000</v>
      </c>
      <c r="D23" s="1125"/>
      <c r="E23" s="1125"/>
      <c r="F23" s="1125"/>
      <c r="G23" s="1125">
        <v>1600000</v>
      </c>
      <c r="H23" s="1125"/>
      <c r="I23" s="1122">
        <f>VALUE(LEFT(BalanceN[[#This Row],[Compte]]&amp;"00000000",5))</f>
        <v>21500</v>
      </c>
      <c r="J23" s="1123" t="str" cm="1">
        <f t="array" ref="J23">IF(BalanceN[[#This Row],[Compte]]="",0,_xlfn.IFNA(INDEX(Plan_Comptable[[Table de Compte]:[Sens]],MATCH(VALUE(LEFT(BalanceN[[#This Row],[Table]],4)),VALUE(Plan_Comptable[Table de Compte]),0),2),"A"))</f>
        <v>D</v>
      </c>
      <c r="K23" s="1121" t="str">
        <f>IF(AND(BalanceN[[#This Row],[Vérif]]="D",BalanceN[[#This Row],[BS_Credit]]&gt;0),"A",IF(AND(BalanceN[[#This Row],[Vérif]]="C",BalanceN[[#This Row],[BS_Debit]]&gt;0),"A",""))</f>
        <v/>
      </c>
      <c r="L23" s="1121" t="str">
        <f>IF(AND(BalanceN[[#This Row],[Vérif]]="D",BalanceN[[#This Row],[BE_Credit]]&gt;0),"A",IF(AND(BalanceN[[#This Row],[Vérif]]="C",BalanceN[[#This Row],[BE_Debit]]&gt;0),"A",""))</f>
        <v/>
      </c>
      <c r="N23" s="1126">
        <v>241100</v>
      </c>
      <c r="O23" s="1124" t="s">
        <v>10243</v>
      </c>
      <c r="P23" s="1127">
        <v>74507291</v>
      </c>
      <c r="Q23" s="1127"/>
      <c r="R23" s="1127">
        <v>17153112</v>
      </c>
      <c r="S23" s="1127">
        <v>350000</v>
      </c>
      <c r="T23" s="1127">
        <v>91310403</v>
      </c>
      <c r="U23" s="1127"/>
      <c r="V23" s="1260">
        <f>VALUE(LEFT(BalanceN1[[#This Row],[Compte]]&amp;"00000000",5))</f>
        <v>24110</v>
      </c>
      <c r="W23" s="1261" t="str" cm="1">
        <f t="array" ref="W23">IF(BalanceN1[[#This Row],[Compte]]="",0,_xlfn.IFNA(INDEX(Plan_Comptable[[Table de Compte]:[Sens]],MATCH(VALUE(LEFT(BalanceN1[[#This Row],[Table]],4)),VALUE(Plan_Comptable[Table de Compte]),0),2),"A"))</f>
        <v>D</v>
      </c>
      <c r="X23" s="1262" t="str">
        <f>IF(AND(BalanceN1[[#This Row],[Vérif]]="D",BalanceN1[[#This Row],[BS_Credit]]&gt;0),"A",IF(AND(BalanceN1[[#This Row],[Vérif]]="C",BalanceN1[[#This Row],[BS_Debit]]&gt;0),"A",""))</f>
        <v/>
      </c>
      <c r="Y23" s="1262" t="str">
        <f>IF(AND(BalanceN1[[#This Row],[Vérif]]="D",BalanceN1[[#This Row],[BE_Credit]]&gt;0),"A",IF(AND(BalanceN1[[#This Row],[Vérif]]="C",BalanceN1[[#This Row],[BE_Debit]]&gt;0),"A",""))</f>
        <v/>
      </c>
    </row>
    <row r="24" spans="1:25" ht="18" customHeight="1">
      <c r="A24" s="1124">
        <v>2231</v>
      </c>
      <c r="B24" s="1124" t="s">
        <v>11773</v>
      </c>
      <c r="C24" s="1125">
        <v>12500000</v>
      </c>
      <c r="D24" s="1125"/>
      <c r="E24" s="1125">
        <v>3500000</v>
      </c>
      <c r="F24" s="1125"/>
      <c r="G24" s="1125">
        <v>16000000</v>
      </c>
      <c r="H24" s="1125"/>
      <c r="I24" s="1122">
        <f>VALUE(LEFT(BalanceN[[#This Row],[Compte]]&amp;"00000000",5))</f>
        <v>22310</v>
      </c>
      <c r="J24" s="1123" t="str" cm="1">
        <f t="array" ref="J24">IF(BalanceN[[#This Row],[Compte]]="",0,_xlfn.IFNA(INDEX(Plan_Comptable[[Table de Compte]:[Sens]],MATCH(VALUE(LEFT(BalanceN[[#This Row],[Table]],4)),VALUE(Plan_Comptable[Table de Compte]),0),2),"A"))</f>
        <v>D</v>
      </c>
      <c r="K24" s="1121" t="str">
        <f>IF(AND(BalanceN[[#This Row],[Vérif]]="D",BalanceN[[#This Row],[BS_Credit]]&gt;0),"A",IF(AND(BalanceN[[#This Row],[Vérif]]="C",BalanceN[[#This Row],[BS_Debit]]&gt;0),"A",""))</f>
        <v/>
      </c>
      <c r="L24" s="1121" t="str">
        <f>IF(AND(BalanceN[[#This Row],[Vérif]]="D",BalanceN[[#This Row],[BE_Credit]]&gt;0),"A",IF(AND(BalanceN[[#This Row],[Vérif]]="C",BalanceN[[#This Row],[BE_Debit]]&gt;0),"A",""))</f>
        <v/>
      </c>
      <c r="N24" s="1126">
        <v>244100</v>
      </c>
      <c r="O24" s="1124" t="s">
        <v>10257</v>
      </c>
      <c r="P24" s="1127">
        <v>1325000</v>
      </c>
      <c r="Q24" s="1127"/>
      <c r="R24" s="1127"/>
      <c r="S24" s="1127"/>
      <c r="T24" s="1127">
        <v>1325000</v>
      </c>
      <c r="U24" s="1127"/>
      <c r="V24" s="1260">
        <f>VALUE(LEFT(BalanceN1[[#This Row],[Compte]]&amp;"00000000",5))</f>
        <v>24410</v>
      </c>
      <c r="W24" s="1261" t="str" cm="1">
        <f t="array" ref="W24">IF(BalanceN1[[#This Row],[Compte]]="",0,_xlfn.IFNA(INDEX(Plan_Comptable[[Table de Compte]:[Sens]],MATCH(VALUE(LEFT(BalanceN1[[#This Row],[Table]],4)),VALUE(Plan_Comptable[Table de Compte]),0),2),"A"))</f>
        <v>D</v>
      </c>
      <c r="X24" s="1262" t="str">
        <f>IF(AND(BalanceN1[[#This Row],[Vérif]]="D",BalanceN1[[#This Row],[BS_Credit]]&gt;0),"A",IF(AND(BalanceN1[[#This Row],[Vérif]]="C",BalanceN1[[#This Row],[BS_Debit]]&gt;0),"A",""))</f>
        <v/>
      </c>
      <c r="Y24" s="1262" t="str">
        <f>IF(AND(BalanceN1[[#This Row],[Vérif]]="D",BalanceN1[[#This Row],[BE_Credit]]&gt;0),"A",IF(AND(BalanceN1[[#This Row],[Vérif]]="C",BalanceN1[[#This Row],[BE_Debit]]&gt;0),"A",""))</f>
        <v/>
      </c>
    </row>
    <row r="25" spans="1:25" ht="18" customHeight="1">
      <c r="A25" s="1124">
        <v>2298</v>
      </c>
      <c r="B25" s="1124" t="s">
        <v>11774</v>
      </c>
      <c r="C25" s="1125">
        <v>22673950</v>
      </c>
      <c r="D25" s="1125"/>
      <c r="E25" s="1125"/>
      <c r="F25" s="1125"/>
      <c r="G25" s="1125">
        <v>22673950</v>
      </c>
      <c r="H25" s="1125"/>
      <c r="I25" s="1122">
        <f>VALUE(LEFT(BalanceN[[#This Row],[Compte]]&amp;"00000000",5))</f>
        <v>22980</v>
      </c>
      <c r="J25" s="1123" t="str" cm="1">
        <f t="array" ref="J25">IF(BalanceN[[#This Row],[Compte]]="",0,_xlfn.IFNA(INDEX(Plan_Comptable[[Table de Compte]:[Sens]],MATCH(VALUE(LEFT(BalanceN[[#This Row],[Table]],4)),VALUE(Plan_Comptable[Table de Compte]),0),2),"A"))</f>
        <v>D</v>
      </c>
      <c r="K25" s="1121" t="str">
        <f>IF(AND(BalanceN[[#This Row],[Vérif]]="D",BalanceN[[#This Row],[BS_Credit]]&gt;0),"A",IF(AND(BalanceN[[#This Row],[Vérif]]="C",BalanceN[[#This Row],[BS_Debit]]&gt;0),"A",""))</f>
        <v/>
      </c>
      <c r="L25" s="1121" t="str">
        <f>IF(AND(BalanceN[[#This Row],[Vérif]]="D",BalanceN[[#This Row],[BE_Credit]]&gt;0),"A",IF(AND(BalanceN[[#This Row],[Vérif]]="C",BalanceN[[#This Row],[BE_Debit]]&gt;0),"A",""))</f>
        <v/>
      </c>
      <c r="N25" s="1126">
        <v>244200</v>
      </c>
      <c r="O25" s="1124" t="s">
        <v>11887</v>
      </c>
      <c r="P25" s="1127">
        <v>6867703</v>
      </c>
      <c r="Q25" s="1127"/>
      <c r="R25" s="1127"/>
      <c r="S25" s="1127"/>
      <c r="T25" s="1127">
        <v>6867703</v>
      </c>
      <c r="U25" s="1127"/>
      <c r="V25" s="1260">
        <f>VALUE(LEFT(BalanceN1[[#This Row],[Compte]]&amp;"00000000",5))</f>
        <v>24420</v>
      </c>
      <c r="W25" s="1261" t="str" cm="1">
        <f t="array" ref="W25">IF(BalanceN1[[#This Row],[Compte]]="",0,_xlfn.IFNA(INDEX(Plan_Comptable[[Table de Compte]:[Sens]],MATCH(VALUE(LEFT(BalanceN1[[#This Row],[Table]],4)),VALUE(Plan_Comptable[Table de Compte]),0),2),"A"))</f>
        <v>D</v>
      </c>
      <c r="X25" s="1262" t="str">
        <f>IF(AND(BalanceN1[[#This Row],[Vérif]]="D",BalanceN1[[#This Row],[BS_Credit]]&gt;0),"A",IF(AND(BalanceN1[[#This Row],[Vérif]]="C",BalanceN1[[#This Row],[BS_Debit]]&gt;0),"A",""))</f>
        <v/>
      </c>
      <c r="Y25" s="1262" t="str">
        <f>IF(AND(BalanceN1[[#This Row],[Vérif]]="D",BalanceN1[[#This Row],[BE_Credit]]&gt;0),"A",IF(AND(BalanceN1[[#This Row],[Vérif]]="C",BalanceN1[[#This Row],[BE_Debit]]&gt;0),"A",""))</f>
        <v/>
      </c>
    </row>
    <row r="26" spans="1:25" ht="18" customHeight="1">
      <c r="A26" s="1124">
        <v>231100</v>
      </c>
      <c r="B26" s="1124" t="s">
        <v>11775</v>
      </c>
      <c r="C26" s="1125">
        <v>55000000</v>
      </c>
      <c r="D26" s="1125"/>
      <c r="E26" s="1125">
        <v>23000000</v>
      </c>
      <c r="F26" s="1125"/>
      <c r="G26" s="1125">
        <v>78000000</v>
      </c>
      <c r="H26" s="1125"/>
      <c r="I26" s="1122">
        <f>VALUE(LEFT(BalanceN[[#This Row],[Compte]]&amp;"00000000",5))</f>
        <v>23110</v>
      </c>
      <c r="J26" s="1123" t="str" cm="1">
        <f t="array" ref="J26">IF(BalanceN[[#This Row],[Compte]]="",0,_xlfn.IFNA(INDEX(Plan_Comptable[[Table de Compte]:[Sens]],MATCH(VALUE(LEFT(BalanceN[[#This Row],[Table]],4)),VALUE(Plan_Comptable[Table de Compte]),0),2),"A"))</f>
        <v>D</v>
      </c>
      <c r="K26" s="1121" t="str">
        <f>IF(AND(BalanceN[[#This Row],[Vérif]]="D",BalanceN[[#This Row],[BS_Credit]]&gt;0),"A",IF(AND(BalanceN[[#This Row],[Vérif]]="C",BalanceN[[#This Row],[BS_Debit]]&gt;0),"A",""))</f>
        <v/>
      </c>
      <c r="L26" s="1121" t="str">
        <f>IF(AND(BalanceN[[#This Row],[Vérif]]="D",BalanceN[[#This Row],[BE_Credit]]&gt;0),"A",IF(AND(BalanceN[[#This Row],[Vérif]]="C",BalanceN[[#This Row],[BE_Debit]]&gt;0),"A",""))</f>
        <v/>
      </c>
      <c r="N26" s="1126">
        <v>244400</v>
      </c>
      <c r="O26" s="1124" t="s">
        <v>10261</v>
      </c>
      <c r="P26" s="1127">
        <v>4968900</v>
      </c>
      <c r="Q26" s="1127"/>
      <c r="R26" s="1127"/>
      <c r="S26" s="1127"/>
      <c r="T26" s="1127">
        <v>4968900</v>
      </c>
      <c r="U26" s="1127"/>
      <c r="V26" s="1260">
        <f>VALUE(LEFT(BalanceN1[[#This Row],[Compte]]&amp;"00000000",5))</f>
        <v>24440</v>
      </c>
      <c r="W26" s="1261" t="str" cm="1">
        <f t="array" ref="W26">IF(BalanceN1[[#This Row],[Compte]]="",0,_xlfn.IFNA(INDEX(Plan_Comptable[[Table de Compte]:[Sens]],MATCH(VALUE(LEFT(BalanceN1[[#This Row],[Table]],4)),VALUE(Plan_Comptable[Table de Compte]),0),2),"A"))</f>
        <v>D</v>
      </c>
      <c r="X26" s="1262" t="str">
        <f>IF(AND(BalanceN1[[#This Row],[Vérif]]="D",BalanceN1[[#This Row],[BS_Credit]]&gt;0),"A",IF(AND(BalanceN1[[#This Row],[Vérif]]="C",BalanceN1[[#This Row],[BS_Debit]]&gt;0),"A",""))</f>
        <v/>
      </c>
      <c r="Y26" s="1262" t="str">
        <f>IF(AND(BalanceN1[[#This Row],[Vérif]]="D",BalanceN1[[#This Row],[BE_Credit]]&gt;0),"A",IF(AND(BalanceN1[[#This Row],[Vérif]]="C",BalanceN1[[#This Row],[BE_Debit]]&gt;0),"A",""))</f>
        <v/>
      </c>
    </row>
    <row r="27" spans="1:25" ht="18" customHeight="1">
      <c r="A27" s="1124">
        <v>232100</v>
      </c>
      <c r="B27" s="1124" t="s">
        <v>11776</v>
      </c>
      <c r="C27" s="1125">
        <v>231411100</v>
      </c>
      <c r="D27" s="1125"/>
      <c r="E27" s="1125">
        <v>432000000</v>
      </c>
      <c r="F27" s="1125"/>
      <c r="G27" s="1125">
        <v>663411100</v>
      </c>
      <c r="H27" s="1125"/>
      <c r="I27" s="1122">
        <f>VALUE(LEFT(BalanceN[[#This Row],[Compte]]&amp;"00000000",5))</f>
        <v>23210</v>
      </c>
      <c r="J27" s="1123" t="str" cm="1">
        <f t="array" ref="J27">IF(BalanceN[[#This Row],[Compte]]="",0,_xlfn.IFNA(INDEX(Plan_Comptable[[Table de Compte]:[Sens]],MATCH(VALUE(LEFT(BalanceN[[#This Row],[Table]],4)),VALUE(Plan_Comptable[Table de Compte]),0),2),"A"))</f>
        <v>D</v>
      </c>
      <c r="K27" s="1121" t="str">
        <f>IF(AND(BalanceN[[#This Row],[Vérif]]="D",BalanceN[[#This Row],[BS_Credit]]&gt;0),"A",IF(AND(BalanceN[[#This Row],[Vérif]]="C",BalanceN[[#This Row],[BS_Debit]]&gt;0),"A",""))</f>
        <v/>
      </c>
      <c r="L27" s="1121" t="str">
        <f>IF(AND(BalanceN[[#This Row],[Vérif]]="D",BalanceN[[#This Row],[BE_Credit]]&gt;0),"A",IF(AND(BalanceN[[#This Row],[Vérif]]="C",BalanceN[[#This Row],[BE_Debit]]&gt;0),"A",""))</f>
        <v/>
      </c>
      <c r="N27" s="1126">
        <v>245100</v>
      </c>
      <c r="O27" s="1124" t="s">
        <v>10269</v>
      </c>
      <c r="P27" s="1127">
        <v>54050000</v>
      </c>
      <c r="Q27" s="1127"/>
      <c r="R27" s="1127"/>
      <c r="S27" s="1127"/>
      <c r="T27" s="1127">
        <v>54050000</v>
      </c>
      <c r="U27" s="1127"/>
      <c r="V27" s="1260">
        <f>VALUE(LEFT(BalanceN1[[#This Row],[Compte]]&amp;"00000000",5))</f>
        <v>24510</v>
      </c>
      <c r="W27" s="1261" t="str" cm="1">
        <f t="array" ref="W27">IF(BalanceN1[[#This Row],[Compte]]="",0,_xlfn.IFNA(INDEX(Plan_Comptable[[Table de Compte]:[Sens]],MATCH(VALUE(LEFT(BalanceN1[[#This Row],[Table]],4)),VALUE(Plan_Comptable[Table de Compte]),0),2),"A"))</f>
        <v>D</v>
      </c>
      <c r="X27" s="1262" t="str">
        <f>IF(AND(BalanceN1[[#This Row],[Vérif]]="D",BalanceN1[[#This Row],[BS_Credit]]&gt;0),"A",IF(AND(BalanceN1[[#This Row],[Vérif]]="C",BalanceN1[[#This Row],[BS_Debit]]&gt;0),"A",""))</f>
        <v/>
      </c>
      <c r="Y27" s="1262" t="str">
        <f>IF(AND(BalanceN1[[#This Row],[Vérif]]="D",BalanceN1[[#This Row],[BE_Credit]]&gt;0),"A",IF(AND(BalanceN1[[#This Row],[Vérif]]="C",BalanceN1[[#This Row],[BE_Debit]]&gt;0),"A",""))</f>
        <v/>
      </c>
    </row>
    <row r="28" spans="1:25" ht="18" customHeight="1">
      <c r="A28" s="1124">
        <v>235100</v>
      </c>
      <c r="B28" s="1124" t="s">
        <v>10229</v>
      </c>
      <c r="C28" s="1125">
        <v>60263648</v>
      </c>
      <c r="D28" s="1125"/>
      <c r="E28" s="1125">
        <v>1000000</v>
      </c>
      <c r="F28" s="1125"/>
      <c r="G28" s="1125">
        <v>61263648</v>
      </c>
      <c r="H28" s="1125"/>
      <c r="I28" s="1122">
        <f>VALUE(LEFT(BalanceN[[#This Row],[Compte]]&amp;"00000000",5))</f>
        <v>23510</v>
      </c>
      <c r="J28" s="1123" t="str" cm="1">
        <f t="array" ref="J28">IF(BalanceN[[#This Row],[Compte]]="",0,_xlfn.IFNA(INDEX(Plan_Comptable[[Table de Compte]:[Sens]],MATCH(VALUE(LEFT(BalanceN[[#This Row],[Table]],4)),VALUE(Plan_Comptable[Table de Compte]),0),2),"A"))</f>
        <v>D</v>
      </c>
      <c r="K28" s="1121" t="str">
        <f>IF(AND(BalanceN[[#This Row],[Vérif]]="D",BalanceN[[#This Row],[BS_Credit]]&gt;0),"A",IF(AND(BalanceN[[#This Row],[Vérif]]="C",BalanceN[[#This Row],[BS_Debit]]&gt;0),"A",""))</f>
        <v/>
      </c>
      <c r="L28" s="1121" t="str">
        <f>IF(AND(BalanceN[[#This Row],[Vérif]]="D",BalanceN[[#This Row],[BE_Credit]]&gt;0),"A",IF(AND(BalanceN[[#This Row],[Vérif]]="C",BalanceN[[#This Row],[BE_Debit]]&gt;0),"A",""))</f>
        <v/>
      </c>
      <c r="N28" s="1126">
        <v>272800</v>
      </c>
      <c r="O28" s="1124" t="s">
        <v>10323</v>
      </c>
      <c r="P28" s="1127">
        <v>1245000</v>
      </c>
      <c r="Q28" s="1127"/>
      <c r="R28" s="1127">
        <v>682000</v>
      </c>
      <c r="S28" s="1127"/>
      <c r="T28" s="1127">
        <v>1927000</v>
      </c>
      <c r="U28" s="1127"/>
      <c r="V28" s="1260">
        <f>VALUE(LEFT(BalanceN1[[#This Row],[Compte]]&amp;"00000000",5))</f>
        <v>27280</v>
      </c>
      <c r="W28" s="1261" t="str" cm="1">
        <f t="array" ref="W28">IF(BalanceN1[[#This Row],[Compte]]="",0,_xlfn.IFNA(INDEX(Plan_Comptable[[Table de Compte]:[Sens]],MATCH(VALUE(LEFT(BalanceN1[[#This Row],[Table]],4)),VALUE(Plan_Comptable[Table de Compte]),0),2),"A"))</f>
        <v>D</v>
      </c>
      <c r="X28" s="1262" t="str">
        <f>IF(AND(BalanceN1[[#This Row],[Vérif]]="D",BalanceN1[[#This Row],[BS_Credit]]&gt;0),"A",IF(AND(BalanceN1[[#This Row],[Vérif]]="C",BalanceN1[[#This Row],[BS_Debit]]&gt;0),"A",""))</f>
        <v/>
      </c>
      <c r="Y28" s="1262" t="str">
        <f>IF(AND(BalanceN1[[#This Row],[Vérif]]="D",BalanceN1[[#This Row],[BE_Credit]]&gt;0),"A",IF(AND(BalanceN1[[#This Row],[Vérif]]="C",BalanceN1[[#This Row],[BE_Debit]]&gt;0),"A",""))</f>
        <v/>
      </c>
    </row>
    <row r="29" spans="1:25" ht="18" customHeight="1">
      <c r="A29" s="1124">
        <v>238000</v>
      </c>
      <c r="B29" s="1124" t="s">
        <v>11777</v>
      </c>
      <c r="C29" s="1125">
        <v>11064619</v>
      </c>
      <c r="D29" s="1125"/>
      <c r="E29" s="1125">
        <v>1000000</v>
      </c>
      <c r="F29" s="1125"/>
      <c r="G29" s="1125">
        <v>12064619</v>
      </c>
      <c r="H29" s="1125"/>
      <c r="I29" s="1122">
        <f>VALUE(LEFT(BalanceN[[#This Row],[Compte]]&amp;"00000000",5))</f>
        <v>23800</v>
      </c>
      <c r="J29" s="1123" t="str" cm="1">
        <f t="array" ref="J29">IF(BalanceN[[#This Row],[Compte]]="",0,_xlfn.IFNA(INDEX(Plan_Comptable[[Table de Compte]:[Sens]],MATCH(VALUE(LEFT(BalanceN[[#This Row],[Table]],4)),VALUE(Plan_Comptable[Table de Compte]),0),2),"A"))</f>
        <v>D</v>
      </c>
      <c r="K29" s="1121" t="str">
        <f>IF(AND(BalanceN[[#This Row],[Vérif]]="D",BalanceN[[#This Row],[BS_Credit]]&gt;0),"A",IF(AND(BalanceN[[#This Row],[Vérif]]="C",BalanceN[[#This Row],[BS_Debit]]&gt;0),"A",""))</f>
        <v/>
      </c>
      <c r="L29" s="1121" t="str">
        <f>IF(AND(BalanceN[[#This Row],[Vérif]]="D",BalanceN[[#This Row],[BE_Credit]]&gt;0),"A",IF(AND(BalanceN[[#This Row],[Vérif]]="C",BalanceN[[#This Row],[BE_Debit]]&gt;0),"A",""))</f>
        <v/>
      </c>
      <c r="N29" s="1126">
        <v>2752</v>
      </c>
      <c r="O29" s="1124" t="s">
        <v>11888</v>
      </c>
      <c r="P29" s="1127">
        <v>1238776</v>
      </c>
      <c r="Q29" s="1127"/>
      <c r="R29" s="1127">
        <v>276379</v>
      </c>
      <c r="S29" s="1127">
        <v>179865</v>
      </c>
      <c r="T29" s="1127">
        <v>1335290</v>
      </c>
      <c r="U29" s="1127"/>
      <c r="V29" s="1260">
        <f>VALUE(LEFT(BalanceN1[[#This Row],[Compte]]&amp;"00000000",5))</f>
        <v>27520</v>
      </c>
      <c r="W29" s="1261" t="str" cm="1">
        <f t="array" ref="W29">IF(BalanceN1[[#This Row],[Compte]]="",0,_xlfn.IFNA(INDEX(Plan_Comptable[[Table de Compte]:[Sens]],MATCH(VALUE(LEFT(BalanceN1[[#This Row],[Table]],4)),VALUE(Plan_Comptable[Table de Compte]),0),2),"A"))</f>
        <v>D</v>
      </c>
      <c r="X29" s="1262" t="str">
        <f>IF(AND(BalanceN1[[#This Row],[Vérif]]="D",BalanceN1[[#This Row],[BS_Credit]]&gt;0),"A",IF(AND(BalanceN1[[#This Row],[Vérif]]="C",BalanceN1[[#This Row],[BS_Debit]]&gt;0),"A",""))</f>
        <v/>
      </c>
      <c r="Y29" s="1262" t="str">
        <f>IF(AND(BalanceN1[[#This Row],[Vérif]]="D",BalanceN1[[#This Row],[BE_Credit]]&gt;0),"A",IF(AND(BalanceN1[[#This Row],[Vérif]]="C",BalanceN1[[#This Row],[BE_Debit]]&gt;0),"A",""))</f>
        <v/>
      </c>
    </row>
    <row r="30" spans="1:25" ht="18" customHeight="1">
      <c r="A30" s="1124">
        <v>241100</v>
      </c>
      <c r="B30" s="1124" t="s">
        <v>10243</v>
      </c>
      <c r="C30" s="1125">
        <v>91310403</v>
      </c>
      <c r="D30" s="1125"/>
      <c r="E30" s="1125">
        <v>17694000</v>
      </c>
      <c r="F30" s="1125">
        <v>40023276</v>
      </c>
      <c r="G30" s="1125">
        <v>68981127</v>
      </c>
      <c r="H30" s="1125"/>
      <c r="I30" s="1122">
        <f>VALUE(LEFT(BalanceN[[#This Row],[Compte]]&amp;"00000000",5))</f>
        <v>24110</v>
      </c>
      <c r="J30" s="1123" t="str" cm="1">
        <f t="array" ref="J30">IF(BalanceN[[#This Row],[Compte]]="",0,_xlfn.IFNA(INDEX(Plan_Comptable[[Table de Compte]:[Sens]],MATCH(VALUE(LEFT(BalanceN[[#This Row],[Table]],4)),VALUE(Plan_Comptable[Table de Compte]),0),2),"A"))</f>
        <v>D</v>
      </c>
      <c r="K30" s="1121" t="str">
        <f>IF(AND(BalanceN[[#This Row],[Vérif]]="D",BalanceN[[#This Row],[BS_Credit]]&gt;0),"A",IF(AND(BalanceN[[#This Row],[Vérif]]="C",BalanceN[[#This Row],[BS_Debit]]&gt;0),"A",""))</f>
        <v/>
      </c>
      <c r="L30" s="1121" t="str">
        <f>IF(AND(BalanceN[[#This Row],[Vérif]]="D",BalanceN[[#This Row],[BE_Credit]]&gt;0),"A",IF(AND(BalanceN[[#This Row],[Vérif]]="C",BalanceN[[#This Row],[BE_Debit]]&gt;0),"A",""))</f>
        <v/>
      </c>
      <c r="N30" s="1126">
        <v>275300</v>
      </c>
      <c r="O30" s="1124" t="s">
        <v>11780</v>
      </c>
      <c r="P30" s="1127">
        <v>87068</v>
      </c>
      <c r="Q30" s="1127"/>
      <c r="R30" s="1127"/>
      <c r="S30" s="1127"/>
      <c r="T30" s="1127">
        <v>87068</v>
      </c>
      <c r="U30" s="1127"/>
      <c r="V30" s="1260">
        <f>VALUE(LEFT(BalanceN1[[#This Row],[Compte]]&amp;"00000000",5))</f>
        <v>27530</v>
      </c>
      <c r="W30" s="1261" t="str" cm="1">
        <f t="array" ref="W30">IF(BalanceN1[[#This Row],[Compte]]="",0,_xlfn.IFNA(INDEX(Plan_Comptable[[Table de Compte]:[Sens]],MATCH(VALUE(LEFT(BalanceN1[[#This Row],[Table]],4)),VALUE(Plan_Comptable[Table de Compte]),0),2),"A"))</f>
        <v>D</v>
      </c>
      <c r="X30" s="1262" t="str">
        <f>IF(AND(BalanceN1[[#This Row],[Vérif]]="D",BalanceN1[[#This Row],[BS_Credit]]&gt;0),"A",IF(AND(BalanceN1[[#This Row],[Vérif]]="C",BalanceN1[[#This Row],[BS_Debit]]&gt;0),"A",""))</f>
        <v/>
      </c>
      <c r="Y30" s="1262" t="str">
        <f>IF(AND(BalanceN1[[#This Row],[Vérif]]="D",BalanceN1[[#This Row],[BE_Credit]]&gt;0),"A",IF(AND(BalanceN1[[#This Row],[Vérif]]="C",BalanceN1[[#This Row],[BE_Debit]]&gt;0),"A",""))</f>
        <v/>
      </c>
    </row>
    <row r="31" spans="1:25" ht="18" customHeight="1">
      <c r="A31" s="1124">
        <v>244100</v>
      </c>
      <c r="B31" s="1124" t="s">
        <v>10257</v>
      </c>
      <c r="C31" s="1125">
        <v>1325000</v>
      </c>
      <c r="D31" s="1125"/>
      <c r="E31" s="1125">
        <v>5075000</v>
      </c>
      <c r="F31" s="1125">
        <v>140000</v>
      </c>
      <c r="G31" s="1125">
        <v>6260000</v>
      </c>
      <c r="H31" s="1125"/>
      <c r="I31" s="1122">
        <f>VALUE(LEFT(BalanceN[[#This Row],[Compte]]&amp;"00000000",5))</f>
        <v>24410</v>
      </c>
      <c r="J31" s="1123" t="str" cm="1">
        <f t="array" ref="J31">IF(BalanceN[[#This Row],[Compte]]="",0,_xlfn.IFNA(INDEX(Plan_Comptable[[Table de Compte]:[Sens]],MATCH(VALUE(LEFT(BalanceN[[#This Row],[Table]],4)),VALUE(Plan_Comptable[Table de Compte]),0),2),"A"))</f>
        <v>D</v>
      </c>
      <c r="K31" s="1121" t="str">
        <f>IF(AND(BalanceN[[#This Row],[Vérif]]="D",BalanceN[[#This Row],[BS_Credit]]&gt;0),"A",IF(AND(BalanceN[[#This Row],[Vérif]]="C",BalanceN[[#This Row],[BS_Debit]]&gt;0),"A",""))</f>
        <v/>
      </c>
      <c r="L31" s="1121" t="str">
        <f>IF(AND(BalanceN[[#This Row],[Vérif]]="D",BalanceN[[#This Row],[BE_Credit]]&gt;0),"A",IF(AND(BalanceN[[#This Row],[Vérif]]="C",BalanceN[[#This Row],[BE_Debit]]&gt;0),"A",""))</f>
        <v/>
      </c>
      <c r="N31" s="1126">
        <v>275500</v>
      </c>
      <c r="O31" s="1124" t="s">
        <v>11889</v>
      </c>
      <c r="P31" s="1127">
        <v>449300</v>
      </c>
      <c r="Q31" s="1127"/>
      <c r="R31" s="1127"/>
      <c r="S31" s="1127"/>
      <c r="T31" s="1127">
        <v>449300</v>
      </c>
      <c r="U31" s="1127"/>
      <c r="V31" s="1260">
        <f>VALUE(LEFT(BalanceN1[[#This Row],[Compte]]&amp;"00000000",5))</f>
        <v>27550</v>
      </c>
      <c r="W31" s="1261" t="str" cm="1">
        <f t="array" ref="W31">IF(BalanceN1[[#This Row],[Compte]]="",0,_xlfn.IFNA(INDEX(Plan_Comptable[[Table de Compte]:[Sens]],MATCH(VALUE(LEFT(BalanceN1[[#This Row],[Table]],4)),VALUE(Plan_Comptable[Table de Compte]),0),2),"A"))</f>
        <v>D</v>
      </c>
      <c r="X31" s="1262" t="str">
        <f>IF(AND(BalanceN1[[#This Row],[Vérif]]="D",BalanceN1[[#This Row],[BS_Credit]]&gt;0),"A",IF(AND(BalanceN1[[#This Row],[Vérif]]="C",BalanceN1[[#This Row],[BS_Debit]]&gt;0),"A",""))</f>
        <v/>
      </c>
      <c r="Y31" s="1262" t="str">
        <f>IF(AND(BalanceN1[[#This Row],[Vérif]]="D",BalanceN1[[#This Row],[BE_Credit]]&gt;0),"A",IF(AND(BalanceN1[[#This Row],[Vérif]]="C",BalanceN1[[#This Row],[BE_Debit]]&gt;0),"A",""))</f>
        <v/>
      </c>
    </row>
    <row r="32" spans="1:25" ht="18" customHeight="1">
      <c r="A32" s="1124">
        <v>244200</v>
      </c>
      <c r="B32" s="1124" t="s">
        <v>10259</v>
      </c>
      <c r="C32" s="1125">
        <v>6867703</v>
      </c>
      <c r="D32" s="1125"/>
      <c r="E32" s="1125">
        <v>1199000</v>
      </c>
      <c r="F32" s="1125">
        <v>5829703</v>
      </c>
      <c r="G32" s="1125">
        <v>2237000</v>
      </c>
      <c r="H32" s="1125"/>
      <c r="I32" s="1122">
        <f>VALUE(LEFT(BalanceN[[#This Row],[Compte]]&amp;"00000000",5))</f>
        <v>24420</v>
      </c>
      <c r="J32" s="1123" t="str" cm="1">
        <f t="array" ref="J32">IF(BalanceN[[#This Row],[Compte]]="",0,_xlfn.IFNA(INDEX(Plan_Comptable[[Table de Compte]:[Sens]],MATCH(VALUE(LEFT(BalanceN[[#This Row],[Table]],4)),VALUE(Plan_Comptable[Table de Compte]),0),2),"A"))</f>
        <v>D</v>
      </c>
      <c r="K32" s="1121" t="str">
        <f>IF(AND(BalanceN[[#This Row],[Vérif]]="D",BalanceN[[#This Row],[BS_Credit]]&gt;0),"A",IF(AND(BalanceN[[#This Row],[Vérif]]="C",BalanceN[[#This Row],[BS_Debit]]&gt;0),"A",""))</f>
        <v/>
      </c>
      <c r="L32" s="1121" t="str">
        <f>IF(AND(BalanceN[[#This Row],[Vérif]]="D",BalanceN[[#This Row],[BE_Credit]]&gt;0),"A",IF(AND(BalanceN[[#This Row],[Vérif]]="C",BalanceN[[#This Row],[BE_Debit]]&gt;0),"A",""))</f>
        <v/>
      </c>
      <c r="N32" s="1126">
        <v>275800</v>
      </c>
      <c r="O32" s="1124" t="s">
        <v>11890</v>
      </c>
      <c r="P32" s="1127">
        <v>750000</v>
      </c>
      <c r="Q32" s="1127"/>
      <c r="R32" s="1127"/>
      <c r="S32" s="1127"/>
      <c r="T32" s="1127">
        <v>750000</v>
      </c>
      <c r="U32" s="1127"/>
      <c r="V32" s="1260">
        <f>VALUE(LEFT(BalanceN1[[#This Row],[Compte]]&amp;"00000000",5))</f>
        <v>27580</v>
      </c>
      <c r="W32" s="1261" t="str" cm="1">
        <f t="array" ref="W32">IF(BalanceN1[[#This Row],[Compte]]="",0,_xlfn.IFNA(INDEX(Plan_Comptable[[Table de Compte]:[Sens]],MATCH(VALUE(LEFT(BalanceN1[[#This Row],[Table]],4)),VALUE(Plan_Comptable[Table de Compte]),0),2),"A"))</f>
        <v>D</v>
      </c>
      <c r="X32" s="1262" t="str">
        <f>IF(AND(BalanceN1[[#This Row],[Vérif]]="D",BalanceN1[[#This Row],[BS_Credit]]&gt;0),"A",IF(AND(BalanceN1[[#This Row],[Vérif]]="C",BalanceN1[[#This Row],[BS_Debit]]&gt;0),"A",""))</f>
        <v/>
      </c>
      <c r="Y32" s="1262" t="str">
        <f>IF(AND(BalanceN1[[#This Row],[Vérif]]="D",BalanceN1[[#This Row],[BE_Credit]]&gt;0),"A",IF(AND(BalanceN1[[#This Row],[Vérif]]="C",BalanceN1[[#This Row],[BE_Debit]]&gt;0),"A",""))</f>
        <v/>
      </c>
    </row>
    <row r="33" spans="1:25" ht="18" customHeight="1">
      <c r="A33" s="1124">
        <v>244400</v>
      </c>
      <c r="B33" s="1124" t="s">
        <v>10261</v>
      </c>
      <c r="C33" s="1125">
        <v>4968900</v>
      </c>
      <c r="D33" s="1125"/>
      <c r="E33" s="1125">
        <v>500000</v>
      </c>
      <c r="F33" s="1125"/>
      <c r="G33" s="1125">
        <v>5468900</v>
      </c>
      <c r="H33" s="1125"/>
      <c r="I33" s="1122">
        <f>VALUE(LEFT(BalanceN[[#This Row],[Compte]]&amp;"00000000",5))</f>
        <v>24440</v>
      </c>
      <c r="J33" s="1123" t="str" cm="1">
        <f t="array" ref="J33">IF(BalanceN[[#This Row],[Compte]]="",0,_xlfn.IFNA(INDEX(Plan_Comptable[[Table de Compte]:[Sens]],MATCH(VALUE(LEFT(BalanceN[[#This Row],[Table]],4)),VALUE(Plan_Comptable[Table de Compte]),0),2),"A"))</f>
        <v>D</v>
      </c>
      <c r="K33" s="1121" t="str">
        <f>IF(AND(BalanceN[[#This Row],[Vérif]]="D",BalanceN[[#This Row],[BS_Credit]]&gt;0),"A",IF(AND(BalanceN[[#This Row],[Vérif]]="C",BalanceN[[#This Row],[BS_Debit]]&gt;0),"A",""))</f>
        <v/>
      </c>
      <c r="L33" s="1121" t="str">
        <f>IF(AND(BalanceN[[#This Row],[Vérif]]="D",BalanceN[[#This Row],[BE_Credit]]&gt;0),"A",IF(AND(BalanceN[[#This Row],[Vérif]]="C",BalanceN[[#This Row],[BE_Debit]]&gt;0),"A",""))</f>
        <v/>
      </c>
      <c r="N33" s="1126">
        <v>276200</v>
      </c>
      <c r="O33" s="1124" t="s">
        <v>11891</v>
      </c>
      <c r="P33" s="1127">
        <v>1000000</v>
      </c>
      <c r="Q33" s="1127"/>
      <c r="R33" s="1127"/>
      <c r="S33" s="1127">
        <v>1000000</v>
      </c>
      <c r="T33" s="1127"/>
      <c r="U33" s="1127"/>
      <c r="V33" s="1260">
        <f>VALUE(LEFT(BalanceN1[[#This Row],[Compte]]&amp;"00000000",5))</f>
        <v>27620</v>
      </c>
      <c r="W33" s="1261" t="str" cm="1">
        <f t="array" ref="W33">IF(BalanceN1[[#This Row],[Compte]]="",0,_xlfn.IFNA(INDEX(Plan_Comptable[[Table de Compte]:[Sens]],MATCH(VALUE(LEFT(BalanceN1[[#This Row],[Table]],4)),VALUE(Plan_Comptable[Table de Compte]),0),2),"A"))</f>
        <v>D</v>
      </c>
      <c r="X33" s="1262" t="str">
        <f>IF(AND(BalanceN1[[#This Row],[Vérif]]="D",BalanceN1[[#This Row],[BS_Credit]]&gt;0),"A",IF(AND(BalanceN1[[#This Row],[Vérif]]="C",BalanceN1[[#This Row],[BS_Debit]]&gt;0),"A",""))</f>
        <v/>
      </c>
      <c r="Y33" s="1262" t="str">
        <f>IF(AND(BalanceN1[[#This Row],[Vérif]]="D",BalanceN1[[#This Row],[BE_Credit]]&gt;0),"A",IF(AND(BalanceN1[[#This Row],[Vérif]]="C",BalanceN1[[#This Row],[BE_Debit]]&gt;0),"A",""))</f>
        <v/>
      </c>
    </row>
    <row r="34" spans="1:25" ht="18" customHeight="1">
      <c r="A34" s="1124">
        <v>245100</v>
      </c>
      <c r="B34" s="1124" t="s">
        <v>10269</v>
      </c>
      <c r="C34" s="1125">
        <v>54050000</v>
      </c>
      <c r="D34" s="1125"/>
      <c r="E34" s="1125">
        <v>22000000</v>
      </c>
      <c r="F34" s="1125"/>
      <c r="G34" s="1125">
        <v>76050000</v>
      </c>
      <c r="H34" s="1125"/>
      <c r="I34" s="1122">
        <f>VALUE(LEFT(BalanceN[[#This Row],[Compte]]&amp;"00000000",5))</f>
        <v>24510</v>
      </c>
      <c r="J34" s="1123" t="str" cm="1">
        <f t="array" ref="J34">IF(BalanceN[[#This Row],[Compte]]="",0,_xlfn.IFNA(INDEX(Plan_Comptable[[Table de Compte]:[Sens]],MATCH(VALUE(LEFT(BalanceN[[#This Row],[Table]],4)),VALUE(Plan_Comptable[Table de Compte]),0),2),"A"))</f>
        <v>D</v>
      </c>
      <c r="K34" s="1121" t="str">
        <f>IF(AND(BalanceN[[#This Row],[Vérif]]="D",BalanceN[[#This Row],[BS_Credit]]&gt;0),"A",IF(AND(BalanceN[[#This Row],[Vérif]]="C",BalanceN[[#This Row],[BS_Debit]]&gt;0),"A",""))</f>
        <v/>
      </c>
      <c r="L34" s="1121" t="str">
        <f>IF(AND(BalanceN[[#This Row],[Vérif]]="D",BalanceN[[#This Row],[BE_Credit]]&gt;0),"A",IF(AND(BalanceN[[#This Row],[Vérif]]="C",BalanceN[[#This Row],[BE_Debit]]&gt;0),"A",""))</f>
        <v/>
      </c>
      <c r="N34" s="1126">
        <v>283210</v>
      </c>
      <c r="O34" s="1124" t="s">
        <v>11892</v>
      </c>
      <c r="P34" s="1127"/>
      <c r="Q34" s="1127">
        <v>140579277</v>
      </c>
      <c r="R34" s="1127"/>
      <c r="S34" s="1127">
        <v>9734682</v>
      </c>
      <c r="T34" s="1127"/>
      <c r="U34" s="1127">
        <v>150313959</v>
      </c>
      <c r="V34" s="1260">
        <f>VALUE(LEFT(BalanceN1[[#This Row],[Compte]]&amp;"00000000",5))</f>
        <v>28321</v>
      </c>
      <c r="W34" s="1261" t="str" cm="1">
        <f t="array" ref="W34">IF(BalanceN1[[#This Row],[Compte]]="",0,_xlfn.IFNA(INDEX(Plan_Comptable[[Table de Compte]:[Sens]],MATCH(VALUE(LEFT(BalanceN1[[#This Row],[Table]],4)),VALUE(Plan_Comptable[Table de Compte]),0),2),"A"))</f>
        <v>C</v>
      </c>
      <c r="X34" s="1262" t="str">
        <f>IF(AND(BalanceN1[[#This Row],[Vérif]]="D",BalanceN1[[#This Row],[BS_Credit]]&gt;0),"A",IF(AND(BalanceN1[[#This Row],[Vérif]]="C",BalanceN1[[#This Row],[BS_Debit]]&gt;0),"A",""))</f>
        <v/>
      </c>
      <c r="Y34" s="1262" t="str">
        <f>IF(AND(BalanceN1[[#This Row],[Vérif]]="D",BalanceN1[[#This Row],[BE_Credit]]&gt;0),"A",IF(AND(BalanceN1[[#This Row],[Vérif]]="C",BalanceN1[[#This Row],[BE_Debit]]&gt;0),"A",""))</f>
        <v/>
      </c>
    </row>
    <row r="35" spans="1:25" ht="18" customHeight="1">
      <c r="A35" s="1124">
        <v>252000</v>
      </c>
      <c r="B35" s="1124" t="s">
        <v>11778</v>
      </c>
      <c r="C35" s="1125"/>
      <c r="D35" s="1125"/>
      <c r="E35" s="1125">
        <v>25000000</v>
      </c>
      <c r="F35" s="1125">
        <v>5000000</v>
      </c>
      <c r="G35" s="1125">
        <v>20000000</v>
      </c>
      <c r="H35" s="1125"/>
      <c r="I35" s="1122">
        <f>VALUE(LEFT(BalanceN[[#This Row],[Compte]]&amp;"00000000",5))</f>
        <v>25200</v>
      </c>
      <c r="J35" s="1123" t="str" cm="1">
        <f t="array" ref="J35">IF(BalanceN[[#This Row],[Compte]]="",0,_xlfn.IFNA(INDEX(Plan_Comptable[[Table de Compte]:[Sens]],MATCH(VALUE(LEFT(BalanceN[[#This Row],[Table]],4)),VALUE(Plan_Comptable[Table de Compte]),0),2),"A"))</f>
        <v>D</v>
      </c>
      <c r="K35" s="1121" t="str">
        <f>IF(AND(BalanceN[[#This Row],[Vérif]]="D",BalanceN[[#This Row],[BS_Credit]]&gt;0),"A",IF(AND(BalanceN[[#This Row],[Vérif]]="C",BalanceN[[#This Row],[BS_Debit]]&gt;0),"A",""))</f>
        <v/>
      </c>
      <c r="L35" s="1121" t="str">
        <f>IF(AND(BalanceN[[#This Row],[Vérif]]="D",BalanceN[[#This Row],[BE_Credit]]&gt;0),"A",IF(AND(BalanceN[[#This Row],[Vérif]]="C",BalanceN[[#This Row],[BE_Debit]]&gt;0),"A",""))</f>
        <v/>
      </c>
      <c r="N35" s="1126">
        <v>283510</v>
      </c>
      <c r="O35" s="1124" t="s">
        <v>11784</v>
      </c>
      <c r="P35" s="1127"/>
      <c r="Q35" s="1127">
        <v>71310267</v>
      </c>
      <c r="R35" s="1127"/>
      <c r="S35" s="1127">
        <v>18000</v>
      </c>
      <c r="T35" s="1127"/>
      <c r="U35" s="1127">
        <v>71328267</v>
      </c>
      <c r="V35" s="1260">
        <f>VALUE(LEFT(BalanceN1[[#This Row],[Compte]]&amp;"00000000",5))</f>
        <v>28351</v>
      </c>
      <c r="W35" s="1261" t="str" cm="1">
        <f t="array" ref="W35">IF(BalanceN1[[#This Row],[Compte]]="",0,_xlfn.IFNA(INDEX(Plan_Comptable[[Table de Compte]:[Sens]],MATCH(VALUE(LEFT(BalanceN1[[#This Row],[Table]],4)),VALUE(Plan_Comptable[Table de Compte]),0),2),"A"))</f>
        <v>C</v>
      </c>
      <c r="X35" s="1262" t="str">
        <f>IF(AND(BalanceN1[[#This Row],[Vérif]]="D",BalanceN1[[#This Row],[BS_Credit]]&gt;0),"A",IF(AND(BalanceN1[[#This Row],[Vérif]]="C",BalanceN1[[#This Row],[BS_Debit]]&gt;0),"A",""))</f>
        <v/>
      </c>
      <c r="Y35" s="1262" t="str">
        <f>IF(AND(BalanceN1[[#This Row],[Vérif]]="D",BalanceN1[[#This Row],[BE_Credit]]&gt;0),"A",IF(AND(BalanceN1[[#This Row],[Vérif]]="C",BalanceN1[[#This Row],[BE_Debit]]&gt;0),"A",""))</f>
        <v/>
      </c>
    </row>
    <row r="36" spans="1:25" ht="18" customHeight="1">
      <c r="A36" s="1124">
        <v>272800</v>
      </c>
      <c r="B36" s="1124" t="s">
        <v>10323</v>
      </c>
      <c r="C36" s="1125">
        <v>1927000</v>
      </c>
      <c r="D36" s="1125"/>
      <c r="E36" s="1125"/>
      <c r="F36" s="1125"/>
      <c r="G36" s="1125">
        <v>1927000</v>
      </c>
      <c r="H36" s="1125"/>
      <c r="I36" s="1122">
        <f>VALUE(LEFT(BalanceN[[#This Row],[Compte]]&amp;"00000000",5))</f>
        <v>27280</v>
      </c>
      <c r="J36" s="1123" t="str" cm="1">
        <f t="array" ref="J36">IF(BalanceN[[#This Row],[Compte]]="",0,_xlfn.IFNA(INDEX(Plan_Comptable[[Table de Compte]:[Sens]],MATCH(VALUE(LEFT(BalanceN[[#This Row],[Table]],4)),VALUE(Plan_Comptable[Table de Compte]),0),2),"A"))</f>
        <v>D</v>
      </c>
      <c r="K36" s="1121" t="str">
        <f>IF(AND(BalanceN[[#This Row],[Vérif]]="D",BalanceN[[#This Row],[BS_Credit]]&gt;0),"A",IF(AND(BalanceN[[#This Row],[Vérif]]="C",BalanceN[[#This Row],[BS_Debit]]&gt;0),"A",""))</f>
        <v/>
      </c>
      <c r="L36" s="1121" t="str">
        <f>IF(AND(BalanceN[[#This Row],[Vérif]]="D",BalanceN[[#This Row],[BE_Credit]]&gt;0),"A",IF(AND(BalanceN[[#This Row],[Vérif]]="C",BalanceN[[#This Row],[BE_Debit]]&gt;0),"A",""))</f>
        <v/>
      </c>
      <c r="N36" s="1126">
        <v>284110</v>
      </c>
      <c r="O36" s="1124" t="s">
        <v>11893</v>
      </c>
      <c r="P36" s="1127"/>
      <c r="Q36" s="1127">
        <v>53005415</v>
      </c>
      <c r="R36" s="1127">
        <v>58333</v>
      </c>
      <c r="S36" s="1127">
        <v>7356831</v>
      </c>
      <c r="T36" s="1127"/>
      <c r="U36" s="1127">
        <v>60303913</v>
      </c>
      <c r="V36" s="1260">
        <f>VALUE(LEFT(BalanceN1[[#This Row],[Compte]]&amp;"00000000",5))</f>
        <v>28411</v>
      </c>
      <c r="W36" s="1261" t="str" cm="1">
        <f t="array" ref="W36">IF(BalanceN1[[#This Row],[Compte]]="",0,_xlfn.IFNA(INDEX(Plan_Comptable[[Table de Compte]:[Sens]],MATCH(VALUE(LEFT(BalanceN1[[#This Row],[Table]],4)),VALUE(Plan_Comptable[Table de Compte]),0),2),"A"))</f>
        <v>C</v>
      </c>
      <c r="X36" s="1262" t="str">
        <f>IF(AND(BalanceN1[[#This Row],[Vérif]]="D",BalanceN1[[#This Row],[BS_Credit]]&gt;0),"A",IF(AND(BalanceN1[[#This Row],[Vérif]]="C",BalanceN1[[#This Row],[BS_Debit]]&gt;0),"A",""))</f>
        <v/>
      </c>
      <c r="Y36" s="1262" t="str">
        <f>IF(AND(BalanceN1[[#This Row],[Vérif]]="D",BalanceN1[[#This Row],[BE_Credit]]&gt;0),"A",IF(AND(BalanceN1[[#This Row],[Vérif]]="C",BalanceN1[[#This Row],[BE_Debit]]&gt;0),"A",""))</f>
        <v/>
      </c>
    </row>
    <row r="37" spans="1:25" ht="18" customHeight="1">
      <c r="A37" s="1124">
        <v>2752</v>
      </c>
      <c r="B37" s="1124" t="s">
        <v>11779</v>
      </c>
      <c r="C37" s="1125">
        <v>1335290</v>
      </c>
      <c r="D37" s="1125"/>
      <c r="E37" s="1125">
        <v>401175</v>
      </c>
      <c r="F37" s="1125">
        <v>730043</v>
      </c>
      <c r="G37" s="1125">
        <v>1006422</v>
      </c>
      <c r="H37" s="1125"/>
      <c r="I37" s="1122">
        <f>VALUE(LEFT(BalanceN[[#This Row],[Compte]]&amp;"00000000",5))</f>
        <v>27520</v>
      </c>
      <c r="J37" s="1123" t="str" cm="1">
        <f t="array" ref="J37">IF(BalanceN[[#This Row],[Compte]]="",0,_xlfn.IFNA(INDEX(Plan_Comptable[[Table de Compte]:[Sens]],MATCH(VALUE(LEFT(BalanceN[[#This Row],[Table]],4)),VALUE(Plan_Comptable[Table de Compte]),0),2),"A"))</f>
        <v>D</v>
      </c>
      <c r="K37" s="1121" t="str">
        <f>IF(AND(BalanceN[[#This Row],[Vérif]]="D",BalanceN[[#This Row],[BS_Credit]]&gt;0),"A",IF(AND(BalanceN[[#This Row],[Vérif]]="C",BalanceN[[#This Row],[BS_Debit]]&gt;0),"A",""))</f>
        <v/>
      </c>
      <c r="L37" s="1121" t="str">
        <f>IF(AND(BalanceN[[#This Row],[Vérif]]="D",BalanceN[[#This Row],[BE_Credit]]&gt;0),"A",IF(AND(BalanceN[[#This Row],[Vérif]]="C",BalanceN[[#This Row],[BE_Debit]]&gt;0),"A",""))</f>
        <v/>
      </c>
      <c r="N37" s="1126">
        <v>284410</v>
      </c>
      <c r="O37" s="1124" t="s">
        <v>11786</v>
      </c>
      <c r="P37" s="1127"/>
      <c r="Q37" s="1127">
        <v>1325000</v>
      </c>
      <c r="R37" s="1127"/>
      <c r="S37" s="1127"/>
      <c r="T37" s="1127"/>
      <c r="U37" s="1127">
        <v>1325000</v>
      </c>
      <c r="V37" s="1260">
        <f>VALUE(LEFT(BalanceN1[[#This Row],[Compte]]&amp;"00000000",5))</f>
        <v>28441</v>
      </c>
      <c r="W37" s="1261" t="str" cm="1">
        <f t="array" ref="W37">IF(BalanceN1[[#This Row],[Compte]]="",0,_xlfn.IFNA(INDEX(Plan_Comptable[[Table de Compte]:[Sens]],MATCH(VALUE(LEFT(BalanceN1[[#This Row],[Table]],4)),VALUE(Plan_Comptable[Table de Compte]),0),2),"A"))</f>
        <v>C</v>
      </c>
      <c r="X37" s="1262" t="str">
        <f>IF(AND(BalanceN1[[#This Row],[Vérif]]="D",BalanceN1[[#This Row],[BS_Credit]]&gt;0),"A",IF(AND(BalanceN1[[#This Row],[Vérif]]="C",BalanceN1[[#This Row],[BS_Debit]]&gt;0),"A",""))</f>
        <v/>
      </c>
      <c r="Y37" s="1262" t="str">
        <f>IF(AND(BalanceN1[[#This Row],[Vérif]]="D",BalanceN1[[#This Row],[BE_Credit]]&gt;0),"A",IF(AND(BalanceN1[[#This Row],[Vérif]]="C",BalanceN1[[#This Row],[BE_Debit]]&gt;0),"A",""))</f>
        <v/>
      </c>
    </row>
    <row r="38" spans="1:25" ht="18" customHeight="1">
      <c r="A38" s="1124">
        <v>275300</v>
      </c>
      <c r="B38" s="1124" t="s">
        <v>11780</v>
      </c>
      <c r="C38" s="1125">
        <v>87068</v>
      </c>
      <c r="D38" s="1125"/>
      <c r="E38" s="1125"/>
      <c r="F38" s="1125"/>
      <c r="G38" s="1125">
        <v>87068</v>
      </c>
      <c r="H38" s="1125"/>
      <c r="I38" s="1122">
        <f>VALUE(LEFT(BalanceN[[#This Row],[Compte]]&amp;"00000000",5))</f>
        <v>27530</v>
      </c>
      <c r="J38" s="1123" t="str" cm="1">
        <f t="array" ref="J38">IF(BalanceN[[#This Row],[Compte]]="",0,_xlfn.IFNA(INDEX(Plan_Comptable[[Table de Compte]:[Sens]],MATCH(VALUE(LEFT(BalanceN[[#This Row],[Table]],4)),VALUE(Plan_Comptable[Table de Compte]),0),2),"A"))</f>
        <v>D</v>
      </c>
      <c r="K38" s="1121" t="str">
        <f>IF(AND(BalanceN[[#This Row],[Vérif]]="D",BalanceN[[#This Row],[BS_Credit]]&gt;0),"A",IF(AND(BalanceN[[#This Row],[Vérif]]="C",BalanceN[[#This Row],[BS_Debit]]&gt;0),"A",""))</f>
        <v/>
      </c>
      <c r="L38" s="1121" t="str">
        <f>IF(AND(BalanceN[[#This Row],[Vérif]]="D",BalanceN[[#This Row],[BE_Credit]]&gt;0),"A",IF(AND(BalanceN[[#This Row],[Vérif]]="C",BalanceN[[#This Row],[BE_Debit]]&gt;0),"A",""))</f>
        <v/>
      </c>
      <c r="N38" s="1126">
        <v>284420</v>
      </c>
      <c r="O38" s="1124" t="s">
        <v>11894</v>
      </c>
      <c r="P38" s="1127"/>
      <c r="Q38" s="1127">
        <v>5733437</v>
      </c>
      <c r="R38" s="1127"/>
      <c r="S38" s="1127">
        <v>441600</v>
      </c>
      <c r="T38" s="1127"/>
      <c r="U38" s="1127">
        <v>6175037</v>
      </c>
      <c r="V38" s="1260">
        <f>VALUE(LEFT(BalanceN1[[#This Row],[Compte]]&amp;"00000000",5))</f>
        <v>28442</v>
      </c>
      <c r="W38" s="1261" t="str" cm="1">
        <f t="array" ref="W38">IF(BalanceN1[[#This Row],[Compte]]="",0,_xlfn.IFNA(INDEX(Plan_Comptable[[Table de Compte]:[Sens]],MATCH(VALUE(LEFT(BalanceN1[[#This Row],[Table]],4)),VALUE(Plan_Comptable[Table de Compte]),0),2),"A"))</f>
        <v>C</v>
      </c>
      <c r="X38" s="1262" t="str">
        <f>IF(AND(BalanceN1[[#This Row],[Vérif]]="D",BalanceN1[[#This Row],[BS_Credit]]&gt;0),"A",IF(AND(BalanceN1[[#This Row],[Vérif]]="C",BalanceN1[[#This Row],[BS_Debit]]&gt;0),"A",""))</f>
        <v/>
      </c>
      <c r="Y38" s="1262" t="str">
        <f>IF(AND(BalanceN1[[#This Row],[Vérif]]="D",BalanceN1[[#This Row],[BE_Credit]]&gt;0),"A",IF(AND(BalanceN1[[#This Row],[Vérif]]="C",BalanceN1[[#This Row],[BE_Debit]]&gt;0),"A",""))</f>
        <v/>
      </c>
    </row>
    <row r="39" spans="1:25" ht="18" customHeight="1">
      <c r="A39" s="1124">
        <v>275500</v>
      </c>
      <c r="B39" s="1124" t="s">
        <v>11781</v>
      </c>
      <c r="C39" s="1125">
        <v>449300</v>
      </c>
      <c r="D39" s="1125"/>
      <c r="E39" s="1125">
        <v>200000</v>
      </c>
      <c r="F39" s="1125"/>
      <c r="G39" s="1125">
        <v>649300</v>
      </c>
      <c r="H39" s="1125"/>
      <c r="I39" s="1122">
        <f>VALUE(LEFT(BalanceN[[#This Row],[Compte]]&amp;"00000000",5))</f>
        <v>27550</v>
      </c>
      <c r="J39" s="1123" t="str" cm="1">
        <f t="array" ref="J39">IF(BalanceN[[#This Row],[Compte]]="",0,_xlfn.IFNA(INDEX(Plan_Comptable[[Table de Compte]:[Sens]],MATCH(VALUE(LEFT(BalanceN[[#This Row],[Table]],4)),VALUE(Plan_Comptable[Table de Compte]),0),2),"A"))</f>
        <v>D</v>
      </c>
      <c r="K39" s="1121" t="str">
        <f>IF(AND(BalanceN[[#This Row],[Vérif]]="D",BalanceN[[#This Row],[BS_Credit]]&gt;0),"A",IF(AND(BalanceN[[#This Row],[Vérif]]="C",BalanceN[[#This Row],[BS_Debit]]&gt;0),"A",""))</f>
        <v/>
      </c>
      <c r="L39" s="1121" t="str">
        <f>IF(AND(BalanceN[[#This Row],[Vérif]]="D",BalanceN[[#This Row],[BE_Credit]]&gt;0),"A",IF(AND(BalanceN[[#This Row],[Vérif]]="C",BalanceN[[#This Row],[BE_Debit]]&gt;0),"A",""))</f>
        <v/>
      </c>
      <c r="N39" s="1126">
        <v>284440</v>
      </c>
      <c r="O39" s="1124" t="s">
        <v>11788</v>
      </c>
      <c r="P39" s="1127"/>
      <c r="Q39" s="1127">
        <v>4283140</v>
      </c>
      <c r="R39" s="1127"/>
      <c r="S39" s="1127">
        <v>298880</v>
      </c>
      <c r="T39" s="1127"/>
      <c r="U39" s="1127">
        <v>4582020</v>
      </c>
      <c r="V39" s="1260">
        <f>VALUE(LEFT(BalanceN1[[#This Row],[Compte]]&amp;"00000000",5))</f>
        <v>28444</v>
      </c>
      <c r="W39" s="1261" t="str" cm="1">
        <f t="array" ref="W39">IF(BalanceN1[[#This Row],[Compte]]="",0,_xlfn.IFNA(INDEX(Plan_Comptable[[Table de Compte]:[Sens]],MATCH(VALUE(LEFT(BalanceN1[[#This Row],[Table]],4)),VALUE(Plan_Comptable[Table de Compte]),0),2),"A"))</f>
        <v>C</v>
      </c>
      <c r="X39" s="1262" t="str">
        <f>IF(AND(BalanceN1[[#This Row],[Vérif]]="D",BalanceN1[[#This Row],[BS_Credit]]&gt;0),"A",IF(AND(BalanceN1[[#This Row],[Vérif]]="C",BalanceN1[[#This Row],[BS_Debit]]&gt;0),"A",""))</f>
        <v/>
      </c>
      <c r="Y39" s="1262" t="str">
        <f>IF(AND(BalanceN1[[#This Row],[Vérif]]="D",BalanceN1[[#This Row],[BE_Credit]]&gt;0),"A",IF(AND(BalanceN1[[#This Row],[Vérif]]="C",BalanceN1[[#This Row],[BE_Debit]]&gt;0),"A",""))</f>
        <v/>
      </c>
    </row>
    <row r="40" spans="1:25" ht="18" customHeight="1">
      <c r="A40" s="1124">
        <v>275800</v>
      </c>
      <c r="B40" s="1124" t="s">
        <v>11782</v>
      </c>
      <c r="C40" s="1125">
        <v>750000</v>
      </c>
      <c r="D40" s="1125"/>
      <c r="E40" s="1125"/>
      <c r="F40" s="1125"/>
      <c r="G40" s="1125">
        <v>750000</v>
      </c>
      <c r="H40" s="1125"/>
      <c r="I40" s="1122">
        <f>VALUE(LEFT(BalanceN[[#This Row],[Compte]]&amp;"00000000",5))</f>
        <v>27580</v>
      </c>
      <c r="J40" s="1123" t="str" cm="1">
        <f t="array" ref="J40">IF(BalanceN[[#This Row],[Compte]]="",0,_xlfn.IFNA(INDEX(Plan_Comptable[[Table de Compte]:[Sens]],MATCH(VALUE(LEFT(BalanceN[[#This Row],[Table]],4)),VALUE(Plan_Comptable[Table de Compte]),0),2),"A"))</f>
        <v>D</v>
      </c>
      <c r="K40" s="1121" t="str">
        <f>IF(AND(BalanceN[[#This Row],[Vérif]]="D",BalanceN[[#This Row],[BS_Credit]]&gt;0),"A",IF(AND(BalanceN[[#This Row],[Vérif]]="C",BalanceN[[#This Row],[BS_Debit]]&gt;0),"A",""))</f>
        <v/>
      </c>
      <c r="L40" s="1121" t="str">
        <f>IF(AND(BalanceN[[#This Row],[Vérif]]="D",BalanceN[[#This Row],[BE_Credit]]&gt;0),"A",IF(AND(BalanceN[[#This Row],[Vérif]]="C",BalanceN[[#This Row],[BE_Debit]]&gt;0),"A",""))</f>
        <v/>
      </c>
      <c r="N40" s="1126">
        <v>284510</v>
      </c>
      <c r="O40" s="1124" t="s">
        <v>11789</v>
      </c>
      <c r="P40" s="1127"/>
      <c r="Q40" s="1127">
        <v>47407500</v>
      </c>
      <c r="R40" s="1127"/>
      <c r="S40" s="1127">
        <v>6455000</v>
      </c>
      <c r="T40" s="1127"/>
      <c r="U40" s="1127">
        <v>53862500</v>
      </c>
      <c r="V40" s="1260">
        <f>VALUE(LEFT(BalanceN1[[#This Row],[Compte]]&amp;"00000000",5))</f>
        <v>28451</v>
      </c>
      <c r="W40" s="1261" t="str" cm="1">
        <f t="array" ref="W40">IF(BalanceN1[[#This Row],[Compte]]="",0,_xlfn.IFNA(INDEX(Plan_Comptable[[Table de Compte]:[Sens]],MATCH(VALUE(LEFT(BalanceN1[[#This Row],[Table]],4)),VALUE(Plan_Comptable[Table de Compte]),0),2),"A"))</f>
        <v>C</v>
      </c>
      <c r="X40" s="1262" t="str">
        <f>IF(AND(BalanceN1[[#This Row],[Vérif]]="D",BalanceN1[[#This Row],[BS_Credit]]&gt;0),"A",IF(AND(BalanceN1[[#This Row],[Vérif]]="C",BalanceN1[[#This Row],[BS_Debit]]&gt;0),"A",""))</f>
        <v/>
      </c>
      <c r="Y40" s="1262" t="str">
        <f>IF(AND(BalanceN1[[#This Row],[Vérif]]="D",BalanceN1[[#This Row],[BE_Credit]]&gt;0),"A",IF(AND(BalanceN1[[#This Row],[Vérif]]="C",BalanceN1[[#This Row],[BE_Debit]]&gt;0),"A",""))</f>
        <v/>
      </c>
    </row>
    <row r="41" spans="1:25" ht="18" customHeight="1">
      <c r="A41" s="1124">
        <v>283210</v>
      </c>
      <c r="B41" s="1124" t="s">
        <v>11783</v>
      </c>
      <c r="C41" s="1125"/>
      <c r="D41" s="1125">
        <v>150313959</v>
      </c>
      <c r="E41" s="1125"/>
      <c r="F41" s="1125">
        <v>9734682</v>
      </c>
      <c r="G41" s="1125"/>
      <c r="H41" s="1125">
        <v>160048641</v>
      </c>
      <c r="I41" s="1122">
        <f>VALUE(LEFT(BalanceN[[#This Row],[Compte]]&amp;"00000000",5))</f>
        <v>28321</v>
      </c>
      <c r="J41" s="1123" t="str" cm="1">
        <f t="array" ref="J41">IF(BalanceN[[#This Row],[Compte]]="",0,_xlfn.IFNA(INDEX(Plan_Comptable[[Table de Compte]:[Sens]],MATCH(VALUE(LEFT(BalanceN[[#This Row],[Table]],4)),VALUE(Plan_Comptable[Table de Compte]),0),2),"A"))</f>
        <v>C</v>
      </c>
      <c r="K41" s="1121" t="str">
        <f>IF(AND(BalanceN[[#This Row],[Vérif]]="D",BalanceN[[#This Row],[BS_Credit]]&gt;0),"A",IF(AND(BalanceN[[#This Row],[Vérif]]="C",BalanceN[[#This Row],[BS_Debit]]&gt;0),"A",""))</f>
        <v/>
      </c>
      <c r="L41" s="1121" t="str">
        <f>IF(AND(BalanceN[[#This Row],[Vérif]]="D",BalanceN[[#This Row],[BE_Credit]]&gt;0),"A",IF(AND(BalanceN[[#This Row],[Vérif]]="C",BalanceN[[#This Row],[BE_Debit]]&gt;0),"A",""))</f>
        <v/>
      </c>
      <c r="N41" s="1126">
        <v>321</v>
      </c>
      <c r="O41" s="1124" t="s">
        <v>11791</v>
      </c>
      <c r="P41" s="1127">
        <v>10552040</v>
      </c>
      <c r="Q41" s="1127"/>
      <c r="R41" s="1127">
        <v>7721440</v>
      </c>
      <c r="S41" s="1127">
        <v>10552040</v>
      </c>
      <c r="T41" s="1127">
        <v>7721440</v>
      </c>
      <c r="U41" s="1127"/>
      <c r="V41" s="1260">
        <f>VALUE(LEFT(BalanceN1[[#This Row],[Compte]]&amp;"00000000",5))</f>
        <v>32100</v>
      </c>
      <c r="W41" s="1261" t="str" cm="1">
        <f t="array" ref="W41">IF(BalanceN1[[#This Row],[Compte]]="",0,_xlfn.IFNA(INDEX(Plan_Comptable[[Table de Compte]:[Sens]],MATCH(VALUE(LEFT(BalanceN1[[#This Row],[Table]],4)),VALUE(Plan_Comptable[Table de Compte]),0),2),"A"))</f>
        <v>D</v>
      </c>
      <c r="X41" s="1262" t="str">
        <f>IF(AND(BalanceN1[[#This Row],[Vérif]]="D",BalanceN1[[#This Row],[BS_Credit]]&gt;0),"A",IF(AND(BalanceN1[[#This Row],[Vérif]]="C",BalanceN1[[#This Row],[BS_Debit]]&gt;0),"A",""))</f>
        <v/>
      </c>
      <c r="Y41" s="1262" t="str">
        <f>IF(AND(BalanceN1[[#This Row],[Vérif]]="D",BalanceN1[[#This Row],[BE_Credit]]&gt;0),"A",IF(AND(BalanceN1[[#This Row],[Vérif]]="C",BalanceN1[[#This Row],[BE_Debit]]&gt;0),"A",""))</f>
        <v/>
      </c>
    </row>
    <row r="42" spans="1:25" ht="18" customHeight="1">
      <c r="A42" s="1124">
        <v>283510</v>
      </c>
      <c r="B42" s="1124" t="s">
        <v>11784</v>
      </c>
      <c r="C42" s="1125"/>
      <c r="D42" s="1125">
        <v>71328267</v>
      </c>
      <c r="E42" s="1125"/>
      <c r="F42" s="1125"/>
      <c r="G42" s="1125"/>
      <c r="H42" s="1125">
        <v>71328267</v>
      </c>
      <c r="I42" s="1122">
        <f>VALUE(LEFT(BalanceN[[#This Row],[Compte]]&amp;"00000000",5))</f>
        <v>28351</v>
      </c>
      <c r="J42" s="1123" t="str" cm="1">
        <f t="array" ref="J42">IF(BalanceN[[#This Row],[Compte]]="",0,_xlfn.IFNA(INDEX(Plan_Comptable[[Table de Compte]:[Sens]],MATCH(VALUE(LEFT(BalanceN[[#This Row],[Table]],4)),VALUE(Plan_Comptable[Table de Compte]),0),2),"A"))</f>
        <v>C</v>
      </c>
      <c r="K42" s="1121" t="str">
        <f>IF(AND(BalanceN[[#This Row],[Vérif]]="D",BalanceN[[#This Row],[BS_Credit]]&gt;0),"A",IF(AND(BalanceN[[#This Row],[Vérif]]="C",BalanceN[[#This Row],[BS_Debit]]&gt;0),"A",""))</f>
        <v/>
      </c>
      <c r="L42" s="1121" t="str">
        <f>IF(AND(BalanceN[[#This Row],[Vérif]]="D",BalanceN[[#This Row],[BE_Credit]]&gt;0),"A",IF(AND(BalanceN[[#This Row],[Vérif]]="C",BalanceN[[#This Row],[BE_Debit]]&gt;0),"A",""))</f>
        <v/>
      </c>
      <c r="N42" s="1126">
        <v>335100</v>
      </c>
      <c r="O42" s="1124" t="s">
        <v>11792</v>
      </c>
      <c r="P42" s="1127">
        <v>6262346</v>
      </c>
      <c r="Q42" s="1127"/>
      <c r="R42" s="1127">
        <v>8146993</v>
      </c>
      <c r="S42" s="1127">
        <v>6262346</v>
      </c>
      <c r="T42" s="1127">
        <v>8146993</v>
      </c>
      <c r="U42" s="1127"/>
      <c r="V42" s="1260">
        <f>VALUE(LEFT(BalanceN1[[#This Row],[Compte]]&amp;"00000000",5))</f>
        <v>33510</v>
      </c>
      <c r="W42" s="1261" t="str" cm="1">
        <f t="array" ref="W42">IF(BalanceN1[[#This Row],[Compte]]="",0,_xlfn.IFNA(INDEX(Plan_Comptable[[Table de Compte]:[Sens]],MATCH(VALUE(LEFT(BalanceN1[[#This Row],[Table]],4)),VALUE(Plan_Comptable[Table de Compte]),0),2),"A"))</f>
        <v>D</v>
      </c>
      <c r="X42" s="1262" t="str">
        <f>IF(AND(BalanceN1[[#This Row],[Vérif]]="D",BalanceN1[[#This Row],[BS_Credit]]&gt;0),"A",IF(AND(BalanceN1[[#This Row],[Vérif]]="C",BalanceN1[[#This Row],[BS_Debit]]&gt;0),"A",""))</f>
        <v/>
      </c>
      <c r="Y42" s="1262" t="str">
        <f>IF(AND(BalanceN1[[#This Row],[Vérif]]="D",BalanceN1[[#This Row],[BE_Credit]]&gt;0),"A",IF(AND(BalanceN1[[#This Row],[Vérif]]="C",BalanceN1[[#This Row],[BE_Debit]]&gt;0),"A",""))</f>
        <v/>
      </c>
    </row>
    <row r="43" spans="1:25" ht="18" customHeight="1">
      <c r="A43" s="1124">
        <v>284110</v>
      </c>
      <c r="B43" s="1124" t="s">
        <v>11785</v>
      </c>
      <c r="C43" s="1125"/>
      <c r="D43" s="1125">
        <v>60303913</v>
      </c>
      <c r="E43" s="1125">
        <v>40023276</v>
      </c>
      <c r="F43" s="1125">
        <v>8385232</v>
      </c>
      <c r="G43" s="1125"/>
      <c r="H43" s="1125">
        <v>28665869</v>
      </c>
      <c r="I43" s="1122">
        <f>VALUE(LEFT(BalanceN[[#This Row],[Compte]]&amp;"00000000",5))</f>
        <v>28411</v>
      </c>
      <c r="J43" s="1123" t="str" cm="1">
        <f t="array" ref="J43">IF(BalanceN[[#This Row],[Compte]]="",0,_xlfn.IFNA(INDEX(Plan_Comptable[[Table de Compte]:[Sens]],MATCH(VALUE(LEFT(BalanceN[[#This Row],[Table]],4)),VALUE(Plan_Comptable[Table de Compte]),0),2),"A"))</f>
        <v>C</v>
      </c>
      <c r="K43" s="1121" t="str">
        <f>IF(AND(BalanceN[[#This Row],[Vérif]]="D",BalanceN[[#This Row],[BS_Credit]]&gt;0),"A",IF(AND(BalanceN[[#This Row],[Vérif]]="C",BalanceN[[#This Row],[BS_Debit]]&gt;0),"A",""))</f>
        <v/>
      </c>
      <c r="L43" s="1121" t="str">
        <f>IF(AND(BalanceN[[#This Row],[Vérif]]="D",BalanceN[[#This Row],[BE_Credit]]&gt;0),"A",IF(AND(BalanceN[[#This Row],[Vérif]]="C",BalanceN[[#This Row],[BE_Debit]]&gt;0),"A",""))</f>
        <v/>
      </c>
      <c r="N43" s="1126">
        <v>401100</v>
      </c>
      <c r="O43" s="1124" t="s">
        <v>10533</v>
      </c>
      <c r="P43" s="1127"/>
      <c r="Q43" s="1127">
        <v>76549980</v>
      </c>
      <c r="R43" s="1127">
        <v>562421027</v>
      </c>
      <c r="S43" s="1127">
        <v>526454947</v>
      </c>
      <c r="T43" s="1127"/>
      <c r="U43" s="1127">
        <v>40583900</v>
      </c>
      <c r="V43" s="1260">
        <f>VALUE(LEFT(BalanceN1[[#This Row],[Compte]]&amp;"00000000",5))</f>
        <v>40110</v>
      </c>
      <c r="W43" s="1261" t="str" cm="1">
        <f t="array" ref="W43">IF(BalanceN1[[#This Row],[Compte]]="",0,_xlfn.IFNA(INDEX(Plan_Comptable[[Table de Compte]:[Sens]],MATCH(VALUE(LEFT(BalanceN1[[#This Row],[Table]],4)),VALUE(Plan_Comptable[Table de Compte]),0),2),"A"))</f>
        <v>C</v>
      </c>
      <c r="X43" s="1262" t="str">
        <f>IF(AND(BalanceN1[[#This Row],[Vérif]]="D",BalanceN1[[#This Row],[BS_Credit]]&gt;0),"A",IF(AND(BalanceN1[[#This Row],[Vérif]]="C",BalanceN1[[#This Row],[BS_Debit]]&gt;0),"A",""))</f>
        <v/>
      </c>
      <c r="Y43" s="1262" t="str">
        <f>IF(AND(BalanceN1[[#This Row],[Vérif]]="D",BalanceN1[[#This Row],[BE_Credit]]&gt;0),"A",IF(AND(BalanceN1[[#This Row],[Vérif]]="C",BalanceN1[[#This Row],[BE_Debit]]&gt;0),"A",""))</f>
        <v/>
      </c>
    </row>
    <row r="44" spans="1:25" ht="18" customHeight="1">
      <c r="A44" s="1124">
        <v>284410</v>
      </c>
      <c r="B44" s="1124" t="s">
        <v>11786</v>
      </c>
      <c r="C44" s="1125"/>
      <c r="D44" s="1125">
        <v>1325000</v>
      </c>
      <c r="E44" s="1125">
        <v>140000</v>
      </c>
      <c r="F44" s="1125">
        <v>4833</v>
      </c>
      <c r="G44" s="1125"/>
      <c r="H44" s="1125">
        <v>1189833</v>
      </c>
      <c r="I44" s="1122">
        <f>VALUE(LEFT(BalanceN[[#This Row],[Compte]]&amp;"00000000",5))</f>
        <v>28441</v>
      </c>
      <c r="J44" s="1123" t="str" cm="1">
        <f t="array" ref="J44">IF(BalanceN[[#This Row],[Compte]]="",0,_xlfn.IFNA(INDEX(Plan_Comptable[[Table de Compte]:[Sens]],MATCH(VALUE(LEFT(BalanceN[[#This Row],[Table]],4)),VALUE(Plan_Comptable[Table de Compte]),0),2),"A"))</f>
        <v>C</v>
      </c>
      <c r="K44" s="1121" t="str">
        <f>IF(AND(BalanceN[[#This Row],[Vérif]]="D",BalanceN[[#This Row],[BS_Credit]]&gt;0),"A",IF(AND(BalanceN[[#This Row],[Vérif]]="C",BalanceN[[#This Row],[BS_Debit]]&gt;0),"A",""))</f>
        <v/>
      </c>
      <c r="L44" s="1121" t="str">
        <f>IF(AND(BalanceN[[#This Row],[Vérif]]="D",BalanceN[[#This Row],[BE_Credit]]&gt;0),"A",IF(AND(BalanceN[[#This Row],[Vérif]]="C",BalanceN[[#This Row],[BE_Debit]]&gt;0),"A",""))</f>
        <v/>
      </c>
      <c r="N44" s="1126">
        <v>408100</v>
      </c>
      <c r="O44" s="1124" t="s">
        <v>11895</v>
      </c>
      <c r="P44" s="1127"/>
      <c r="Q44" s="1127">
        <v>8071358</v>
      </c>
      <c r="R44" s="1127">
        <v>54500645</v>
      </c>
      <c r="S44" s="1127">
        <v>60428763</v>
      </c>
      <c r="T44" s="1127"/>
      <c r="U44" s="1127">
        <v>13999476</v>
      </c>
      <c r="V44" s="1260">
        <f>VALUE(LEFT(BalanceN1[[#This Row],[Compte]]&amp;"00000000",5))</f>
        <v>40810</v>
      </c>
      <c r="W44" s="1261" t="str" cm="1">
        <f t="array" ref="W44">IF(BalanceN1[[#This Row],[Compte]]="",0,_xlfn.IFNA(INDEX(Plan_Comptable[[Table de Compte]:[Sens]],MATCH(VALUE(LEFT(BalanceN1[[#This Row],[Table]],4)),VALUE(Plan_Comptable[Table de Compte]),0),2),"A"))</f>
        <v>C</v>
      </c>
      <c r="X44" s="1262" t="str">
        <f>IF(AND(BalanceN1[[#This Row],[Vérif]]="D",BalanceN1[[#This Row],[BS_Credit]]&gt;0),"A",IF(AND(BalanceN1[[#This Row],[Vérif]]="C",BalanceN1[[#This Row],[BS_Debit]]&gt;0),"A",""))</f>
        <v/>
      </c>
      <c r="Y44" s="1262" t="str">
        <f>IF(AND(BalanceN1[[#This Row],[Vérif]]="D",BalanceN1[[#This Row],[BE_Credit]]&gt;0),"A",IF(AND(BalanceN1[[#This Row],[Vérif]]="C",BalanceN1[[#This Row],[BE_Debit]]&gt;0),"A",""))</f>
        <v/>
      </c>
    </row>
    <row r="45" spans="1:25" ht="18" customHeight="1">
      <c r="A45" s="1124">
        <v>284420</v>
      </c>
      <c r="B45" s="1124" t="s">
        <v>11787</v>
      </c>
      <c r="C45" s="1125"/>
      <c r="D45" s="1125">
        <v>6175037</v>
      </c>
      <c r="E45" s="1125">
        <v>5829703</v>
      </c>
      <c r="F45" s="1125">
        <v>496917</v>
      </c>
      <c r="G45" s="1125"/>
      <c r="H45" s="1125">
        <v>842251</v>
      </c>
      <c r="I45" s="1122">
        <f>VALUE(LEFT(BalanceN[[#This Row],[Compte]]&amp;"00000000",5))</f>
        <v>28442</v>
      </c>
      <c r="J45" s="1123" t="str" cm="1">
        <f t="array" ref="J45">IF(BalanceN[[#This Row],[Compte]]="",0,_xlfn.IFNA(INDEX(Plan_Comptable[[Table de Compte]:[Sens]],MATCH(VALUE(LEFT(BalanceN[[#This Row],[Table]],4)),VALUE(Plan_Comptable[Table de Compte]),0),2),"A"))</f>
        <v>C</v>
      </c>
      <c r="K45" s="1121" t="str">
        <f>IF(AND(BalanceN[[#This Row],[Vérif]]="D",BalanceN[[#This Row],[BS_Credit]]&gt;0),"A",IF(AND(BalanceN[[#This Row],[Vérif]]="C",BalanceN[[#This Row],[BS_Debit]]&gt;0),"A",""))</f>
        <v/>
      </c>
      <c r="L45" s="1121" t="str">
        <f>IF(AND(BalanceN[[#This Row],[Vérif]]="D",BalanceN[[#This Row],[BE_Credit]]&gt;0),"A",IF(AND(BalanceN[[#This Row],[Vérif]]="C",BalanceN[[#This Row],[BE_Debit]]&gt;0),"A",""))</f>
        <v/>
      </c>
      <c r="N45" s="1126">
        <v>408110</v>
      </c>
      <c r="O45" s="1124" t="s">
        <v>11896</v>
      </c>
      <c r="P45" s="1127"/>
      <c r="Q45" s="1127">
        <v>782702</v>
      </c>
      <c r="R45" s="1127">
        <v>782702</v>
      </c>
      <c r="S45" s="1127"/>
      <c r="T45" s="1127"/>
      <c r="U45" s="1127"/>
      <c r="V45" s="1260">
        <f>VALUE(LEFT(BalanceN1[[#This Row],[Compte]]&amp;"00000000",5))</f>
        <v>40811</v>
      </c>
      <c r="W45" s="1261" t="str" cm="1">
        <f t="array" ref="W45">IF(BalanceN1[[#This Row],[Compte]]="",0,_xlfn.IFNA(INDEX(Plan_Comptable[[Table de Compte]:[Sens]],MATCH(VALUE(LEFT(BalanceN1[[#This Row],[Table]],4)),VALUE(Plan_Comptable[Table de Compte]),0),2),"A"))</f>
        <v>C</v>
      </c>
      <c r="X45" s="1262" t="str">
        <f>IF(AND(BalanceN1[[#This Row],[Vérif]]="D",BalanceN1[[#This Row],[BS_Credit]]&gt;0),"A",IF(AND(BalanceN1[[#This Row],[Vérif]]="C",BalanceN1[[#This Row],[BS_Debit]]&gt;0),"A",""))</f>
        <v/>
      </c>
      <c r="Y45" s="1262" t="str">
        <f>IF(AND(BalanceN1[[#This Row],[Vérif]]="D",BalanceN1[[#This Row],[BE_Credit]]&gt;0),"A",IF(AND(BalanceN1[[#This Row],[Vérif]]="C",BalanceN1[[#This Row],[BE_Debit]]&gt;0),"A",""))</f>
        <v/>
      </c>
    </row>
    <row r="46" spans="1:25" ht="18" customHeight="1">
      <c r="A46" s="1124">
        <v>284440</v>
      </c>
      <c r="B46" s="1124" t="s">
        <v>11788</v>
      </c>
      <c r="C46" s="1125"/>
      <c r="D46" s="1125">
        <v>4582020</v>
      </c>
      <c r="E46" s="1125"/>
      <c r="F46" s="1125">
        <v>260480</v>
      </c>
      <c r="G46" s="1125"/>
      <c r="H46" s="1125">
        <v>4842500</v>
      </c>
      <c r="I46" s="1122">
        <f>VALUE(LEFT(BalanceN[[#This Row],[Compte]]&amp;"00000000",5))</f>
        <v>28444</v>
      </c>
      <c r="J46" s="1123" t="str" cm="1">
        <f t="array" ref="J46">IF(BalanceN[[#This Row],[Compte]]="",0,_xlfn.IFNA(INDEX(Plan_Comptable[[Table de Compte]:[Sens]],MATCH(VALUE(LEFT(BalanceN[[#This Row],[Table]],4)),VALUE(Plan_Comptable[Table de Compte]),0),2),"A"))</f>
        <v>C</v>
      </c>
      <c r="K46" s="1121" t="str">
        <f>IF(AND(BalanceN[[#This Row],[Vérif]]="D",BalanceN[[#This Row],[BS_Credit]]&gt;0),"A",IF(AND(BalanceN[[#This Row],[Vérif]]="C",BalanceN[[#This Row],[BS_Debit]]&gt;0),"A",""))</f>
        <v/>
      </c>
      <c r="L46" s="1121" t="str">
        <f>IF(AND(BalanceN[[#This Row],[Vérif]]="D",BalanceN[[#This Row],[BE_Credit]]&gt;0),"A",IF(AND(BalanceN[[#This Row],[Vérif]]="C",BalanceN[[#This Row],[BE_Debit]]&gt;0),"A",""))</f>
        <v/>
      </c>
      <c r="N46" s="1126">
        <v>408120</v>
      </c>
      <c r="O46" s="1124" t="s">
        <v>11897</v>
      </c>
      <c r="P46" s="1127"/>
      <c r="Q46" s="1127">
        <v>415200</v>
      </c>
      <c r="R46" s="1127">
        <v>415200</v>
      </c>
      <c r="S46" s="1127"/>
      <c r="T46" s="1127"/>
      <c r="U46" s="1127"/>
      <c r="V46" s="1260">
        <f>VALUE(LEFT(BalanceN1[[#This Row],[Compte]]&amp;"00000000",5))</f>
        <v>40812</v>
      </c>
      <c r="W46" s="1261" t="str" cm="1">
        <f t="array" ref="W46">IF(BalanceN1[[#This Row],[Compte]]="",0,_xlfn.IFNA(INDEX(Plan_Comptable[[Table de Compte]:[Sens]],MATCH(VALUE(LEFT(BalanceN1[[#This Row],[Table]],4)),VALUE(Plan_Comptable[Table de Compte]),0),2),"A"))</f>
        <v>C</v>
      </c>
      <c r="X46" s="1262" t="str">
        <f>IF(AND(BalanceN1[[#This Row],[Vérif]]="D",BalanceN1[[#This Row],[BS_Credit]]&gt;0),"A",IF(AND(BalanceN1[[#This Row],[Vérif]]="C",BalanceN1[[#This Row],[BS_Debit]]&gt;0),"A",""))</f>
        <v/>
      </c>
      <c r="Y46" s="1262" t="str">
        <f>IF(AND(BalanceN1[[#This Row],[Vérif]]="D",BalanceN1[[#This Row],[BE_Credit]]&gt;0),"A",IF(AND(BalanceN1[[#This Row],[Vérif]]="C",BalanceN1[[#This Row],[BE_Debit]]&gt;0),"A",""))</f>
        <v/>
      </c>
    </row>
    <row r="47" spans="1:25" ht="18" customHeight="1">
      <c r="A47" s="1124">
        <v>284510</v>
      </c>
      <c r="B47" s="1124" t="s">
        <v>11789</v>
      </c>
      <c r="C47" s="1125"/>
      <c r="D47" s="1125">
        <v>53862500</v>
      </c>
      <c r="E47" s="1125"/>
      <c r="F47" s="1125">
        <v>377500</v>
      </c>
      <c r="G47" s="1125"/>
      <c r="H47" s="1125">
        <v>54240000</v>
      </c>
      <c r="I47" s="1122">
        <f>VALUE(LEFT(BalanceN[[#This Row],[Compte]]&amp;"00000000",5))</f>
        <v>28451</v>
      </c>
      <c r="J47" s="1123" t="str" cm="1">
        <f t="array" ref="J47">IF(BalanceN[[#This Row],[Compte]]="",0,_xlfn.IFNA(INDEX(Plan_Comptable[[Table de Compte]:[Sens]],MATCH(VALUE(LEFT(BalanceN[[#This Row],[Table]],4)),VALUE(Plan_Comptable[Table de Compte]),0),2),"A"))</f>
        <v>C</v>
      </c>
      <c r="K47" s="1121" t="str">
        <f>IF(AND(BalanceN[[#This Row],[Vérif]]="D",BalanceN[[#This Row],[BS_Credit]]&gt;0),"A",IF(AND(BalanceN[[#This Row],[Vérif]]="C",BalanceN[[#This Row],[BS_Debit]]&gt;0),"A",""))</f>
        <v/>
      </c>
      <c r="L47" s="1121" t="str">
        <f>IF(AND(BalanceN[[#This Row],[Vérif]]="D",BalanceN[[#This Row],[BE_Credit]]&gt;0),"A",IF(AND(BalanceN[[#This Row],[Vérif]]="C",BalanceN[[#This Row],[BE_Debit]]&gt;0),"A",""))</f>
        <v/>
      </c>
      <c r="N47" s="1126">
        <v>408130</v>
      </c>
      <c r="O47" s="1124" t="s">
        <v>11898</v>
      </c>
      <c r="P47" s="1127"/>
      <c r="Q47" s="1127">
        <v>3257358</v>
      </c>
      <c r="R47" s="1127">
        <v>3257358</v>
      </c>
      <c r="S47" s="1127"/>
      <c r="T47" s="1127"/>
      <c r="U47" s="1127"/>
      <c r="V47" s="1260">
        <f>VALUE(LEFT(BalanceN1[[#This Row],[Compte]]&amp;"00000000",5))</f>
        <v>40813</v>
      </c>
      <c r="W47" s="1261" t="str" cm="1">
        <f t="array" ref="W47">IF(BalanceN1[[#This Row],[Compte]]="",0,_xlfn.IFNA(INDEX(Plan_Comptable[[Table de Compte]:[Sens]],MATCH(VALUE(LEFT(BalanceN1[[#This Row],[Table]],4)),VALUE(Plan_Comptable[Table de Compte]),0),2),"A"))</f>
        <v>C</v>
      </c>
      <c r="X47" s="1262" t="str">
        <f>IF(AND(BalanceN1[[#This Row],[Vérif]]="D",BalanceN1[[#This Row],[BS_Credit]]&gt;0),"A",IF(AND(BalanceN1[[#This Row],[Vérif]]="C",BalanceN1[[#This Row],[BS_Debit]]&gt;0),"A",""))</f>
        <v/>
      </c>
      <c r="Y47" s="1262" t="str">
        <f>IF(AND(BalanceN1[[#This Row],[Vérif]]="D",BalanceN1[[#This Row],[BE_Credit]]&gt;0),"A",IF(AND(BalanceN1[[#This Row],[Vérif]]="C",BalanceN1[[#This Row],[BE_Debit]]&gt;0),"A",""))</f>
        <v/>
      </c>
    </row>
    <row r="48" spans="1:25" ht="18" customHeight="1">
      <c r="A48" s="1124">
        <v>3111</v>
      </c>
      <c r="B48" s="1124" t="s">
        <v>11790</v>
      </c>
      <c r="C48" s="1125"/>
      <c r="D48" s="1125"/>
      <c r="E48" s="1125">
        <v>5000000</v>
      </c>
      <c r="F48" s="1125"/>
      <c r="G48" s="1125">
        <v>5000000</v>
      </c>
      <c r="H48" s="1125"/>
      <c r="I48" s="1122">
        <f>VALUE(LEFT(BalanceN[[#This Row],[Compte]]&amp;"00000000",5))</f>
        <v>31110</v>
      </c>
      <c r="J48" s="1123" t="str" cm="1">
        <f t="array" ref="J48">IF(BalanceN[[#This Row],[Compte]]="",0,_xlfn.IFNA(INDEX(Plan_Comptable[[Table de Compte]:[Sens]],MATCH(VALUE(LEFT(BalanceN[[#This Row],[Table]],4)),VALUE(Plan_Comptable[Table de Compte]),0),2),"A"))</f>
        <v>D</v>
      </c>
      <c r="K48" s="1121" t="str">
        <f>IF(AND(BalanceN[[#This Row],[Vérif]]="D",BalanceN[[#This Row],[BS_Credit]]&gt;0),"A",IF(AND(BalanceN[[#This Row],[Vérif]]="C",BalanceN[[#This Row],[BS_Debit]]&gt;0),"A",""))</f>
        <v/>
      </c>
      <c r="L48" s="1121" t="str">
        <f>IF(AND(BalanceN[[#This Row],[Vérif]]="D",BalanceN[[#This Row],[BE_Credit]]&gt;0),"A",IF(AND(BalanceN[[#This Row],[Vérif]]="C",BalanceN[[#This Row],[BE_Debit]]&gt;0),"A",""))</f>
        <v/>
      </c>
      <c r="N48" s="1126">
        <v>408140</v>
      </c>
      <c r="O48" s="1124" t="s">
        <v>11899</v>
      </c>
      <c r="P48" s="1127"/>
      <c r="Q48" s="1127">
        <v>637437</v>
      </c>
      <c r="R48" s="1127">
        <v>14451330</v>
      </c>
      <c r="S48" s="1127">
        <v>13813893</v>
      </c>
      <c r="T48" s="1127"/>
      <c r="U48" s="1127"/>
      <c r="V48" s="1260">
        <f>VALUE(LEFT(BalanceN1[[#This Row],[Compte]]&amp;"00000000",5))</f>
        <v>40814</v>
      </c>
      <c r="W48" s="1261" t="str" cm="1">
        <f t="array" ref="W48">IF(BalanceN1[[#This Row],[Compte]]="",0,_xlfn.IFNA(INDEX(Plan_Comptable[[Table de Compte]:[Sens]],MATCH(VALUE(LEFT(BalanceN1[[#This Row],[Table]],4)),VALUE(Plan_Comptable[Table de Compte]),0),2),"A"))</f>
        <v>C</v>
      </c>
      <c r="X48" s="1262" t="str">
        <f>IF(AND(BalanceN1[[#This Row],[Vérif]]="D",BalanceN1[[#This Row],[BS_Credit]]&gt;0),"A",IF(AND(BalanceN1[[#This Row],[Vérif]]="C",BalanceN1[[#This Row],[BS_Debit]]&gt;0),"A",""))</f>
        <v/>
      </c>
      <c r="Y48" s="1262" t="str">
        <f>IF(AND(BalanceN1[[#This Row],[Vérif]]="D",BalanceN1[[#This Row],[BE_Credit]]&gt;0),"A",IF(AND(BalanceN1[[#This Row],[Vérif]]="C",BalanceN1[[#This Row],[BE_Debit]]&gt;0),"A",""))</f>
        <v/>
      </c>
    </row>
    <row r="49" spans="1:25" ht="18" customHeight="1">
      <c r="A49" s="1124">
        <v>321</v>
      </c>
      <c r="B49" s="1124" t="s">
        <v>11791</v>
      </c>
      <c r="C49" s="1125">
        <v>7721440</v>
      </c>
      <c r="D49" s="1125"/>
      <c r="E49" s="1125">
        <v>57881451</v>
      </c>
      <c r="F49" s="1125">
        <v>57775035</v>
      </c>
      <c r="G49" s="1125">
        <v>7827856</v>
      </c>
      <c r="H49" s="1125"/>
      <c r="I49" s="1122">
        <f>VALUE(LEFT(BalanceN[[#This Row],[Compte]]&amp;"00000000",5))</f>
        <v>32100</v>
      </c>
      <c r="J49" s="1123" t="str" cm="1">
        <f t="array" ref="J49">IF(BalanceN[[#This Row],[Compte]]="",0,_xlfn.IFNA(INDEX(Plan_Comptable[[Table de Compte]:[Sens]],MATCH(VALUE(LEFT(BalanceN[[#This Row],[Table]],4)),VALUE(Plan_Comptable[Table de Compte]),0),2),"A"))</f>
        <v>D</v>
      </c>
      <c r="K49" s="1121" t="str">
        <f>IF(AND(BalanceN[[#This Row],[Vérif]]="D",BalanceN[[#This Row],[BS_Credit]]&gt;0),"A",IF(AND(BalanceN[[#This Row],[Vérif]]="C",BalanceN[[#This Row],[BS_Debit]]&gt;0),"A",""))</f>
        <v/>
      </c>
      <c r="L49" s="1121" t="str">
        <f>IF(AND(BalanceN[[#This Row],[Vérif]]="D",BalanceN[[#This Row],[BE_Credit]]&gt;0),"A",IF(AND(BalanceN[[#This Row],[Vérif]]="C",BalanceN[[#This Row],[BE_Debit]]&gt;0),"A",""))</f>
        <v/>
      </c>
      <c r="N49" s="1126">
        <v>408150</v>
      </c>
      <c r="O49" s="1124" t="s">
        <v>11900</v>
      </c>
      <c r="P49" s="1127"/>
      <c r="Q49" s="1127"/>
      <c r="R49" s="1127"/>
      <c r="S49" s="1127">
        <v>1310830</v>
      </c>
      <c r="T49" s="1127"/>
      <c r="U49" s="1127">
        <v>1310830</v>
      </c>
      <c r="V49" s="1260">
        <f>VALUE(LEFT(BalanceN1[[#This Row],[Compte]]&amp;"00000000",5))</f>
        <v>40815</v>
      </c>
      <c r="W49" s="1261" t="str" cm="1">
        <f t="array" ref="W49">IF(BalanceN1[[#This Row],[Compte]]="",0,_xlfn.IFNA(INDEX(Plan_Comptable[[Table de Compte]:[Sens]],MATCH(VALUE(LEFT(BalanceN1[[#This Row],[Table]],4)),VALUE(Plan_Comptable[Table de Compte]),0),2),"A"))</f>
        <v>C</v>
      </c>
      <c r="X49" s="1262" t="str">
        <f>IF(AND(BalanceN1[[#This Row],[Vérif]]="D",BalanceN1[[#This Row],[BS_Credit]]&gt;0),"A",IF(AND(BalanceN1[[#This Row],[Vérif]]="C",BalanceN1[[#This Row],[BS_Debit]]&gt;0),"A",""))</f>
        <v/>
      </c>
      <c r="Y49" s="1262" t="str">
        <f>IF(AND(BalanceN1[[#This Row],[Vérif]]="D",BalanceN1[[#This Row],[BE_Credit]]&gt;0),"A",IF(AND(BalanceN1[[#This Row],[Vérif]]="C",BalanceN1[[#This Row],[BE_Debit]]&gt;0),"A",""))</f>
        <v/>
      </c>
    </row>
    <row r="50" spans="1:25" ht="18" customHeight="1">
      <c r="A50" s="1124">
        <v>335100</v>
      </c>
      <c r="B50" s="1124" t="s">
        <v>11792</v>
      </c>
      <c r="C50" s="1125">
        <v>8146993</v>
      </c>
      <c r="D50" s="1125"/>
      <c r="E50" s="1125">
        <v>76874255</v>
      </c>
      <c r="F50" s="1125">
        <v>79288966</v>
      </c>
      <c r="G50" s="1125">
        <v>5732282</v>
      </c>
      <c r="H50" s="1125"/>
      <c r="I50" s="1122">
        <f>VALUE(LEFT(BalanceN[[#This Row],[Compte]]&amp;"00000000",5))</f>
        <v>33510</v>
      </c>
      <c r="J50" s="1123" t="str" cm="1">
        <f t="array" ref="J50">IF(BalanceN[[#This Row],[Compte]]="",0,_xlfn.IFNA(INDEX(Plan_Comptable[[Table de Compte]:[Sens]],MATCH(VALUE(LEFT(BalanceN[[#This Row],[Table]],4)),VALUE(Plan_Comptable[Table de Compte]),0),2),"A"))</f>
        <v>D</v>
      </c>
      <c r="K50" s="1121" t="str">
        <f>IF(AND(BalanceN[[#This Row],[Vérif]]="D",BalanceN[[#This Row],[BS_Credit]]&gt;0),"A",IF(AND(BalanceN[[#This Row],[Vérif]]="C",BalanceN[[#This Row],[BS_Debit]]&gt;0),"A",""))</f>
        <v/>
      </c>
      <c r="L50" s="1121" t="str">
        <f>IF(AND(BalanceN[[#This Row],[Vérif]]="D",BalanceN[[#This Row],[BE_Credit]]&gt;0),"A",IF(AND(BalanceN[[#This Row],[Vérif]]="C",BalanceN[[#This Row],[BE_Debit]]&gt;0),"A",""))</f>
        <v/>
      </c>
      <c r="N50" s="1126">
        <v>409100</v>
      </c>
      <c r="O50" s="1124" t="s">
        <v>11794</v>
      </c>
      <c r="P50" s="1127"/>
      <c r="Q50" s="1127"/>
      <c r="R50" s="1127">
        <v>1433750</v>
      </c>
      <c r="S50" s="1127">
        <v>733750</v>
      </c>
      <c r="T50" s="1127">
        <v>700000</v>
      </c>
      <c r="U50" s="1127"/>
      <c r="V50" s="1260">
        <f>VALUE(LEFT(BalanceN1[[#This Row],[Compte]]&amp;"00000000",5))</f>
        <v>40910</v>
      </c>
      <c r="W50" s="1261" t="str" cm="1">
        <f t="array" ref="W50">IF(BalanceN1[[#This Row],[Compte]]="",0,_xlfn.IFNA(INDEX(Plan_Comptable[[Table de Compte]:[Sens]],MATCH(VALUE(LEFT(BalanceN1[[#This Row],[Table]],4)),VALUE(Plan_Comptable[Table de Compte]),0),2),"A"))</f>
        <v>D</v>
      </c>
      <c r="X50" s="1262" t="str">
        <f>IF(AND(BalanceN1[[#This Row],[Vérif]]="D",BalanceN1[[#This Row],[BS_Credit]]&gt;0),"A",IF(AND(BalanceN1[[#This Row],[Vérif]]="C",BalanceN1[[#This Row],[BS_Debit]]&gt;0),"A",""))</f>
        <v/>
      </c>
      <c r="Y50" s="1262" t="str">
        <f>IF(AND(BalanceN1[[#This Row],[Vérif]]="D",BalanceN1[[#This Row],[BE_Credit]]&gt;0),"A",IF(AND(BalanceN1[[#This Row],[Vérif]]="C",BalanceN1[[#This Row],[BE_Debit]]&gt;0),"A",""))</f>
        <v/>
      </c>
    </row>
    <row r="51" spans="1:25" ht="18" customHeight="1">
      <c r="A51" s="1124">
        <v>401100</v>
      </c>
      <c r="B51" s="1124" t="s">
        <v>10533</v>
      </c>
      <c r="C51" s="1125"/>
      <c r="D51" s="1125">
        <v>40583900</v>
      </c>
      <c r="E51" s="1125">
        <v>579308293</v>
      </c>
      <c r="F51" s="1125">
        <v>565419408</v>
      </c>
      <c r="G51" s="1125"/>
      <c r="H51" s="1125">
        <v>26695015</v>
      </c>
      <c r="I51" s="1122">
        <f>VALUE(LEFT(BalanceN[[#This Row],[Compte]]&amp;"00000000",5))</f>
        <v>40110</v>
      </c>
      <c r="J51" s="1123" t="str" cm="1">
        <f t="array" ref="J51">IF(BalanceN[[#This Row],[Compte]]="",0,_xlfn.IFNA(INDEX(Plan_Comptable[[Table de Compte]:[Sens]],MATCH(VALUE(LEFT(BalanceN[[#This Row],[Table]],4)),VALUE(Plan_Comptable[Table de Compte]),0),2),"A"))</f>
        <v>C</v>
      </c>
      <c r="K51" s="1121" t="str">
        <f>IF(AND(BalanceN[[#This Row],[Vérif]]="D",BalanceN[[#This Row],[BS_Credit]]&gt;0),"A",IF(AND(BalanceN[[#This Row],[Vérif]]="C",BalanceN[[#This Row],[BS_Debit]]&gt;0),"A",""))</f>
        <v/>
      </c>
      <c r="L51" s="1121" t="str">
        <f>IF(AND(BalanceN[[#This Row],[Vérif]]="D",BalanceN[[#This Row],[BE_Credit]]&gt;0),"A",IF(AND(BalanceN[[#This Row],[Vérif]]="C",BalanceN[[#This Row],[BE_Debit]]&gt;0),"A",""))</f>
        <v/>
      </c>
      <c r="N51" s="1126">
        <v>411100</v>
      </c>
      <c r="O51" s="1124" t="s">
        <v>1202</v>
      </c>
      <c r="P51" s="1127">
        <v>114098863</v>
      </c>
      <c r="Q51" s="1127"/>
      <c r="R51" s="1127">
        <v>1906855340</v>
      </c>
      <c r="S51" s="1127">
        <v>1880270370</v>
      </c>
      <c r="T51" s="1127">
        <v>140683833</v>
      </c>
      <c r="U51" s="1127"/>
      <c r="V51" s="1260">
        <f>VALUE(LEFT(BalanceN1[[#This Row],[Compte]]&amp;"00000000",5))</f>
        <v>41110</v>
      </c>
      <c r="W51" s="1261" t="str" cm="1">
        <f t="array" ref="W51">IF(BalanceN1[[#This Row],[Compte]]="",0,_xlfn.IFNA(INDEX(Plan_Comptable[[Table de Compte]:[Sens]],MATCH(VALUE(LEFT(BalanceN1[[#This Row],[Table]],4)),VALUE(Plan_Comptable[Table de Compte]),0),2),"A"))</f>
        <v>D</v>
      </c>
      <c r="X51" s="1262" t="str">
        <f>IF(AND(BalanceN1[[#This Row],[Vérif]]="D",BalanceN1[[#This Row],[BS_Credit]]&gt;0),"A",IF(AND(BalanceN1[[#This Row],[Vérif]]="C",BalanceN1[[#This Row],[BS_Debit]]&gt;0),"A",""))</f>
        <v/>
      </c>
      <c r="Y51" s="1262" t="str">
        <f>IF(AND(BalanceN1[[#This Row],[Vérif]]="D",BalanceN1[[#This Row],[BE_Credit]]&gt;0),"A",IF(AND(BalanceN1[[#This Row],[Vérif]]="C",BalanceN1[[#This Row],[BE_Debit]]&gt;0),"A",""))</f>
        <v/>
      </c>
    </row>
    <row r="52" spans="1:25" ht="18" customHeight="1">
      <c r="A52" s="1124">
        <v>408100</v>
      </c>
      <c r="B52" s="1124" t="s">
        <v>11793</v>
      </c>
      <c r="C52" s="1125"/>
      <c r="D52" s="1125">
        <v>15310306</v>
      </c>
      <c r="E52" s="1125">
        <v>117810569</v>
      </c>
      <c r="F52" s="1125">
        <v>114015470</v>
      </c>
      <c r="G52" s="1125"/>
      <c r="H52" s="1125">
        <v>11515207</v>
      </c>
      <c r="I52" s="1122">
        <f>VALUE(LEFT(BalanceN[[#This Row],[Compte]]&amp;"00000000",5))</f>
        <v>40810</v>
      </c>
      <c r="J52" s="1123" t="str" cm="1">
        <f t="array" ref="J52">IF(BalanceN[[#This Row],[Compte]]="",0,_xlfn.IFNA(INDEX(Plan_Comptable[[Table de Compte]:[Sens]],MATCH(VALUE(LEFT(BalanceN[[#This Row],[Table]],4)),VALUE(Plan_Comptable[Table de Compte]),0),2),"A"))</f>
        <v>C</v>
      </c>
      <c r="K52" s="1121" t="str">
        <f>IF(AND(BalanceN[[#This Row],[Vérif]]="D",BalanceN[[#This Row],[BS_Credit]]&gt;0),"A",IF(AND(BalanceN[[#This Row],[Vérif]]="C",BalanceN[[#This Row],[BS_Debit]]&gt;0),"A",""))</f>
        <v/>
      </c>
      <c r="L52" s="1121" t="str">
        <f>IF(AND(BalanceN[[#This Row],[Vérif]]="D",BalanceN[[#This Row],[BE_Credit]]&gt;0),"A",IF(AND(BalanceN[[#This Row],[Vérif]]="C",BalanceN[[#This Row],[BE_Debit]]&gt;0),"A",""))</f>
        <v/>
      </c>
      <c r="N52" s="1126">
        <v>416200</v>
      </c>
      <c r="O52" s="1124" t="s">
        <v>10590</v>
      </c>
      <c r="P52" s="1127">
        <v>31677520</v>
      </c>
      <c r="Q52" s="1127"/>
      <c r="R52" s="1127"/>
      <c r="S52" s="1127"/>
      <c r="T52" s="1127">
        <v>31677520</v>
      </c>
      <c r="U52" s="1127"/>
      <c r="V52" s="1260">
        <f>VALUE(LEFT(BalanceN1[[#This Row],[Compte]]&amp;"00000000",5))</f>
        <v>41620</v>
      </c>
      <c r="W52" s="1261" t="str" cm="1">
        <f t="array" ref="W52">IF(BalanceN1[[#This Row],[Compte]]="",0,_xlfn.IFNA(INDEX(Plan_Comptable[[Table de Compte]:[Sens]],MATCH(VALUE(LEFT(BalanceN1[[#This Row],[Table]],4)),VALUE(Plan_Comptable[Table de Compte]),0),2),"A"))</f>
        <v>D</v>
      </c>
      <c r="X52" s="1262" t="str">
        <f>IF(AND(BalanceN1[[#This Row],[Vérif]]="D",BalanceN1[[#This Row],[BS_Credit]]&gt;0),"A",IF(AND(BalanceN1[[#This Row],[Vérif]]="C",BalanceN1[[#This Row],[BS_Debit]]&gt;0),"A",""))</f>
        <v/>
      </c>
      <c r="Y52" s="1262" t="str">
        <f>IF(AND(BalanceN1[[#This Row],[Vérif]]="D",BalanceN1[[#This Row],[BE_Credit]]&gt;0),"A",IF(AND(BalanceN1[[#This Row],[Vérif]]="C",BalanceN1[[#This Row],[BE_Debit]]&gt;0),"A",""))</f>
        <v/>
      </c>
    </row>
    <row r="53" spans="1:25" ht="18" customHeight="1">
      <c r="A53" s="1124">
        <v>409100</v>
      </c>
      <c r="B53" s="1124" t="s">
        <v>11794</v>
      </c>
      <c r="C53" s="1125">
        <v>700000</v>
      </c>
      <c r="D53" s="1125"/>
      <c r="E53" s="1125">
        <v>4007612</v>
      </c>
      <c r="F53" s="1125">
        <v>3850000</v>
      </c>
      <c r="G53" s="1125">
        <v>857612</v>
      </c>
      <c r="H53" s="1125"/>
      <c r="I53" s="1122">
        <f>VALUE(LEFT(BalanceN[[#This Row],[Compte]]&amp;"00000000",5))</f>
        <v>40910</v>
      </c>
      <c r="J53" s="1123" t="str" cm="1">
        <f t="array" ref="J53">IF(BalanceN[[#This Row],[Compte]]="",0,_xlfn.IFNA(INDEX(Plan_Comptable[[Table de Compte]:[Sens]],MATCH(VALUE(LEFT(BalanceN[[#This Row],[Table]],4)),VALUE(Plan_Comptable[Table de Compte]),0),2),"A"))</f>
        <v>D</v>
      </c>
      <c r="K53" s="1121" t="str">
        <f>IF(AND(BalanceN[[#This Row],[Vérif]]="D",BalanceN[[#This Row],[BS_Credit]]&gt;0),"A",IF(AND(BalanceN[[#This Row],[Vérif]]="C",BalanceN[[#This Row],[BS_Debit]]&gt;0),"A",""))</f>
        <v/>
      </c>
      <c r="L53" s="1121" t="str">
        <f>IF(AND(BalanceN[[#This Row],[Vérif]]="D",BalanceN[[#This Row],[BE_Credit]]&gt;0),"A",IF(AND(BalanceN[[#This Row],[Vérif]]="C",BalanceN[[#This Row],[BE_Debit]]&gt;0),"A",""))</f>
        <v/>
      </c>
      <c r="N53" s="1126">
        <v>4181</v>
      </c>
      <c r="O53" s="1124" t="s">
        <v>11901</v>
      </c>
      <c r="P53" s="1127">
        <v>948441</v>
      </c>
      <c r="Q53" s="1127"/>
      <c r="R53" s="1127"/>
      <c r="S53" s="1127">
        <v>948441</v>
      </c>
      <c r="T53" s="1127"/>
      <c r="U53" s="1127"/>
      <c r="V53" s="1260">
        <f>VALUE(LEFT(BalanceN1[[#This Row],[Compte]]&amp;"00000000",5))</f>
        <v>41810</v>
      </c>
      <c r="W53" s="1261" t="str" cm="1">
        <f t="array" ref="W53">IF(BalanceN1[[#This Row],[Compte]]="",0,_xlfn.IFNA(INDEX(Plan_Comptable[[Table de Compte]:[Sens]],MATCH(VALUE(LEFT(BalanceN1[[#This Row],[Table]],4)),VALUE(Plan_Comptable[Table de Compte]),0),2),"A"))</f>
        <v>D</v>
      </c>
      <c r="X53" s="1262" t="str">
        <f>IF(AND(BalanceN1[[#This Row],[Vérif]]="D",BalanceN1[[#This Row],[BS_Credit]]&gt;0),"A",IF(AND(BalanceN1[[#This Row],[Vérif]]="C",BalanceN1[[#This Row],[BS_Debit]]&gt;0),"A",""))</f>
        <v/>
      </c>
      <c r="Y53" s="1262" t="str">
        <f>IF(AND(BalanceN1[[#This Row],[Vérif]]="D",BalanceN1[[#This Row],[BE_Credit]]&gt;0),"A",IF(AND(BalanceN1[[#This Row],[Vérif]]="C",BalanceN1[[#This Row],[BE_Debit]]&gt;0),"A",""))</f>
        <v/>
      </c>
    </row>
    <row r="54" spans="1:25" ht="18" customHeight="1">
      <c r="A54" s="1124">
        <v>411100</v>
      </c>
      <c r="B54" s="1124" t="s">
        <v>1202</v>
      </c>
      <c r="C54" s="1125">
        <v>140683833</v>
      </c>
      <c r="D54" s="1125"/>
      <c r="E54" s="1125">
        <v>2068782537</v>
      </c>
      <c r="F54" s="1125">
        <v>2073205069</v>
      </c>
      <c r="G54" s="1125">
        <v>136261301</v>
      </c>
      <c r="H54" s="1125"/>
      <c r="I54" s="1122">
        <f>VALUE(LEFT(BalanceN[[#This Row],[Compte]]&amp;"00000000",5))</f>
        <v>41110</v>
      </c>
      <c r="J54" s="1123" t="str" cm="1">
        <f t="array" ref="J54">IF(BalanceN[[#This Row],[Compte]]="",0,_xlfn.IFNA(INDEX(Plan_Comptable[[Table de Compte]:[Sens]],MATCH(VALUE(LEFT(BalanceN[[#This Row],[Table]],4)),VALUE(Plan_Comptable[Table de Compte]),0),2),"A"))</f>
        <v>D</v>
      </c>
      <c r="K54" s="1121" t="str">
        <f>IF(AND(BalanceN[[#This Row],[Vérif]]="D",BalanceN[[#This Row],[BS_Credit]]&gt;0),"A",IF(AND(BalanceN[[#This Row],[Vérif]]="C",BalanceN[[#This Row],[BS_Debit]]&gt;0),"A",""))</f>
        <v/>
      </c>
      <c r="L54" s="1121" t="str">
        <f>IF(AND(BalanceN[[#This Row],[Vérif]]="D",BalanceN[[#This Row],[BE_Credit]]&gt;0),"A",IF(AND(BalanceN[[#This Row],[Vérif]]="C",BalanceN[[#This Row],[BE_Debit]]&gt;0),"A",""))</f>
        <v/>
      </c>
      <c r="N54" s="1126">
        <v>4212</v>
      </c>
      <c r="O54" s="1124" t="s">
        <v>11902</v>
      </c>
      <c r="P54" s="1127">
        <v>675000</v>
      </c>
      <c r="Q54" s="1127"/>
      <c r="R54" s="1127">
        <v>5362000</v>
      </c>
      <c r="S54" s="1127">
        <v>5344500</v>
      </c>
      <c r="T54" s="1127">
        <v>692500</v>
      </c>
      <c r="U54" s="1127"/>
      <c r="V54" s="1260">
        <f>VALUE(LEFT(BalanceN1[[#This Row],[Compte]]&amp;"00000000",5))</f>
        <v>42120</v>
      </c>
      <c r="W54" s="1261" t="str" cm="1">
        <f t="array" ref="W54">IF(BalanceN1[[#This Row],[Compte]]="",0,_xlfn.IFNA(INDEX(Plan_Comptable[[Table de Compte]:[Sens]],MATCH(VALUE(LEFT(BalanceN1[[#This Row],[Table]],4)),VALUE(Plan_Comptable[Table de Compte]),0),2),"A"))</f>
        <v>D</v>
      </c>
      <c r="X54" s="1262" t="str">
        <f>IF(AND(BalanceN1[[#This Row],[Vérif]]="D",BalanceN1[[#This Row],[BS_Credit]]&gt;0),"A",IF(AND(BalanceN1[[#This Row],[Vérif]]="C",BalanceN1[[#This Row],[BS_Debit]]&gt;0),"A",""))</f>
        <v/>
      </c>
      <c r="Y54" s="1262" t="str">
        <f>IF(AND(BalanceN1[[#This Row],[Vérif]]="D",BalanceN1[[#This Row],[BE_Credit]]&gt;0),"A",IF(AND(BalanceN1[[#This Row],[Vérif]]="C",BalanceN1[[#This Row],[BE_Debit]]&gt;0),"A",""))</f>
        <v/>
      </c>
    </row>
    <row r="55" spans="1:25" ht="18" customHeight="1">
      <c r="A55" s="1124">
        <v>416200</v>
      </c>
      <c r="B55" s="1124" t="s">
        <v>10590</v>
      </c>
      <c r="C55" s="1125">
        <v>31677520</v>
      </c>
      <c r="D55" s="1125"/>
      <c r="E55" s="1125"/>
      <c r="F55" s="1125"/>
      <c r="G55" s="1125">
        <v>31677520</v>
      </c>
      <c r="H55" s="1125"/>
      <c r="I55" s="1122">
        <f>VALUE(LEFT(BalanceN[[#This Row],[Compte]]&amp;"00000000",5))</f>
        <v>41620</v>
      </c>
      <c r="J55" s="1123" t="str" cm="1">
        <f t="array" ref="J55">IF(BalanceN[[#This Row],[Compte]]="",0,_xlfn.IFNA(INDEX(Plan_Comptable[[Table de Compte]:[Sens]],MATCH(VALUE(LEFT(BalanceN[[#This Row],[Table]],4)),VALUE(Plan_Comptable[Table de Compte]),0),2),"A"))</f>
        <v>D</v>
      </c>
      <c r="K55" s="1121" t="str">
        <f>IF(AND(BalanceN[[#This Row],[Vérif]]="D",BalanceN[[#This Row],[BS_Credit]]&gt;0),"A",IF(AND(BalanceN[[#This Row],[Vérif]]="C",BalanceN[[#This Row],[BS_Debit]]&gt;0),"A",""))</f>
        <v/>
      </c>
      <c r="L55" s="1121" t="str">
        <f>IF(AND(BalanceN[[#This Row],[Vérif]]="D",BalanceN[[#This Row],[BE_Credit]]&gt;0),"A",IF(AND(BalanceN[[#This Row],[Vérif]]="C",BalanceN[[#This Row],[BE_Debit]]&gt;0),"A",""))</f>
        <v/>
      </c>
      <c r="N55" s="1126">
        <v>4213</v>
      </c>
      <c r="O55" s="1124" t="s">
        <v>11903</v>
      </c>
      <c r="P55" s="1127">
        <v>1162554</v>
      </c>
      <c r="Q55" s="1127"/>
      <c r="R55" s="1127">
        <v>1935977</v>
      </c>
      <c r="S55" s="1127">
        <v>2510745</v>
      </c>
      <c r="T55" s="1127">
        <v>587786</v>
      </c>
      <c r="U55" s="1127"/>
      <c r="V55" s="1260">
        <f>VALUE(LEFT(BalanceN1[[#This Row],[Compte]]&amp;"00000000",5))</f>
        <v>42130</v>
      </c>
      <c r="W55" s="1261" t="str" cm="1">
        <f t="array" ref="W55">IF(BalanceN1[[#This Row],[Compte]]="",0,_xlfn.IFNA(INDEX(Plan_Comptable[[Table de Compte]:[Sens]],MATCH(VALUE(LEFT(BalanceN1[[#This Row],[Table]],4)),VALUE(Plan_Comptable[Table de Compte]),0),2),"A"))</f>
        <v>D</v>
      </c>
      <c r="X55" s="1262" t="str">
        <f>IF(AND(BalanceN1[[#This Row],[Vérif]]="D",BalanceN1[[#This Row],[BS_Credit]]&gt;0),"A",IF(AND(BalanceN1[[#This Row],[Vérif]]="C",BalanceN1[[#This Row],[BS_Debit]]&gt;0),"A",""))</f>
        <v/>
      </c>
      <c r="Y55" s="1262" t="str">
        <f>IF(AND(BalanceN1[[#This Row],[Vérif]]="D",BalanceN1[[#This Row],[BE_Credit]]&gt;0),"A",IF(AND(BalanceN1[[#This Row],[Vérif]]="C",BalanceN1[[#This Row],[BE_Debit]]&gt;0),"A",""))</f>
        <v/>
      </c>
    </row>
    <row r="56" spans="1:25" ht="18" customHeight="1">
      <c r="A56" s="1124">
        <v>4212</v>
      </c>
      <c r="B56" s="1124" t="s">
        <v>11795</v>
      </c>
      <c r="C56" s="1125">
        <v>692500</v>
      </c>
      <c r="D56" s="1125"/>
      <c r="E56" s="1125">
        <v>20740622</v>
      </c>
      <c r="F56" s="1125">
        <v>6330272</v>
      </c>
      <c r="G56" s="1125">
        <v>15102850</v>
      </c>
      <c r="H56" s="1125"/>
      <c r="I56" s="1122">
        <f>VALUE(LEFT(BalanceN[[#This Row],[Compte]]&amp;"00000000",5))</f>
        <v>42120</v>
      </c>
      <c r="J56" s="1123" t="str" cm="1">
        <f t="array" ref="J56">IF(BalanceN[[#This Row],[Compte]]="",0,_xlfn.IFNA(INDEX(Plan_Comptable[[Table de Compte]:[Sens]],MATCH(VALUE(LEFT(BalanceN[[#This Row],[Table]],4)),VALUE(Plan_Comptable[Table de Compte]),0),2),"A"))</f>
        <v>D</v>
      </c>
      <c r="K56" s="1121" t="str">
        <f>IF(AND(BalanceN[[#This Row],[Vérif]]="D",BalanceN[[#This Row],[BS_Credit]]&gt;0),"A",IF(AND(BalanceN[[#This Row],[Vérif]]="C",BalanceN[[#This Row],[BS_Debit]]&gt;0),"A",""))</f>
        <v/>
      </c>
      <c r="L56" s="1121" t="str">
        <f>IF(AND(BalanceN[[#This Row],[Vérif]]="D",BalanceN[[#This Row],[BE_Credit]]&gt;0),"A",IF(AND(BalanceN[[#This Row],[Vérif]]="C",BalanceN[[#This Row],[BE_Debit]]&gt;0),"A",""))</f>
        <v/>
      </c>
      <c r="N56" s="1126">
        <v>422000</v>
      </c>
      <c r="O56" s="1124" t="s">
        <v>2069</v>
      </c>
      <c r="P56" s="1127"/>
      <c r="Q56" s="1127"/>
      <c r="R56" s="1127">
        <v>130502753</v>
      </c>
      <c r="S56" s="1127">
        <v>131486004</v>
      </c>
      <c r="T56" s="1127"/>
      <c r="U56" s="1127">
        <v>983251</v>
      </c>
      <c r="V56" s="1260">
        <f>VALUE(LEFT(BalanceN1[[#This Row],[Compte]]&amp;"00000000",5))</f>
        <v>42200</v>
      </c>
      <c r="W56" s="1261" t="str" cm="1">
        <f t="array" ref="W56">IF(BalanceN1[[#This Row],[Compte]]="",0,_xlfn.IFNA(INDEX(Plan_Comptable[[Table de Compte]:[Sens]],MATCH(VALUE(LEFT(BalanceN1[[#This Row],[Table]],4)),VALUE(Plan_Comptable[Table de Compte]),0),2),"A"))</f>
        <v>C</v>
      </c>
      <c r="X56" s="1262" t="str">
        <f>IF(AND(BalanceN1[[#This Row],[Vérif]]="D",BalanceN1[[#This Row],[BS_Credit]]&gt;0),"A",IF(AND(BalanceN1[[#This Row],[Vérif]]="C",BalanceN1[[#This Row],[BS_Debit]]&gt;0),"A",""))</f>
        <v/>
      </c>
      <c r="Y56" s="1262" t="str">
        <f>IF(AND(BalanceN1[[#This Row],[Vérif]]="D",BalanceN1[[#This Row],[BE_Credit]]&gt;0),"A",IF(AND(BalanceN1[[#This Row],[Vérif]]="C",BalanceN1[[#This Row],[BE_Debit]]&gt;0),"A",""))</f>
        <v/>
      </c>
    </row>
    <row r="57" spans="1:25" ht="18" customHeight="1">
      <c r="A57" s="1124">
        <v>421300</v>
      </c>
      <c r="B57" s="1124" t="s">
        <v>11796</v>
      </c>
      <c r="C57" s="1125">
        <v>587786</v>
      </c>
      <c r="D57" s="1125"/>
      <c r="E57" s="1125">
        <v>2856452</v>
      </c>
      <c r="F57" s="1125">
        <v>1625425</v>
      </c>
      <c r="G57" s="1125">
        <v>1818813</v>
      </c>
      <c r="H57" s="1125"/>
      <c r="I57" s="1122">
        <f>VALUE(LEFT(BalanceN[[#This Row],[Compte]]&amp;"00000000",5))</f>
        <v>42130</v>
      </c>
      <c r="J57" s="1123" t="str" cm="1">
        <f t="array" ref="J57">IF(BalanceN[[#This Row],[Compte]]="",0,_xlfn.IFNA(INDEX(Plan_Comptable[[Table de Compte]:[Sens]],MATCH(VALUE(LEFT(BalanceN[[#This Row],[Table]],4)),VALUE(Plan_Comptable[Table de Compte]),0),2),"A"))</f>
        <v>D</v>
      </c>
      <c r="K57" s="1121" t="str">
        <f>IF(AND(BalanceN[[#This Row],[Vérif]]="D",BalanceN[[#This Row],[BS_Credit]]&gt;0),"A",IF(AND(BalanceN[[#This Row],[Vérif]]="C",BalanceN[[#This Row],[BS_Debit]]&gt;0),"A",""))</f>
        <v/>
      </c>
      <c r="L57" s="1121" t="str">
        <f>IF(AND(BalanceN[[#This Row],[Vérif]]="D",BalanceN[[#This Row],[BE_Credit]]&gt;0),"A",IF(AND(BalanceN[[#This Row],[Vérif]]="C",BalanceN[[#This Row],[BE_Debit]]&gt;0),"A",""))</f>
        <v/>
      </c>
      <c r="N57" s="1126">
        <v>423200</v>
      </c>
      <c r="O57" s="1124" t="s">
        <v>11904</v>
      </c>
      <c r="P57" s="1127"/>
      <c r="Q57" s="1127">
        <v>40000</v>
      </c>
      <c r="R57" s="1127">
        <v>480000</v>
      </c>
      <c r="S57" s="1127">
        <v>480000</v>
      </c>
      <c r="T57" s="1127"/>
      <c r="U57" s="1127">
        <v>40000</v>
      </c>
      <c r="V57" s="1260">
        <f>VALUE(LEFT(BalanceN1[[#This Row],[Compte]]&amp;"00000000",5))</f>
        <v>42320</v>
      </c>
      <c r="W57" s="1261" cm="1">
        <f t="array" ref="W57">IF(BalanceN1[[#This Row],[Compte]]="",0,_xlfn.IFNA(INDEX(Plan_Comptable[[Table de Compte]:[Sens]],MATCH(VALUE(LEFT(BalanceN1[[#This Row],[Table]],4)),VALUE(Plan_Comptable[Table de Compte]),0),2),"A"))</f>
        <v>0</v>
      </c>
      <c r="X57" s="1262" t="str">
        <f>IF(AND(BalanceN1[[#This Row],[Vérif]]="D",BalanceN1[[#This Row],[BS_Credit]]&gt;0),"A",IF(AND(BalanceN1[[#This Row],[Vérif]]="C",BalanceN1[[#This Row],[BS_Debit]]&gt;0),"A",""))</f>
        <v/>
      </c>
      <c r="Y57" s="1262" t="str">
        <f>IF(AND(BalanceN1[[#This Row],[Vérif]]="D",BalanceN1[[#This Row],[BE_Credit]]&gt;0),"A",IF(AND(BalanceN1[[#This Row],[Vérif]]="C",BalanceN1[[#This Row],[BE_Debit]]&gt;0),"A",""))</f>
        <v/>
      </c>
    </row>
    <row r="58" spans="1:25" ht="18" customHeight="1">
      <c r="A58" s="1124">
        <v>422000</v>
      </c>
      <c r="B58" s="1124" t="s">
        <v>2069</v>
      </c>
      <c r="C58" s="1125"/>
      <c r="D58" s="1125">
        <v>983251</v>
      </c>
      <c r="E58" s="1125">
        <v>106926551</v>
      </c>
      <c r="F58" s="1125">
        <v>106078239</v>
      </c>
      <c r="G58" s="1125"/>
      <c r="H58" s="1125">
        <v>134939</v>
      </c>
      <c r="I58" s="1122">
        <f>VALUE(LEFT(BalanceN[[#This Row],[Compte]]&amp;"00000000",5))</f>
        <v>42200</v>
      </c>
      <c r="J58" s="1123" t="str" cm="1">
        <f t="array" ref="J58">IF(BalanceN[[#This Row],[Compte]]="",0,_xlfn.IFNA(INDEX(Plan_Comptable[[Table de Compte]:[Sens]],MATCH(VALUE(LEFT(BalanceN[[#This Row],[Table]],4)),VALUE(Plan_Comptable[Table de Compte]),0),2),"A"))</f>
        <v>C</v>
      </c>
      <c r="K58" s="1121" t="str">
        <f>IF(AND(BalanceN[[#This Row],[Vérif]]="D",BalanceN[[#This Row],[BS_Credit]]&gt;0),"A",IF(AND(BalanceN[[#This Row],[Vérif]]="C",BalanceN[[#This Row],[BS_Debit]]&gt;0),"A",""))</f>
        <v/>
      </c>
      <c r="L58" s="1121" t="str">
        <f>IF(AND(BalanceN[[#This Row],[Vérif]]="D",BalanceN[[#This Row],[BE_Credit]]&gt;0),"A",IF(AND(BalanceN[[#This Row],[Vérif]]="C",BalanceN[[#This Row],[BE_Debit]]&gt;0),"A",""))</f>
        <v/>
      </c>
      <c r="N58" s="1126">
        <v>427000</v>
      </c>
      <c r="O58" s="1124" t="s">
        <v>11798</v>
      </c>
      <c r="P58" s="1127"/>
      <c r="Q58" s="1127">
        <v>55000</v>
      </c>
      <c r="R58" s="1127">
        <v>166500</v>
      </c>
      <c r="S58" s="1127">
        <v>184000</v>
      </c>
      <c r="T58" s="1127"/>
      <c r="U58" s="1127">
        <v>72500</v>
      </c>
      <c r="V58" s="1260">
        <f>VALUE(LEFT(BalanceN1[[#This Row],[Compte]]&amp;"00000000",5))</f>
        <v>42700</v>
      </c>
      <c r="W58" s="1261" cm="1">
        <f t="array" ref="W58">IF(BalanceN1[[#This Row],[Compte]]="",0,_xlfn.IFNA(INDEX(Plan_Comptable[[Table de Compte]:[Sens]],MATCH(VALUE(LEFT(BalanceN1[[#This Row],[Table]],4)),VALUE(Plan_Comptable[Table de Compte]),0),2),"A"))</f>
        <v>0</v>
      </c>
      <c r="X58" s="1262" t="str">
        <f>IF(AND(BalanceN1[[#This Row],[Vérif]]="D",BalanceN1[[#This Row],[BS_Credit]]&gt;0),"A",IF(AND(BalanceN1[[#This Row],[Vérif]]="C",BalanceN1[[#This Row],[BS_Debit]]&gt;0),"A",""))</f>
        <v/>
      </c>
      <c r="Y58" s="1262" t="str">
        <f>IF(AND(BalanceN1[[#This Row],[Vérif]]="D",BalanceN1[[#This Row],[BE_Credit]]&gt;0),"A",IF(AND(BalanceN1[[#This Row],[Vérif]]="C",BalanceN1[[#This Row],[BE_Debit]]&gt;0),"A",""))</f>
        <v/>
      </c>
    </row>
    <row r="59" spans="1:25" ht="18" customHeight="1">
      <c r="A59" s="1124">
        <v>423200</v>
      </c>
      <c r="B59" s="1124" t="s">
        <v>11797</v>
      </c>
      <c r="C59" s="1125"/>
      <c r="D59" s="1125">
        <v>40000</v>
      </c>
      <c r="E59" s="1125">
        <v>520000</v>
      </c>
      <c r="F59" s="1125">
        <v>480000</v>
      </c>
      <c r="G59" s="1125"/>
      <c r="H59" s="1125"/>
      <c r="I59" s="1122">
        <f>VALUE(LEFT(BalanceN[[#This Row],[Compte]]&amp;"00000000",5))</f>
        <v>42320</v>
      </c>
      <c r="J59" s="1123" cm="1">
        <f t="array" ref="J59">IF(BalanceN[[#This Row],[Compte]]="",0,_xlfn.IFNA(INDEX(Plan_Comptable[[Table de Compte]:[Sens]],MATCH(VALUE(LEFT(BalanceN[[#This Row],[Table]],4)),VALUE(Plan_Comptable[Table de Compte]),0),2),"A"))</f>
        <v>0</v>
      </c>
      <c r="K59" s="1121" t="str">
        <f>IF(AND(BalanceN[[#This Row],[Vérif]]="D",BalanceN[[#This Row],[BS_Credit]]&gt;0),"A",IF(AND(BalanceN[[#This Row],[Vérif]]="C",BalanceN[[#This Row],[BS_Debit]]&gt;0),"A",""))</f>
        <v/>
      </c>
      <c r="L59" s="1121" t="str">
        <f>IF(AND(BalanceN[[#This Row],[Vérif]]="D",BalanceN[[#This Row],[BE_Credit]]&gt;0),"A",IF(AND(BalanceN[[#This Row],[Vérif]]="C",BalanceN[[#This Row],[BE_Debit]]&gt;0),"A",""))</f>
        <v/>
      </c>
      <c r="N59" s="1126">
        <v>4286</v>
      </c>
      <c r="O59" s="1124" t="s">
        <v>11799</v>
      </c>
      <c r="P59" s="1127"/>
      <c r="Q59" s="1127">
        <v>2303892</v>
      </c>
      <c r="R59" s="1127">
        <v>2303892</v>
      </c>
      <c r="S59" s="1127">
        <v>3057458</v>
      </c>
      <c r="T59" s="1127"/>
      <c r="U59" s="1127">
        <v>3057458</v>
      </c>
      <c r="V59" s="1260">
        <f>VALUE(LEFT(BalanceN1[[#This Row],[Compte]]&amp;"00000000",5))</f>
        <v>42860</v>
      </c>
      <c r="W59" s="1261" cm="1">
        <f t="array" ref="W59">IF(BalanceN1[[#This Row],[Compte]]="",0,_xlfn.IFNA(INDEX(Plan_Comptable[[Table de Compte]:[Sens]],MATCH(VALUE(LEFT(BalanceN1[[#This Row],[Table]],4)),VALUE(Plan_Comptable[Table de Compte]),0),2),"A"))</f>
        <v>0</v>
      </c>
      <c r="X59" s="1262" t="str">
        <f>IF(AND(BalanceN1[[#This Row],[Vérif]]="D",BalanceN1[[#This Row],[BS_Credit]]&gt;0),"A",IF(AND(BalanceN1[[#This Row],[Vérif]]="C",BalanceN1[[#This Row],[BS_Debit]]&gt;0),"A",""))</f>
        <v/>
      </c>
      <c r="Y59" s="1262" t="str">
        <f>IF(AND(BalanceN1[[#This Row],[Vérif]]="D",BalanceN1[[#This Row],[BE_Credit]]&gt;0),"A",IF(AND(BalanceN1[[#This Row],[Vérif]]="C",BalanceN1[[#This Row],[BE_Debit]]&gt;0),"A",""))</f>
        <v/>
      </c>
    </row>
    <row r="60" spans="1:25" ht="18" customHeight="1">
      <c r="A60" s="1124">
        <v>424200</v>
      </c>
      <c r="B60" s="1124" t="s">
        <v>10612</v>
      </c>
      <c r="C60" s="1125"/>
      <c r="D60" s="1125"/>
      <c r="E60" s="1125">
        <v>56700</v>
      </c>
      <c r="F60" s="1125">
        <v>56700</v>
      </c>
      <c r="G60" s="1125"/>
      <c r="H60" s="1125"/>
      <c r="I60" s="1122">
        <f>VALUE(LEFT(BalanceN[[#This Row],[Compte]]&amp;"00000000",5))</f>
        <v>42420</v>
      </c>
      <c r="J60" s="1123" cm="1">
        <f t="array" ref="J60">IF(BalanceN[[#This Row],[Compte]]="",0,_xlfn.IFNA(INDEX(Plan_Comptable[[Table de Compte]:[Sens]],MATCH(VALUE(LEFT(BalanceN[[#This Row],[Table]],4)),VALUE(Plan_Comptable[Table de Compte]),0),2),"A"))</f>
        <v>0</v>
      </c>
      <c r="K60" s="1121" t="str">
        <f>IF(AND(BalanceN[[#This Row],[Vérif]]="D",BalanceN[[#This Row],[BS_Credit]]&gt;0),"A",IF(AND(BalanceN[[#This Row],[Vérif]]="C",BalanceN[[#This Row],[BS_Debit]]&gt;0),"A",""))</f>
        <v/>
      </c>
      <c r="L60" s="1121" t="str">
        <f>IF(AND(BalanceN[[#This Row],[Vérif]]="D",BalanceN[[#This Row],[BE_Credit]]&gt;0),"A",IF(AND(BalanceN[[#This Row],[Vérif]]="C",BalanceN[[#This Row],[BE_Debit]]&gt;0),"A",""))</f>
        <v/>
      </c>
      <c r="N60" s="1126">
        <v>4286</v>
      </c>
      <c r="O60" s="1124" t="s">
        <v>11905</v>
      </c>
      <c r="P60" s="1127"/>
      <c r="Q60" s="1127">
        <v>1351085</v>
      </c>
      <c r="R60" s="1127">
        <v>1351085</v>
      </c>
      <c r="S60" s="1127">
        <v>955634</v>
      </c>
      <c r="T60" s="1127"/>
      <c r="U60" s="1127">
        <v>955634</v>
      </c>
      <c r="V60" s="1260">
        <f>VALUE(LEFT(BalanceN1[[#This Row],[Compte]]&amp;"00000000",5))</f>
        <v>42860</v>
      </c>
      <c r="W60" s="1261" cm="1">
        <f t="array" ref="W60">IF(BalanceN1[[#This Row],[Compte]]="",0,_xlfn.IFNA(INDEX(Plan_Comptable[[Table de Compte]:[Sens]],MATCH(VALUE(LEFT(BalanceN1[[#This Row],[Table]],4)),VALUE(Plan_Comptable[Table de Compte]),0),2),"A"))</f>
        <v>0</v>
      </c>
      <c r="X60" s="1262" t="str">
        <f>IF(AND(BalanceN1[[#This Row],[Vérif]]="D",BalanceN1[[#This Row],[BS_Credit]]&gt;0),"A",IF(AND(BalanceN1[[#This Row],[Vérif]]="C",BalanceN1[[#This Row],[BS_Debit]]&gt;0),"A",""))</f>
        <v/>
      </c>
      <c r="Y60" s="1262" t="str">
        <f>IF(AND(BalanceN1[[#This Row],[Vérif]]="D",BalanceN1[[#This Row],[BE_Credit]]&gt;0),"A",IF(AND(BalanceN1[[#This Row],[Vérif]]="C",BalanceN1[[#This Row],[BE_Debit]]&gt;0),"A",""))</f>
        <v/>
      </c>
    </row>
    <row r="61" spans="1:25" ht="18" customHeight="1">
      <c r="A61" s="1124">
        <v>427000</v>
      </c>
      <c r="B61" s="1124" t="s">
        <v>11798</v>
      </c>
      <c r="C61" s="1125"/>
      <c r="D61" s="1125">
        <v>72500</v>
      </c>
      <c r="E61" s="1125">
        <v>197000</v>
      </c>
      <c r="F61" s="1125">
        <v>186500</v>
      </c>
      <c r="G61" s="1125"/>
      <c r="H61" s="1125">
        <v>62000</v>
      </c>
      <c r="I61" s="1122">
        <f>VALUE(LEFT(BalanceN[[#This Row],[Compte]]&amp;"00000000",5))</f>
        <v>42700</v>
      </c>
      <c r="J61" s="1123" cm="1">
        <f t="array" ref="J61">IF(BalanceN[[#This Row],[Compte]]="",0,_xlfn.IFNA(INDEX(Plan_Comptable[[Table de Compte]:[Sens]],MATCH(VALUE(LEFT(BalanceN[[#This Row],[Table]],4)),VALUE(Plan_Comptable[Table de Compte]),0),2),"A"))</f>
        <v>0</v>
      </c>
      <c r="K61" s="1121" t="str">
        <f>IF(AND(BalanceN[[#This Row],[Vérif]]="D",BalanceN[[#This Row],[BS_Credit]]&gt;0),"A",IF(AND(BalanceN[[#This Row],[Vérif]]="C",BalanceN[[#This Row],[BS_Debit]]&gt;0),"A",""))</f>
        <v/>
      </c>
      <c r="L61" s="1121" t="str">
        <f>IF(AND(BalanceN[[#This Row],[Vérif]]="D",BalanceN[[#This Row],[BE_Credit]]&gt;0),"A",IF(AND(BalanceN[[#This Row],[Vérif]]="C",BalanceN[[#This Row],[BE_Debit]]&gt;0),"A",""))</f>
        <v/>
      </c>
      <c r="N61" s="1126">
        <v>4313</v>
      </c>
      <c r="O61" s="1124" t="s">
        <v>11801</v>
      </c>
      <c r="P61" s="1127"/>
      <c r="Q61" s="1127">
        <v>979255</v>
      </c>
      <c r="R61" s="1127">
        <v>7316170</v>
      </c>
      <c r="S61" s="1127">
        <v>7112818</v>
      </c>
      <c r="T61" s="1127"/>
      <c r="U61" s="1127">
        <v>775903</v>
      </c>
      <c r="V61" s="1260">
        <f>VALUE(LEFT(BalanceN1[[#This Row],[Compte]]&amp;"00000000",5))</f>
        <v>43130</v>
      </c>
      <c r="W61" s="1261" cm="1">
        <f t="array" ref="W61">IF(BalanceN1[[#This Row],[Compte]]="",0,_xlfn.IFNA(INDEX(Plan_Comptable[[Table de Compte]:[Sens]],MATCH(VALUE(LEFT(BalanceN1[[#This Row],[Table]],4)),VALUE(Plan_Comptable[Table de Compte]),0),2),"A"))</f>
        <v>0</v>
      </c>
      <c r="X61" s="1262" t="str">
        <f>IF(AND(BalanceN1[[#This Row],[Vérif]]="D",BalanceN1[[#This Row],[BS_Credit]]&gt;0),"A",IF(AND(BalanceN1[[#This Row],[Vérif]]="C",BalanceN1[[#This Row],[BS_Debit]]&gt;0),"A",""))</f>
        <v/>
      </c>
      <c r="Y61" s="1262" t="str">
        <f>IF(AND(BalanceN1[[#This Row],[Vérif]]="D",BalanceN1[[#This Row],[BE_Credit]]&gt;0),"A",IF(AND(BalanceN1[[#This Row],[Vérif]]="C",BalanceN1[[#This Row],[BE_Debit]]&gt;0),"A",""))</f>
        <v/>
      </c>
    </row>
    <row r="62" spans="1:25" ht="18" customHeight="1">
      <c r="A62" s="1124">
        <v>428101</v>
      </c>
      <c r="B62" s="1124" t="s">
        <v>11799</v>
      </c>
      <c r="C62" s="1125"/>
      <c r="D62" s="1125">
        <v>3057458</v>
      </c>
      <c r="E62" s="1125">
        <v>3057458</v>
      </c>
      <c r="F62" s="1125">
        <v>2690099</v>
      </c>
      <c r="G62" s="1125"/>
      <c r="H62" s="1125">
        <v>2690099</v>
      </c>
      <c r="I62" s="1122">
        <f>VALUE(LEFT(BalanceN[[#This Row],[Compte]]&amp;"00000000",5))</f>
        <v>42810</v>
      </c>
      <c r="J62" s="1123" cm="1">
        <f t="array" ref="J62">IF(BalanceN[[#This Row],[Compte]]="",0,_xlfn.IFNA(INDEX(Plan_Comptable[[Table de Compte]:[Sens]],MATCH(VALUE(LEFT(BalanceN[[#This Row],[Table]],4)),VALUE(Plan_Comptable[Table de Compte]),0),2),"A"))</f>
        <v>0</v>
      </c>
      <c r="K62" s="1121" t="str">
        <f>IF(AND(BalanceN[[#This Row],[Vérif]]="D",BalanceN[[#This Row],[BS_Credit]]&gt;0),"A",IF(AND(BalanceN[[#This Row],[Vérif]]="C",BalanceN[[#This Row],[BS_Debit]]&gt;0),"A",""))</f>
        <v/>
      </c>
      <c r="L62" s="1121" t="str">
        <f>IF(AND(BalanceN[[#This Row],[Vérif]]="D",BalanceN[[#This Row],[BE_Credit]]&gt;0),"A",IF(AND(BalanceN[[#This Row],[Vérif]]="C",BalanceN[[#This Row],[BE_Debit]]&gt;0),"A",""))</f>
        <v/>
      </c>
      <c r="N62" s="1126">
        <v>431300</v>
      </c>
      <c r="O62" s="1124" t="s">
        <v>2074</v>
      </c>
      <c r="P62" s="1127"/>
      <c r="Q62" s="1127">
        <v>1161181</v>
      </c>
      <c r="R62" s="1127">
        <v>13328375</v>
      </c>
      <c r="S62" s="1127">
        <v>13417004</v>
      </c>
      <c r="T62" s="1127"/>
      <c r="U62" s="1127">
        <v>1249810</v>
      </c>
      <c r="V62" s="1260">
        <f>VALUE(LEFT(BalanceN1[[#This Row],[Compte]]&amp;"00000000",5))</f>
        <v>43130</v>
      </c>
      <c r="W62" s="1261" cm="1">
        <f t="array" ref="W62">IF(BalanceN1[[#This Row],[Compte]]="",0,_xlfn.IFNA(INDEX(Plan_Comptable[[Table de Compte]:[Sens]],MATCH(VALUE(LEFT(BalanceN1[[#This Row],[Table]],4)),VALUE(Plan_Comptable[Table de Compte]),0),2),"A"))</f>
        <v>0</v>
      </c>
      <c r="X62" s="1262" t="str">
        <f>IF(AND(BalanceN1[[#This Row],[Vérif]]="D",BalanceN1[[#This Row],[BS_Credit]]&gt;0),"A",IF(AND(BalanceN1[[#This Row],[Vérif]]="C",BalanceN1[[#This Row],[BS_Debit]]&gt;0),"A",""))</f>
        <v/>
      </c>
      <c r="Y62" s="1262" t="str">
        <f>IF(AND(BalanceN1[[#This Row],[Vérif]]="D",BalanceN1[[#This Row],[BE_Credit]]&gt;0),"A",IF(AND(BalanceN1[[#This Row],[Vérif]]="C",BalanceN1[[#This Row],[BE_Debit]]&gt;0),"A",""))</f>
        <v/>
      </c>
    </row>
    <row r="63" spans="1:25" ht="18" customHeight="1">
      <c r="A63" s="1124">
        <v>428102</v>
      </c>
      <c r="B63" s="1124" t="s">
        <v>11800</v>
      </c>
      <c r="C63" s="1125"/>
      <c r="D63" s="1125">
        <v>955634</v>
      </c>
      <c r="E63" s="1125">
        <v>955634</v>
      </c>
      <c r="F63" s="1125">
        <v>956541</v>
      </c>
      <c r="G63" s="1125"/>
      <c r="H63" s="1125">
        <v>956541</v>
      </c>
      <c r="I63" s="1122">
        <f>VALUE(LEFT(BalanceN[[#This Row],[Compte]]&amp;"00000000",5))</f>
        <v>42810</v>
      </c>
      <c r="J63" s="1123" cm="1">
        <f t="array" ref="J63">IF(BalanceN[[#This Row],[Compte]]="",0,_xlfn.IFNA(INDEX(Plan_Comptable[[Table de Compte]:[Sens]],MATCH(VALUE(LEFT(BalanceN[[#This Row],[Table]],4)),VALUE(Plan_Comptable[Table de Compte]),0),2),"A"))</f>
        <v>0</v>
      </c>
      <c r="K63" s="1121" t="str">
        <f>IF(AND(BalanceN[[#This Row],[Vérif]]="D",BalanceN[[#This Row],[BS_Credit]]&gt;0),"A",IF(AND(BalanceN[[#This Row],[Vérif]]="C",BalanceN[[#This Row],[BS_Debit]]&gt;0),"A",""))</f>
        <v/>
      </c>
      <c r="L63" s="1121" t="str">
        <f>IF(AND(BalanceN[[#This Row],[Vérif]]="D",BalanceN[[#This Row],[BE_Credit]]&gt;0),"A",IF(AND(BalanceN[[#This Row],[Vérif]]="C",BalanceN[[#This Row],[BE_Debit]]&gt;0),"A",""))</f>
        <v/>
      </c>
      <c r="N63" s="1126">
        <v>433110</v>
      </c>
      <c r="O63" s="1124" t="s">
        <v>11906</v>
      </c>
      <c r="P63" s="1127"/>
      <c r="Q63" s="1127">
        <v>587724</v>
      </c>
      <c r="R63" s="1127">
        <v>3657726</v>
      </c>
      <c r="S63" s="1127">
        <v>3540003</v>
      </c>
      <c r="T63" s="1127"/>
      <c r="U63" s="1127">
        <v>470001</v>
      </c>
      <c r="V63" s="1260">
        <f>VALUE(LEFT(BalanceN1[[#This Row],[Compte]]&amp;"00000000",5))</f>
        <v>43311</v>
      </c>
      <c r="W63" s="1261" cm="1">
        <f t="array" ref="W63">IF(BalanceN1[[#This Row],[Compte]]="",0,_xlfn.IFNA(INDEX(Plan_Comptable[[Table de Compte]:[Sens]],MATCH(VALUE(LEFT(BalanceN1[[#This Row],[Table]],4)),VALUE(Plan_Comptable[Table de Compte]),0),2),"A"))</f>
        <v>0</v>
      </c>
      <c r="X63" s="1262" t="str">
        <f>IF(AND(BalanceN1[[#This Row],[Vérif]]="D",BalanceN1[[#This Row],[BS_Credit]]&gt;0),"A",IF(AND(BalanceN1[[#This Row],[Vérif]]="C",BalanceN1[[#This Row],[BS_Debit]]&gt;0),"A",""))</f>
        <v/>
      </c>
      <c r="Y63" s="1262" t="str">
        <f>IF(AND(BalanceN1[[#This Row],[Vérif]]="D",BalanceN1[[#This Row],[BE_Credit]]&gt;0),"A",IF(AND(BalanceN1[[#This Row],[Vérif]]="C",BalanceN1[[#This Row],[BE_Debit]]&gt;0),"A",""))</f>
        <v/>
      </c>
    </row>
    <row r="64" spans="1:25" ht="18" customHeight="1">
      <c r="A64" s="1124">
        <v>4313</v>
      </c>
      <c r="B64" s="1124" t="s">
        <v>11801</v>
      </c>
      <c r="C64" s="1125"/>
      <c r="D64" s="1125">
        <v>775903</v>
      </c>
      <c r="E64" s="1125">
        <v>7301357</v>
      </c>
      <c r="F64" s="1125">
        <v>7148050</v>
      </c>
      <c r="G64" s="1125"/>
      <c r="H64" s="1125">
        <v>622596</v>
      </c>
      <c r="I64" s="1122">
        <f>VALUE(LEFT(BalanceN[[#This Row],[Compte]]&amp;"00000000",5))</f>
        <v>43130</v>
      </c>
      <c r="J64" s="1123" cm="1">
        <f t="array" ref="J64">IF(BalanceN[[#This Row],[Compte]]="",0,_xlfn.IFNA(INDEX(Plan_Comptable[[Table de Compte]:[Sens]],MATCH(VALUE(LEFT(BalanceN[[#This Row],[Table]],4)),VALUE(Plan_Comptable[Table de Compte]),0),2),"A"))</f>
        <v>0</v>
      </c>
      <c r="K64" s="1121" t="str">
        <f>IF(AND(BalanceN[[#This Row],[Vérif]]="D",BalanceN[[#This Row],[BS_Credit]]&gt;0),"A",IF(AND(BalanceN[[#This Row],[Vérif]]="C",BalanceN[[#This Row],[BS_Debit]]&gt;0),"A",""))</f>
        <v/>
      </c>
      <c r="L64" s="1121" t="str">
        <f>IF(AND(BalanceN[[#This Row],[Vérif]]="D",BalanceN[[#This Row],[BE_Credit]]&gt;0),"A",IF(AND(BalanceN[[#This Row],[Vérif]]="C",BalanceN[[#This Row],[BE_Debit]]&gt;0),"A",""))</f>
        <v/>
      </c>
      <c r="N64" s="1126">
        <v>438200</v>
      </c>
      <c r="O64" s="1124" t="s">
        <v>11803</v>
      </c>
      <c r="P64" s="1127"/>
      <c r="Q64" s="1127">
        <v>506047</v>
      </c>
      <c r="R64" s="1127">
        <v>506047</v>
      </c>
      <c r="S64" s="1127">
        <v>508585</v>
      </c>
      <c r="T64" s="1127"/>
      <c r="U64" s="1127">
        <v>508585</v>
      </c>
      <c r="V64" s="1260">
        <f>VALUE(LEFT(BalanceN1[[#This Row],[Compte]]&amp;"00000000",5))</f>
        <v>43820</v>
      </c>
      <c r="W64" s="1261" cm="1">
        <f t="array" ref="W64">IF(BalanceN1[[#This Row],[Compte]]="",0,_xlfn.IFNA(INDEX(Plan_Comptable[[Table de Compte]:[Sens]],MATCH(VALUE(LEFT(BalanceN1[[#This Row],[Table]],4)),VALUE(Plan_Comptable[Table de Compte]),0),2),"A"))</f>
        <v>0</v>
      </c>
      <c r="X64" s="1262" t="str">
        <f>IF(AND(BalanceN1[[#This Row],[Vérif]]="D",BalanceN1[[#This Row],[BS_Credit]]&gt;0),"A",IF(AND(BalanceN1[[#This Row],[Vérif]]="C",BalanceN1[[#This Row],[BS_Debit]]&gt;0),"A",""))</f>
        <v/>
      </c>
      <c r="Y64" s="1262" t="str">
        <f>IF(AND(BalanceN1[[#This Row],[Vérif]]="D",BalanceN1[[#This Row],[BE_Credit]]&gt;0),"A",IF(AND(BalanceN1[[#This Row],[Vérif]]="C",BalanceN1[[#This Row],[BE_Debit]]&gt;0),"A",""))</f>
        <v/>
      </c>
    </row>
    <row r="65" spans="1:25" ht="18" customHeight="1">
      <c r="A65" s="1124">
        <v>431300</v>
      </c>
      <c r="B65" s="1124" t="s">
        <v>2074</v>
      </c>
      <c r="C65" s="1125"/>
      <c r="D65" s="1125">
        <v>1249810</v>
      </c>
      <c r="E65" s="1125">
        <v>13665738</v>
      </c>
      <c r="F65" s="1125">
        <v>13921213</v>
      </c>
      <c r="G65" s="1125"/>
      <c r="H65" s="1125">
        <v>1505285</v>
      </c>
      <c r="I65" s="1122">
        <f>VALUE(LEFT(BalanceN[[#This Row],[Compte]]&amp;"00000000",5))</f>
        <v>43130</v>
      </c>
      <c r="J65" s="1123" cm="1">
        <f t="array" ref="J65">IF(BalanceN[[#This Row],[Compte]]="",0,_xlfn.IFNA(INDEX(Plan_Comptable[[Table de Compte]:[Sens]],MATCH(VALUE(LEFT(BalanceN[[#This Row],[Table]],4)),VALUE(Plan_Comptable[Table de Compte]),0),2),"A"))</f>
        <v>0</v>
      </c>
      <c r="K65" s="1121" t="str">
        <f>IF(AND(BalanceN[[#This Row],[Vérif]]="D",BalanceN[[#This Row],[BS_Credit]]&gt;0),"A",IF(AND(BalanceN[[#This Row],[Vérif]]="C",BalanceN[[#This Row],[BS_Debit]]&gt;0),"A",""))</f>
        <v/>
      </c>
      <c r="L65" s="1121" t="str">
        <f>IF(AND(BalanceN[[#This Row],[Vérif]]="D",BalanceN[[#This Row],[BE_Credit]]&gt;0),"A",IF(AND(BalanceN[[#This Row],[Vérif]]="C",BalanceN[[#This Row],[BE_Debit]]&gt;0),"A",""))</f>
        <v/>
      </c>
      <c r="N65" s="1126">
        <v>441</v>
      </c>
      <c r="O65" s="1124" t="s">
        <v>11804</v>
      </c>
      <c r="P65" s="1127"/>
      <c r="Q65" s="1127">
        <v>9098000</v>
      </c>
      <c r="R65" s="1127">
        <v>9098000</v>
      </c>
      <c r="S65" s="1127">
        <v>23411413</v>
      </c>
      <c r="T65" s="1127"/>
      <c r="U65" s="1127">
        <v>23411413</v>
      </c>
      <c r="V65" s="1260">
        <f>VALUE(LEFT(BalanceN1[[#This Row],[Compte]]&amp;"00000000",5))</f>
        <v>44100</v>
      </c>
      <c r="W65" s="1261" cm="1">
        <f t="array" ref="W65">IF(BalanceN1[[#This Row],[Compte]]="",0,_xlfn.IFNA(INDEX(Plan_Comptable[[Table de Compte]:[Sens]],MATCH(VALUE(LEFT(BalanceN1[[#This Row],[Table]],4)),VALUE(Plan_Comptable[Table de Compte]),0),2),"A"))</f>
        <v>0</v>
      </c>
      <c r="X65" s="1262" t="str">
        <f>IF(AND(BalanceN1[[#This Row],[Vérif]]="D",BalanceN1[[#This Row],[BS_Credit]]&gt;0),"A",IF(AND(BalanceN1[[#This Row],[Vérif]]="C",BalanceN1[[#This Row],[BS_Debit]]&gt;0),"A",""))</f>
        <v/>
      </c>
      <c r="Y65" s="1262" t="str">
        <f>IF(AND(BalanceN1[[#This Row],[Vérif]]="D",BalanceN1[[#This Row],[BE_Credit]]&gt;0),"A",IF(AND(BalanceN1[[#This Row],[Vérif]]="C",BalanceN1[[#This Row],[BE_Debit]]&gt;0),"A",""))</f>
        <v/>
      </c>
    </row>
    <row r="66" spans="1:25" ht="18" customHeight="1">
      <c r="A66" s="1124">
        <v>433110</v>
      </c>
      <c r="B66" s="1124" t="s">
        <v>11802</v>
      </c>
      <c r="C66" s="1125"/>
      <c r="D66" s="1125">
        <v>470001</v>
      </c>
      <c r="E66" s="1125">
        <v>3704942</v>
      </c>
      <c r="F66" s="1125">
        <v>3539940</v>
      </c>
      <c r="G66" s="1125"/>
      <c r="H66" s="1125">
        <v>304999</v>
      </c>
      <c r="I66" s="1122">
        <f>VALUE(LEFT(BalanceN[[#This Row],[Compte]]&amp;"00000000",5))</f>
        <v>43311</v>
      </c>
      <c r="J66" s="1123" cm="1">
        <f t="array" ref="J66">IF(BalanceN[[#This Row],[Compte]]="",0,_xlfn.IFNA(INDEX(Plan_Comptable[[Table de Compte]:[Sens]],MATCH(VALUE(LEFT(BalanceN[[#This Row],[Table]],4)),VALUE(Plan_Comptable[Table de Compte]),0),2),"A"))</f>
        <v>0</v>
      </c>
      <c r="K66" s="1121" t="str">
        <f>IF(AND(BalanceN[[#This Row],[Vérif]]="D",BalanceN[[#This Row],[BS_Credit]]&gt;0),"A",IF(AND(BalanceN[[#This Row],[Vérif]]="C",BalanceN[[#This Row],[BS_Debit]]&gt;0),"A",""))</f>
        <v/>
      </c>
      <c r="L66" s="1121" t="str">
        <f>IF(AND(BalanceN[[#This Row],[Vérif]]="D",BalanceN[[#This Row],[BE_Credit]]&gt;0),"A",IF(AND(BalanceN[[#This Row],[Vérif]]="C",BalanceN[[#This Row],[BE_Debit]]&gt;0),"A",""))</f>
        <v/>
      </c>
      <c r="N66" s="1126">
        <v>442100</v>
      </c>
      <c r="O66" s="1124" t="s">
        <v>11805</v>
      </c>
      <c r="P66" s="1127"/>
      <c r="Q66" s="1127">
        <v>2752200</v>
      </c>
      <c r="R66" s="1127">
        <v>114048</v>
      </c>
      <c r="S66" s="1127">
        <v>574992</v>
      </c>
      <c r="T66" s="1127"/>
      <c r="U66" s="1127">
        <v>3213144</v>
      </c>
      <c r="V66" s="1260">
        <f>VALUE(LEFT(BalanceN1[[#This Row],[Compte]]&amp;"00000000",5))</f>
        <v>44210</v>
      </c>
      <c r="W66" s="1261" cm="1">
        <f t="array" ref="W66">IF(BalanceN1[[#This Row],[Compte]]="",0,_xlfn.IFNA(INDEX(Plan_Comptable[[Table de Compte]:[Sens]],MATCH(VALUE(LEFT(BalanceN1[[#This Row],[Table]],4)),VALUE(Plan_Comptable[Table de Compte]),0),2),"A"))</f>
        <v>0</v>
      </c>
      <c r="X66" s="1262" t="str">
        <f>IF(AND(BalanceN1[[#This Row],[Vérif]]="D",BalanceN1[[#This Row],[BS_Credit]]&gt;0),"A",IF(AND(BalanceN1[[#This Row],[Vérif]]="C",BalanceN1[[#This Row],[BS_Debit]]&gt;0),"A",""))</f>
        <v/>
      </c>
      <c r="Y66" s="1262" t="str">
        <f>IF(AND(BalanceN1[[#This Row],[Vérif]]="D",BalanceN1[[#This Row],[BE_Credit]]&gt;0),"A",IF(AND(BalanceN1[[#This Row],[Vérif]]="C",BalanceN1[[#This Row],[BE_Debit]]&gt;0),"A",""))</f>
        <v/>
      </c>
    </row>
    <row r="67" spans="1:25" ht="18" customHeight="1">
      <c r="A67" s="1124">
        <v>438200</v>
      </c>
      <c r="B67" s="1124" t="s">
        <v>11803</v>
      </c>
      <c r="C67" s="1125"/>
      <c r="D67" s="1125">
        <v>508585</v>
      </c>
      <c r="E67" s="1125">
        <v>508585</v>
      </c>
      <c r="F67" s="1125">
        <v>479581</v>
      </c>
      <c r="G67" s="1125"/>
      <c r="H67" s="1125">
        <v>479581</v>
      </c>
      <c r="I67" s="1122">
        <f>VALUE(LEFT(BalanceN[[#This Row],[Compte]]&amp;"00000000",5))</f>
        <v>43820</v>
      </c>
      <c r="J67" s="1123" cm="1">
        <f t="array" ref="J67">IF(BalanceN[[#This Row],[Compte]]="",0,_xlfn.IFNA(INDEX(Plan_Comptable[[Table de Compte]:[Sens]],MATCH(VALUE(LEFT(BalanceN[[#This Row],[Table]],4)),VALUE(Plan_Comptable[Table de Compte]),0),2),"A"))</f>
        <v>0</v>
      </c>
      <c r="K67" s="1121" t="str">
        <f>IF(AND(BalanceN[[#This Row],[Vérif]]="D",BalanceN[[#This Row],[BS_Credit]]&gt;0),"A",IF(AND(BalanceN[[#This Row],[Vérif]]="C",BalanceN[[#This Row],[BS_Debit]]&gt;0),"A",""))</f>
        <v/>
      </c>
      <c r="L67" s="1121" t="str">
        <f>IF(AND(BalanceN[[#This Row],[Vérif]]="D",BalanceN[[#This Row],[BE_Credit]]&gt;0),"A",IF(AND(BalanceN[[#This Row],[Vérif]]="C",BalanceN[[#This Row],[BE_Debit]]&gt;0),"A",""))</f>
        <v/>
      </c>
      <c r="N67" s="1126">
        <v>443200</v>
      </c>
      <c r="O67" s="1124" t="s">
        <v>11907</v>
      </c>
      <c r="P67" s="1127"/>
      <c r="Q67" s="1127">
        <v>54049</v>
      </c>
      <c r="R67" s="1127">
        <v>252049</v>
      </c>
      <c r="S67" s="1127">
        <v>287781</v>
      </c>
      <c r="T67" s="1127"/>
      <c r="U67" s="1127">
        <v>89781</v>
      </c>
      <c r="V67" s="1260">
        <f>VALUE(LEFT(BalanceN1[[#This Row],[Compte]]&amp;"00000000",5))</f>
        <v>44320</v>
      </c>
      <c r="W67" s="1261" cm="1">
        <f t="array" ref="W67">IF(BalanceN1[[#This Row],[Compte]]="",0,_xlfn.IFNA(INDEX(Plan_Comptable[[Table de Compte]:[Sens]],MATCH(VALUE(LEFT(BalanceN1[[#This Row],[Table]],4)),VALUE(Plan_Comptable[Table de Compte]),0),2),"A"))</f>
        <v>0</v>
      </c>
      <c r="X67" s="1262" t="str">
        <f>IF(AND(BalanceN1[[#This Row],[Vérif]]="D",BalanceN1[[#This Row],[BS_Credit]]&gt;0),"A",IF(AND(BalanceN1[[#This Row],[Vérif]]="C",BalanceN1[[#This Row],[BS_Debit]]&gt;0),"A",""))</f>
        <v/>
      </c>
      <c r="Y67" s="1262" t="str">
        <f>IF(AND(BalanceN1[[#This Row],[Vérif]]="D",BalanceN1[[#This Row],[BE_Credit]]&gt;0),"A",IF(AND(BalanceN1[[#This Row],[Vérif]]="C",BalanceN1[[#This Row],[BE_Debit]]&gt;0),"A",""))</f>
        <v/>
      </c>
    </row>
    <row r="68" spans="1:25" ht="18" customHeight="1">
      <c r="A68" s="1124">
        <v>441</v>
      </c>
      <c r="B68" s="1124" t="s">
        <v>11804</v>
      </c>
      <c r="C68" s="1125"/>
      <c r="D68" s="1125">
        <v>23411413</v>
      </c>
      <c r="E68" s="1125">
        <v>23411413</v>
      </c>
      <c r="F68" s="1125">
        <v>31102200</v>
      </c>
      <c r="G68" s="1125"/>
      <c r="H68" s="1125">
        <v>31102200</v>
      </c>
      <c r="I68" s="1122">
        <f>VALUE(LEFT(BalanceN[[#This Row],[Compte]]&amp;"00000000",5))</f>
        <v>44100</v>
      </c>
      <c r="J68" s="1123" cm="1">
        <f t="array" ref="J68">IF(BalanceN[[#This Row],[Compte]]="",0,_xlfn.IFNA(INDEX(Plan_Comptable[[Table de Compte]:[Sens]],MATCH(VALUE(LEFT(BalanceN[[#This Row],[Table]],4)),VALUE(Plan_Comptable[Table de Compte]),0),2),"A"))</f>
        <v>0</v>
      </c>
      <c r="K68" s="1121" t="str">
        <f>IF(AND(BalanceN[[#This Row],[Vérif]]="D",BalanceN[[#This Row],[BS_Credit]]&gt;0),"A",IF(AND(BalanceN[[#This Row],[Vérif]]="C",BalanceN[[#This Row],[BS_Debit]]&gt;0),"A",""))</f>
        <v/>
      </c>
      <c r="L68" s="1121" t="str">
        <f>IF(AND(BalanceN[[#This Row],[Vérif]]="D",BalanceN[[#This Row],[BE_Credit]]&gt;0),"A",IF(AND(BalanceN[[#This Row],[Vérif]]="C",BalanceN[[#This Row],[BE_Debit]]&gt;0),"A",""))</f>
        <v/>
      </c>
      <c r="N68" s="1126">
        <v>4472</v>
      </c>
      <c r="O68" s="1124" t="s">
        <v>11908</v>
      </c>
      <c r="P68" s="1127"/>
      <c r="Q68" s="1127">
        <v>596627</v>
      </c>
      <c r="R68" s="1127">
        <v>12424778</v>
      </c>
      <c r="S68" s="1127">
        <v>12894469</v>
      </c>
      <c r="T68" s="1127"/>
      <c r="U68" s="1127">
        <v>1066318</v>
      </c>
      <c r="V68" s="1260">
        <f>VALUE(LEFT(BalanceN1[[#This Row],[Compte]]&amp;"00000000",5))</f>
        <v>44720</v>
      </c>
      <c r="W68" s="1261" cm="1">
        <f t="array" ref="W68">IF(BalanceN1[[#This Row],[Compte]]="",0,_xlfn.IFNA(INDEX(Plan_Comptable[[Table de Compte]:[Sens]],MATCH(VALUE(LEFT(BalanceN1[[#This Row],[Table]],4)),VALUE(Plan_Comptable[Table de Compte]),0),2),"A"))</f>
        <v>0</v>
      </c>
      <c r="X68" s="1262" t="str">
        <f>IF(AND(BalanceN1[[#This Row],[Vérif]]="D",BalanceN1[[#This Row],[BS_Credit]]&gt;0),"A",IF(AND(BalanceN1[[#This Row],[Vérif]]="C",BalanceN1[[#This Row],[BS_Debit]]&gt;0),"A",""))</f>
        <v/>
      </c>
      <c r="Y68" s="1262" t="str">
        <f>IF(AND(BalanceN1[[#This Row],[Vérif]]="D",BalanceN1[[#This Row],[BE_Credit]]&gt;0),"A",IF(AND(BalanceN1[[#This Row],[Vérif]]="C",BalanceN1[[#This Row],[BE_Debit]]&gt;0),"A",""))</f>
        <v/>
      </c>
    </row>
    <row r="69" spans="1:25" ht="18" customHeight="1">
      <c r="A69" s="1124">
        <v>442100</v>
      </c>
      <c r="B69" s="1124" t="s">
        <v>11805</v>
      </c>
      <c r="C69" s="1125"/>
      <c r="D69" s="1125">
        <v>3213144</v>
      </c>
      <c r="E69" s="1125"/>
      <c r="F69" s="1125">
        <v>456192</v>
      </c>
      <c r="G69" s="1125"/>
      <c r="H69" s="1125">
        <v>3669336</v>
      </c>
      <c r="I69" s="1122">
        <f>VALUE(LEFT(BalanceN[[#This Row],[Compte]]&amp;"00000000",5))</f>
        <v>44210</v>
      </c>
      <c r="J69" s="1123" cm="1">
        <f t="array" ref="J69">IF(BalanceN[[#This Row],[Compte]]="",0,_xlfn.IFNA(INDEX(Plan_Comptable[[Table de Compte]:[Sens]],MATCH(VALUE(LEFT(BalanceN[[#This Row],[Table]],4)),VALUE(Plan_Comptable[Table de Compte]),0),2),"A"))</f>
        <v>0</v>
      </c>
      <c r="K69" s="1121" t="str">
        <f>IF(AND(BalanceN[[#This Row],[Vérif]]="D",BalanceN[[#This Row],[BS_Credit]]&gt;0),"A",IF(AND(BalanceN[[#This Row],[Vérif]]="C",BalanceN[[#This Row],[BS_Debit]]&gt;0),"A",""))</f>
        <v/>
      </c>
      <c r="L69" s="1121" t="str">
        <f>IF(AND(BalanceN[[#This Row],[Vérif]]="D",BalanceN[[#This Row],[BE_Credit]]&gt;0),"A",IF(AND(BalanceN[[#This Row],[Vérif]]="C",BalanceN[[#This Row],[BE_Debit]]&gt;0),"A",""))</f>
        <v/>
      </c>
      <c r="N69" s="1126">
        <v>447200</v>
      </c>
      <c r="O69" s="1124" t="s">
        <v>11909</v>
      </c>
      <c r="P69" s="1127"/>
      <c r="Q69" s="1127">
        <v>90750</v>
      </c>
      <c r="R69" s="1127">
        <v>870129</v>
      </c>
      <c r="S69" s="1127">
        <v>895879</v>
      </c>
      <c r="T69" s="1127"/>
      <c r="U69" s="1127">
        <v>116500</v>
      </c>
      <c r="V69" s="1260">
        <f>VALUE(LEFT(BalanceN1[[#This Row],[Compte]]&amp;"00000000",5))</f>
        <v>44720</v>
      </c>
      <c r="W69" s="1261" cm="1">
        <f t="array" ref="W69">IF(BalanceN1[[#This Row],[Compte]]="",0,_xlfn.IFNA(INDEX(Plan_Comptable[[Table de Compte]:[Sens]],MATCH(VALUE(LEFT(BalanceN1[[#This Row],[Table]],4)),VALUE(Plan_Comptable[Table de Compte]),0),2),"A"))</f>
        <v>0</v>
      </c>
      <c r="X69" s="1262" t="str">
        <f>IF(AND(BalanceN1[[#This Row],[Vérif]]="D",BalanceN1[[#This Row],[BS_Credit]]&gt;0),"A",IF(AND(BalanceN1[[#This Row],[Vérif]]="C",BalanceN1[[#This Row],[BS_Debit]]&gt;0),"A",""))</f>
        <v/>
      </c>
      <c r="Y69" s="1262" t="str">
        <f>IF(AND(BalanceN1[[#This Row],[Vérif]]="D",BalanceN1[[#This Row],[BE_Credit]]&gt;0),"A",IF(AND(BalanceN1[[#This Row],[Vérif]]="C",BalanceN1[[#This Row],[BE_Debit]]&gt;0),"A",""))</f>
        <v/>
      </c>
    </row>
    <row r="70" spans="1:25" ht="18" customHeight="1">
      <c r="A70" s="1124">
        <v>443200</v>
      </c>
      <c r="B70" s="1124" t="s">
        <v>11806</v>
      </c>
      <c r="C70" s="1125"/>
      <c r="D70" s="1125">
        <v>89781</v>
      </c>
      <c r="E70" s="1125">
        <v>316062</v>
      </c>
      <c r="F70" s="1125">
        <v>226281</v>
      </c>
      <c r="G70" s="1125"/>
      <c r="H70" s="1125"/>
      <c r="I70" s="1122">
        <f>VALUE(LEFT(BalanceN[[#This Row],[Compte]]&amp;"00000000",5))</f>
        <v>44320</v>
      </c>
      <c r="J70" s="1123" cm="1">
        <f t="array" ref="J70">IF(BalanceN[[#This Row],[Compte]]="",0,_xlfn.IFNA(INDEX(Plan_Comptable[[Table de Compte]:[Sens]],MATCH(VALUE(LEFT(BalanceN[[#This Row],[Table]],4)),VALUE(Plan_Comptable[Table de Compte]),0),2),"A"))</f>
        <v>0</v>
      </c>
      <c r="K70" s="1121" t="str">
        <f>IF(AND(BalanceN[[#This Row],[Vérif]]="D",BalanceN[[#This Row],[BS_Credit]]&gt;0),"A",IF(AND(BalanceN[[#This Row],[Vérif]]="C",BalanceN[[#This Row],[BS_Debit]]&gt;0),"A",""))</f>
        <v/>
      </c>
      <c r="L70" s="1121" t="str">
        <f>IF(AND(BalanceN[[#This Row],[Vérif]]="D",BalanceN[[#This Row],[BE_Credit]]&gt;0),"A",IF(AND(BalanceN[[#This Row],[Vérif]]="C",BalanceN[[#This Row],[BE_Debit]]&gt;0),"A",""))</f>
        <v/>
      </c>
      <c r="N70" s="1126">
        <v>4621</v>
      </c>
      <c r="O70" s="1124" t="s">
        <v>11809</v>
      </c>
      <c r="P70" s="1127"/>
      <c r="Q70" s="1127">
        <v>10336159</v>
      </c>
      <c r="R70" s="1127">
        <v>40643970</v>
      </c>
      <c r="S70" s="1127">
        <v>40246770</v>
      </c>
      <c r="T70" s="1127"/>
      <c r="U70" s="1127">
        <v>9938959</v>
      </c>
      <c r="V70" s="1260">
        <f>VALUE(LEFT(BalanceN1[[#This Row],[Compte]]&amp;"00000000",5))</f>
        <v>46210</v>
      </c>
      <c r="W70" s="1261" cm="1">
        <f t="array" ref="W70">IF(BalanceN1[[#This Row],[Compte]]="",0,_xlfn.IFNA(INDEX(Plan_Comptable[[Table de Compte]:[Sens]],MATCH(VALUE(LEFT(BalanceN1[[#This Row],[Table]],4)),VALUE(Plan_Comptable[Table de Compte]),0),2),"A"))</f>
        <v>0</v>
      </c>
      <c r="X70" s="1262" t="str">
        <f>IF(AND(BalanceN1[[#This Row],[Vérif]]="D",BalanceN1[[#This Row],[BS_Credit]]&gt;0),"A",IF(AND(BalanceN1[[#This Row],[Vérif]]="C",BalanceN1[[#This Row],[BS_Debit]]&gt;0),"A",""))</f>
        <v/>
      </c>
      <c r="Y70" s="1262" t="str">
        <f>IF(AND(BalanceN1[[#This Row],[Vérif]]="D",BalanceN1[[#This Row],[BE_Credit]]&gt;0),"A",IF(AND(BalanceN1[[#This Row],[Vérif]]="C",BalanceN1[[#This Row],[BE_Debit]]&gt;0),"A",""))</f>
        <v/>
      </c>
    </row>
    <row r="71" spans="1:25" ht="18" customHeight="1">
      <c r="A71" s="1124">
        <v>444100</v>
      </c>
      <c r="B71" s="1124" t="s">
        <v>11807</v>
      </c>
      <c r="C71" s="1125"/>
      <c r="D71" s="1125"/>
      <c r="E71" s="1125">
        <v>226281</v>
      </c>
      <c r="F71" s="1125">
        <v>226281</v>
      </c>
      <c r="G71" s="1125"/>
      <c r="H71" s="1125"/>
      <c r="I71" s="1122">
        <f>VALUE(LEFT(BalanceN[[#This Row],[Compte]]&amp;"00000000",5))</f>
        <v>44410</v>
      </c>
      <c r="J71" s="1123" cm="1">
        <f t="array" ref="J71">IF(BalanceN[[#This Row],[Compte]]="",0,_xlfn.IFNA(INDEX(Plan_Comptable[[Table de Compte]:[Sens]],MATCH(VALUE(LEFT(BalanceN[[#This Row],[Table]],4)),VALUE(Plan_Comptable[Table de Compte]),0),2),"A"))</f>
        <v>0</v>
      </c>
      <c r="K71" s="1121" t="str">
        <f>IF(AND(BalanceN[[#This Row],[Vérif]]="D",BalanceN[[#This Row],[BS_Credit]]&gt;0),"A",IF(AND(BalanceN[[#This Row],[Vérif]]="C",BalanceN[[#This Row],[BS_Debit]]&gt;0),"A",""))</f>
        <v/>
      </c>
      <c r="L71" s="1121" t="str">
        <f>IF(AND(BalanceN[[#This Row],[Vérif]]="D",BalanceN[[#This Row],[BE_Credit]]&gt;0),"A",IF(AND(BalanceN[[#This Row],[Vérif]]="C",BalanceN[[#This Row],[BE_Debit]]&gt;0),"A",""))</f>
        <v/>
      </c>
      <c r="N71" s="1126">
        <v>465000</v>
      </c>
      <c r="O71" s="1124" t="s">
        <v>11809</v>
      </c>
      <c r="P71" s="1127"/>
      <c r="Q71" s="1127"/>
      <c r="R71" s="1127">
        <v>40000000</v>
      </c>
      <c r="S71" s="1127">
        <v>40000000</v>
      </c>
      <c r="T71" s="1127"/>
      <c r="U71" s="1127"/>
      <c r="V71" s="1260">
        <f>VALUE(LEFT(BalanceN1[[#This Row],[Compte]]&amp;"00000000",5))</f>
        <v>46500</v>
      </c>
      <c r="W71" s="1261" cm="1">
        <f t="array" ref="W71">IF(BalanceN1[[#This Row],[Compte]]="",0,_xlfn.IFNA(INDEX(Plan_Comptable[[Table de Compte]:[Sens]],MATCH(VALUE(LEFT(BalanceN1[[#This Row],[Table]],4)),VALUE(Plan_Comptable[Table de Compte]),0),2),"A"))</f>
        <v>0</v>
      </c>
      <c r="X71" s="1262" t="str">
        <f>IF(AND(BalanceN1[[#This Row],[Vérif]]="D",BalanceN1[[#This Row],[BS_Credit]]&gt;0),"A",IF(AND(BalanceN1[[#This Row],[Vérif]]="C",BalanceN1[[#This Row],[BS_Debit]]&gt;0),"A",""))</f>
        <v/>
      </c>
      <c r="Y71" s="1262" t="str">
        <f>IF(AND(BalanceN1[[#This Row],[Vérif]]="D",BalanceN1[[#This Row],[BE_Credit]]&gt;0),"A",IF(AND(BalanceN1[[#This Row],[Vérif]]="C",BalanceN1[[#This Row],[BE_Debit]]&gt;0),"A",""))</f>
        <v/>
      </c>
    </row>
    <row r="72" spans="1:25" ht="18" customHeight="1">
      <c r="A72" s="1124">
        <v>4472</v>
      </c>
      <c r="B72" s="1124" t="s">
        <v>11808</v>
      </c>
      <c r="C72" s="1125"/>
      <c r="D72" s="1125">
        <v>1182818</v>
      </c>
      <c r="E72" s="1125">
        <v>15162688</v>
      </c>
      <c r="F72" s="1125">
        <v>15120541</v>
      </c>
      <c r="G72" s="1125"/>
      <c r="H72" s="1125">
        <v>1140671</v>
      </c>
      <c r="I72" s="1122">
        <f>VALUE(LEFT(BalanceN[[#This Row],[Compte]]&amp;"00000000",5))</f>
        <v>44720</v>
      </c>
      <c r="J72" s="1123" cm="1">
        <f t="array" ref="J72">IF(BalanceN[[#This Row],[Compte]]="",0,_xlfn.IFNA(INDEX(Plan_Comptable[[Table de Compte]:[Sens]],MATCH(VALUE(LEFT(BalanceN[[#This Row],[Table]],4)),VALUE(Plan_Comptable[Table de Compte]),0),2),"A"))</f>
        <v>0</v>
      </c>
      <c r="K72" s="1121" t="str">
        <f>IF(AND(BalanceN[[#This Row],[Vérif]]="D",BalanceN[[#This Row],[BS_Credit]]&gt;0),"A",IF(AND(BalanceN[[#This Row],[Vérif]]="C",BalanceN[[#This Row],[BS_Debit]]&gt;0),"A",""))</f>
        <v/>
      </c>
      <c r="L72" s="1121" t="str">
        <f>IF(AND(BalanceN[[#This Row],[Vérif]]="D",BalanceN[[#This Row],[BE_Credit]]&gt;0),"A",IF(AND(BalanceN[[#This Row],[Vérif]]="C",BalanceN[[#This Row],[BE_Debit]]&gt;0),"A",""))</f>
        <v/>
      </c>
      <c r="N72" s="1126">
        <v>471100</v>
      </c>
      <c r="O72" s="1124" t="s">
        <v>10726</v>
      </c>
      <c r="P72" s="1127"/>
      <c r="Q72" s="1127">
        <v>10000000</v>
      </c>
      <c r="R72" s="1127">
        <v>10650000</v>
      </c>
      <c r="S72" s="1127">
        <v>200000</v>
      </c>
      <c r="T72" s="1127">
        <v>450000</v>
      </c>
      <c r="U72" s="1127"/>
      <c r="V72" s="1260">
        <f>VALUE(LEFT(BalanceN1[[#This Row],[Compte]]&amp;"00000000",5))</f>
        <v>47110</v>
      </c>
      <c r="W72" s="1261" cm="1">
        <f t="array" ref="W72">IF(BalanceN1[[#This Row],[Compte]]="",0,_xlfn.IFNA(INDEX(Plan_Comptable[[Table de Compte]:[Sens]],MATCH(VALUE(LEFT(BalanceN1[[#This Row],[Table]],4)),VALUE(Plan_Comptable[Table de Compte]),0),2),"A"))</f>
        <v>0</v>
      </c>
      <c r="X72" s="1262" t="str">
        <f>IF(AND(BalanceN1[[#This Row],[Vérif]]="D",BalanceN1[[#This Row],[BS_Credit]]&gt;0),"A",IF(AND(BalanceN1[[#This Row],[Vérif]]="C",BalanceN1[[#This Row],[BS_Debit]]&gt;0),"A",""))</f>
        <v/>
      </c>
      <c r="Y72" s="1262" t="str">
        <f>IF(AND(BalanceN1[[#This Row],[Vérif]]="D",BalanceN1[[#This Row],[BE_Credit]]&gt;0),"A",IF(AND(BalanceN1[[#This Row],[Vérif]]="C",BalanceN1[[#This Row],[BE_Debit]]&gt;0),"A",""))</f>
        <v/>
      </c>
    </row>
    <row r="73" spans="1:25" ht="18" customHeight="1">
      <c r="A73" s="1124">
        <v>4621</v>
      </c>
      <c r="B73" s="1124" t="s">
        <v>11809</v>
      </c>
      <c r="C73" s="1125"/>
      <c r="D73" s="1125">
        <v>9938959</v>
      </c>
      <c r="E73" s="1125">
        <v>33999957</v>
      </c>
      <c r="F73" s="1125">
        <v>4060998</v>
      </c>
      <c r="G73" s="1125">
        <v>20000000</v>
      </c>
      <c r="H73" s="1125"/>
      <c r="I73" s="1122">
        <f>VALUE(LEFT(BalanceN[[#This Row],[Compte]]&amp;"00000000",5))</f>
        <v>46210</v>
      </c>
      <c r="J73" s="1123" cm="1">
        <f t="array" ref="J73">IF(BalanceN[[#This Row],[Compte]]="",0,_xlfn.IFNA(INDEX(Plan_Comptable[[Table de Compte]:[Sens]],MATCH(VALUE(LEFT(BalanceN[[#This Row],[Table]],4)),VALUE(Plan_Comptable[Table de Compte]),0),2),"A"))</f>
        <v>0</v>
      </c>
      <c r="K73" s="1121" t="str">
        <f>IF(AND(BalanceN[[#This Row],[Vérif]]="D",BalanceN[[#This Row],[BS_Credit]]&gt;0),"A",IF(AND(BalanceN[[#This Row],[Vérif]]="C",BalanceN[[#This Row],[BS_Debit]]&gt;0),"A",""))</f>
        <v/>
      </c>
      <c r="L73" s="1121" t="str">
        <f>IF(AND(BalanceN[[#This Row],[Vérif]]="D",BalanceN[[#This Row],[BE_Credit]]&gt;0),"A",IF(AND(BalanceN[[#This Row],[Vérif]]="C",BalanceN[[#This Row],[BE_Debit]]&gt;0),"A",""))</f>
        <v/>
      </c>
      <c r="N73" s="1126">
        <v>471300</v>
      </c>
      <c r="O73" s="1124" t="s">
        <v>11910</v>
      </c>
      <c r="P73" s="1127"/>
      <c r="Q73" s="1127">
        <v>530000</v>
      </c>
      <c r="R73" s="1127">
        <v>4120000</v>
      </c>
      <c r="S73" s="1127">
        <v>4300000</v>
      </c>
      <c r="T73" s="1127"/>
      <c r="U73" s="1127">
        <v>710000</v>
      </c>
      <c r="V73" s="1260">
        <f>VALUE(LEFT(BalanceN1[[#This Row],[Compte]]&amp;"00000000",5))</f>
        <v>47130</v>
      </c>
      <c r="W73" s="1261" cm="1">
        <f t="array" ref="W73">IF(BalanceN1[[#This Row],[Compte]]="",0,_xlfn.IFNA(INDEX(Plan_Comptable[[Table de Compte]:[Sens]],MATCH(VALUE(LEFT(BalanceN1[[#This Row],[Table]],4)),VALUE(Plan_Comptable[Table de Compte]),0),2),"A"))</f>
        <v>0</v>
      </c>
      <c r="X73" s="1262" t="str">
        <f>IF(AND(BalanceN1[[#This Row],[Vérif]]="D",BalanceN1[[#This Row],[BS_Credit]]&gt;0),"A",IF(AND(BalanceN1[[#This Row],[Vérif]]="C",BalanceN1[[#This Row],[BS_Debit]]&gt;0),"A",""))</f>
        <v/>
      </c>
      <c r="Y73" s="1262" t="str">
        <f>IF(AND(BalanceN1[[#This Row],[Vérif]]="D",BalanceN1[[#This Row],[BE_Credit]]&gt;0),"A",IF(AND(BalanceN1[[#This Row],[Vérif]]="C",BalanceN1[[#This Row],[BE_Debit]]&gt;0),"A",""))</f>
        <v/>
      </c>
    </row>
    <row r="74" spans="1:25" ht="18" customHeight="1">
      <c r="A74" s="1124">
        <v>465000</v>
      </c>
      <c r="B74" s="1124" t="s">
        <v>2095</v>
      </c>
      <c r="C74" s="1125"/>
      <c r="D74" s="1125"/>
      <c r="E74" s="1125">
        <v>90000000</v>
      </c>
      <c r="F74" s="1125">
        <v>90000000</v>
      </c>
      <c r="G74" s="1125"/>
      <c r="H74" s="1125"/>
      <c r="I74" s="1122">
        <f>VALUE(LEFT(BalanceN[[#This Row],[Compte]]&amp;"00000000",5))</f>
        <v>46500</v>
      </c>
      <c r="J74" s="1123" cm="1">
        <f t="array" ref="J74">IF(BalanceN[[#This Row],[Compte]]="",0,_xlfn.IFNA(INDEX(Plan_Comptable[[Table de Compte]:[Sens]],MATCH(VALUE(LEFT(BalanceN[[#This Row],[Table]],4)),VALUE(Plan_Comptable[Table de Compte]),0),2),"A"))</f>
        <v>0</v>
      </c>
      <c r="K74" s="1121" t="str">
        <f>IF(AND(BalanceN[[#This Row],[Vérif]]="D",BalanceN[[#This Row],[BS_Credit]]&gt;0),"A",IF(AND(BalanceN[[#This Row],[Vérif]]="C",BalanceN[[#This Row],[BS_Debit]]&gt;0),"A",""))</f>
        <v/>
      </c>
      <c r="L74" s="1121" t="str">
        <f>IF(AND(BalanceN[[#This Row],[Vérif]]="D",BalanceN[[#This Row],[BE_Credit]]&gt;0),"A",IF(AND(BalanceN[[#This Row],[Vérif]]="C",BalanceN[[#This Row],[BE_Debit]]&gt;0),"A",""))</f>
        <v/>
      </c>
      <c r="N74" s="1126">
        <v>476000</v>
      </c>
      <c r="O74" s="1124" t="s">
        <v>11811</v>
      </c>
      <c r="P74" s="1127">
        <v>2255622</v>
      </c>
      <c r="Q74" s="1127"/>
      <c r="R74" s="1127">
        <v>5310480</v>
      </c>
      <c r="S74" s="1127">
        <v>6168003</v>
      </c>
      <c r="T74" s="1127">
        <v>1398099</v>
      </c>
      <c r="U74" s="1127"/>
      <c r="V74" s="1260">
        <f>VALUE(LEFT(BalanceN1[[#This Row],[Compte]]&amp;"00000000",5))</f>
        <v>47600</v>
      </c>
      <c r="W74" s="1261" t="str" cm="1">
        <f t="array" ref="W74">IF(BalanceN1[[#This Row],[Compte]]="",0,_xlfn.IFNA(INDEX(Plan_Comptable[[Table de Compte]:[Sens]],MATCH(VALUE(LEFT(BalanceN1[[#This Row],[Table]],4)),VALUE(Plan_Comptable[Table de Compte]),0),2),"A"))</f>
        <v>D</v>
      </c>
      <c r="X74" s="1262" t="str">
        <f>IF(AND(BalanceN1[[#This Row],[Vérif]]="D",BalanceN1[[#This Row],[BS_Credit]]&gt;0),"A",IF(AND(BalanceN1[[#This Row],[Vérif]]="C",BalanceN1[[#This Row],[BS_Debit]]&gt;0),"A",""))</f>
        <v/>
      </c>
      <c r="Y74" s="1262" t="str">
        <f>IF(AND(BalanceN1[[#This Row],[Vérif]]="D",BalanceN1[[#This Row],[BE_Credit]]&gt;0),"A",IF(AND(BalanceN1[[#This Row],[Vérif]]="C",BalanceN1[[#This Row],[BE_Debit]]&gt;0),"A",""))</f>
        <v/>
      </c>
    </row>
    <row r="75" spans="1:25" ht="18" customHeight="1">
      <c r="A75" s="1124">
        <v>467000</v>
      </c>
      <c r="B75" s="1124" t="s">
        <v>11810</v>
      </c>
      <c r="C75" s="1125"/>
      <c r="D75" s="1125"/>
      <c r="E75" s="1125">
        <v>200000000</v>
      </c>
      <c r="F75" s="1125">
        <v>200000000</v>
      </c>
      <c r="G75" s="1125"/>
      <c r="H75" s="1125"/>
      <c r="I75" s="1122">
        <f>VALUE(LEFT(BalanceN[[#This Row],[Compte]]&amp;"00000000",5))</f>
        <v>46700</v>
      </c>
      <c r="J75" s="1123" cm="1">
        <f t="array" ref="J75">IF(BalanceN[[#This Row],[Compte]]="",0,_xlfn.IFNA(INDEX(Plan_Comptable[[Table de Compte]:[Sens]],MATCH(VALUE(LEFT(BalanceN[[#This Row],[Table]],4)),VALUE(Plan_Comptable[Table de Compte]),0),2),"A"))</f>
        <v>0</v>
      </c>
      <c r="K75" s="1121" t="str">
        <f>IF(AND(BalanceN[[#This Row],[Vérif]]="D",BalanceN[[#This Row],[BS_Credit]]&gt;0),"A",IF(AND(BalanceN[[#This Row],[Vérif]]="C",BalanceN[[#This Row],[BS_Debit]]&gt;0),"A",""))</f>
        <v/>
      </c>
      <c r="L75" s="1121" t="str">
        <f>IF(AND(BalanceN[[#This Row],[Vérif]]="D",BalanceN[[#This Row],[BE_Credit]]&gt;0),"A",IF(AND(BalanceN[[#This Row],[Vérif]]="C",BalanceN[[#This Row],[BE_Debit]]&gt;0),"A",""))</f>
        <v/>
      </c>
      <c r="N75" s="1126">
        <v>477000</v>
      </c>
      <c r="O75" s="1124" t="s">
        <v>11812</v>
      </c>
      <c r="P75" s="1127"/>
      <c r="Q75" s="1127"/>
      <c r="R75" s="1127">
        <v>1056000</v>
      </c>
      <c r="S75" s="1127">
        <v>1056000</v>
      </c>
      <c r="T75" s="1127"/>
      <c r="U75" s="1127"/>
      <c r="V75" s="1260">
        <f>VALUE(LEFT(BalanceN1[[#This Row],[Compte]]&amp;"00000000",5))</f>
        <v>47700</v>
      </c>
      <c r="W75" s="1261" t="str" cm="1">
        <f t="array" ref="W75">IF(BalanceN1[[#This Row],[Compte]]="",0,_xlfn.IFNA(INDEX(Plan_Comptable[[Table de Compte]:[Sens]],MATCH(VALUE(LEFT(BalanceN1[[#This Row],[Table]],4)),VALUE(Plan_Comptable[Table de Compte]),0),2),"A"))</f>
        <v>C</v>
      </c>
      <c r="X75" s="1262" t="str">
        <f>IF(AND(BalanceN1[[#This Row],[Vérif]]="D",BalanceN1[[#This Row],[BS_Credit]]&gt;0),"A",IF(AND(BalanceN1[[#This Row],[Vérif]]="C",BalanceN1[[#This Row],[BS_Debit]]&gt;0),"A",""))</f>
        <v/>
      </c>
      <c r="Y75" s="1262" t="str">
        <f>IF(AND(BalanceN1[[#This Row],[Vérif]]="D",BalanceN1[[#This Row],[BE_Credit]]&gt;0),"A",IF(AND(BalanceN1[[#This Row],[Vérif]]="C",BalanceN1[[#This Row],[BE_Debit]]&gt;0),"A",""))</f>
        <v/>
      </c>
    </row>
    <row r="76" spans="1:25" ht="18" customHeight="1">
      <c r="A76" s="1124">
        <v>471100</v>
      </c>
      <c r="B76" s="1124" t="s">
        <v>10726</v>
      </c>
      <c r="C76" s="1125">
        <v>450000</v>
      </c>
      <c r="D76" s="1125"/>
      <c r="E76" s="1125">
        <v>13050</v>
      </c>
      <c r="F76" s="1125">
        <v>463050</v>
      </c>
      <c r="G76" s="1125"/>
      <c r="H76" s="1125"/>
      <c r="I76" s="1122">
        <f>VALUE(LEFT(BalanceN[[#This Row],[Compte]]&amp;"00000000",5))</f>
        <v>47110</v>
      </c>
      <c r="J76" s="1123" cm="1">
        <f t="array" ref="J76">IF(BalanceN[[#This Row],[Compte]]="",0,_xlfn.IFNA(INDEX(Plan_Comptable[[Table de Compte]:[Sens]],MATCH(VALUE(LEFT(BalanceN[[#This Row],[Table]],4)),VALUE(Plan_Comptable[Table de Compte]),0),2),"A"))</f>
        <v>0</v>
      </c>
      <c r="K76" s="1121" t="str">
        <f>IF(AND(BalanceN[[#This Row],[Vérif]]="D",BalanceN[[#This Row],[BS_Credit]]&gt;0),"A",IF(AND(BalanceN[[#This Row],[Vérif]]="C",BalanceN[[#This Row],[BS_Debit]]&gt;0),"A",""))</f>
        <v/>
      </c>
      <c r="L76" s="1121" t="str">
        <f>IF(AND(BalanceN[[#This Row],[Vérif]]="D",BalanceN[[#This Row],[BE_Credit]]&gt;0),"A",IF(AND(BalanceN[[#This Row],[Vérif]]="C",BalanceN[[#This Row],[BE_Debit]]&gt;0),"A",""))</f>
        <v/>
      </c>
      <c r="N76" s="1126">
        <v>481800</v>
      </c>
      <c r="O76" s="1124" t="s">
        <v>11911</v>
      </c>
      <c r="P76" s="1127"/>
      <c r="Q76" s="1127"/>
      <c r="R76" s="1127"/>
      <c r="S76" s="1127">
        <v>399942</v>
      </c>
      <c r="T76" s="1127"/>
      <c r="U76" s="1127">
        <v>399942</v>
      </c>
      <c r="V76" s="1260">
        <f>VALUE(LEFT(BalanceN1[[#This Row],[Compte]]&amp;"00000000",5))</f>
        <v>48180</v>
      </c>
      <c r="W76" s="1261" t="str" cm="1">
        <f t="array" ref="W76">IF(BalanceN1[[#This Row],[Compte]]="",0,_xlfn.IFNA(INDEX(Plan_Comptable[[Table de Compte]:[Sens]],MATCH(VALUE(LEFT(BalanceN1[[#This Row],[Table]],4)),VALUE(Plan_Comptable[Table de Compte]),0),2),"A"))</f>
        <v>C</v>
      </c>
      <c r="X76" s="1262" t="str">
        <f>IF(AND(BalanceN1[[#This Row],[Vérif]]="D",BalanceN1[[#This Row],[BS_Credit]]&gt;0),"A",IF(AND(BalanceN1[[#This Row],[Vérif]]="C",BalanceN1[[#This Row],[BS_Debit]]&gt;0),"A",""))</f>
        <v/>
      </c>
      <c r="Y76" s="1262" t="str">
        <f>IF(AND(BalanceN1[[#This Row],[Vérif]]="D",BalanceN1[[#This Row],[BE_Credit]]&gt;0),"A",IF(AND(BalanceN1[[#This Row],[Vérif]]="C",BalanceN1[[#This Row],[BE_Debit]]&gt;0),"A",""))</f>
        <v/>
      </c>
    </row>
    <row r="77" spans="1:25" ht="18" customHeight="1">
      <c r="A77" s="1124">
        <v>471300</v>
      </c>
      <c r="B77" s="1124" t="s">
        <v>1560</v>
      </c>
      <c r="C77" s="1125"/>
      <c r="D77" s="1125">
        <v>710000</v>
      </c>
      <c r="E77" s="1125">
        <v>3330000</v>
      </c>
      <c r="F77" s="1125">
        <v>3240000</v>
      </c>
      <c r="G77" s="1125"/>
      <c r="H77" s="1125">
        <v>620000</v>
      </c>
      <c r="I77" s="1122">
        <f>VALUE(LEFT(BalanceN[[#This Row],[Compte]]&amp;"00000000",5))</f>
        <v>47130</v>
      </c>
      <c r="J77" s="1123" cm="1">
        <f t="array" ref="J77">IF(BalanceN[[#This Row],[Compte]]="",0,_xlfn.IFNA(INDEX(Plan_Comptable[[Table de Compte]:[Sens]],MATCH(VALUE(LEFT(BalanceN[[#This Row],[Table]],4)),VALUE(Plan_Comptable[Table de Compte]),0),2),"A"))</f>
        <v>0</v>
      </c>
      <c r="K77" s="1121" t="str">
        <f>IF(AND(BalanceN[[#This Row],[Vérif]]="D",BalanceN[[#This Row],[BS_Credit]]&gt;0),"A",IF(AND(BalanceN[[#This Row],[Vérif]]="C",BalanceN[[#This Row],[BS_Debit]]&gt;0),"A",""))</f>
        <v/>
      </c>
      <c r="L77" s="1121" t="str">
        <f>IF(AND(BalanceN[[#This Row],[Vérif]]="D",BalanceN[[#This Row],[BE_Credit]]&gt;0),"A",IF(AND(BalanceN[[#This Row],[Vérif]]="C",BalanceN[[#This Row],[BE_Debit]]&gt;0),"A",""))</f>
        <v/>
      </c>
      <c r="N77" s="1126">
        <v>482200</v>
      </c>
      <c r="O77" s="1124" t="s">
        <v>11912</v>
      </c>
      <c r="P77" s="1127"/>
      <c r="Q77" s="1127">
        <v>1218333</v>
      </c>
      <c r="R77" s="1127">
        <v>1218333</v>
      </c>
      <c r="S77" s="1127"/>
      <c r="T77" s="1127"/>
      <c r="U77" s="1127"/>
      <c r="V77" s="1260">
        <f>VALUE(LEFT(BalanceN1[[#This Row],[Compte]]&amp;"00000000",5))</f>
        <v>48220</v>
      </c>
      <c r="W77" s="1261" t="str" cm="1">
        <f t="array" ref="W77">IF(BalanceN1[[#This Row],[Compte]]="",0,_xlfn.IFNA(INDEX(Plan_Comptable[[Table de Compte]:[Sens]],MATCH(VALUE(LEFT(BalanceN1[[#This Row],[Table]],4)),VALUE(Plan_Comptable[Table de Compte]),0),2),"A"))</f>
        <v>C</v>
      </c>
      <c r="X77" s="1262" t="str">
        <f>IF(AND(BalanceN1[[#This Row],[Vérif]]="D",BalanceN1[[#This Row],[BS_Credit]]&gt;0),"A",IF(AND(BalanceN1[[#This Row],[Vérif]]="C",BalanceN1[[#This Row],[BS_Debit]]&gt;0),"A",""))</f>
        <v/>
      </c>
      <c r="Y77" s="1262" t="str">
        <f>IF(AND(BalanceN1[[#This Row],[Vérif]]="D",BalanceN1[[#This Row],[BE_Credit]]&gt;0),"A",IF(AND(BalanceN1[[#This Row],[Vérif]]="C",BalanceN1[[#This Row],[BE_Debit]]&gt;0),"A",""))</f>
        <v/>
      </c>
    </row>
    <row r="78" spans="1:25" ht="18" customHeight="1">
      <c r="A78" s="1124">
        <v>476000</v>
      </c>
      <c r="B78" s="1124" t="s">
        <v>11811</v>
      </c>
      <c r="C78" s="1125">
        <v>1398099</v>
      </c>
      <c r="D78" s="1125"/>
      <c r="E78" s="1125">
        <v>6817087</v>
      </c>
      <c r="F78" s="1125">
        <v>6951322</v>
      </c>
      <c r="G78" s="1125">
        <v>1263864</v>
      </c>
      <c r="H78" s="1125"/>
      <c r="I78" s="1122">
        <f>VALUE(LEFT(BalanceN[[#This Row],[Compte]]&amp;"00000000",5))</f>
        <v>47600</v>
      </c>
      <c r="J78" s="1123" t="str" cm="1">
        <f t="array" ref="J78">IF(BalanceN[[#This Row],[Compte]]="",0,_xlfn.IFNA(INDEX(Plan_Comptable[[Table de Compte]:[Sens]],MATCH(VALUE(LEFT(BalanceN[[#This Row],[Table]],4)),VALUE(Plan_Comptable[Table de Compte]),0),2),"A"))</f>
        <v>D</v>
      </c>
      <c r="K78" s="1121" t="str">
        <f>IF(AND(BalanceN[[#This Row],[Vérif]]="D",BalanceN[[#This Row],[BS_Credit]]&gt;0),"A",IF(AND(BalanceN[[#This Row],[Vérif]]="C",BalanceN[[#This Row],[BS_Debit]]&gt;0),"A",""))</f>
        <v/>
      </c>
      <c r="L78" s="1121" t="str">
        <f>IF(AND(BalanceN[[#This Row],[Vérif]]="D",BalanceN[[#This Row],[BE_Credit]]&gt;0),"A",IF(AND(BalanceN[[#This Row],[Vérif]]="C",BalanceN[[#This Row],[BE_Debit]]&gt;0),"A",""))</f>
        <v/>
      </c>
      <c r="N78" s="1126">
        <v>485100</v>
      </c>
      <c r="O78" s="1124" t="s">
        <v>1732</v>
      </c>
      <c r="P78" s="1127">
        <v>620000</v>
      </c>
      <c r="Q78" s="1127"/>
      <c r="R78" s="1127"/>
      <c r="S78" s="1127">
        <v>240000</v>
      </c>
      <c r="T78" s="1127">
        <v>380000</v>
      </c>
      <c r="U78" s="1127"/>
      <c r="V78" s="1260">
        <f>VALUE(LEFT(BalanceN1[[#This Row],[Compte]]&amp;"00000000",5))</f>
        <v>48510</v>
      </c>
      <c r="W78" s="1261" t="str" cm="1">
        <f t="array" ref="W78">IF(BalanceN1[[#This Row],[Compte]]="",0,_xlfn.IFNA(INDEX(Plan_Comptable[[Table de Compte]:[Sens]],MATCH(VALUE(LEFT(BalanceN1[[#This Row],[Table]],4)),VALUE(Plan_Comptable[Table de Compte]),0),2),"A"))</f>
        <v>D</v>
      </c>
      <c r="X78" s="1262" t="str">
        <f>IF(AND(BalanceN1[[#This Row],[Vérif]]="D",BalanceN1[[#This Row],[BS_Credit]]&gt;0),"A",IF(AND(BalanceN1[[#This Row],[Vérif]]="C",BalanceN1[[#This Row],[BS_Debit]]&gt;0),"A",""))</f>
        <v/>
      </c>
      <c r="Y78" s="1262" t="str">
        <f>IF(AND(BalanceN1[[#This Row],[Vérif]]="D",BalanceN1[[#This Row],[BE_Credit]]&gt;0),"A",IF(AND(BalanceN1[[#This Row],[Vérif]]="C",BalanceN1[[#This Row],[BE_Debit]]&gt;0),"A",""))</f>
        <v/>
      </c>
    </row>
    <row r="79" spans="1:25" ht="18" customHeight="1">
      <c r="A79" s="1124">
        <v>477000</v>
      </c>
      <c r="B79" s="1124" t="s">
        <v>11812</v>
      </c>
      <c r="C79" s="1125"/>
      <c r="D79" s="1125"/>
      <c r="E79" s="1125">
        <v>10560000</v>
      </c>
      <c r="F79" s="1125">
        <v>10560000</v>
      </c>
      <c r="G79" s="1125"/>
      <c r="H79" s="1125"/>
      <c r="I79" s="1122">
        <f>VALUE(LEFT(BalanceN[[#This Row],[Compte]]&amp;"00000000",5))</f>
        <v>47700</v>
      </c>
      <c r="J79" s="1123" t="str" cm="1">
        <f t="array" ref="J79">IF(BalanceN[[#This Row],[Compte]]="",0,_xlfn.IFNA(INDEX(Plan_Comptable[[Table de Compte]:[Sens]],MATCH(VALUE(LEFT(BalanceN[[#This Row],[Table]],4)),VALUE(Plan_Comptable[Table de Compte]),0),2),"A"))</f>
        <v>C</v>
      </c>
      <c r="K79" s="1121" t="str">
        <f>IF(AND(BalanceN[[#This Row],[Vérif]]="D",BalanceN[[#This Row],[BS_Credit]]&gt;0),"A",IF(AND(BalanceN[[#This Row],[Vérif]]="C",BalanceN[[#This Row],[BS_Debit]]&gt;0),"A",""))</f>
        <v/>
      </c>
      <c r="L79" s="1121" t="str">
        <f>IF(AND(BalanceN[[#This Row],[Vérif]]="D",BalanceN[[#This Row],[BE_Credit]]&gt;0),"A",IF(AND(BalanceN[[#This Row],[Vérif]]="C",BalanceN[[#This Row],[BE_Debit]]&gt;0),"A",""))</f>
        <v/>
      </c>
      <c r="N79" s="1126">
        <v>4912</v>
      </c>
      <c r="O79" s="1124" t="s">
        <v>11913</v>
      </c>
      <c r="P79" s="1127"/>
      <c r="Q79" s="1127">
        <v>31677520</v>
      </c>
      <c r="R79" s="1127"/>
      <c r="S79" s="1127"/>
      <c r="T79" s="1127"/>
      <c r="U79" s="1127">
        <v>31677520</v>
      </c>
      <c r="V79" s="1260">
        <f>VALUE(LEFT(BalanceN1[[#This Row],[Compte]]&amp;"00000000",5))</f>
        <v>49120</v>
      </c>
      <c r="W79" s="1261" t="str" cm="1">
        <f t="array" ref="W79">IF(BalanceN1[[#This Row],[Compte]]="",0,_xlfn.IFNA(INDEX(Plan_Comptable[[Table de Compte]:[Sens]],MATCH(VALUE(LEFT(BalanceN1[[#This Row],[Table]],4)),VALUE(Plan_Comptable[Table de Compte]),0),2),"A"))</f>
        <v>C</v>
      </c>
      <c r="X79" s="1262" t="str">
        <f>IF(AND(BalanceN1[[#This Row],[Vérif]]="D",BalanceN1[[#This Row],[BS_Credit]]&gt;0),"A",IF(AND(BalanceN1[[#This Row],[Vérif]]="C",BalanceN1[[#This Row],[BS_Debit]]&gt;0),"A",""))</f>
        <v/>
      </c>
      <c r="Y79" s="1262" t="str">
        <f>IF(AND(BalanceN1[[#This Row],[Vérif]]="D",BalanceN1[[#This Row],[BE_Credit]]&gt;0),"A",IF(AND(BalanceN1[[#This Row],[Vérif]]="C",BalanceN1[[#This Row],[BE_Debit]]&gt;0),"A",""))</f>
        <v/>
      </c>
    </row>
    <row r="80" spans="1:25" ht="18" customHeight="1">
      <c r="A80" s="1124">
        <v>478100</v>
      </c>
      <c r="B80" s="1124" t="s">
        <v>11813</v>
      </c>
      <c r="C80" s="1125"/>
      <c r="D80" s="1125"/>
      <c r="E80" s="1125">
        <v>15000000</v>
      </c>
      <c r="F80" s="1125"/>
      <c r="G80" s="1125">
        <v>15000000</v>
      </c>
      <c r="H80" s="1125"/>
      <c r="I80" s="1122">
        <f>VALUE(LEFT(BalanceN[[#This Row],[Compte]]&amp;"00000000",5))</f>
        <v>47810</v>
      </c>
      <c r="J80" s="1123" t="str" cm="1">
        <f t="array" ref="J80">IF(BalanceN[[#This Row],[Compte]]="",0,_xlfn.IFNA(INDEX(Plan_Comptable[[Table de Compte]:[Sens]],MATCH(VALUE(LEFT(BalanceN[[#This Row],[Table]],4)),VALUE(Plan_Comptable[Table de Compte]),0),2),"A"))</f>
        <v>D</v>
      </c>
      <c r="K80" s="1121" t="str">
        <f>IF(AND(BalanceN[[#This Row],[Vérif]]="D",BalanceN[[#This Row],[BS_Credit]]&gt;0),"A",IF(AND(BalanceN[[#This Row],[Vérif]]="C",BalanceN[[#This Row],[BS_Debit]]&gt;0),"A",""))</f>
        <v/>
      </c>
      <c r="L80" s="1121" t="str">
        <f>IF(AND(BalanceN[[#This Row],[Vérif]]="D",BalanceN[[#This Row],[BE_Credit]]&gt;0),"A",IF(AND(BalanceN[[#This Row],[Vérif]]="C",BalanceN[[#This Row],[BE_Debit]]&gt;0),"A",""))</f>
        <v/>
      </c>
      <c r="N80" s="1126">
        <v>5211</v>
      </c>
      <c r="O80" s="1124" t="s">
        <v>11819</v>
      </c>
      <c r="P80" s="1127">
        <v>18485559</v>
      </c>
      <c r="Q80" s="1127"/>
      <c r="R80" s="1127">
        <v>1864651283</v>
      </c>
      <c r="S80" s="1127">
        <v>1814012866</v>
      </c>
      <c r="T80" s="1127">
        <v>69123976</v>
      </c>
      <c r="U80" s="1127"/>
      <c r="V80" s="1260">
        <f>VALUE(LEFT(BalanceN1[[#This Row],[Compte]]&amp;"00000000",5))</f>
        <v>52110</v>
      </c>
      <c r="W80" s="1261" cm="1">
        <f t="array" ref="W80">IF(BalanceN1[[#This Row],[Compte]]="",0,_xlfn.IFNA(INDEX(Plan_Comptable[[Table de Compte]:[Sens]],MATCH(VALUE(LEFT(BalanceN1[[#This Row],[Table]],4)),VALUE(Plan_Comptable[Table de Compte]),0),2),"A"))</f>
        <v>0</v>
      </c>
      <c r="X80" s="1262" t="str">
        <f>IF(AND(BalanceN1[[#This Row],[Vérif]]="D",BalanceN1[[#This Row],[BS_Credit]]&gt;0),"A",IF(AND(BalanceN1[[#This Row],[Vérif]]="C",BalanceN1[[#This Row],[BS_Debit]]&gt;0),"A",""))</f>
        <v/>
      </c>
      <c r="Y80" s="1262" t="str">
        <f>IF(AND(BalanceN1[[#This Row],[Vérif]]="D",BalanceN1[[#This Row],[BE_Credit]]&gt;0),"A",IF(AND(BalanceN1[[#This Row],[Vérif]]="C",BalanceN1[[#This Row],[BE_Debit]]&gt;0),"A",""))</f>
        <v/>
      </c>
    </row>
    <row r="81" spans="1:25" ht="18" customHeight="1">
      <c r="A81" s="1124">
        <v>479400</v>
      </c>
      <c r="B81" s="1124" t="s">
        <v>11814</v>
      </c>
      <c r="C81" s="1125"/>
      <c r="D81" s="1125"/>
      <c r="E81" s="1125"/>
      <c r="F81" s="1125">
        <v>2500925</v>
      </c>
      <c r="G81" s="1125"/>
      <c r="H81" s="1125">
        <v>2500925</v>
      </c>
      <c r="I81" s="1122">
        <f>VALUE(LEFT(BalanceN[[#This Row],[Compte]]&amp;"00000000",5))</f>
        <v>47940</v>
      </c>
      <c r="J81" s="1123" t="str" cm="1">
        <f t="array" ref="J81">IF(BalanceN[[#This Row],[Compte]]="",0,_xlfn.IFNA(INDEX(Plan_Comptable[[Table de Compte]:[Sens]],MATCH(VALUE(LEFT(BalanceN[[#This Row],[Table]],4)),VALUE(Plan_Comptable[Table de Compte]),0),2),"A"))</f>
        <v>C</v>
      </c>
      <c r="K81" s="1121" t="str">
        <f>IF(AND(BalanceN[[#This Row],[Vérif]]="D",BalanceN[[#This Row],[BS_Credit]]&gt;0),"A",IF(AND(BalanceN[[#This Row],[Vérif]]="C",BalanceN[[#This Row],[BS_Debit]]&gt;0),"A",""))</f>
        <v/>
      </c>
      <c r="L81" s="1121" t="str">
        <f>IF(AND(BalanceN[[#This Row],[Vérif]]="D",BalanceN[[#This Row],[BE_Credit]]&gt;0),"A",IF(AND(BalanceN[[#This Row],[Vérif]]="C",BalanceN[[#This Row],[BE_Debit]]&gt;0),"A",""))</f>
        <v/>
      </c>
      <c r="N81" s="1126">
        <v>571100</v>
      </c>
      <c r="O81" s="1124" t="s">
        <v>1853</v>
      </c>
      <c r="P81" s="1127">
        <v>15109845</v>
      </c>
      <c r="Q81" s="1127"/>
      <c r="R81" s="1127">
        <v>164971903</v>
      </c>
      <c r="S81" s="1127">
        <v>174621567</v>
      </c>
      <c r="T81" s="1127">
        <v>5460181</v>
      </c>
      <c r="U81" s="1127"/>
      <c r="V81" s="1260">
        <f>VALUE(LEFT(BalanceN1[[#This Row],[Compte]]&amp;"00000000",5))</f>
        <v>57110</v>
      </c>
      <c r="W81" s="1261" t="str" cm="1">
        <f t="array" ref="W81">IF(BalanceN1[[#This Row],[Compte]]="",0,_xlfn.IFNA(INDEX(Plan_Comptable[[Table de Compte]:[Sens]],MATCH(VALUE(LEFT(BalanceN1[[#This Row],[Table]],4)),VALUE(Plan_Comptable[Table de Compte]),0),2),"A"))</f>
        <v>D</v>
      </c>
      <c r="X81" s="1262" t="str">
        <f>IF(AND(BalanceN1[[#This Row],[Vérif]]="D",BalanceN1[[#This Row],[BS_Credit]]&gt;0),"A",IF(AND(BalanceN1[[#This Row],[Vérif]]="C",BalanceN1[[#This Row],[BS_Debit]]&gt;0),"A",""))</f>
        <v/>
      </c>
      <c r="Y81" s="1262" t="str">
        <f>IF(AND(BalanceN1[[#This Row],[Vérif]]="D",BalanceN1[[#This Row],[BE_Credit]]&gt;0),"A",IF(AND(BalanceN1[[#This Row],[Vérif]]="C",BalanceN1[[#This Row],[BE_Debit]]&gt;0),"A",""))</f>
        <v/>
      </c>
    </row>
    <row r="82" spans="1:25" ht="18" customHeight="1">
      <c r="A82" s="1124">
        <v>481200</v>
      </c>
      <c r="B82" s="1124" t="s">
        <v>11815</v>
      </c>
      <c r="C82" s="1125"/>
      <c r="D82" s="1125"/>
      <c r="E82" s="1125">
        <v>7000000</v>
      </c>
      <c r="F82" s="1125">
        <v>163250000</v>
      </c>
      <c r="G82" s="1125"/>
      <c r="H82" s="1125">
        <v>156250000</v>
      </c>
      <c r="I82" s="1122">
        <f>VALUE(LEFT(BalanceN[[#This Row],[Compte]]&amp;"00000000",5))</f>
        <v>48120</v>
      </c>
      <c r="J82" s="1123" t="str" cm="1">
        <f t="array" ref="J82">IF(BalanceN[[#This Row],[Compte]]="",0,_xlfn.IFNA(INDEX(Plan_Comptable[[Table de Compte]:[Sens]],MATCH(VALUE(LEFT(BalanceN[[#This Row],[Table]],4)),VALUE(Plan_Comptable[Table de Compte]),0),2),"A"))</f>
        <v>C</v>
      </c>
      <c r="K82" s="1121" t="str">
        <f>IF(AND(BalanceN[[#This Row],[Vérif]]="D",BalanceN[[#This Row],[BS_Credit]]&gt;0),"A",IF(AND(BalanceN[[#This Row],[Vérif]]="C",BalanceN[[#This Row],[BS_Debit]]&gt;0),"A",""))</f>
        <v/>
      </c>
      <c r="L82" s="1121" t="str">
        <f>IF(AND(BalanceN[[#This Row],[Vérif]]="D",BalanceN[[#This Row],[BE_Credit]]&gt;0),"A",IF(AND(BalanceN[[#This Row],[Vérif]]="C",BalanceN[[#This Row],[BE_Debit]]&gt;0),"A",""))</f>
        <v/>
      </c>
      <c r="N82" s="1126">
        <v>585000</v>
      </c>
      <c r="O82" s="1124" t="s">
        <v>11914</v>
      </c>
      <c r="P82" s="1127"/>
      <c r="Q82" s="1127"/>
      <c r="R82" s="1127">
        <v>155673628</v>
      </c>
      <c r="S82" s="1127">
        <v>155673628</v>
      </c>
      <c r="T82" s="1127"/>
      <c r="U82" s="1127"/>
      <c r="V82" s="1260">
        <f>VALUE(LEFT(BalanceN1[[#This Row],[Compte]]&amp;"00000000",5))</f>
        <v>58500</v>
      </c>
      <c r="W82" s="1261" cm="1">
        <f t="array" ref="W82">IF(BalanceN1[[#This Row],[Compte]]="",0,_xlfn.IFNA(INDEX(Plan_Comptable[[Table de Compte]:[Sens]],MATCH(VALUE(LEFT(BalanceN1[[#This Row],[Table]],4)),VALUE(Plan_Comptable[Table de Compte]),0),2),"A"))</f>
        <v>0</v>
      </c>
      <c r="X82" s="1262" t="str">
        <f>IF(AND(BalanceN1[[#This Row],[Vérif]]="D",BalanceN1[[#This Row],[BS_Credit]]&gt;0),"A",IF(AND(BalanceN1[[#This Row],[Vérif]]="C",BalanceN1[[#This Row],[BS_Debit]]&gt;0),"A",""))</f>
        <v/>
      </c>
      <c r="Y82" s="1262" t="str">
        <f>IF(AND(BalanceN1[[#This Row],[Vérif]]="D",BalanceN1[[#This Row],[BE_Credit]]&gt;0),"A",IF(AND(BalanceN1[[#This Row],[Vérif]]="C",BalanceN1[[#This Row],[BE_Debit]]&gt;0),"A",""))</f>
        <v/>
      </c>
    </row>
    <row r="83" spans="1:25" ht="18" customHeight="1">
      <c r="A83" s="1124">
        <v>481800</v>
      </c>
      <c r="B83" s="1124" t="s">
        <v>11816</v>
      </c>
      <c r="C83" s="1125"/>
      <c r="D83" s="1125">
        <v>399942</v>
      </c>
      <c r="E83" s="1125"/>
      <c r="F83" s="1125"/>
      <c r="G83" s="1125"/>
      <c r="H83" s="1125">
        <v>399942</v>
      </c>
      <c r="I83" s="1122">
        <f>VALUE(LEFT(BalanceN[[#This Row],[Compte]]&amp;"00000000",5))</f>
        <v>48180</v>
      </c>
      <c r="J83" s="1123" t="str" cm="1">
        <f t="array" ref="J83">IF(BalanceN[[#This Row],[Compte]]="",0,_xlfn.IFNA(INDEX(Plan_Comptable[[Table de Compte]:[Sens]],MATCH(VALUE(LEFT(BalanceN[[#This Row],[Table]],4)),VALUE(Plan_Comptable[Table de Compte]),0),2),"A"))</f>
        <v>C</v>
      </c>
      <c r="K83" s="1121" t="str">
        <f>IF(AND(BalanceN[[#This Row],[Vérif]]="D",BalanceN[[#This Row],[BS_Credit]]&gt;0),"A",IF(AND(BalanceN[[#This Row],[Vérif]]="C",BalanceN[[#This Row],[BS_Debit]]&gt;0),"A",""))</f>
        <v/>
      </c>
      <c r="L83" s="1121" t="str">
        <f>IF(AND(BalanceN[[#This Row],[Vérif]]="D",BalanceN[[#This Row],[BE_Credit]]&gt;0),"A",IF(AND(BalanceN[[#This Row],[Vérif]]="C",BalanceN[[#This Row],[BE_Debit]]&gt;0),"A",""))</f>
        <v/>
      </c>
      <c r="N83" s="1126">
        <v>602100</v>
      </c>
      <c r="O83" s="1124" t="s">
        <v>11915</v>
      </c>
      <c r="P83" s="1127"/>
      <c r="Q83" s="1127"/>
      <c r="R83" s="1127">
        <v>955664862</v>
      </c>
      <c r="S83" s="1127">
        <v>1079390</v>
      </c>
      <c r="T83" s="1127">
        <v>954585472</v>
      </c>
      <c r="U83" s="1127"/>
      <c r="V83" s="1260">
        <f>VALUE(LEFT(BalanceN1[[#This Row],[Compte]]&amp;"00000000",5))</f>
        <v>60210</v>
      </c>
      <c r="W83" s="1261" cm="1">
        <f t="array" ref="W83">IF(BalanceN1[[#This Row],[Compte]]="",0,_xlfn.IFNA(INDEX(Plan_Comptable[[Table de Compte]:[Sens]],MATCH(VALUE(LEFT(BalanceN1[[#This Row],[Table]],4)),VALUE(Plan_Comptable[Table de Compte]),0),2),"A"))</f>
        <v>0</v>
      </c>
      <c r="X83" s="1262" t="str">
        <f>IF(AND(BalanceN1[[#This Row],[Vérif]]="D",BalanceN1[[#This Row],[BS_Credit]]&gt;0),"A",IF(AND(BalanceN1[[#This Row],[Vérif]]="C",BalanceN1[[#This Row],[BS_Debit]]&gt;0),"A",""))</f>
        <v/>
      </c>
      <c r="Y83" s="1262" t="str">
        <f>IF(AND(BalanceN1[[#This Row],[Vérif]]="D",BalanceN1[[#This Row],[BE_Credit]]&gt;0),"A",IF(AND(BalanceN1[[#This Row],[Vérif]]="C",BalanceN1[[#This Row],[BE_Debit]]&gt;0),"A",""))</f>
        <v/>
      </c>
    </row>
    <row r="84" spans="1:25" ht="18" customHeight="1">
      <c r="A84" s="1124">
        <v>485100</v>
      </c>
      <c r="B84" s="1124" t="s">
        <v>1732</v>
      </c>
      <c r="C84" s="1125">
        <v>380000</v>
      </c>
      <c r="D84" s="1125"/>
      <c r="E84" s="1125"/>
      <c r="F84" s="1125">
        <v>240000</v>
      </c>
      <c r="G84" s="1125">
        <v>140000</v>
      </c>
      <c r="H84" s="1125"/>
      <c r="I84" s="1122">
        <f>VALUE(LEFT(BalanceN[[#This Row],[Compte]]&amp;"00000000",5))</f>
        <v>48510</v>
      </c>
      <c r="J84" s="1123" t="str" cm="1">
        <f t="array" ref="J84">IF(BalanceN[[#This Row],[Compte]]="",0,_xlfn.IFNA(INDEX(Plan_Comptable[[Table de Compte]:[Sens]],MATCH(VALUE(LEFT(BalanceN[[#This Row],[Table]],4)),VALUE(Plan_Comptable[Table de Compte]),0),2),"A"))</f>
        <v>D</v>
      </c>
      <c r="K84" s="1121" t="str">
        <f>IF(AND(BalanceN[[#This Row],[Vérif]]="D",BalanceN[[#This Row],[BS_Credit]]&gt;0),"A",IF(AND(BalanceN[[#This Row],[Vérif]]="C",BalanceN[[#This Row],[BS_Debit]]&gt;0),"A",""))</f>
        <v/>
      </c>
      <c r="L84" s="1121" t="str">
        <f>IF(AND(BalanceN[[#This Row],[Vérif]]="D",BalanceN[[#This Row],[BE_Credit]]&gt;0),"A",IF(AND(BalanceN[[#This Row],[Vérif]]="C",BalanceN[[#This Row],[BE_Debit]]&gt;0),"A",""))</f>
        <v/>
      </c>
      <c r="N84" s="1126">
        <v>603201</v>
      </c>
      <c r="O84" s="1124" t="s">
        <v>11916</v>
      </c>
      <c r="P84" s="1127"/>
      <c r="Q84" s="1127"/>
      <c r="R84" s="1127">
        <v>10552040</v>
      </c>
      <c r="S84" s="1127">
        <v>7721440</v>
      </c>
      <c r="T84" s="1127">
        <v>2830600</v>
      </c>
      <c r="U84" s="1127"/>
      <c r="V84" s="1260">
        <f>VALUE(LEFT(BalanceN1[[#This Row],[Compte]]&amp;"00000000",5))</f>
        <v>60320</v>
      </c>
      <c r="W84" s="1261" cm="1">
        <f t="array" ref="W84">IF(BalanceN1[[#This Row],[Compte]]="",0,_xlfn.IFNA(INDEX(Plan_Comptable[[Table de Compte]:[Sens]],MATCH(VALUE(LEFT(BalanceN1[[#This Row],[Table]],4)),VALUE(Plan_Comptable[Table de Compte]),0),2),"A"))</f>
        <v>0</v>
      </c>
      <c r="X84" s="1262" t="str">
        <f>IF(AND(BalanceN1[[#This Row],[Vérif]]="D",BalanceN1[[#This Row],[BS_Credit]]&gt;0),"A",IF(AND(BalanceN1[[#This Row],[Vérif]]="C",BalanceN1[[#This Row],[BS_Debit]]&gt;0),"A",""))</f>
        <v/>
      </c>
      <c r="Y84" s="1262" t="str">
        <f>IF(AND(BalanceN1[[#This Row],[Vérif]]="D",BalanceN1[[#This Row],[BE_Credit]]&gt;0),"A",IF(AND(BalanceN1[[#This Row],[Vérif]]="C",BalanceN1[[#This Row],[BE_Debit]]&gt;0),"A",""))</f>
        <v/>
      </c>
    </row>
    <row r="85" spans="1:25" ht="18" customHeight="1">
      <c r="A85" s="1124">
        <v>488000</v>
      </c>
      <c r="B85" s="1124" t="s">
        <v>11817</v>
      </c>
      <c r="C85" s="1125"/>
      <c r="D85" s="1125"/>
      <c r="E85" s="1125">
        <v>2000000</v>
      </c>
      <c r="F85" s="1125"/>
      <c r="G85" s="1125">
        <v>2000000</v>
      </c>
      <c r="H85" s="1125"/>
      <c r="I85" s="1122">
        <f>VALUE(LEFT(BalanceN[[#This Row],[Compte]]&amp;"00000000",5))</f>
        <v>48800</v>
      </c>
      <c r="J85" s="1123" t="str" cm="1">
        <f t="array" ref="J85">IF(BalanceN[[#This Row],[Compte]]="",0,_xlfn.IFNA(INDEX(Plan_Comptable[[Table de Compte]:[Sens]],MATCH(VALUE(LEFT(BalanceN[[#This Row],[Table]],4)),VALUE(Plan_Comptable[Table de Compte]),0),2),"A"))</f>
        <v>D</v>
      </c>
      <c r="K85" s="1121" t="str">
        <f>IF(AND(BalanceN[[#This Row],[Vérif]]="D",BalanceN[[#This Row],[BS_Credit]]&gt;0),"A",IF(AND(BalanceN[[#This Row],[Vérif]]="C",BalanceN[[#This Row],[BS_Debit]]&gt;0),"A",""))</f>
        <v/>
      </c>
      <c r="L85" s="1121" t="str">
        <f>IF(AND(BalanceN[[#This Row],[Vérif]]="D",BalanceN[[#This Row],[BE_Credit]]&gt;0),"A",IF(AND(BalanceN[[#This Row],[Vérif]]="C",BalanceN[[#This Row],[BE_Debit]]&gt;0),"A",""))</f>
        <v/>
      </c>
      <c r="N85" s="1126">
        <v>603302</v>
      </c>
      <c r="O85" s="1124" t="s">
        <v>11917</v>
      </c>
      <c r="P85" s="1127"/>
      <c r="Q85" s="1127"/>
      <c r="R85" s="1127">
        <v>6262346</v>
      </c>
      <c r="S85" s="1127">
        <v>8146993</v>
      </c>
      <c r="T85" s="1127"/>
      <c r="U85" s="1127">
        <v>1884647</v>
      </c>
      <c r="V85" s="1260">
        <f>VALUE(LEFT(BalanceN1[[#This Row],[Compte]]&amp;"00000000",5))</f>
        <v>60330</v>
      </c>
      <c r="W85" s="1261" cm="1">
        <f t="array" ref="W85">IF(BalanceN1[[#This Row],[Compte]]="",0,_xlfn.IFNA(INDEX(Plan_Comptable[[Table de Compte]:[Sens]],MATCH(VALUE(LEFT(BalanceN1[[#This Row],[Table]],4)),VALUE(Plan_Comptable[Table de Compte]),0),2),"A"))</f>
        <v>0</v>
      </c>
      <c r="X85" s="1262" t="str">
        <f>IF(AND(BalanceN1[[#This Row],[Vérif]]="D",BalanceN1[[#This Row],[BS_Credit]]&gt;0),"A",IF(AND(BalanceN1[[#This Row],[Vérif]]="C",BalanceN1[[#This Row],[BS_Debit]]&gt;0),"A",""))</f>
        <v/>
      </c>
      <c r="Y85" s="1262" t="str">
        <f>IF(AND(BalanceN1[[#This Row],[Vérif]]="D",BalanceN1[[#This Row],[BE_Credit]]&gt;0),"A",IF(AND(BalanceN1[[#This Row],[Vérif]]="C",BalanceN1[[#This Row],[BE_Debit]]&gt;0),"A",""))</f>
        <v/>
      </c>
    </row>
    <row r="86" spans="1:25" ht="18" customHeight="1">
      <c r="A86" s="1124">
        <v>4912</v>
      </c>
      <c r="B86" s="1124" t="s">
        <v>11818</v>
      </c>
      <c r="C86" s="1125"/>
      <c r="D86" s="1125">
        <v>31677520</v>
      </c>
      <c r="E86" s="1125"/>
      <c r="F86" s="1125"/>
      <c r="G86" s="1125"/>
      <c r="H86" s="1125">
        <v>31677520</v>
      </c>
      <c r="I86" s="1122">
        <f>VALUE(LEFT(BalanceN[[#This Row],[Compte]]&amp;"00000000",5))</f>
        <v>49120</v>
      </c>
      <c r="J86" s="1123" t="str" cm="1">
        <f t="array" ref="J86">IF(BalanceN[[#This Row],[Compte]]="",0,_xlfn.IFNA(INDEX(Plan_Comptable[[Table de Compte]:[Sens]],MATCH(VALUE(LEFT(BalanceN[[#This Row],[Table]],4)),VALUE(Plan_Comptable[Table de Compte]),0),2),"A"))</f>
        <v>C</v>
      </c>
      <c r="K86" s="1121" t="str">
        <f>IF(AND(BalanceN[[#This Row],[Vérif]]="D",BalanceN[[#This Row],[BS_Credit]]&gt;0),"A",IF(AND(BalanceN[[#This Row],[Vérif]]="C",BalanceN[[#This Row],[BS_Debit]]&gt;0),"A",""))</f>
        <v/>
      </c>
      <c r="L86" s="1121" t="str">
        <f>IF(AND(BalanceN[[#This Row],[Vérif]]="D",BalanceN[[#This Row],[BE_Credit]]&gt;0),"A",IF(AND(BalanceN[[#This Row],[Vérif]]="C",BalanceN[[#This Row],[BE_Debit]]&gt;0),"A",""))</f>
        <v/>
      </c>
      <c r="N86" s="1126">
        <v>604200</v>
      </c>
      <c r="O86" s="1124" t="s">
        <v>11827</v>
      </c>
      <c r="P86" s="1127"/>
      <c r="Q86" s="1127"/>
      <c r="R86" s="1127">
        <v>12683576</v>
      </c>
      <c r="S86" s="1127"/>
      <c r="T86" s="1127">
        <v>12683576</v>
      </c>
      <c r="U86" s="1127"/>
      <c r="V86" s="1260">
        <f>VALUE(LEFT(BalanceN1[[#This Row],[Compte]]&amp;"00000000",5))</f>
        <v>60420</v>
      </c>
      <c r="W86" s="1261" cm="1">
        <f t="array" ref="W86">IF(BalanceN1[[#This Row],[Compte]]="",0,_xlfn.IFNA(INDEX(Plan_Comptable[[Table de Compte]:[Sens]],MATCH(VALUE(LEFT(BalanceN1[[#This Row],[Table]],4)),VALUE(Plan_Comptable[Table de Compte]),0),2),"A"))</f>
        <v>0</v>
      </c>
      <c r="X86" s="1262" t="str">
        <f>IF(AND(BalanceN1[[#This Row],[Vérif]]="D",BalanceN1[[#This Row],[BS_Credit]]&gt;0),"A",IF(AND(BalanceN1[[#This Row],[Vérif]]="C",BalanceN1[[#This Row],[BS_Debit]]&gt;0),"A",""))</f>
        <v/>
      </c>
      <c r="Y86" s="1262" t="str">
        <f>IF(AND(BalanceN1[[#This Row],[Vérif]]="D",BalanceN1[[#This Row],[BE_Credit]]&gt;0),"A",IF(AND(BalanceN1[[#This Row],[Vérif]]="C",BalanceN1[[#This Row],[BE_Debit]]&gt;0),"A",""))</f>
        <v/>
      </c>
    </row>
    <row r="87" spans="1:25" ht="18" customHeight="1">
      <c r="A87" s="1124">
        <v>5211</v>
      </c>
      <c r="B87" s="1124" t="s">
        <v>11819</v>
      </c>
      <c r="C87" s="1125">
        <v>69123976</v>
      </c>
      <c r="D87" s="1125"/>
      <c r="E87" s="1125">
        <v>2247552500</v>
      </c>
      <c r="F87" s="1125">
        <v>2195523485</v>
      </c>
      <c r="G87" s="1125">
        <v>121152991</v>
      </c>
      <c r="H87" s="1125"/>
      <c r="I87" s="1122">
        <f>VALUE(LEFT(BalanceN[[#This Row],[Compte]]&amp;"00000000",5))</f>
        <v>52110</v>
      </c>
      <c r="J87" s="1123" cm="1">
        <f t="array" ref="J87">IF(BalanceN[[#This Row],[Compte]]="",0,_xlfn.IFNA(INDEX(Plan_Comptable[[Table de Compte]:[Sens]],MATCH(VALUE(LEFT(BalanceN[[#This Row],[Table]],4)),VALUE(Plan_Comptable[Table de Compte]),0),2),"A"))</f>
        <v>0</v>
      </c>
      <c r="K87" s="1121" t="str">
        <f>IF(AND(BalanceN[[#This Row],[Vérif]]="D",BalanceN[[#This Row],[BS_Credit]]&gt;0),"A",IF(AND(BalanceN[[#This Row],[Vérif]]="C",BalanceN[[#This Row],[BS_Debit]]&gt;0),"A",""))</f>
        <v/>
      </c>
      <c r="L87" s="1121" t="str">
        <f>IF(AND(BalanceN[[#This Row],[Vérif]]="D",BalanceN[[#This Row],[BE_Credit]]&gt;0),"A",IF(AND(BalanceN[[#This Row],[Vérif]]="C",BalanceN[[#This Row],[BE_Debit]]&gt;0),"A",""))</f>
        <v/>
      </c>
      <c r="N87" s="1126">
        <v>604300</v>
      </c>
      <c r="O87" s="1124" t="s">
        <v>2171</v>
      </c>
      <c r="P87" s="1127"/>
      <c r="Q87" s="1127"/>
      <c r="R87" s="1127">
        <v>1144000</v>
      </c>
      <c r="S87" s="1127"/>
      <c r="T87" s="1127">
        <v>1144000</v>
      </c>
      <c r="U87" s="1127"/>
      <c r="V87" s="1260">
        <f>VALUE(LEFT(BalanceN1[[#This Row],[Compte]]&amp;"00000000",5))</f>
        <v>60430</v>
      </c>
      <c r="W87" s="1261" cm="1">
        <f t="array" ref="W87">IF(BalanceN1[[#This Row],[Compte]]="",0,_xlfn.IFNA(INDEX(Plan_Comptable[[Table de Compte]:[Sens]],MATCH(VALUE(LEFT(BalanceN1[[#This Row],[Table]],4)),VALUE(Plan_Comptable[Table de Compte]),0),2),"A"))</f>
        <v>0</v>
      </c>
      <c r="X87" s="1262" t="str">
        <f>IF(AND(BalanceN1[[#This Row],[Vérif]]="D",BalanceN1[[#This Row],[BS_Credit]]&gt;0),"A",IF(AND(BalanceN1[[#This Row],[Vérif]]="C",BalanceN1[[#This Row],[BS_Debit]]&gt;0),"A",""))</f>
        <v/>
      </c>
      <c r="Y87" s="1262" t="str">
        <f>IF(AND(BalanceN1[[#This Row],[Vérif]]="D",BalanceN1[[#This Row],[BE_Credit]]&gt;0),"A",IF(AND(BalanceN1[[#This Row],[Vérif]]="C",BalanceN1[[#This Row],[BE_Debit]]&gt;0),"A",""))</f>
        <v/>
      </c>
    </row>
    <row r="88" spans="1:25" ht="18" customHeight="1">
      <c r="A88" s="1124">
        <v>571100</v>
      </c>
      <c r="B88" s="1124" t="s">
        <v>1853</v>
      </c>
      <c r="C88" s="1125">
        <v>5460181</v>
      </c>
      <c r="D88" s="1125"/>
      <c r="E88" s="1125">
        <v>141403437</v>
      </c>
      <c r="F88" s="1125">
        <v>144919482</v>
      </c>
      <c r="G88" s="1125">
        <v>1944136</v>
      </c>
      <c r="H88" s="1125"/>
      <c r="I88" s="1122">
        <f>VALUE(LEFT(BalanceN[[#This Row],[Compte]]&amp;"00000000",5))</f>
        <v>57110</v>
      </c>
      <c r="J88" s="1123" t="str" cm="1">
        <f t="array" ref="J88">IF(BalanceN[[#This Row],[Compte]]="",0,_xlfn.IFNA(INDEX(Plan_Comptable[[Table de Compte]:[Sens]],MATCH(VALUE(LEFT(BalanceN[[#This Row],[Table]],4)),VALUE(Plan_Comptable[Table de Compte]),0),2),"A"))</f>
        <v>D</v>
      </c>
      <c r="K88" s="1121" t="str">
        <f>IF(AND(BalanceN[[#This Row],[Vérif]]="D",BalanceN[[#This Row],[BS_Credit]]&gt;0),"A",IF(AND(BalanceN[[#This Row],[Vérif]]="C",BalanceN[[#This Row],[BS_Debit]]&gt;0),"A",""))</f>
        <v/>
      </c>
      <c r="L88" s="1121" t="str">
        <f>IF(AND(BalanceN[[#This Row],[Vérif]]="D",BalanceN[[#This Row],[BE_Credit]]&gt;0),"A",IF(AND(BalanceN[[#This Row],[Vérif]]="C",BalanceN[[#This Row],[BE_Debit]]&gt;0),"A",""))</f>
        <v/>
      </c>
      <c r="N88" s="1126">
        <v>605100</v>
      </c>
      <c r="O88" s="1124" t="s">
        <v>2173</v>
      </c>
      <c r="P88" s="1127"/>
      <c r="Q88" s="1127"/>
      <c r="R88" s="1127">
        <v>6125987</v>
      </c>
      <c r="S88" s="1127">
        <v>1466738</v>
      </c>
      <c r="T88" s="1127">
        <v>4659249</v>
      </c>
      <c r="U88" s="1127"/>
      <c r="V88" s="1260">
        <f>VALUE(LEFT(BalanceN1[[#This Row],[Compte]]&amp;"00000000",5))</f>
        <v>60510</v>
      </c>
      <c r="W88" s="1261" cm="1">
        <f t="array" ref="W88">IF(BalanceN1[[#This Row],[Compte]]="",0,_xlfn.IFNA(INDEX(Plan_Comptable[[Table de Compte]:[Sens]],MATCH(VALUE(LEFT(BalanceN1[[#This Row],[Table]],4)),VALUE(Plan_Comptable[Table de Compte]),0),2),"A"))</f>
        <v>0</v>
      </c>
      <c r="X88" s="1262" t="str">
        <f>IF(AND(BalanceN1[[#This Row],[Vérif]]="D",BalanceN1[[#This Row],[BS_Credit]]&gt;0),"A",IF(AND(BalanceN1[[#This Row],[Vérif]]="C",BalanceN1[[#This Row],[BS_Debit]]&gt;0),"A",""))</f>
        <v/>
      </c>
      <c r="Y88" s="1262" t="str">
        <f>IF(AND(BalanceN1[[#This Row],[Vérif]]="D",BalanceN1[[#This Row],[BE_Credit]]&gt;0),"A",IF(AND(BalanceN1[[#This Row],[Vérif]]="C",BalanceN1[[#This Row],[BE_Debit]]&gt;0),"A",""))</f>
        <v/>
      </c>
    </row>
    <row r="89" spans="1:25" ht="18" customHeight="1">
      <c r="A89" s="1124">
        <v>585000</v>
      </c>
      <c r="B89" s="1124" t="s">
        <v>11820</v>
      </c>
      <c r="C89" s="1125"/>
      <c r="D89" s="1125"/>
      <c r="E89" s="1125">
        <v>144502048</v>
      </c>
      <c r="F89" s="1125">
        <v>144502048</v>
      </c>
      <c r="G89" s="1125"/>
      <c r="H89" s="1125"/>
      <c r="I89" s="1122">
        <f>VALUE(LEFT(BalanceN[[#This Row],[Compte]]&amp;"00000000",5))</f>
        <v>58500</v>
      </c>
      <c r="J89" s="1123" cm="1">
        <f t="array" ref="J89">IF(BalanceN[[#This Row],[Compte]]="",0,_xlfn.IFNA(INDEX(Plan_Comptable[[Table de Compte]:[Sens]],MATCH(VALUE(LEFT(BalanceN[[#This Row],[Table]],4)),VALUE(Plan_Comptable[Table de Compte]),0),2),"A"))</f>
        <v>0</v>
      </c>
      <c r="K89" s="1121" t="str">
        <f>IF(AND(BalanceN[[#This Row],[Vérif]]="D",BalanceN[[#This Row],[BS_Credit]]&gt;0),"A",IF(AND(BalanceN[[#This Row],[Vérif]]="C",BalanceN[[#This Row],[BS_Debit]]&gt;0),"A",""))</f>
        <v/>
      </c>
      <c r="L89" s="1121" t="str">
        <f>IF(AND(BalanceN[[#This Row],[Vérif]]="D",BalanceN[[#This Row],[BE_Credit]]&gt;0),"A",IF(AND(BalanceN[[#This Row],[Vérif]]="C",BalanceN[[#This Row],[BE_Debit]]&gt;0),"A",""))</f>
        <v/>
      </c>
      <c r="N89" s="1126">
        <v>605200</v>
      </c>
      <c r="O89" s="1124" t="s">
        <v>2174</v>
      </c>
      <c r="P89" s="1127"/>
      <c r="Q89" s="1127"/>
      <c r="R89" s="1127">
        <v>36907753</v>
      </c>
      <c r="S89" s="1127">
        <v>15147134</v>
      </c>
      <c r="T89" s="1127">
        <v>21760619</v>
      </c>
      <c r="U89" s="1127"/>
      <c r="V89" s="1260">
        <f>VALUE(LEFT(BalanceN1[[#This Row],[Compte]]&amp;"00000000",5))</f>
        <v>60520</v>
      </c>
      <c r="W89" s="1261" cm="1">
        <f t="array" ref="W89">IF(BalanceN1[[#This Row],[Compte]]="",0,_xlfn.IFNA(INDEX(Plan_Comptable[[Table de Compte]:[Sens]],MATCH(VALUE(LEFT(BalanceN1[[#This Row],[Table]],4)),VALUE(Plan_Comptable[Table de Compte]),0),2),"A"))</f>
        <v>0</v>
      </c>
      <c r="X89" s="1262" t="str">
        <f>IF(AND(BalanceN1[[#This Row],[Vérif]]="D",BalanceN1[[#This Row],[BS_Credit]]&gt;0),"A",IF(AND(BalanceN1[[#This Row],[Vérif]]="C",BalanceN1[[#This Row],[BS_Debit]]&gt;0),"A",""))</f>
        <v/>
      </c>
      <c r="Y89" s="1262" t="str">
        <f>IF(AND(BalanceN1[[#This Row],[Vérif]]="D",BalanceN1[[#This Row],[BE_Credit]]&gt;0),"A",IF(AND(BalanceN1[[#This Row],[Vérif]]="C",BalanceN1[[#This Row],[BE_Debit]]&gt;0),"A",""))</f>
        <v/>
      </c>
    </row>
    <row r="90" spans="1:25" ht="18" customHeight="1">
      <c r="A90" s="1124">
        <v>601100</v>
      </c>
      <c r="B90" s="1124" t="s">
        <v>11821</v>
      </c>
      <c r="C90" s="1125"/>
      <c r="D90" s="1125"/>
      <c r="E90" s="1125">
        <v>75000000</v>
      </c>
      <c r="F90" s="1125"/>
      <c r="G90" s="1125">
        <v>75000000</v>
      </c>
      <c r="H90" s="1125"/>
      <c r="I90" s="1122">
        <f>VALUE(LEFT(BalanceN[[#This Row],[Compte]]&amp;"00000000",5))</f>
        <v>60110</v>
      </c>
      <c r="J90" s="1123" cm="1">
        <f t="array" ref="J90">IF(BalanceN[[#This Row],[Compte]]="",0,_xlfn.IFNA(INDEX(Plan_Comptable[[Table de Compte]:[Sens]],MATCH(VALUE(LEFT(BalanceN[[#This Row],[Table]],4)),VALUE(Plan_Comptable[Table de Compte]),0),2),"A"))</f>
        <v>0</v>
      </c>
      <c r="K90" s="1121" t="str">
        <f>IF(AND(BalanceN[[#This Row],[Vérif]]="D",BalanceN[[#This Row],[BS_Credit]]&gt;0),"A",IF(AND(BalanceN[[#This Row],[Vérif]]="C",BalanceN[[#This Row],[BS_Debit]]&gt;0),"A",""))</f>
        <v/>
      </c>
      <c r="L90" s="1121" t="str">
        <f>IF(AND(BalanceN[[#This Row],[Vérif]]="D",BalanceN[[#This Row],[BE_Credit]]&gt;0),"A",IF(AND(BalanceN[[#This Row],[Vérif]]="C",BalanceN[[#This Row],[BE_Debit]]&gt;0),"A",""))</f>
        <v/>
      </c>
      <c r="N90" s="1126">
        <v>605300</v>
      </c>
      <c r="O90" s="1124" t="s">
        <v>11918</v>
      </c>
      <c r="P90" s="1127"/>
      <c r="Q90" s="1127"/>
      <c r="R90" s="1127">
        <v>6618773</v>
      </c>
      <c r="S90" s="1127">
        <v>6618773</v>
      </c>
      <c r="T90" s="1127"/>
      <c r="U90" s="1127"/>
      <c r="V90" s="1260">
        <f>VALUE(LEFT(BalanceN1[[#This Row],[Compte]]&amp;"00000000",5))</f>
        <v>60530</v>
      </c>
      <c r="W90" s="1261" cm="1">
        <f t="array" ref="W90">IF(BalanceN1[[#This Row],[Compte]]="",0,_xlfn.IFNA(INDEX(Plan_Comptable[[Table de Compte]:[Sens]],MATCH(VALUE(LEFT(BalanceN1[[#This Row],[Table]],4)),VALUE(Plan_Comptable[Table de Compte]),0),2),"A"))</f>
        <v>0</v>
      </c>
      <c r="X90" s="1262" t="str">
        <f>IF(AND(BalanceN1[[#This Row],[Vérif]]="D",BalanceN1[[#This Row],[BS_Credit]]&gt;0),"A",IF(AND(BalanceN1[[#This Row],[Vérif]]="C",BalanceN1[[#This Row],[BS_Debit]]&gt;0),"A",""))</f>
        <v/>
      </c>
      <c r="Y90" s="1262" t="str">
        <f>IF(AND(BalanceN1[[#This Row],[Vérif]]="D",BalanceN1[[#This Row],[BE_Credit]]&gt;0),"A",IF(AND(BalanceN1[[#This Row],[Vérif]]="C",BalanceN1[[#This Row],[BE_Debit]]&gt;0),"A",""))</f>
        <v/>
      </c>
    </row>
    <row r="91" spans="1:25" ht="18" customHeight="1">
      <c r="A91" s="1124">
        <v>602100</v>
      </c>
      <c r="B91" s="1124" t="s">
        <v>11822</v>
      </c>
      <c r="C91" s="1125"/>
      <c r="D91" s="1125"/>
      <c r="E91" s="1125">
        <v>924957492</v>
      </c>
      <c r="F91" s="1125">
        <v>1770650</v>
      </c>
      <c r="G91" s="1125">
        <v>923186842</v>
      </c>
      <c r="H91" s="1125"/>
      <c r="I91" s="1122">
        <f>VALUE(LEFT(BalanceN[[#This Row],[Compte]]&amp;"00000000",5))</f>
        <v>60210</v>
      </c>
      <c r="J91" s="1123" cm="1">
        <f t="array" ref="J91">IF(BalanceN[[#This Row],[Compte]]="",0,_xlfn.IFNA(INDEX(Plan_Comptable[[Table de Compte]:[Sens]],MATCH(VALUE(LEFT(BalanceN[[#This Row],[Table]],4)),VALUE(Plan_Comptable[Table de Compte]),0),2),"A"))</f>
        <v>0</v>
      </c>
      <c r="K91" s="1121" t="str">
        <f>IF(AND(BalanceN[[#This Row],[Vérif]]="D",BalanceN[[#This Row],[BS_Credit]]&gt;0),"A",IF(AND(BalanceN[[#This Row],[Vérif]]="C",BalanceN[[#This Row],[BS_Debit]]&gt;0),"A",""))</f>
        <v/>
      </c>
      <c r="L91" s="1121" t="str">
        <f>IF(AND(BalanceN[[#This Row],[Vérif]]="D",BalanceN[[#This Row],[BE_Credit]]&gt;0),"A",IF(AND(BalanceN[[#This Row],[Vérif]]="C",BalanceN[[#This Row],[BE_Debit]]&gt;0),"A",""))</f>
        <v/>
      </c>
      <c r="N91" s="1126">
        <v>605400</v>
      </c>
      <c r="O91" s="1124" t="s">
        <v>11828</v>
      </c>
      <c r="P91" s="1127"/>
      <c r="Q91" s="1127"/>
      <c r="R91" s="1127">
        <v>2249226</v>
      </c>
      <c r="S91" s="1127">
        <v>69600</v>
      </c>
      <c r="T91" s="1127">
        <v>2179626</v>
      </c>
      <c r="U91" s="1127"/>
      <c r="V91" s="1260">
        <f>VALUE(LEFT(BalanceN1[[#This Row],[Compte]]&amp;"00000000",5))</f>
        <v>60540</v>
      </c>
      <c r="W91" s="1261" cm="1">
        <f t="array" ref="W91">IF(BalanceN1[[#This Row],[Compte]]="",0,_xlfn.IFNA(INDEX(Plan_Comptable[[Table de Compte]:[Sens]],MATCH(VALUE(LEFT(BalanceN1[[#This Row],[Table]],4)),VALUE(Plan_Comptable[Table de Compte]),0),2),"A"))</f>
        <v>0</v>
      </c>
      <c r="X91" s="1262" t="str">
        <f>IF(AND(BalanceN1[[#This Row],[Vérif]]="D",BalanceN1[[#This Row],[BS_Credit]]&gt;0),"A",IF(AND(BalanceN1[[#This Row],[Vérif]]="C",BalanceN1[[#This Row],[BS_Debit]]&gt;0),"A",""))</f>
        <v/>
      </c>
      <c r="Y91" s="1262" t="str">
        <f>IF(AND(BalanceN1[[#This Row],[Vérif]]="D",BalanceN1[[#This Row],[BE_Credit]]&gt;0),"A",IF(AND(BalanceN1[[#This Row],[Vérif]]="C",BalanceN1[[#This Row],[BE_Debit]]&gt;0),"A",""))</f>
        <v/>
      </c>
    </row>
    <row r="92" spans="1:25" ht="18" customHeight="1">
      <c r="A92" s="1124">
        <v>602210</v>
      </c>
      <c r="B92" s="1124" t="s">
        <v>11823</v>
      </c>
      <c r="C92" s="1125"/>
      <c r="D92" s="1125"/>
      <c r="E92" s="1125">
        <v>5116850</v>
      </c>
      <c r="F92" s="1125"/>
      <c r="G92" s="1125">
        <v>5116850</v>
      </c>
      <c r="H92" s="1125"/>
      <c r="I92" s="1122">
        <f>VALUE(LEFT(BalanceN[[#This Row],[Compte]]&amp;"00000000",5))</f>
        <v>60221</v>
      </c>
      <c r="J92" s="1123" cm="1">
        <f t="array" ref="J92">IF(BalanceN[[#This Row],[Compte]]="",0,_xlfn.IFNA(INDEX(Plan_Comptable[[Table de Compte]:[Sens]],MATCH(VALUE(LEFT(BalanceN[[#This Row],[Table]],4)),VALUE(Plan_Comptable[Table de Compte]),0),2),"A"))</f>
        <v>0</v>
      </c>
      <c r="K92" s="1121" t="str">
        <f>IF(AND(BalanceN[[#This Row],[Vérif]]="D",BalanceN[[#This Row],[BS_Credit]]&gt;0),"A",IF(AND(BalanceN[[#This Row],[Vérif]]="C",BalanceN[[#This Row],[BS_Debit]]&gt;0),"A",""))</f>
        <v/>
      </c>
      <c r="L92" s="1121" t="str">
        <f>IF(AND(BalanceN[[#This Row],[Vérif]]="D",BalanceN[[#This Row],[BE_Credit]]&gt;0),"A",IF(AND(BalanceN[[#This Row],[Vérif]]="C",BalanceN[[#This Row],[BE_Debit]]&gt;0),"A",""))</f>
        <v/>
      </c>
      <c r="N92" s="1126">
        <v>605500</v>
      </c>
      <c r="O92" s="1124" t="s">
        <v>2177</v>
      </c>
      <c r="P92" s="1127"/>
      <c r="Q92" s="1127"/>
      <c r="R92" s="1127">
        <v>5047450</v>
      </c>
      <c r="S92" s="1127">
        <v>12500</v>
      </c>
      <c r="T92" s="1127">
        <v>5034950</v>
      </c>
      <c r="U92" s="1127"/>
      <c r="V92" s="1260">
        <f>VALUE(LEFT(BalanceN1[[#This Row],[Compte]]&amp;"00000000",5))</f>
        <v>60550</v>
      </c>
      <c r="W92" s="1261" cm="1">
        <f t="array" ref="W92">IF(BalanceN1[[#This Row],[Compte]]="",0,_xlfn.IFNA(INDEX(Plan_Comptable[[Table de Compte]:[Sens]],MATCH(VALUE(LEFT(BalanceN1[[#This Row],[Table]],4)),VALUE(Plan_Comptable[Table de Compte]),0),2),"A"))</f>
        <v>0</v>
      </c>
      <c r="X92" s="1262" t="str">
        <f>IF(AND(BalanceN1[[#This Row],[Vérif]]="D",BalanceN1[[#This Row],[BS_Credit]]&gt;0),"A",IF(AND(BalanceN1[[#This Row],[Vérif]]="C",BalanceN1[[#This Row],[BS_Debit]]&gt;0),"A",""))</f>
        <v/>
      </c>
      <c r="Y92" s="1262" t="str">
        <f>IF(AND(BalanceN1[[#This Row],[Vérif]]="D",BalanceN1[[#This Row],[BE_Credit]]&gt;0),"A",IF(AND(BalanceN1[[#This Row],[Vérif]]="C",BalanceN1[[#This Row],[BE_Debit]]&gt;0),"A",""))</f>
        <v/>
      </c>
    </row>
    <row r="93" spans="1:25" ht="18" customHeight="1">
      <c r="A93" s="1124">
        <v>603100</v>
      </c>
      <c r="B93" s="1124" t="s">
        <v>11824</v>
      </c>
      <c r="C93" s="1125"/>
      <c r="D93" s="1125"/>
      <c r="E93" s="1125"/>
      <c r="F93" s="1125">
        <v>5000000</v>
      </c>
      <c r="G93" s="1125"/>
      <c r="H93" s="1125">
        <v>5000000</v>
      </c>
      <c r="I93" s="1122">
        <f>VALUE(LEFT(BalanceN[[#This Row],[Compte]]&amp;"00000000",5))</f>
        <v>60310</v>
      </c>
      <c r="J93" s="1123" cm="1">
        <f t="array" ref="J93">IF(BalanceN[[#This Row],[Compte]]="",0,_xlfn.IFNA(INDEX(Plan_Comptable[[Table de Compte]:[Sens]],MATCH(VALUE(LEFT(BalanceN[[#This Row],[Table]],4)),VALUE(Plan_Comptable[Table de Compte]),0),2),"A"))</f>
        <v>0</v>
      </c>
      <c r="K93" s="1121" t="str">
        <f>IF(AND(BalanceN[[#This Row],[Vérif]]="D",BalanceN[[#This Row],[BS_Credit]]&gt;0),"A",IF(AND(BalanceN[[#This Row],[Vérif]]="C",BalanceN[[#This Row],[BS_Debit]]&gt;0),"A",""))</f>
        <v/>
      </c>
      <c r="L93" s="1121" t="str">
        <f>IF(AND(BalanceN[[#This Row],[Vérif]]="D",BalanceN[[#This Row],[BE_Credit]]&gt;0),"A",IF(AND(BalanceN[[#This Row],[Vérif]]="C",BalanceN[[#This Row],[BE_Debit]]&gt;0),"A",""))</f>
        <v/>
      </c>
      <c r="N93" s="1126">
        <v>605600</v>
      </c>
      <c r="O93" s="1124" t="s">
        <v>11829</v>
      </c>
      <c r="P93" s="1127"/>
      <c r="Q93" s="1127"/>
      <c r="R93" s="1127">
        <v>11441377</v>
      </c>
      <c r="S93" s="1127"/>
      <c r="T93" s="1127">
        <v>11441377</v>
      </c>
      <c r="U93" s="1127"/>
      <c r="V93" s="1260">
        <f>VALUE(LEFT(BalanceN1[[#This Row],[Compte]]&amp;"00000000",5))</f>
        <v>60560</v>
      </c>
      <c r="W93" s="1261" cm="1">
        <f t="array" ref="W93">IF(BalanceN1[[#This Row],[Compte]]="",0,_xlfn.IFNA(INDEX(Plan_Comptable[[Table de Compte]:[Sens]],MATCH(VALUE(LEFT(BalanceN1[[#This Row],[Table]],4)),VALUE(Plan_Comptable[Table de Compte]),0),2),"A"))</f>
        <v>0</v>
      </c>
      <c r="X93" s="1262" t="str">
        <f>IF(AND(BalanceN1[[#This Row],[Vérif]]="D",BalanceN1[[#This Row],[BS_Credit]]&gt;0),"A",IF(AND(BalanceN1[[#This Row],[Vérif]]="C",BalanceN1[[#This Row],[BS_Debit]]&gt;0),"A",""))</f>
        <v/>
      </c>
      <c r="Y93" s="1262" t="str">
        <f>IF(AND(BalanceN1[[#This Row],[Vérif]]="D",BalanceN1[[#This Row],[BE_Credit]]&gt;0),"A",IF(AND(BalanceN1[[#This Row],[Vérif]]="C",BalanceN1[[#This Row],[BE_Debit]]&gt;0),"A",""))</f>
        <v/>
      </c>
    </row>
    <row r="94" spans="1:25" ht="18" customHeight="1">
      <c r="A94" s="1124">
        <v>603201</v>
      </c>
      <c r="B94" s="1124" t="s">
        <v>11825</v>
      </c>
      <c r="C94" s="1125"/>
      <c r="D94" s="1125"/>
      <c r="E94" s="1125">
        <v>57775035</v>
      </c>
      <c r="F94" s="1125">
        <v>57881451</v>
      </c>
      <c r="G94" s="1125"/>
      <c r="H94" s="1125">
        <v>106416</v>
      </c>
      <c r="I94" s="1122">
        <f>VALUE(LEFT(BalanceN[[#This Row],[Compte]]&amp;"00000000",5))</f>
        <v>60320</v>
      </c>
      <c r="J94" s="1123" cm="1">
        <f t="array" ref="J94">IF(BalanceN[[#This Row],[Compte]]="",0,_xlfn.IFNA(INDEX(Plan_Comptable[[Table de Compte]:[Sens]],MATCH(VALUE(LEFT(BalanceN[[#This Row],[Table]],4)),VALUE(Plan_Comptable[Table de Compte]),0),2),"A"))</f>
        <v>0</v>
      </c>
      <c r="K94" s="1121" t="str">
        <f>IF(AND(BalanceN[[#This Row],[Vérif]]="D",BalanceN[[#This Row],[BS_Credit]]&gt;0),"A",IF(AND(BalanceN[[#This Row],[Vérif]]="C",BalanceN[[#This Row],[BS_Debit]]&gt;0),"A",""))</f>
        <v/>
      </c>
      <c r="L94" s="1121" t="str">
        <f>IF(AND(BalanceN[[#This Row],[Vérif]]="D",BalanceN[[#This Row],[BE_Credit]]&gt;0),"A",IF(AND(BalanceN[[#This Row],[Vérif]]="C",BalanceN[[#This Row],[BE_Debit]]&gt;0),"A",""))</f>
        <v/>
      </c>
      <c r="N94" s="1126">
        <v>605700</v>
      </c>
      <c r="O94" s="1124" t="s">
        <v>11919</v>
      </c>
      <c r="P94" s="1127"/>
      <c r="Q94" s="1127"/>
      <c r="R94" s="1127">
        <v>505000</v>
      </c>
      <c r="S94" s="1127"/>
      <c r="T94" s="1127">
        <v>505000</v>
      </c>
      <c r="U94" s="1127"/>
      <c r="V94" s="1260">
        <f>VALUE(LEFT(BalanceN1[[#This Row],[Compte]]&amp;"00000000",5))</f>
        <v>60570</v>
      </c>
      <c r="W94" s="1261" cm="1">
        <f t="array" ref="W94">IF(BalanceN1[[#This Row],[Compte]]="",0,_xlfn.IFNA(INDEX(Plan_Comptable[[Table de Compte]:[Sens]],MATCH(VALUE(LEFT(BalanceN1[[#This Row],[Table]],4)),VALUE(Plan_Comptable[Table de Compte]),0),2),"A"))</f>
        <v>0</v>
      </c>
      <c r="X94" s="1262" t="str">
        <f>IF(AND(BalanceN1[[#This Row],[Vérif]]="D",BalanceN1[[#This Row],[BS_Credit]]&gt;0),"A",IF(AND(BalanceN1[[#This Row],[Vérif]]="C",BalanceN1[[#This Row],[BS_Debit]]&gt;0),"A",""))</f>
        <v/>
      </c>
      <c r="Y94" s="1262" t="str">
        <f>IF(AND(BalanceN1[[#This Row],[Vérif]]="D",BalanceN1[[#This Row],[BE_Credit]]&gt;0),"A",IF(AND(BalanceN1[[#This Row],[Vérif]]="C",BalanceN1[[#This Row],[BE_Debit]]&gt;0),"A",""))</f>
        <v/>
      </c>
    </row>
    <row r="95" spans="1:25" ht="18" customHeight="1">
      <c r="A95" s="1124">
        <v>603302</v>
      </c>
      <c r="B95" s="1124" t="s">
        <v>11826</v>
      </c>
      <c r="C95" s="1125"/>
      <c r="D95" s="1125"/>
      <c r="E95" s="1125">
        <v>79288966</v>
      </c>
      <c r="F95" s="1125">
        <v>76874255</v>
      </c>
      <c r="G95" s="1125">
        <v>2414711</v>
      </c>
      <c r="H95" s="1125"/>
      <c r="I95" s="1122">
        <f>VALUE(LEFT(BalanceN[[#This Row],[Compte]]&amp;"00000000",5))</f>
        <v>60330</v>
      </c>
      <c r="J95" s="1123" cm="1">
        <f t="array" ref="J95">IF(BalanceN[[#This Row],[Compte]]="",0,_xlfn.IFNA(INDEX(Plan_Comptable[[Table de Compte]:[Sens]],MATCH(VALUE(LEFT(BalanceN[[#This Row],[Table]],4)),VALUE(Plan_Comptable[Table de Compte]),0),2),"A"))</f>
        <v>0</v>
      </c>
      <c r="K95" s="1121" t="str">
        <f>IF(AND(BalanceN[[#This Row],[Vérif]]="D",BalanceN[[#This Row],[BS_Credit]]&gt;0),"A",IF(AND(BalanceN[[#This Row],[Vérif]]="C",BalanceN[[#This Row],[BS_Debit]]&gt;0),"A",""))</f>
        <v/>
      </c>
      <c r="L95" s="1121" t="str">
        <f>IF(AND(BalanceN[[#This Row],[Vérif]]="D",BalanceN[[#This Row],[BE_Credit]]&gt;0),"A",IF(AND(BalanceN[[#This Row],[Vérif]]="C",BalanceN[[#This Row],[BE_Debit]]&gt;0),"A",""))</f>
        <v/>
      </c>
      <c r="N95" s="1126">
        <v>605800</v>
      </c>
      <c r="O95" s="1124" t="s">
        <v>11920</v>
      </c>
      <c r="P95" s="1127"/>
      <c r="Q95" s="1127"/>
      <c r="R95" s="1127">
        <v>420025</v>
      </c>
      <c r="S95" s="1127"/>
      <c r="T95" s="1127">
        <v>420025</v>
      </c>
      <c r="U95" s="1127"/>
      <c r="V95" s="1260">
        <f>VALUE(LEFT(BalanceN1[[#This Row],[Compte]]&amp;"00000000",5))</f>
        <v>60580</v>
      </c>
      <c r="W95" s="1261" cm="1">
        <f t="array" ref="W95">IF(BalanceN1[[#This Row],[Compte]]="",0,_xlfn.IFNA(INDEX(Plan_Comptable[[Table de Compte]:[Sens]],MATCH(VALUE(LEFT(BalanceN1[[#This Row],[Table]],4)),VALUE(Plan_Comptable[Table de Compte]),0),2),"A"))</f>
        <v>0</v>
      </c>
      <c r="X95" s="1262" t="str">
        <f>IF(AND(BalanceN1[[#This Row],[Vérif]]="D",BalanceN1[[#This Row],[BS_Credit]]&gt;0),"A",IF(AND(BalanceN1[[#This Row],[Vérif]]="C",BalanceN1[[#This Row],[BS_Debit]]&gt;0),"A",""))</f>
        <v/>
      </c>
      <c r="Y95" s="1262" t="str">
        <f>IF(AND(BalanceN1[[#This Row],[Vérif]]="D",BalanceN1[[#This Row],[BE_Credit]]&gt;0),"A",IF(AND(BalanceN1[[#This Row],[Vérif]]="C",BalanceN1[[#This Row],[BE_Debit]]&gt;0),"A",""))</f>
        <v/>
      </c>
    </row>
    <row r="96" spans="1:25" ht="18" customHeight="1">
      <c r="A96" s="1124">
        <v>604200</v>
      </c>
      <c r="B96" s="1124" t="s">
        <v>11827</v>
      </c>
      <c r="C96" s="1125"/>
      <c r="D96" s="1125"/>
      <c r="E96" s="1125">
        <v>21691425</v>
      </c>
      <c r="F96" s="1125">
        <v>10431949</v>
      </c>
      <c r="G96" s="1125">
        <v>11259476</v>
      </c>
      <c r="H96" s="1125"/>
      <c r="I96" s="1122">
        <f>VALUE(LEFT(BalanceN[[#This Row],[Compte]]&amp;"00000000",5))</f>
        <v>60420</v>
      </c>
      <c r="J96" s="1123" cm="1">
        <f t="array" ref="J96">IF(BalanceN[[#This Row],[Compte]]="",0,_xlfn.IFNA(INDEX(Plan_Comptable[[Table de Compte]:[Sens]],MATCH(VALUE(LEFT(BalanceN[[#This Row],[Table]],4)),VALUE(Plan_Comptable[Table de Compte]),0),2),"A"))</f>
        <v>0</v>
      </c>
      <c r="K96" s="1121" t="str">
        <f>IF(AND(BalanceN[[#This Row],[Vérif]]="D",BalanceN[[#This Row],[BS_Credit]]&gt;0),"A",IF(AND(BalanceN[[#This Row],[Vérif]]="C",BalanceN[[#This Row],[BS_Debit]]&gt;0),"A",""))</f>
        <v/>
      </c>
      <c r="L96" s="1121" t="str">
        <f>IF(AND(BalanceN[[#This Row],[Vérif]]="D",BalanceN[[#This Row],[BE_Credit]]&gt;0),"A",IF(AND(BalanceN[[#This Row],[Vérif]]="C",BalanceN[[#This Row],[BE_Debit]]&gt;0),"A",""))</f>
        <v/>
      </c>
      <c r="N96" s="1126">
        <v>608100</v>
      </c>
      <c r="O96" s="1124" t="s">
        <v>2653</v>
      </c>
      <c r="P96" s="1127"/>
      <c r="Q96" s="1127"/>
      <c r="R96" s="1127">
        <v>101311095</v>
      </c>
      <c r="S96" s="1127">
        <v>19000</v>
      </c>
      <c r="T96" s="1127">
        <v>101292095</v>
      </c>
      <c r="U96" s="1127"/>
      <c r="V96" s="1260">
        <f>VALUE(LEFT(BalanceN1[[#This Row],[Compte]]&amp;"00000000",5))</f>
        <v>60810</v>
      </c>
      <c r="W96" s="1261" cm="1">
        <f t="array" ref="W96">IF(BalanceN1[[#This Row],[Compte]]="",0,_xlfn.IFNA(INDEX(Plan_Comptable[[Table de Compte]:[Sens]],MATCH(VALUE(LEFT(BalanceN1[[#This Row],[Table]],4)),VALUE(Plan_Comptable[Table de Compte]),0),2),"A"))</f>
        <v>0</v>
      </c>
      <c r="X96" s="1262" t="str">
        <f>IF(AND(BalanceN1[[#This Row],[Vérif]]="D",BalanceN1[[#This Row],[BS_Credit]]&gt;0),"A",IF(AND(BalanceN1[[#This Row],[Vérif]]="C",BalanceN1[[#This Row],[BS_Debit]]&gt;0),"A",""))</f>
        <v/>
      </c>
      <c r="Y96" s="1262" t="str">
        <f>IF(AND(BalanceN1[[#This Row],[Vérif]]="D",BalanceN1[[#This Row],[BE_Credit]]&gt;0),"A",IF(AND(BalanceN1[[#This Row],[Vérif]]="C",BalanceN1[[#This Row],[BE_Debit]]&gt;0),"A",""))</f>
        <v/>
      </c>
    </row>
    <row r="97" spans="1:25" ht="18" customHeight="1">
      <c r="A97" s="1124">
        <v>605100</v>
      </c>
      <c r="B97" s="1124" t="s">
        <v>2173</v>
      </c>
      <c r="C97" s="1125"/>
      <c r="D97" s="1125"/>
      <c r="E97" s="1125">
        <v>10895715</v>
      </c>
      <c r="F97" s="1125">
        <v>5387895</v>
      </c>
      <c r="G97" s="1125">
        <v>5507820</v>
      </c>
      <c r="H97" s="1125"/>
      <c r="I97" s="1122">
        <f>VALUE(LEFT(BalanceN[[#This Row],[Compte]]&amp;"00000000",5))</f>
        <v>60510</v>
      </c>
      <c r="J97" s="1123" cm="1">
        <f t="array" ref="J97">IF(BalanceN[[#This Row],[Compte]]="",0,_xlfn.IFNA(INDEX(Plan_Comptable[[Table de Compte]:[Sens]],MATCH(VALUE(LEFT(BalanceN[[#This Row],[Table]],4)),VALUE(Plan_Comptable[Table de Compte]),0),2),"A"))</f>
        <v>0</v>
      </c>
      <c r="K97" s="1121" t="str">
        <f>IF(AND(BalanceN[[#This Row],[Vérif]]="D",BalanceN[[#This Row],[BS_Credit]]&gt;0),"A",IF(AND(BalanceN[[#This Row],[Vérif]]="C",BalanceN[[#This Row],[BS_Debit]]&gt;0),"A",""))</f>
        <v/>
      </c>
      <c r="L97" s="1121" t="str">
        <f>IF(AND(BalanceN[[#This Row],[Vérif]]="D",BalanceN[[#This Row],[BE_Credit]]&gt;0),"A",IF(AND(BalanceN[[#This Row],[Vérif]]="C",BalanceN[[#This Row],[BE_Debit]]&gt;0),"A",""))</f>
        <v/>
      </c>
      <c r="N97" s="1126">
        <v>612000</v>
      </c>
      <c r="O97" s="1124" t="s">
        <v>2187</v>
      </c>
      <c r="P97" s="1127"/>
      <c r="Q97" s="1127"/>
      <c r="R97" s="1127">
        <v>346376807</v>
      </c>
      <c r="S97" s="1127">
        <v>18382446</v>
      </c>
      <c r="T97" s="1127">
        <v>327994361</v>
      </c>
      <c r="U97" s="1127"/>
      <c r="V97" s="1260">
        <f>VALUE(LEFT(BalanceN1[[#This Row],[Compte]]&amp;"00000000",5))</f>
        <v>61200</v>
      </c>
      <c r="W97" s="1261" cm="1">
        <f t="array" ref="W97">IF(BalanceN1[[#This Row],[Compte]]="",0,_xlfn.IFNA(INDEX(Plan_Comptable[[Table de Compte]:[Sens]],MATCH(VALUE(LEFT(BalanceN1[[#This Row],[Table]],4)),VALUE(Plan_Comptable[Table de Compte]),0),2),"A"))</f>
        <v>0</v>
      </c>
      <c r="X97" s="1262" t="str">
        <f>IF(AND(BalanceN1[[#This Row],[Vérif]]="D",BalanceN1[[#This Row],[BS_Credit]]&gt;0),"A",IF(AND(BalanceN1[[#This Row],[Vérif]]="C",BalanceN1[[#This Row],[BS_Debit]]&gt;0),"A",""))</f>
        <v/>
      </c>
      <c r="Y97" s="1262" t="str">
        <f>IF(AND(BalanceN1[[#This Row],[Vérif]]="D",BalanceN1[[#This Row],[BE_Credit]]&gt;0),"A",IF(AND(BalanceN1[[#This Row],[Vérif]]="C",BalanceN1[[#This Row],[BE_Debit]]&gt;0),"A",""))</f>
        <v/>
      </c>
    </row>
    <row r="98" spans="1:25" ht="18" customHeight="1">
      <c r="A98" s="1124">
        <v>605200</v>
      </c>
      <c r="B98" s="1124" t="s">
        <v>2174</v>
      </c>
      <c r="C98" s="1125"/>
      <c r="D98" s="1125"/>
      <c r="E98" s="1125">
        <v>56706955</v>
      </c>
      <c r="F98" s="1125">
        <v>32760604</v>
      </c>
      <c r="G98" s="1125">
        <v>23946351</v>
      </c>
      <c r="H98" s="1125"/>
      <c r="I98" s="1122">
        <f>VALUE(LEFT(BalanceN[[#This Row],[Compte]]&amp;"00000000",5))</f>
        <v>60520</v>
      </c>
      <c r="J98" s="1123" cm="1">
        <f t="array" ref="J98">IF(BalanceN[[#This Row],[Compte]]="",0,_xlfn.IFNA(INDEX(Plan_Comptable[[Table de Compte]:[Sens]],MATCH(VALUE(LEFT(BalanceN[[#This Row],[Table]],4)),VALUE(Plan_Comptable[Table de Compte]),0),2),"A"))</f>
        <v>0</v>
      </c>
      <c r="K98" s="1121" t="str">
        <f>IF(AND(BalanceN[[#This Row],[Vérif]]="D",BalanceN[[#This Row],[BS_Credit]]&gt;0),"A",IF(AND(BalanceN[[#This Row],[Vérif]]="C",BalanceN[[#This Row],[BS_Debit]]&gt;0),"A",""))</f>
        <v/>
      </c>
      <c r="L98" s="1121" t="str">
        <f>IF(AND(BalanceN[[#This Row],[Vérif]]="D",BalanceN[[#This Row],[BE_Credit]]&gt;0),"A",IF(AND(BalanceN[[#This Row],[Vérif]]="C",BalanceN[[#This Row],[BE_Debit]]&gt;0),"A",""))</f>
        <v/>
      </c>
      <c r="N98" s="1126">
        <v>616000</v>
      </c>
      <c r="O98" s="1124" t="s">
        <v>11921</v>
      </c>
      <c r="P98" s="1127"/>
      <c r="Q98" s="1127"/>
      <c r="R98" s="1127">
        <v>86870</v>
      </c>
      <c r="S98" s="1127"/>
      <c r="T98" s="1127">
        <v>86870</v>
      </c>
      <c r="U98" s="1127"/>
      <c r="V98" s="1260">
        <f>VALUE(LEFT(BalanceN1[[#This Row],[Compte]]&amp;"00000000",5))</f>
        <v>61600</v>
      </c>
      <c r="W98" s="1261" cm="1">
        <f t="array" ref="W98">IF(BalanceN1[[#This Row],[Compte]]="",0,_xlfn.IFNA(INDEX(Plan_Comptable[[Table de Compte]:[Sens]],MATCH(VALUE(LEFT(BalanceN1[[#This Row],[Table]],4)),VALUE(Plan_Comptable[Table de Compte]),0),2),"A"))</f>
        <v>0</v>
      </c>
      <c r="X98" s="1262" t="str">
        <f>IF(AND(BalanceN1[[#This Row],[Vérif]]="D",BalanceN1[[#This Row],[BS_Credit]]&gt;0),"A",IF(AND(BalanceN1[[#This Row],[Vérif]]="C",BalanceN1[[#This Row],[BS_Debit]]&gt;0),"A",""))</f>
        <v/>
      </c>
      <c r="Y98" s="1262" t="str">
        <f>IF(AND(BalanceN1[[#This Row],[Vérif]]="D",BalanceN1[[#This Row],[BE_Credit]]&gt;0),"A",IF(AND(BalanceN1[[#This Row],[Vérif]]="C",BalanceN1[[#This Row],[BE_Debit]]&gt;0),"A",""))</f>
        <v/>
      </c>
    </row>
    <row r="99" spans="1:25" ht="18" customHeight="1">
      <c r="A99" s="1124">
        <v>605400</v>
      </c>
      <c r="B99" s="1124" t="s">
        <v>11828</v>
      </c>
      <c r="C99" s="1125"/>
      <c r="D99" s="1125"/>
      <c r="E99" s="1125">
        <v>4268103</v>
      </c>
      <c r="F99" s="1125">
        <v>285000</v>
      </c>
      <c r="G99" s="1125">
        <v>3983103</v>
      </c>
      <c r="H99" s="1125"/>
      <c r="I99" s="1122">
        <f>VALUE(LEFT(BalanceN[[#This Row],[Compte]]&amp;"00000000",5))</f>
        <v>60540</v>
      </c>
      <c r="J99" s="1123" cm="1">
        <f t="array" ref="J99">IF(BalanceN[[#This Row],[Compte]]="",0,_xlfn.IFNA(INDEX(Plan_Comptable[[Table de Compte]:[Sens]],MATCH(VALUE(LEFT(BalanceN[[#This Row],[Table]],4)),VALUE(Plan_Comptable[Table de Compte]),0),2),"A"))</f>
        <v>0</v>
      </c>
      <c r="K99" s="1121" t="str">
        <f>IF(AND(BalanceN[[#This Row],[Vérif]]="D",BalanceN[[#This Row],[BS_Credit]]&gt;0),"A",IF(AND(BalanceN[[#This Row],[Vérif]]="C",BalanceN[[#This Row],[BS_Debit]]&gt;0),"A",""))</f>
        <v/>
      </c>
      <c r="L99" s="1121" t="str">
        <f>IF(AND(BalanceN[[#This Row],[Vérif]]="D",BalanceN[[#This Row],[BE_Credit]]&gt;0),"A",IF(AND(BalanceN[[#This Row],[Vérif]]="C",BalanceN[[#This Row],[BE_Debit]]&gt;0),"A",""))</f>
        <v/>
      </c>
      <c r="N99" s="1126">
        <v>618100</v>
      </c>
      <c r="O99" s="1124" t="s">
        <v>2659</v>
      </c>
      <c r="P99" s="1127"/>
      <c r="Q99" s="1127"/>
      <c r="R99" s="1127">
        <v>306500</v>
      </c>
      <c r="S99" s="1127"/>
      <c r="T99" s="1127">
        <v>306500</v>
      </c>
      <c r="U99" s="1127"/>
      <c r="V99" s="1260">
        <f>VALUE(LEFT(BalanceN1[[#This Row],[Compte]]&amp;"00000000",5))</f>
        <v>61810</v>
      </c>
      <c r="W99" s="1261" cm="1">
        <f t="array" ref="W99">IF(BalanceN1[[#This Row],[Compte]]="",0,_xlfn.IFNA(INDEX(Plan_Comptable[[Table de Compte]:[Sens]],MATCH(VALUE(LEFT(BalanceN1[[#This Row],[Table]],4)),VALUE(Plan_Comptable[Table de Compte]),0),2),"A"))</f>
        <v>0</v>
      </c>
      <c r="X99" s="1262" t="str">
        <f>IF(AND(BalanceN1[[#This Row],[Vérif]]="D",BalanceN1[[#This Row],[BS_Credit]]&gt;0),"A",IF(AND(BalanceN1[[#This Row],[Vérif]]="C",BalanceN1[[#This Row],[BS_Debit]]&gt;0),"A",""))</f>
        <v/>
      </c>
      <c r="Y99" s="1262" t="str">
        <f>IF(AND(BalanceN1[[#This Row],[Vérif]]="D",BalanceN1[[#This Row],[BE_Credit]]&gt;0),"A",IF(AND(BalanceN1[[#This Row],[Vérif]]="C",BalanceN1[[#This Row],[BE_Debit]]&gt;0),"A",""))</f>
        <v/>
      </c>
    </row>
    <row r="100" spans="1:25" ht="18" customHeight="1">
      <c r="A100" s="1124">
        <v>605500</v>
      </c>
      <c r="B100" s="1124" t="s">
        <v>2177</v>
      </c>
      <c r="C100" s="1125"/>
      <c r="D100" s="1125"/>
      <c r="E100" s="1125">
        <v>4480500</v>
      </c>
      <c r="F100" s="1125">
        <v>207000</v>
      </c>
      <c r="G100" s="1125">
        <v>4273500</v>
      </c>
      <c r="H100" s="1125"/>
      <c r="I100" s="1122">
        <f>VALUE(LEFT(BalanceN[[#This Row],[Compte]]&amp;"00000000",5))</f>
        <v>60550</v>
      </c>
      <c r="J100" s="1123" cm="1">
        <f t="array" ref="J100">IF(BalanceN[[#This Row],[Compte]]="",0,_xlfn.IFNA(INDEX(Plan_Comptable[[Table de Compte]:[Sens]],MATCH(VALUE(LEFT(BalanceN[[#This Row],[Table]],4)),VALUE(Plan_Comptable[Table de Compte]),0),2),"A"))</f>
        <v>0</v>
      </c>
      <c r="K100" s="1121" t="str">
        <f>IF(AND(BalanceN[[#This Row],[Vérif]]="D",BalanceN[[#This Row],[BS_Credit]]&gt;0),"A",IF(AND(BalanceN[[#This Row],[Vérif]]="C",BalanceN[[#This Row],[BS_Debit]]&gt;0),"A",""))</f>
        <v/>
      </c>
      <c r="L100" s="1121" t="str">
        <f>IF(AND(BalanceN[[#This Row],[Vérif]]="D",BalanceN[[#This Row],[BE_Credit]]&gt;0),"A",IF(AND(BalanceN[[#This Row],[Vérif]]="C",BalanceN[[#This Row],[BE_Debit]]&gt;0),"A",""))</f>
        <v/>
      </c>
      <c r="N100" s="1126">
        <v>618300</v>
      </c>
      <c r="O100" s="1124" t="s">
        <v>2193</v>
      </c>
      <c r="P100" s="1127"/>
      <c r="Q100" s="1127"/>
      <c r="R100" s="1127">
        <v>685825</v>
      </c>
      <c r="S100" s="1127"/>
      <c r="T100" s="1127">
        <v>685825</v>
      </c>
      <c r="U100" s="1127"/>
      <c r="V100" s="1260">
        <f>VALUE(LEFT(BalanceN1[[#This Row],[Compte]]&amp;"00000000",5))</f>
        <v>61830</v>
      </c>
      <c r="W100" s="1261" cm="1">
        <f t="array" ref="W100">IF(BalanceN1[[#This Row],[Compte]]="",0,_xlfn.IFNA(INDEX(Plan_Comptable[[Table de Compte]:[Sens]],MATCH(VALUE(LEFT(BalanceN1[[#This Row],[Table]],4)),VALUE(Plan_Comptable[Table de Compte]),0),2),"A"))</f>
        <v>0</v>
      </c>
      <c r="X100" s="1262" t="str">
        <f>IF(AND(BalanceN1[[#This Row],[Vérif]]="D",BalanceN1[[#This Row],[BS_Credit]]&gt;0),"A",IF(AND(BalanceN1[[#This Row],[Vérif]]="C",BalanceN1[[#This Row],[BS_Debit]]&gt;0),"A",""))</f>
        <v/>
      </c>
      <c r="Y100" s="1262" t="str">
        <f>IF(AND(BalanceN1[[#This Row],[Vérif]]="D",BalanceN1[[#This Row],[BE_Credit]]&gt;0),"A",IF(AND(BalanceN1[[#This Row],[Vérif]]="C",BalanceN1[[#This Row],[BE_Debit]]&gt;0),"A",""))</f>
        <v/>
      </c>
    </row>
    <row r="101" spans="1:25" ht="18" customHeight="1">
      <c r="A101" s="1124">
        <v>605600</v>
      </c>
      <c r="B101" s="1124" t="s">
        <v>11829</v>
      </c>
      <c r="C101" s="1125"/>
      <c r="D101" s="1125"/>
      <c r="E101" s="1125">
        <v>13718052</v>
      </c>
      <c r="F101" s="1125"/>
      <c r="G101" s="1125">
        <v>13718052</v>
      </c>
      <c r="H101" s="1125"/>
      <c r="I101" s="1122">
        <f>VALUE(LEFT(BalanceN[[#This Row],[Compte]]&amp;"00000000",5))</f>
        <v>60560</v>
      </c>
      <c r="J101" s="1123" cm="1">
        <f t="array" ref="J101">IF(BalanceN[[#This Row],[Compte]]="",0,_xlfn.IFNA(INDEX(Plan_Comptable[[Table de Compte]:[Sens]],MATCH(VALUE(LEFT(BalanceN[[#This Row],[Table]],4)),VALUE(Plan_Comptable[Table de Compte]),0),2),"A"))</f>
        <v>0</v>
      </c>
      <c r="K101" s="1121" t="str">
        <f>IF(AND(BalanceN[[#This Row],[Vérif]]="D",BalanceN[[#This Row],[BS_Credit]]&gt;0),"A",IF(AND(BalanceN[[#This Row],[Vérif]]="C",BalanceN[[#This Row],[BS_Debit]]&gt;0),"A",""))</f>
        <v/>
      </c>
      <c r="L101" s="1121" t="str">
        <f>IF(AND(BalanceN[[#This Row],[Vérif]]="D",BalanceN[[#This Row],[BE_Credit]]&gt;0),"A",IF(AND(BalanceN[[#This Row],[Vérif]]="C",BalanceN[[#This Row],[BE_Debit]]&gt;0),"A",""))</f>
        <v/>
      </c>
      <c r="N101" s="1126">
        <v>622200</v>
      </c>
      <c r="O101" s="1124" t="s">
        <v>2662</v>
      </c>
      <c r="P101" s="1127"/>
      <c r="Q101" s="1127"/>
      <c r="R101" s="1127">
        <v>8513500</v>
      </c>
      <c r="S101" s="1127">
        <v>350000</v>
      </c>
      <c r="T101" s="1127">
        <v>8163500</v>
      </c>
      <c r="U101" s="1127"/>
      <c r="V101" s="1260">
        <f>VALUE(LEFT(BalanceN1[[#This Row],[Compte]]&amp;"00000000",5))</f>
        <v>62220</v>
      </c>
      <c r="W101" s="1261" cm="1">
        <f t="array" ref="W101">IF(BalanceN1[[#This Row],[Compte]]="",0,_xlfn.IFNA(INDEX(Plan_Comptable[[Table de Compte]:[Sens]],MATCH(VALUE(LEFT(BalanceN1[[#This Row],[Table]],4)),VALUE(Plan_Comptable[Table de Compte]),0),2),"A"))</f>
        <v>0</v>
      </c>
      <c r="X101" s="1262" t="str">
        <f>IF(AND(BalanceN1[[#This Row],[Vérif]]="D",BalanceN1[[#This Row],[BS_Credit]]&gt;0),"A",IF(AND(BalanceN1[[#This Row],[Vérif]]="C",BalanceN1[[#This Row],[BS_Debit]]&gt;0),"A",""))</f>
        <v/>
      </c>
      <c r="Y101" s="1262" t="str">
        <f>IF(AND(BalanceN1[[#This Row],[Vérif]]="D",BalanceN1[[#This Row],[BE_Credit]]&gt;0),"A",IF(AND(BalanceN1[[#This Row],[Vérif]]="C",BalanceN1[[#This Row],[BE_Debit]]&gt;0),"A",""))</f>
        <v/>
      </c>
    </row>
    <row r="102" spans="1:25" ht="18" customHeight="1">
      <c r="A102" s="1124">
        <v>605700</v>
      </c>
      <c r="B102" s="1124" t="s">
        <v>11830</v>
      </c>
      <c r="C102" s="1125"/>
      <c r="D102" s="1125"/>
      <c r="E102" s="1125">
        <v>12000</v>
      </c>
      <c r="F102" s="1125"/>
      <c r="G102" s="1125">
        <v>12000</v>
      </c>
      <c r="H102" s="1125"/>
      <c r="I102" s="1122">
        <f>VALUE(LEFT(BalanceN[[#This Row],[Compte]]&amp;"00000000",5))</f>
        <v>60570</v>
      </c>
      <c r="J102" s="1123" cm="1">
        <f t="array" ref="J102">IF(BalanceN[[#This Row],[Compte]]="",0,_xlfn.IFNA(INDEX(Plan_Comptable[[Table de Compte]:[Sens]],MATCH(VALUE(LEFT(BalanceN[[#This Row],[Table]],4)),VALUE(Plan_Comptable[Table de Compte]),0),2),"A"))</f>
        <v>0</v>
      </c>
      <c r="K102" s="1121" t="str">
        <f>IF(AND(BalanceN[[#This Row],[Vérif]]="D",BalanceN[[#This Row],[BS_Credit]]&gt;0),"A",IF(AND(BalanceN[[#This Row],[Vérif]]="C",BalanceN[[#This Row],[BS_Debit]]&gt;0),"A",""))</f>
        <v/>
      </c>
      <c r="L102" s="1121" t="str">
        <f>IF(AND(BalanceN[[#This Row],[Vérif]]="D",BalanceN[[#This Row],[BE_Credit]]&gt;0),"A",IF(AND(BalanceN[[#This Row],[Vérif]]="C",BalanceN[[#This Row],[BE_Debit]]&gt;0),"A",""))</f>
        <v/>
      </c>
      <c r="N102" s="1126">
        <v>622300</v>
      </c>
      <c r="O102" s="1124" t="s">
        <v>11832</v>
      </c>
      <c r="P102" s="1127"/>
      <c r="Q102" s="1127"/>
      <c r="R102" s="1127">
        <v>14162750</v>
      </c>
      <c r="S102" s="1127">
        <v>1442750</v>
      </c>
      <c r="T102" s="1127">
        <v>12720000</v>
      </c>
      <c r="U102" s="1127"/>
      <c r="V102" s="1260">
        <f>VALUE(LEFT(BalanceN1[[#This Row],[Compte]]&amp;"00000000",5))</f>
        <v>62230</v>
      </c>
      <c r="W102" s="1261" cm="1">
        <f t="array" ref="W102">IF(BalanceN1[[#This Row],[Compte]]="",0,_xlfn.IFNA(INDEX(Plan_Comptable[[Table de Compte]:[Sens]],MATCH(VALUE(LEFT(BalanceN1[[#This Row],[Table]],4)),VALUE(Plan_Comptable[Table de Compte]),0),2),"A"))</f>
        <v>0</v>
      </c>
      <c r="X102" s="1262" t="str">
        <f>IF(AND(BalanceN1[[#This Row],[Vérif]]="D",BalanceN1[[#This Row],[BS_Credit]]&gt;0),"A",IF(AND(BalanceN1[[#This Row],[Vérif]]="C",BalanceN1[[#This Row],[BS_Debit]]&gt;0),"A",""))</f>
        <v/>
      </c>
      <c r="Y102" s="1262" t="str">
        <f>IF(AND(BalanceN1[[#This Row],[Vérif]]="D",BalanceN1[[#This Row],[BE_Credit]]&gt;0),"A",IF(AND(BalanceN1[[#This Row],[Vérif]]="C",BalanceN1[[#This Row],[BE_Debit]]&gt;0),"A",""))</f>
        <v/>
      </c>
    </row>
    <row r="103" spans="1:25" ht="18" customHeight="1">
      <c r="A103" s="1124">
        <v>608100</v>
      </c>
      <c r="B103" s="1124" t="s">
        <v>2653</v>
      </c>
      <c r="C103" s="1125"/>
      <c r="D103" s="1125"/>
      <c r="E103" s="1125">
        <v>132571022</v>
      </c>
      <c r="F103" s="1125">
        <v>37004365</v>
      </c>
      <c r="G103" s="1125">
        <v>95566657</v>
      </c>
      <c r="H103" s="1125"/>
      <c r="I103" s="1122">
        <f>VALUE(LEFT(BalanceN[[#This Row],[Compte]]&amp;"00000000",5))</f>
        <v>60810</v>
      </c>
      <c r="J103" s="1123" cm="1">
        <f t="array" ref="J103">IF(BalanceN[[#This Row],[Compte]]="",0,_xlfn.IFNA(INDEX(Plan_Comptable[[Table de Compte]:[Sens]],MATCH(VALUE(LEFT(BalanceN[[#This Row],[Table]],4)),VALUE(Plan_Comptable[Table de Compte]),0),2),"A"))</f>
        <v>0</v>
      </c>
      <c r="K103" s="1121" t="str">
        <f>IF(AND(BalanceN[[#This Row],[Vérif]]="D",BalanceN[[#This Row],[BS_Credit]]&gt;0),"A",IF(AND(BalanceN[[#This Row],[Vérif]]="C",BalanceN[[#This Row],[BS_Debit]]&gt;0),"A",""))</f>
        <v/>
      </c>
      <c r="L103" s="1121" t="str">
        <f>IF(AND(BalanceN[[#This Row],[Vérif]]="D",BalanceN[[#This Row],[BE_Credit]]&gt;0),"A",IF(AND(BalanceN[[#This Row],[Vérif]]="C",BalanceN[[#This Row],[BE_Debit]]&gt;0),"A",""))</f>
        <v/>
      </c>
      <c r="N103" s="1126">
        <v>622800</v>
      </c>
      <c r="O103" s="1124" t="s">
        <v>11922</v>
      </c>
      <c r="P103" s="1127"/>
      <c r="Q103" s="1127"/>
      <c r="R103" s="1127">
        <v>2299377</v>
      </c>
      <c r="S103" s="1127">
        <v>49118</v>
      </c>
      <c r="T103" s="1127">
        <v>2250259</v>
      </c>
      <c r="U103" s="1127"/>
      <c r="V103" s="1260">
        <f>VALUE(LEFT(BalanceN1[[#This Row],[Compte]]&amp;"00000000",5))</f>
        <v>62280</v>
      </c>
      <c r="W103" s="1261" cm="1">
        <f t="array" ref="W103">IF(BalanceN1[[#This Row],[Compte]]="",0,_xlfn.IFNA(INDEX(Plan_Comptable[[Table de Compte]:[Sens]],MATCH(VALUE(LEFT(BalanceN1[[#This Row],[Table]],4)),VALUE(Plan_Comptable[Table de Compte]),0),2),"A"))</f>
        <v>0</v>
      </c>
      <c r="X103" s="1262" t="str">
        <f>IF(AND(BalanceN1[[#This Row],[Vérif]]="D",BalanceN1[[#This Row],[BS_Credit]]&gt;0),"A",IF(AND(BalanceN1[[#This Row],[Vérif]]="C",BalanceN1[[#This Row],[BS_Debit]]&gt;0),"A",""))</f>
        <v/>
      </c>
      <c r="Y103" s="1262" t="str">
        <f>IF(AND(BalanceN1[[#This Row],[Vérif]]="D",BalanceN1[[#This Row],[BE_Credit]]&gt;0),"A",IF(AND(BalanceN1[[#This Row],[Vérif]]="C",BalanceN1[[#This Row],[BE_Debit]]&gt;0),"A",""))</f>
        <v/>
      </c>
    </row>
    <row r="104" spans="1:25" ht="18" customHeight="1">
      <c r="A104" s="1124">
        <v>612000</v>
      </c>
      <c r="B104" s="1124" t="s">
        <v>2187</v>
      </c>
      <c r="C104" s="1125"/>
      <c r="D104" s="1125"/>
      <c r="E104" s="1125">
        <v>343513892</v>
      </c>
      <c r="F104" s="1125">
        <v>19987821</v>
      </c>
      <c r="G104" s="1125">
        <v>323526071</v>
      </c>
      <c r="H104" s="1125"/>
      <c r="I104" s="1122">
        <f>VALUE(LEFT(BalanceN[[#This Row],[Compte]]&amp;"00000000",5))</f>
        <v>61200</v>
      </c>
      <c r="J104" s="1123" cm="1">
        <f t="array" ref="J104">IF(BalanceN[[#This Row],[Compte]]="",0,_xlfn.IFNA(INDEX(Plan_Comptable[[Table de Compte]:[Sens]],MATCH(VALUE(LEFT(BalanceN[[#This Row],[Table]],4)),VALUE(Plan_Comptable[Table de Compte]),0),2),"A"))</f>
        <v>0</v>
      </c>
      <c r="K104" s="1121" t="str">
        <f>IF(AND(BalanceN[[#This Row],[Vérif]]="D",BalanceN[[#This Row],[BS_Credit]]&gt;0),"A",IF(AND(BalanceN[[#This Row],[Vérif]]="C",BalanceN[[#This Row],[BS_Debit]]&gt;0),"A",""))</f>
        <v/>
      </c>
      <c r="L104" s="1121" t="str">
        <f>IF(AND(BalanceN[[#This Row],[Vérif]]="D",BalanceN[[#This Row],[BE_Credit]]&gt;0),"A",IF(AND(BalanceN[[#This Row],[Vérif]]="C",BalanceN[[#This Row],[BE_Debit]]&gt;0),"A",""))</f>
        <v/>
      </c>
      <c r="N104" s="1126">
        <v>624200</v>
      </c>
      <c r="O104" s="1124" t="s">
        <v>11923</v>
      </c>
      <c r="P104" s="1127"/>
      <c r="Q104" s="1127"/>
      <c r="R104" s="1127">
        <v>3570579</v>
      </c>
      <c r="S104" s="1127">
        <v>295547</v>
      </c>
      <c r="T104" s="1127">
        <v>3275032</v>
      </c>
      <c r="U104" s="1127"/>
      <c r="V104" s="1260">
        <f>VALUE(LEFT(BalanceN1[[#This Row],[Compte]]&amp;"00000000",5))</f>
        <v>62420</v>
      </c>
      <c r="W104" s="1261" cm="1">
        <f t="array" ref="W104">IF(BalanceN1[[#This Row],[Compte]]="",0,_xlfn.IFNA(INDEX(Plan_Comptable[[Table de Compte]:[Sens]],MATCH(VALUE(LEFT(BalanceN1[[#This Row],[Table]],4)),VALUE(Plan_Comptable[Table de Compte]),0),2),"A"))</f>
        <v>0</v>
      </c>
      <c r="X104" s="1262" t="str">
        <f>IF(AND(BalanceN1[[#This Row],[Vérif]]="D",BalanceN1[[#This Row],[BS_Credit]]&gt;0),"A",IF(AND(BalanceN1[[#This Row],[Vérif]]="C",BalanceN1[[#This Row],[BS_Debit]]&gt;0),"A",""))</f>
        <v/>
      </c>
      <c r="Y104" s="1262" t="str">
        <f>IF(AND(BalanceN1[[#This Row],[Vérif]]="D",BalanceN1[[#This Row],[BE_Credit]]&gt;0),"A",IF(AND(BalanceN1[[#This Row],[Vérif]]="C",BalanceN1[[#This Row],[BE_Debit]]&gt;0),"A",""))</f>
        <v/>
      </c>
    </row>
    <row r="105" spans="1:25" ht="18" customHeight="1">
      <c r="A105" s="1124">
        <v>618100</v>
      </c>
      <c r="B105" s="1124" t="s">
        <v>11831</v>
      </c>
      <c r="C105" s="1125"/>
      <c r="D105" s="1125"/>
      <c r="E105" s="1125">
        <v>3958126</v>
      </c>
      <c r="F105" s="1125"/>
      <c r="G105" s="1125">
        <v>3958126</v>
      </c>
      <c r="H105" s="1125"/>
      <c r="I105" s="1122">
        <f>VALUE(LEFT(BalanceN[[#This Row],[Compte]]&amp;"00000000",5))</f>
        <v>61810</v>
      </c>
      <c r="J105" s="1123" cm="1">
        <f t="array" ref="J105">IF(BalanceN[[#This Row],[Compte]]="",0,_xlfn.IFNA(INDEX(Plan_Comptable[[Table de Compte]:[Sens]],MATCH(VALUE(LEFT(BalanceN[[#This Row],[Table]],4)),VALUE(Plan_Comptable[Table de Compte]),0),2),"A"))</f>
        <v>0</v>
      </c>
      <c r="K105" s="1121" t="str">
        <f>IF(AND(BalanceN[[#This Row],[Vérif]]="D",BalanceN[[#This Row],[BS_Credit]]&gt;0),"A",IF(AND(BalanceN[[#This Row],[Vérif]]="C",BalanceN[[#This Row],[BS_Debit]]&gt;0),"A",""))</f>
        <v/>
      </c>
      <c r="L105" s="1121" t="str">
        <f>IF(AND(BalanceN[[#This Row],[Vérif]]="D",BalanceN[[#This Row],[BE_Credit]]&gt;0),"A",IF(AND(BalanceN[[#This Row],[Vérif]]="C",BalanceN[[#This Row],[BE_Debit]]&gt;0),"A",""))</f>
        <v/>
      </c>
      <c r="N105" s="1126">
        <v>624300</v>
      </c>
      <c r="O105" s="1124" t="s">
        <v>11924</v>
      </c>
      <c r="P105" s="1127"/>
      <c r="Q105" s="1127"/>
      <c r="R105" s="1127">
        <v>5110000</v>
      </c>
      <c r="S105" s="1127"/>
      <c r="T105" s="1127">
        <v>5110000</v>
      </c>
      <c r="U105" s="1127"/>
      <c r="V105" s="1260">
        <f>VALUE(LEFT(BalanceN1[[#This Row],[Compte]]&amp;"00000000",5))</f>
        <v>62430</v>
      </c>
      <c r="W105" s="1261" cm="1">
        <f t="array" ref="W105">IF(BalanceN1[[#This Row],[Compte]]="",0,_xlfn.IFNA(INDEX(Plan_Comptable[[Table de Compte]:[Sens]],MATCH(VALUE(LEFT(BalanceN1[[#This Row],[Table]],4)),VALUE(Plan_Comptable[Table de Compte]),0),2),"A"))</f>
        <v>0</v>
      </c>
      <c r="X105" s="1262" t="str">
        <f>IF(AND(BalanceN1[[#This Row],[Vérif]]="D",BalanceN1[[#This Row],[BS_Credit]]&gt;0),"A",IF(AND(BalanceN1[[#This Row],[Vérif]]="C",BalanceN1[[#This Row],[BS_Debit]]&gt;0),"A",""))</f>
        <v/>
      </c>
      <c r="Y105" s="1262" t="str">
        <f>IF(AND(BalanceN1[[#This Row],[Vérif]]="D",BalanceN1[[#This Row],[BE_Credit]]&gt;0),"A",IF(AND(BalanceN1[[#This Row],[Vérif]]="C",BalanceN1[[#This Row],[BE_Debit]]&gt;0),"A",""))</f>
        <v/>
      </c>
    </row>
    <row r="106" spans="1:25" ht="18" customHeight="1">
      <c r="A106" s="1124">
        <v>618300</v>
      </c>
      <c r="B106" s="1124" t="s">
        <v>2193</v>
      </c>
      <c r="C106" s="1125"/>
      <c r="D106" s="1125"/>
      <c r="E106" s="1125">
        <v>1662475</v>
      </c>
      <c r="F106" s="1125"/>
      <c r="G106" s="1125">
        <v>1662475</v>
      </c>
      <c r="H106" s="1125"/>
      <c r="I106" s="1122">
        <f>VALUE(LEFT(BalanceN[[#This Row],[Compte]]&amp;"00000000",5))</f>
        <v>61830</v>
      </c>
      <c r="J106" s="1123" cm="1">
        <f t="array" ref="J106">IF(BalanceN[[#This Row],[Compte]]="",0,_xlfn.IFNA(INDEX(Plan_Comptable[[Table de Compte]:[Sens]],MATCH(VALUE(LEFT(BalanceN[[#This Row],[Table]],4)),VALUE(Plan_Comptable[Table de Compte]),0),2),"A"))</f>
        <v>0</v>
      </c>
      <c r="K106" s="1121" t="str">
        <f>IF(AND(BalanceN[[#This Row],[Vérif]]="D",BalanceN[[#This Row],[BS_Credit]]&gt;0),"A",IF(AND(BalanceN[[#This Row],[Vérif]]="C",BalanceN[[#This Row],[BS_Debit]]&gt;0),"A",""))</f>
        <v/>
      </c>
      <c r="L106" s="1121" t="str">
        <f>IF(AND(BalanceN[[#This Row],[Vérif]]="D",BalanceN[[#This Row],[BE_Credit]]&gt;0),"A",IF(AND(BalanceN[[#This Row],[Vérif]]="C",BalanceN[[#This Row],[BE_Debit]]&gt;0),"A",""))</f>
        <v/>
      </c>
      <c r="N106" s="1126">
        <v>624330</v>
      </c>
      <c r="O106" s="1124" t="s">
        <v>11925</v>
      </c>
      <c r="P106" s="1127"/>
      <c r="Q106" s="1127"/>
      <c r="R106" s="1127">
        <v>390000</v>
      </c>
      <c r="S106" s="1127"/>
      <c r="T106" s="1127">
        <v>390000</v>
      </c>
      <c r="U106" s="1127"/>
      <c r="V106" s="1260">
        <f>VALUE(LEFT(BalanceN1[[#This Row],[Compte]]&amp;"00000000",5))</f>
        <v>62433</v>
      </c>
      <c r="W106" s="1261" cm="1">
        <f t="array" ref="W106">IF(BalanceN1[[#This Row],[Compte]]="",0,_xlfn.IFNA(INDEX(Plan_Comptable[[Table de Compte]:[Sens]],MATCH(VALUE(LEFT(BalanceN1[[#This Row],[Table]],4)),VALUE(Plan_Comptable[Table de Compte]),0),2),"A"))</f>
        <v>0</v>
      </c>
      <c r="X106" s="1262" t="str">
        <f>IF(AND(BalanceN1[[#This Row],[Vérif]]="D",BalanceN1[[#This Row],[BS_Credit]]&gt;0),"A",IF(AND(BalanceN1[[#This Row],[Vérif]]="C",BalanceN1[[#This Row],[BS_Debit]]&gt;0),"A",""))</f>
        <v/>
      </c>
      <c r="Y106" s="1262" t="str">
        <f>IF(AND(BalanceN1[[#This Row],[Vérif]]="D",BalanceN1[[#This Row],[BE_Credit]]&gt;0),"A",IF(AND(BalanceN1[[#This Row],[Vérif]]="C",BalanceN1[[#This Row],[BE_Debit]]&gt;0),"A",""))</f>
        <v/>
      </c>
    </row>
    <row r="107" spans="1:25" ht="18" customHeight="1">
      <c r="A107" s="1124">
        <v>622200</v>
      </c>
      <c r="B107" s="1124" t="s">
        <v>2662</v>
      </c>
      <c r="C107" s="1125"/>
      <c r="D107" s="1125"/>
      <c r="E107" s="1125">
        <v>8750000</v>
      </c>
      <c r="F107" s="1125">
        <v>350000</v>
      </c>
      <c r="G107" s="1125">
        <v>8400000</v>
      </c>
      <c r="H107" s="1125"/>
      <c r="I107" s="1122">
        <f>VALUE(LEFT(BalanceN[[#This Row],[Compte]]&amp;"00000000",5))</f>
        <v>62220</v>
      </c>
      <c r="J107" s="1123" cm="1">
        <f t="array" ref="J107">IF(BalanceN[[#This Row],[Compte]]="",0,_xlfn.IFNA(INDEX(Plan_Comptable[[Table de Compte]:[Sens]],MATCH(VALUE(LEFT(BalanceN[[#This Row],[Table]],4)),VALUE(Plan_Comptable[Table de Compte]),0),2),"A"))</f>
        <v>0</v>
      </c>
      <c r="K107" s="1121" t="str">
        <f>IF(AND(BalanceN[[#This Row],[Vérif]]="D",BalanceN[[#This Row],[BS_Credit]]&gt;0),"A",IF(AND(BalanceN[[#This Row],[Vérif]]="C",BalanceN[[#This Row],[BS_Debit]]&gt;0),"A",""))</f>
        <v/>
      </c>
      <c r="L107" s="1121" t="str">
        <f>IF(AND(BalanceN[[#This Row],[Vérif]]="D",BalanceN[[#This Row],[BE_Credit]]&gt;0),"A",IF(AND(BalanceN[[#This Row],[Vérif]]="C",BalanceN[[#This Row],[BE_Debit]]&gt;0),"A",""))</f>
        <v/>
      </c>
      <c r="N107" s="1126">
        <v>624800</v>
      </c>
      <c r="O107" s="1124" t="s">
        <v>10977</v>
      </c>
      <c r="P107" s="1127"/>
      <c r="Q107" s="1127"/>
      <c r="R107" s="1127">
        <v>931113</v>
      </c>
      <c r="S107" s="1127"/>
      <c r="T107" s="1127">
        <v>931113</v>
      </c>
      <c r="U107" s="1127"/>
      <c r="V107" s="1260">
        <f>VALUE(LEFT(BalanceN1[[#This Row],[Compte]]&amp;"00000000",5))</f>
        <v>62480</v>
      </c>
      <c r="W107" s="1261" cm="1">
        <f t="array" ref="W107">IF(BalanceN1[[#This Row],[Compte]]="",0,_xlfn.IFNA(INDEX(Plan_Comptable[[Table de Compte]:[Sens]],MATCH(VALUE(LEFT(BalanceN1[[#This Row],[Table]],4)),VALUE(Plan_Comptable[Table de Compte]),0),2),"A"))</f>
        <v>0</v>
      </c>
      <c r="X107" s="1262" t="str">
        <f>IF(AND(BalanceN1[[#This Row],[Vérif]]="D",BalanceN1[[#This Row],[BS_Credit]]&gt;0),"A",IF(AND(BalanceN1[[#This Row],[Vérif]]="C",BalanceN1[[#This Row],[BS_Debit]]&gt;0),"A",""))</f>
        <v/>
      </c>
      <c r="Y107" s="1262" t="str">
        <f>IF(AND(BalanceN1[[#This Row],[Vérif]]="D",BalanceN1[[#This Row],[BE_Credit]]&gt;0),"A",IF(AND(BalanceN1[[#This Row],[Vérif]]="C",BalanceN1[[#This Row],[BE_Debit]]&gt;0),"A",""))</f>
        <v/>
      </c>
    </row>
    <row r="108" spans="1:25" ht="18" customHeight="1">
      <c r="A108" s="1124">
        <v>622300</v>
      </c>
      <c r="B108" s="1124" t="s">
        <v>11832</v>
      </c>
      <c r="C108" s="1125"/>
      <c r="D108" s="1125"/>
      <c r="E108" s="1125">
        <v>15080000</v>
      </c>
      <c r="F108" s="1125">
        <v>2955000</v>
      </c>
      <c r="G108" s="1125">
        <v>12125000</v>
      </c>
      <c r="H108" s="1125"/>
      <c r="I108" s="1122">
        <f>VALUE(LEFT(BalanceN[[#This Row],[Compte]]&amp;"00000000",5))</f>
        <v>62230</v>
      </c>
      <c r="J108" s="1123" cm="1">
        <f t="array" ref="J108">IF(BalanceN[[#This Row],[Compte]]="",0,_xlfn.IFNA(INDEX(Plan_Comptable[[Table de Compte]:[Sens]],MATCH(VALUE(LEFT(BalanceN[[#This Row],[Table]],4)),VALUE(Plan_Comptable[Table de Compte]),0),2),"A"))</f>
        <v>0</v>
      </c>
      <c r="K108" s="1121" t="str">
        <f>IF(AND(BalanceN[[#This Row],[Vérif]]="D",BalanceN[[#This Row],[BS_Credit]]&gt;0),"A",IF(AND(BalanceN[[#This Row],[Vérif]]="C",BalanceN[[#This Row],[BS_Debit]]&gt;0),"A",""))</f>
        <v/>
      </c>
      <c r="L108" s="1121" t="str">
        <f>IF(AND(BalanceN[[#This Row],[Vérif]]="D",BalanceN[[#This Row],[BE_Credit]]&gt;0),"A",IF(AND(BalanceN[[#This Row],[Vérif]]="C",BalanceN[[#This Row],[BE_Debit]]&gt;0),"A",""))</f>
        <v/>
      </c>
      <c r="N108" s="1126">
        <v>625100</v>
      </c>
      <c r="O108" s="1124" t="s">
        <v>10978</v>
      </c>
      <c r="P108" s="1127"/>
      <c r="Q108" s="1127"/>
      <c r="R108" s="1127">
        <v>1459236</v>
      </c>
      <c r="S108" s="1127"/>
      <c r="T108" s="1127">
        <v>1459236</v>
      </c>
      <c r="U108" s="1127"/>
      <c r="V108" s="1260">
        <f>VALUE(LEFT(BalanceN1[[#This Row],[Compte]]&amp;"00000000",5))</f>
        <v>62510</v>
      </c>
      <c r="W108" s="1261" cm="1">
        <f t="array" ref="W108">IF(BalanceN1[[#This Row],[Compte]]="",0,_xlfn.IFNA(INDEX(Plan_Comptable[[Table de Compte]:[Sens]],MATCH(VALUE(LEFT(BalanceN1[[#This Row],[Table]],4)),VALUE(Plan_Comptable[Table de Compte]),0),2),"A"))</f>
        <v>0</v>
      </c>
      <c r="X108" s="1262" t="str">
        <f>IF(AND(BalanceN1[[#This Row],[Vérif]]="D",BalanceN1[[#This Row],[BS_Credit]]&gt;0),"A",IF(AND(BalanceN1[[#This Row],[Vérif]]="C",BalanceN1[[#This Row],[BS_Debit]]&gt;0),"A",""))</f>
        <v/>
      </c>
      <c r="Y108" s="1262" t="str">
        <f>IF(AND(BalanceN1[[#This Row],[Vérif]]="D",BalanceN1[[#This Row],[BE_Credit]]&gt;0),"A",IF(AND(BalanceN1[[#This Row],[Vérif]]="C",BalanceN1[[#This Row],[BE_Debit]]&gt;0),"A",""))</f>
        <v/>
      </c>
    </row>
    <row r="109" spans="1:25" ht="18" customHeight="1">
      <c r="A109" s="1124">
        <v>622800</v>
      </c>
      <c r="B109" s="1124" t="s">
        <v>11833</v>
      </c>
      <c r="C109" s="1125"/>
      <c r="D109" s="1125"/>
      <c r="E109" s="1125">
        <v>682298</v>
      </c>
      <c r="F109" s="1125">
        <v>399400</v>
      </c>
      <c r="G109" s="1125">
        <v>282898</v>
      </c>
      <c r="H109" s="1125"/>
      <c r="I109" s="1122">
        <f>VALUE(LEFT(BalanceN[[#This Row],[Compte]]&amp;"00000000",5))</f>
        <v>62280</v>
      </c>
      <c r="J109" s="1123" cm="1">
        <f t="array" ref="J109">IF(BalanceN[[#This Row],[Compte]]="",0,_xlfn.IFNA(INDEX(Plan_Comptable[[Table de Compte]:[Sens]],MATCH(VALUE(LEFT(BalanceN[[#This Row],[Table]],4)),VALUE(Plan_Comptable[Table de Compte]),0),2),"A"))</f>
        <v>0</v>
      </c>
      <c r="K109" s="1121" t="str">
        <f>IF(AND(BalanceN[[#This Row],[Vérif]]="D",BalanceN[[#This Row],[BS_Credit]]&gt;0),"A",IF(AND(BalanceN[[#This Row],[Vérif]]="C",BalanceN[[#This Row],[BS_Debit]]&gt;0),"A",""))</f>
        <v/>
      </c>
      <c r="L109" s="1121" t="str">
        <f>IF(AND(BalanceN[[#This Row],[Vérif]]="D",BalanceN[[#This Row],[BE_Credit]]&gt;0),"A",IF(AND(BalanceN[[#This Row],[Vérif]]="C",BalanceN[[#This Row],[BE_Debit]]&gt;0),"A",""))</f>
        <v/>
      </c>
      <c r="N109" s="1126">
        <v>625200</v>
      </c>
      <c r="O109" s="1124" t="s">
        <v>10980</v>
      </c>
      <c r="P109" s="1127"/>
      <c r="Q109" s="1127"/>
      <c r="R109" s="1127">
        <v>981248</v>
      </c>
      <c r="S109" s="1127"/>
      <c r="T109" s="1127">
        <v>981248</v>
      </c>
      <c r="U109" s="1127"/>
      <c r="V109" s="1260">
        <f>VALUE(LEFT(BalanceN1[[#This Row],[Compte]]&amp;"00000000",5))</f>
        <v>62520</v>
      </c>
      <c r="W109" s="1261" cm="1">
        <f t="array" ref="W109">IF(BalanceN1[[#This Row],[Compte]]="",0,_xlfn.IFNA(INDEX(Plan_Comptable[[Table de Compte]:[Sens]],MATCH(VALUE(LEFT(BalanceN1[[#This Row],[Table]],4)),VALUE(Plan_Comptable[Table de Compte]),0),2),"A"))</f>
        <v>0</v>
      </c>
      <c r="X109" s="1262" t="str">
        <f>IF(AND(BalanceN1[[#This Row],[Vérif]]="D",BalanceN1[[#This Row],[BS_Credit]]&gt;0),"A",IF(AND(BalanceN1[[#This Row],[Vérif]]="C",BalanceN1[[#This Row],[BS_Debit]]&gt;0),"A",""))</f>
        <v/>
      </c>
      <c r="Y109" s="1262" t="str">
        <f>IF(AND(BalanceN1[[#This Row],[Vérif]]="D",BalanceN1[[#This Row],[BE_Credit]]&gt;0),"A",IF(AND(BalanceN1[[#This Row],[Vérif]]="C",BalanceN1[[#This Row],[BE_Debit]]&gt;0),"A",""))</f>
        <v/>
      </c>
    </row>
    <row r="110" spans="1:25" ht="18" customHeight="1">
      <c r="A110" s="1124">
        <v>624100</v>
      </c>
      <c r="B110" s="1124" t="s">
        <v>11834</v>
      </c>
      <c r="C110" s="1125"/>
      <c r="D110" s="1125"/>
      <c r="E110" s="1125">
        <v>1951316</v>
      </c>
      <c r="F110" s="1125"/>
      <c r="G110" s="1125">
        <v>1951316</v>
      </c>
      <c r="H110" s="1125"/>
      <c r="I110" s="1122">
        <f>VALUE(LEFT(BalanceN[[#This Row],[Compte]]&amp;"00000000",5))</f>
        <v>62410</v>
      </c>
      <c r="J110" s="1123" cm="1">
        <f t="array" ref="J110">IF(BalanceN[[#This Row],[Compte]]="",0,_xlfn.IFNA(INDEX(Plan_Comptable[[Table de Compte]:[Sens]],MATCH(VALUE(LEFT(BalanceN[[#This Row],[Table]],4)),VALUE(Plan_Comptable[Table de Compte]),0),2),"A"))</f>
        <v>0</v>
      </c>
      <c r="K110" s="1121" t="str">
        <f>IF(AND(BalanceN[[#This Row],[Vérif]]="D",BalanceN[[#This Row],[BS_Credit]]&gt;0),"A",IF(AND(BalanceN[[#This Row],[Vérif]]="C",BalanceN[[#This Row],[BS_Debit]]&gt;0),"A",""))</f>
        <v/>
      </c>
      <c r="L110" s="1121" t="str">
        <f>IF(AND(BalanceN[[#This Row],[Vérif]]="D",BalanceN[[#This Row],[BE_Credit]]&gt;0),"A",IF(AND(BalanceN[[#This Row],[Vérif]]="C",BalanceN[[#This Row],[BE_Debit]]&gt;0),"A",""))</f>
        <v/>
      </c>
      <c r="N110" s="1126">
        <v>626500</v>
      </c>
      <c r="O110" s="1124" t="s">
        <v>2686</v>
      </c>
      <c r="P110" s="1127"/>
      <c r="Q110" s="1127"/>
      <c r="R110" s="1127">
        <v>30000</v>
      </c>
      <c r="S110" s="1127"/>
      <c r="T110" s="1127">
        <v>30000</v>
      </c>
      <c r="U110" s="1127"/>
      <c r="V110" s="1260">
        <f>VALUE(LEFT(BalanceN1[[#This Row],[Compte]]&amp;"00000000",5))</f>
        <v>62650</v>
      </c>
      <c r="W110" s="1261" cm="1">
        <f t="array" ref="W110">IF(BalanceN1[[#This Row],[Compte]]="",0,_xlfn.IFNA(INDEX(Plan_Comptable[[Table de Compte]:[Sens]],MATCH(VALUE(LEFT(BalanceN1[[#This Row],[Table]],4)),VALUE(Plan_Comptable[Table de Compte]),0),2),"A"))</f>
        <v>0</v>
      </c>
      <c r="X110" s="1262" t="str">
        <f>IF(AND(BalanceN1[[#This Row],[Vérif]]="D",BalanceN1[[#This Row],[BS_Credit]]&gt;0),"A",IF(AND(BalanceN1[[#This Row],[Vérif]]="C",BalanceN1[[#This Row],[BS_Debit]]&gt;0),"A",""))</f>
        <v/>
      </c>
      <c r="Y110" s="1262" t="str">
        <f>IF(AND(BalanceN1[[#This Row],[Vérif]]="D",BalanceN1[[#This Row],[BE_Credit]]&gt;0),"A",IF(AND(BalanceN1[[#This Row],[Vérif]]="C",BalanceN1[[#This Row],[BE_Debit]]&gt;0),"A",""))</f>
        <v/>
      </c>
    </row>
    <row r="111" spans="1:25" ht="18" customHeight="1">
      <c r="A111" s="1124">
        <v>624200</v>
      </c>
      <c r="B111" s="1124" t="s">
        <v>11835</v>
      </c>
      <c r="C111" s="1125"/>
      <c r="D111" s="1125"/>
      <c r="E111" s="1125">
        <v>4392302</v>
      </c>
      <c r="F111" s="1125">
        <v>720054</v>
      </c>
      <c r="G111" s="1125">
        <v>3672248</v>
      </c>
      <c r="H111" s="1125"/>
      <c r="I111" s="1122">
        <f>VALUE(LEFT(BalanceN[[#This Row],[Compte]]&amp;"00000000",5))</f>
        <v>62420</v>
      </c>
      <c r="J111" s="1123" cm="1">
        <f t="array" ref="J111">IF(BalanceN[[#This Row],[Compte]]="",0,_xlfn.IFNA(INDEX(Plan_Comptable[[Table de Compte]:[Sens]],MATCH(VALUE(LEFT(BalanceN[[#This Row],[Table]],4)),VALUE(Plan_Comptable[Table de Compte]),0),2),"A"))</f>
        <v>0</v>
      </c>
      <c r="K111" s="1121" t="str">
        <f>IF(AND(BalanceN[[#This Row],[Vérif]]="D",BalanceN[[#This Row],[BS_Credit]]&gt;0),"A",IF(AND(BalanceN[[#This Row],[Vérif]]="C",BalanceN[[#This Row],[BS_Debit]]&gt;0),"A",""))</f>
        <v/>
      </c>
      <c r="L111" s="1121" t="str">
        <f>IF(AND(BalanceN[[#This Row],[Vérif]]="D",BalanceN[[#This Row],[BE_Credit]]&gt;0),"A",IF(AND(BalanceN[[#This Row],[Vérif]]="C",BalanceN[[#This Row],[BE_Debit]]&gt;0),"A",""))</f>
        <v/>
      </c>
      <c r="N111" s="1126">
        <v>627100</v>
      </c>
      <c r="O111" s="1124" t="s">
        <v>11926</v>
      </c>
      <c r="P111" s="1127"/>
      <c r="Q111" s="1127"/>
      <c r="R111" s="1127">
        <v>200000</v>
      </c>
      <c r="S111" s="1127"/>
      <c r="T111" s="1127">
        <v>200000</v>
      </c>
      <c r="U111" s="1127"/>
      <c r="V111" s="1260">
        <f>VALUE(LEFT(BalanceN1[[#This Row],[Compte]]&amp;"00000000",5))</f>
        <v>62710</v>
      </c>
      <c r="W111" s="1261" cm="1">
        <f t="array" ref="W111">IF(BalanceN1[[#This Row],[Compte]]="",0,_xlfn.IFNA(INDEX(Plan_Comptable[[Table de Compte]:[Sens]],MATCH(VALUE(LEFT(BalanceN1[[#This Row],[Table]],4)),VALUE(Plan_Comptable[Table de Compte]),0),2),"A"))</f>
        <v>0</v>
      </c>
      <c r="X111" s="1262" t="str">
        <f>IF(AND(BalanceN1[[#This Row],[Vérif]]="D",BalanceN1[[#This Row],[BS_Credit]]&gt;0),"A",IF(AND(BalanceN1[[#This Row],[Vérif]]="C",BalanceN1[[#This Row],[BS_Debit]]&gt;0),"A",""))</f>
        <v/>
      </c>
      <c r="Y111" s="1262" t="str">
        <f>IF(AND(BalanceN1[[#This Row],[Vérif]]="D",BalanceN1[[#This Row],[BE_Credit]]&gt;0),"A",IF(AND(BalanceN1[[#This Row],[Vérif]]="C",BalanceN1[[#This Row],[BE_Debit]]&gt;0),"A",""))</f>
        <v/>
      </c>
    </row>
    <row r="112" spans="1:25" ht="18" customHeight="1">
      <c r="A112" s="1124">
        <v>624300</v>
      </c>
      <c r="B112" s="1124" t="s">
        <v>11836</v>
      </c>
      <c r="C112" s="1125"/>
      <c r="D112" s="1125"/>
      <c r="E112" s="1125">
        <v>6460000</v>
      </c>
      <c r="F112" s="1125">
        <v>650000</v>
      </c>
      <c r="G112" s="1125">
        <v>5810000</v>
      </c>
      <c r="H112" s="1125"/>
      <c r="I112" s="1122">
        <f>VALUE(LEFT(BalanceN[[#This Row],[Compte]]&amp;"00000000",5))</f>
        <v>62430</v>
      </c>
      <c r="J112" s="1123" cm="1">
        <f t="array" ref="J112">IF(BalanceN[[#This Row],[Compte]]="",0,_xlfn.IFNA(INDEX(Plan_Comptable[[Table de Compte]:[Sens]],MATCH(VALUE(LEFT(BalanceN[[#This Row],[Table]],4)),VALUE(Plan_Comptable[Table de Compte]),0),2),"A"))</f>
        <v>0</v>
      </c>
      <c r="K112" s="1121" t="str">
        <f>IF(AND(BalanceN[[#This Row],[Vérif]]="D",BalanceN[[#This Row],[BS_Credit]]&gt;0),"A",IF(AND(BalanceN[[#This Row],[Vérif]]="C",BalanceN[[#This Row],[BS_Debit]]&gt;0),"A",""))</f>
        <v/>
      </c>
      <c r="L112" s="1121" t="str">
        <f>IF(AND(BalanceN[[#This Row],[Vérif]]="D",BalanceN[[#This Row],[BE_Credit]]&gt;0),"A",IF(AND(BalanceN[[#This Row],[Vérif]]="C",BalanceN[[#This Row],[BE_Debit]]&gt;0),"A",""))</f>
        <v/>
      </c>
      <c r="N112" s="1126">
        <v>628100</v>
      </c>
      <c r="O112" s="1124" t="s">
        <v>2696</v>
      </c>
      <c r="P112" s="1127"/>
      <c r="Q112" s="1127"/>
      <c r="R112" s="1127">
        <v>6203750</v>
      </c>
      <c r="S112" s="1127">
        <v>1837900</v>
      </c>
      <c r="T112" s="1127">
        <v>4365850</v>
      </c>
      <c r="U112" s="1127"/>
      <c r="V112" s="1260">
        <f>VALUE(LEFT(BalanceN1[[#This Row],[Compte]]&amp;"00000000",5))</f>
        <v>62810</v>
      </c>
      <c r="W112" s="1261" cm="1">
        <f t="array" ref="W112">IF(BalanceN1[[#This Row],[Compte]]="",0,_xlfn.IFNA(INDEX(Plan_Comptable[[Table de Compte]:[Sens]],MATCH(VALUE(LEFT(BalanceN1[[#This Row],[Table]],4)),VALUE(Plan_Comptable[Table de Compte]),0),2),"A"))</f>
        <v>0</v>
      </c>
      <c r="X112" s="1262" t="str">
        <f>IF(AND(BalanceN1[[#This Row],[Vérif]]="D",BalanceN1[[#This Row],[BS_Credit]]&gt;0),"A",IF(AND(BalanceN1[[#This Row],[Vérif]]="C",BalanceN1[[#This Row],[BS_Debit]]&gt;0),"A",""))</f>
        <v/>
      </c>
      <c r="Y112" s="1262" t="str">
        <f>IF(AND(BalanceN1[[#This Row],[Vérif]]="D",BalanceN1[[#This Row],[BE_Credit]]&gt;0),"A",IF(AND(BalanceN1[[#This Row],[Vérif]]="C",BalanceN1[[#This Row],[BE_Debit]]&gt;0),"A",""))</f>
        <v/>
      </c>
    </row>
    <row r="113" spans="1:25" ht="18" customHeight="1">
      <c r="A113" s="1124">
        <v>624330</v>
      </c>
      <c r="B113" s="1124" t="s">
        <v>11837</v>
      </c>
      <c r="C113" s="1125"/>
      <c r="D113" s="1125"/>
      <c r="E113" s="1125">
        <v>585000</v>
      </c>
      <c r="F113" s="1125"/>
      <c r="G113" s="1125">
        <v>585000</v>
      </c>
      <c r="H113" s="1125"/>
      <c r="I113" s="1122">
        <f>VALUE(LEFT(BalanceN[[#This Row],[Compte]]&amp;"00000000",5))</f>
        <v>62433</v>
      </c>
      <c r="J113" s="1123" cm="1">
        <f t="array" ref="J113">IF(BalanceN[[#This Row],[Compte]]="",0,_xlfn.IFNA(INDEX(Plan_Comptable[[Table de Compte]:[Sens]],MATCH(VALUE(LEFT(BalanceN[[#This Row],[Table]],4)),VALUE(Plan_Comptable[Table de Compte]),0),2),"A"))</f>
        <v>0</v>
      </c>
      <c r="K113" s="1121" t="str">
        <f>IF(AND(BalanceN[[#This Row],[Vérif]]="D",BalanceN[[#This Row],[BS_Credit]]&gt;0),"A",IF(AND(BalanceN[[#This Row],[Vérif]]="C",BalanceN[[#This Row],[BS_Debit]]&gt;0),"A",""))</f>
        <v/>
      </c>
      <c r="L113" s="1121" t="str">
        <f>IF(AND(BalanceN[[#This Row],[Vérif]]="D",BalanceN[[#This Row],[BE_Credit]]&gt;0),"A",IF(AND(BalanceN[[#This Row],[Vérif]]="C",BalanceN[[#This Row],[BE_Debit]]&gt;0),"A",""))</f>
        <v/>
      </c>
      <c r="N113" s="1126">
        <v>628800</v>
      </c>
      <c r="O113" s="1124" t="s">
        <v>11927</v>
      </c>
      <c r="P113" s="1127"/>
      <c r="Q113" s="1127"/>
      <c r="R113" s="1127">
        <v>1012400</v>
      </c>
      <c r="S113" s="1127">
        <v>155000</v>
      </c>
      <c r="T113" s="1127">
        <v>857400</v>
      </c>
      <c r="U113" s="1127"/>
      <c r="V113" s="1260">
        <f>VALUE(LEFT(BalanceN1[[#This Row],[Compte]]&amp;"00000000",5))</f>
        <v>62880</v>
      </c>
      <c r="W113" s="1261" cm="1">
        <f t="array" ref="W113">IF(BalanceN1[[#This Row],[Compte]]="",0,_xlfn.IFNA(INDEX(Plan_Comptable[[Table de Compte]:[Sens]],MATCH(VALUE(LEFT(BalanceN1[[#This Row],[Table]],4)),VALUE(Plan_Comptable[Table de Compte]),0),2),"A"))</f>
        <v>0</v>
      </c>
      <c r="X113" s="1262" t="str">
        <f>IF(AND(BalanceN1[[#This Row],[Vérif]]="D",BalanceN1[[#This Row],[BS_Credit]]&gt;0),"A",IF(AND(BalanceN1[[#This Row],[Vérif]]="C",BalanceN1[[#This Row],[BS_Debit]]&gt;0),"A",""))</f>
        <v/>
      </c>
      <c r="Y113" s="1262" t="str">
        <f>IF(AND(BalanceN1[[#This Row],[Vérif]]="D",BalanceN1[[#This Row],[BE_Credit]]&gt;0),"A",IF(AND(BalanceN1[[#This Row],[Vérif]]="C",BalanceN1[[#This Row],[BE_Debit]]&gt;0),"A",""))</f>
        <v/>
      </c>
    </row>
    <row r="114" spans="1:25" ht="18" customHeight="1">
      <c r="A114" s="1124">
        <v>625100</v>
      </c>
      <c r="B114" s="1124" t="s">
        <v>11838</v>
      </c>
      <c r="C114" s="1125"/>
      <c r="D114" s="1125"/>
      <c r="E114" s="1125">
        <v>2796869</v>
      </c>
      <c r="F114" s="1125">
        <v>1378167</v>
      </c>
      <c r="G114" s="1125">
        <v>1418702</v>
      </c>
      <c r="H114" s="1125"/>
      <c r="I114" s="1122">
        <f>VALUE(LEFT(BalanceN[[#This Row],[Compte]]&amp;"00000000",5))</f>
        <v>62510</v>
      </c>
      <c r="J114" s="1123" cm="1">
        <f t="array" ref="J114">IF(BalanceN[[#This Row],[Compte]]="",0,_xlfn.IFNA(INDEX(Plan_Comptable[[Table de Compte]:[Sens]],MATCH(VALUE(LEFT(BalanceN[[#This Row],[Table]],4)),VALUE(Plan_Comptable[Table de Compte]),0),2),"A"))</f>
        <v>0</v>
      </c>
      <c r="K114" s="1121" t="str">
        <f>IF(AND(BalanceN[[#This Row],[Vérif]]="D",BalanceN[[#This Row],[BS_Credit]]&gt;0),"A",IF(AND(BalanceN[[#This Row],[Vérif]]="C",BalanceN[[#This Row],[BS_Debit]]&gt;0),"A",""))</f>
        <v/>
      </c>
      <c r="L114" s="1121" t="str">
        <f>IF(AND(BalanceN[[#This Row],[Vérif]]="D",BalanceN[[#This Row],[BE_Credit]]&gt;0),"A",IF(AND(BalanceN[[#This Row],[Vérif]]="C",BalanceN[[#This Row],[BE_Debit]]&gt;0),"A",""))</f>
        <v/>
      </c>
      <c r="N114" s="1126">
        <v>631800</v>
      </c>
      <c r="O114" s="1124" t="s">
        <v>2204</v>
      </c>
      <c r="P114" s="1127"/>
      <c r="Q114" s="1127"/>
      <c r="R114" s="1127">
        <v>3117023</v>
      </c>
      <c r="S114" s="1127"/>
      <c r="T114" s="1127">
        <v>3117023</v>
      </c>
      <c r="U114" s="1127"/>
      <c r="V114" s="1260">
        <f>VALUE(LEFT(BalanceN1[[#This Row],[Compte]]&amp;"00000000",5))</f>
        <v>63180</v>
      </c>
      <c r="W114" s="1261" cm="1">
        <f t="array" ref="W114">IF(BalanceN1[[#This Row],[Compte]]="",0,_xlfn.IFNA(INDEX(Plan_Comptable[[Table de Compte]:[Sens]],MATCH(VALUE(LEFT(BalanceN1[[#This Row],[Table]],4)),VALUE(Plan_Comptable[Table de Compte]),0),2),"A"))</f>
        <v>0</v>
      </c>
      <c r="X114" s="1262" t="str">
        <f>IF(AND(BalanceN1[[#This Row],[Vérif]]="D",BalanceN1[[#This Row],[BS_Credit]]&gt;0),"A",IF(AND(BalanceN1[[#This Row],[Vérif]]="C",BalanceN1[[#This Row],[BS_Debit]]&gt;0),"A",""))</f>
        <v/>
      </c>
      <c r="Y114" s="1262" t="str">
        <f>IF(AND(BalanceN1[[#This Row],[Vérif]]="D",BalanceN1[[#This Row],[BE_Credit]]&gt;0),"A",IF(AND(BalanceN1[[#This Row],[Vérif]]="C",BalanceN1[[#This Row],[BE_Debit]]&gt;0),"A",""))</f>
        <v/>
      </c>
    </row>
    <row r="115" spans="1:25" ht="18" customHeight="1">
      <c r="A115" s="1124">
        <v>625200</v>
      </c>
      <c r="B115" s="1124" t="s">
        <v>10980</v>
      </c>
      <c r="C115" s="1125"/>
      <c r="D115" s="1125"/>
      <c r="E115" s="1125">
        <v>2660291</v>
      </c>
      <c r="F115" s="1125">
        <v>1617217</v>
      </c>
      <c r="G115" s="1125">
        <v>1043074</v>
      </c>
      <c r="H115" s="1125"/>
      <c r="I115" s="1122">
        <f>VALUE(LEFT(BalanceN[[#This Row],[Compte]]&amp;"00000000",5))</f>
        <v>62520</v>
      </c>
      <c r="J115" s="1123" cm="1">
        <f t="array" ref="J115">IF(BalanceN[[#This Row],[Compte]]="",0,_xlfn.IFNA(INDEX(Plan_Comptable[[Table de Compte]:[Sens]],MATCH(VALUE(LEFT(BalanceN[[#This Row],[Table]],4)),VALUE(Plan_Comptable[Table de Compte]),0),2),"A"))</f>
        <v>0</v>
      </c>
      <c r="K115" s="1121" t="str">
        <f>IF(AND(BalanceN[[#This Row],[Vérif]]="D",BalanceN[[#This Row],[BS_Credit]]&gt;0),"A",IF(AND(BalanceN[[#This Row],[Vérif]]="C",BalanceN[[#This Row],[BS_Debit]]&gt;0),"A",""))</f>
        <v/>
      </c>
      <c r="L115" s="1121" t="str">
        <f>IF(AND(BalanceN[[#This Row],[Vérif]]="D",BalanceN[[#This Row],[BE_Credit]]&gt;0),"A",IF(AND(BalanceN[[#This Row],[Vérif]]="C",BalanceN[[#This Row],[BE_Debit]]&gt;0),"A",""))</f>
        <v/>
      </c>
      <c r="N115" s="1126">
        <v>631810</v>
      </c>
      <c r="O115" s="1124" t="s">
        <v>11928</v>
      </c>
      <c r="P115" s="1127"/>
      <c r="Q115" s="1127"/>
      <c r="R115" s="1127">
        <v>9611023</v>
      </c>
      <c r="S115" s="1127"/>
      <c r="T115" s="1127">
        <v>9611023</v>
      </c>
      <c r="U115" s="1127"/>
      <c r="V115" s="1260">
        <f>VALUE(LEFT(BalanceN1[[#This Row],[Compte]]&amp;"00000000",5))</f>
        <v>63181</v>
      </c>
      <c r="W115" s="1261" cm="1">
        <f t="array" ref="W115">IF(BalanceN1[[#This Row],[Compte]]="",0,_xlfn.IFNA(INDEX(Plan_Comptable[[Table de Compte]:[Sens]],MATCH(VALUE(LEFT(BalanceN1[[#This Row],[Table]],4)),VALUE(Plan_Comptable[Table de Compte]),0),2),"A"))</f>
        <v>0</v>
      </c>
      <c r="X115" s="1262" t="str">
        <f>IF(AND(BalanceN1[[#This Row],[Vérif]]="D",BalanceN1[[#This Row],[BS_Credit]]&gt;0),"A",IF(AND(BalanceN1[[#This Row],[Vérif]]="C",BalanceN1[[#This Row],[BS_Debit]]&gt;0),"A",""))</f>
        <v/>
      </c>
      <c r="Y115" s="1262" t="str">
        <f>IF(AND(BalanceN1[[#This Row],[Vérif]]="D",BalanceN1[[#This Row],[BE_Credit]]&gt;0),"A",IF(AND(BalanceN1[[#This Row],[Vérif]]="C",BalanceN1[[#This Row],[BE_Debit]]&gt;0),"A",""))</f>
        <v/>
      </c>
    </row>
    <row r="116" spans="1:25" ht="18" customHeight="1">
      <c r="A116" s="1124">
        <v>628100</v>
      </c>
      <c r="B116" s="1124" t="s">
        <v>11839</v>
      </c>
      <c r="C116" s="1125"/>
      <c r="D116" s="1125"/>
      <c r="E116" s="1125">
        <v>10693350</v>
      </c>
      <c r="F116" s="1125">
        <v>4187100</v>
      </c>
      <c r="G116" s="1125">
        <v>6506250</v>
      </c>
      <c r="H116" s="1125"/>
      <c r="I116" s="1122">
        <f>VALUE(LEFT(BalanceN[[#This Row],[Compte]]&amp;"00000000",5))</f>
        <v>62810</v>
      </c>
      <c r="J116" s="1123" cm="1">
        <f t="array" ref="J116">IF(BalanceN[[#This Row],[Compte]]="",0,_xlfn.IFNA(INDEX(Plan_Comptable[[Table de Compte]:[Sens]],MATCH(VALUE(LEFT(BalanceN[[#This Row],[Table]],4)),VALUE(Plan_Comptable[Table de Compte]),0),2),"A"))</f>
        <v>0</v>
      </c>
      <c r="K116" s="1121" t="str">
        <f>IF(AND(BalanceN[[#This Row],[Vérif]]="D",BalanceN[[#This Row],[BS_Credit]]&gt;0),"A",IF(AND(BalanceN[[#This Row],[Vérif]]="C",BalanceN[[#This Row],[BS_Debit]]&gt;0),"A",""))</f>
        <v/>
      </c>
      <c r="L116" s="1121" t="str">
        <f>IF(AND(BalanceN[[#This Row],[Vérif]]="D",BalanceN[[#This Row],[BE_Credit]]&gt;0),"A",IF(AND(BalanceN[[#This Row],[Vérif]]="C",BalanceN[[#This Row],[BE_Debit]]&gt;0),"A",""))</f>
        <v/>
      </c>
      <c r="N116" s="1126">
        <v>632400</v>
      </c>
      <c r="O116" s="1124" t="s">
        <v>11929</v>
      </c>
      <c r="P116" s="1127"/>
      <c r="Q116" s="1127"/>
      <c r="R116" s="1127">
        <v>3000000</v>
      </c>
      <c r="S116" s="1127">
        <v>1000000</v>
      </c>
      <c r="T116" s="1127">
        <v>2000000</v>
      </c>
      <c r="U116" s="1127"/>
      <c r="V116" s="1260">
        <f>VALUE(LEFT(BalanceN1[[#This Row],[Compte]]&amp;"00000000",5))</f>
        <v>63240</v>
      </c>
      <c r="W116" s="1261" cm="1">
        <f t="array" ref="W116">IF(BalanceN1[[#This Row],[Compte]]="",0,_xlfn.IFNA(INDEX(Plan_Comptable[[Table de Compte]:[Sens]],MATCH(VALUE(LEFT(BalanceN1[[#This Row],[Table]],4)),VALUE(Plan_Comptable[Table de Compte]),0),2),"A"))</f>
        <v>0</v>
      </c>
      <c r="X116" s="1262" t="str">
        <f>IF(AND(BalanceN1[[#This Row],[Vérif]]="D",BalanceN1[[#This Row],[BS_Credit]]&gt;0),"A",IF(AND(BalanceN1[[#This Row],[Vérif]]="C",BalanceN1[[#This Row],[BS_Debit]]&gt;0),"A",""))</f>
        <v/>
      </c>
      <c r="Y116" s="1262" t="str">
        <f>IF(AND(BalanceN1[[#This Row],[Vérif]]="D",BalanceN1[[#This Row],[BE_Credit]]&gt;0),"A",IF(AND(BalanceN1[[#This Row],[Vérif]]="C",BalanceN1[[#This Row],[BE_Debit]]&gt;0),"A",""))</f>
        <v/>
      </c>
    </row>
    <row r="117" spans="1:25" ht="18" customHeight="1">
      <c r="A117" s="1124">
        <v>628800</v>
      </c>
      <c r="B117" s="1124" t="s">
        <v>11840</v>
      </c>
      <c r="C117" s="1125"/>
      <c r="D117" s="1125"/>
      <c r="E117" s="1125">
        <v>1207400</v>
      </c>
      <c r="F117" s="1125">
        <v>397000</v>
      </c>
      <c r="G117" s="1125">
        <v>810400</v>
      </c>
      <c r="H117" s="1125"/>
      <c r="I117" s="1122">
        <f>VALUE(LEFT(BalanceN[[#This Row],[Compte]]&amp;"00000000",5))</f>
        <v>62880</v>
      </c>
      <c r="J117" s="1123" cm="1">
        <f t="array" ref="J117">IF(BalanceN[[#This Row],[Compte]]="",0,_xlfn.IFNA(INDEX(Plan_Comptable[[Table de Compte]:[Sens]],MATCH(VALUE(LEFT(BalanceN[[#This Row],[Table]],4)),VALUE(Plan_Comptable[Table de Compte]),0),2),"A"))</f>
        <v>0</v>
      </c>
      <c r="K117" s="1121" t="str">
        <f>IF(AND(BalanceN[[#This Row],[Vérif]]="D",BalanceN[[#This Row],[BS_Credit]]&gt;0),"A",IF(AND(BalanceN[[#This Row],[Vérif]]="C",BalanceN[[#This Row],[BS_Debit]]&gt;0),"A",""))</f>
        <v/>
      </c>
      <c r="L117" s="1121" t="str">
        <f>IF(AND(BalanceN[[#This Row],[Vérif]]="D",BalanceN[[#This Row],[BE_Credit]]&gt;0),"A",IF(AND(BalanceN[[#This Row],[Vérif]]="C",BalanceN[[#This Row],[BE_Debit]]&gt;0),"A",""))</f>
        <v/>
      </c>
      <c r="N117" s="1126">
        <v>632410</v>
      </c>
      <c r="O117" s="1124" t="s">
        <v>11844</v>
      </c>
      <c r="P117" s="1127"/>
      <c r="Q117" s="1127"/>
      <c r="R117" s="1127">
        <v>4050900</v>
      </c>
      <c r="S117" s="1127">
        <v>899480</v>
      </c>
      <c r="T117" s="1127">
        <v>3151420</v>
      </c>
      <c r="U117" s="1127"/>
      <c r="V117" s="1260">
        <f>VALUE(LEFT(BalanceN1[[#This Row],[Compte]]&amp;"00000000",5))</f>
        <v>63241</v>
      </c>
      <c r="W117" s="1261" cm="1">
        <f t="array" ref="W117">IF(BalanceN1[[#This Row],[Compte]]="",0,_xlfn.IFNA(INDEX(Plan_Comptable[[Table de Compte]:[Sens]],MATCH(VALUE(LEFT(BalanceN1[[#This Row],[Table]],4)),VALUE(Plan_Comptable[Table de Compte]),0),2),"A"))</f>
        <v>0</v>
      </c>
      <c r="X117" s="1262" t="str">
        <f>IF(AND(BalanceN1[[#This Row],[Vérif]]="D",BalanceN1[[#This Row],[BS_Credit]]&gt;0),"A",IF(AND(BalanceN1[[#This Row],[Vérif]]="C",BalanceN1[[#This Row],[BS_Debit]]&gt;0),"A",""))</f>
        <v/>
      </c>
      <c r="Y117" s="1262" t="str">
        <f>IF(AND(BalanceN1[[#This Row],[Vérif]]="D",BalanceN1[[#This Row],[BE_Credit]]&gt;0),"A",IF(AND(BalanceN1[[#This Row],[Vérif]]="C",BalanceN1[[#This Row],[BE_Debit]]&gt;0),"A",""))</f>
        <v/>
      </c>
    </row>
    <row r="118" spans="1:25" ht="18" customHeight="1">
      <c r="A118" s="1124">
        <v>631800</v>
      </c>
      <c r="B118" s="1124" t="s">
        <v>2204</v>
      </c>
      <c r="C118" s="1125"/>
      <c r="D118" s="1125"/>
      <c r="E118" s="1125">
        <v>2012656</v>
      </c>
      <c r="F118" s="1125"/>
      <c r="G118" s="1125">
        <v>2012656</v>
      </c>
      <c r="H118" s="1125"/>
      <c r="I118" s="1122">
        <f>VALUE(LEFT(BalanceN[[#This Row],[Compte]]&amp;"00000000",5))</f>
        <v>63180</v>
      </c>
      <c r="J118" s="1123" cm="1">
        <f t="array" ref="J118">IF(BalanceN[[#This Row],[Compte]]="",0,_xlfn.IFNA(INDEX(Plan_Comptable[[Table de Compte]:[Sens]],MATCH(VALUE(LEFT(BalanceN[[#This Row],[Table]],4)),VALUE(Plan_Comptable[Table de Compte]),0),2),"A"))</f>
        <v>0</v>
      </c>
      <c r="K118" s="1121" t="str">
        <f>IF(AND(BalanceN[[#This Row],[Vérif]]="D",BalanceN[[#This Row],[BS_Credit]]&gt;0),"A",IF(AND(BalanceN[[#This Row],[Vérif]]="C",BalanceN[[#This Row],[BS_Debit]]&gt;0),"A",""))</f>
        <v/>
      </c>
      <c r="L118" s="1121" t="str">
        <f>IF(AND(BalanceN[[#This Row],[Vérif]]="D",BalanceN[[#This Row],[BE_Credit]]&gt;0),"A",IF(AND(BalanceN[[#This Row],[Vérif]]="C",BalanceN[[#This Row],[BE_Debit]]&gt;0),"A",""))</f>
        <v/>
      </c>
      <c r="N118" s="1126">
        <v>632800</v>
      </c>
      <c r="O118" s="1124" t="s">
        <v>11846</v>
      </c>
      <c r="P118" s="1127"/>
      <c r="Q118" s="1127"/>
      <c r="R118" s="1127">
        <v>1725285</v>
      </c>
      <c r="S118" s="1127"/>
      <c r="T118" s="1127">
        <v>1725285</v>
      </c>
      <c r="U118" s="1127"/>
      <c r="V118" s="1260">
        <f>VALUE(LEFT(BalanceN1[[#This Row],[Compte]]&amp;"00000000",5))</f>
        <v>63280</v>
      </c>
      <c r="W118" s="1261" cm="1">
        <f t="array" ref="W118">IF(BalanceN1[[#This Row],[Compte]]="",0,_xlfn.IFNA(INDEX(Plan_Comptable[[Table de Compte]:[Sens]],MATCH(VALUE(LEFT(BalanceN1[[#This Row],[Table]],4)),VALUE(Plan_Comptable[Table de Compte]),0),2),"A"))</f>
        <v>0</v>
      </c>
      <c r="X118" s="1262" t="str">
        <f>IF(AND(BalanceN1[[#This Row],[Vérif]]="D",BalanceN1[[#This Row],[BS_Credit]]&gt;0),"A",IF(AND(BalanceN1[[#This Row],[Vérif]]="C",BalanceN1[[#This Row],[BS_Debit]]&gt;0),"A",""))</f>
        <v/>
      </c>
      <c r="Y118" s="1262" t="str">
        <f>IF(AND(BalanceN1[[#This Row],[Vérif]]="D",BalanceN1[[#This Row],[BE_Credit]]&gt;0),"A",IF(AND(BalanceN1[[#This Row],[Vérif]]="C",BalanceN1[[#This Row],[BE_Debit]]&gt;0),"A",""))</f>
        <v/>
      </c>
    </row>
    <row r="119" spans="1:25" ht="18" customHeight="1">
      <c r="A119" s="1124">
        <v>631810</v>
      </c>
      <c r="B119" s="1124" t="s">
        <v>11841</v>
      </c>
      <c r="C119" s="1125"/>
      <c r="D119" s="1125"/>
      <c r="E119" s="1125">
        <v>6417410</v>
      </c>
      <c r="F119" s="1125"/>
      <c r="G119" s="1125">
        <v>6417410</v>
      </c>
      <c r="H119" s="1125"/>
      <c r="I119" s="1122">
        <f>VALUE(LEFT(BalanceN[[#This Row],[Compte]]&amp;"00000000",5))</f>
        <v>63181</v>
      </c>
      <c r="J119" s="1123" cm="1">
        <f t="array" ref="J119">IF(BalanceN[[#This Row],[Compte]]="",0,_xlfn.IFNA(INDEX(Plan_Comptable[[Table de Compte]:[Sens]],MATCH(VALUE(LEFT(BalanceN[[#This Row],[Table]],4)),VALUE(Plan_Comptable[Table de Compte]),0),2),"A"))</f>
        <v>0</v>
      </c>
      <c r="K119" s="1121" t="str">
        <f>IF(AND(BalanceN[[#This Row],[Vérif]]="D",BalanceN[[#This Row],[BS_Credit]]&gt;0),"A",IF(AND(BalanceN[[#This Row],[Vérif]]="C",BalanceN[[#This Row],[BS_Debit]]&gt;0),"A",""))</f>
        <v/>
      </c>
      <c r="L119" s="1121" t="str">
        <f>IF(AND(BalanceN[[#This Row],[Vérif]]="D",BalanceN[[#This Row],[BE_Credit]]&gt;0),"A",IF(AND(BalanceN[[#This Row],[Vérif]]="C",BalanceN[[#This Row],[BE_Debit]]&gt;0),"A",""))</f>
        <v/>
      </c>
      <c r="N119" s="1126">
        <v>632801</v>
      </c>
      <c r="O119" s="1124" t="s">
        <v>11930</v>
      </c>
      <c r="P119" s="1127"/>
      <c r="Q119" s="1127"/>
      <c r="R119" s="1127">
        <v>140990</v>
      </c>
      <c r="S119" s="1127"/>
      <c r="T119" s="1127">
        <v>140990</v>
      </c>
      <c r="U119" s="1127"/>
      <c r="V119" s="1260">
        <f>VALUE(LEFT(BalanceN1[[#This Row],[Compte]]&amp;"00000000",5))</f>
        <v>63280</v>
      </c>
      <c r="W119" s="1261" cm="1">
        <f t="array" ref="W119">IF(BalanceN1[[#This Row],[Compte]]="",0,_xlfn.IFNA(INDEX(Plan_Comptable[[Table de Compte]:[Sens]],MATCH(VALUE(LEFT(BalanceN1[[#This Row],[Table]],4)),VALUE(Plan_Comptable[Table de Compte]),0),2),"A"))</f>
        <v>0</v>
      </c>
      <c r="X119" s="1262" t="str">
        <f>IF(AND(BalanceN1[[#This Row],[Vérif]]="D",BalanceN1[[#This Row],[BS_Credit]]&gt;0),"A",IF(AND(BalanceN1[[#This Row],[Vérif]]="C",BalanceN1[[#This Row],[BS_Debit]]&gt;0),"A",""))</f>
        <v/>
      </c>
      <c r="Y119" s="1262" t="str">
        <f>IF(AND(BalanceN1[[#This Row],[Vérif]]="D",BalanceN1[[#This Row],[BE_Credit]]&gt;0),"A",IF(AND(BalanceN1[[#This Row],[Vérif]]="C",BalanceN1[[#This Row],[BE_Debit]]&gt;0),"A",""))</f>
        <v/>
      </c>
    </row>
    <row r="120" spans="1:25" ht="18" customHeight="1">
      <c r="A120" s="1124">
        <v>632400</v>
      </c>
      <c r="B120" s="1124" t="s">
        <v>11842</v>
      </c>
      <c r="C120" s="1125"/>
      <c r="D120" s="1125"/>
      <c r="E120" s="1125">
        <v>22500000</v>
      </c>
      <c r="F120" s="1125">
        <v>6600000</v>
      </c>
      <c r="G120" s="1125">
        <v>15900000</v>
      </c>
      <c r="H120" s="1125"/>
      <c r="I120" s="1122">
        <f>VALUE(LEFT(BalanceN[[#This Row],[Compte]]&amp;"00000000",5))</f>
        <v>63240</v>
      </c>
      <c r="J120" s="1123" cm="1">
        <f t="array" ref="J120">IF(BalanceN[[#This Row],[Compte]]="",0,_xlfn.IFNA(INDEX(Plan_Comptable[[Table de Compte]:[Sens]],MATCH(VALUE(LEFT(BalanceN[[#This Row],[Table]],4)),VALUE(Plan_Comptable[Table de Compte]),0),2),"A"))</f>
        <v>0</v>
      </c>
      <c r="K120" s="1121" t="str">
        <f>IF(AND(BalanceN[[#This Row],[Vérif]]="D",BalanceN[[#This Row],[BS_Credit]]&gt;0),"A",IF(AND(BalanceN[[#This Row],[Vérif]]="C",BalanceN[[#This Row],[BS_Debit]]&gt;0),"A",""))</f>
        <v/>
      </c>
      <c r="L120" s="1121" t="str">
        <f>IF(AND(BalanceN[[#This Row],[Vérif]]="D",BalanceN[[#This Row],[BE_Credit]]&gt;0),"A",IF(AND(BalanceN[[#This Row],[Vérif]]="C",BalanceN[[#This Row],[BE_Debit]]&gt;0),"A",""))</f>
        <v/>
      </c>
      <c r="N120" s="1126">
        <v>635100</v>
      </c>
      <c r="O120" s="1124" t="s">
        <v>2208</v>
      </c>
      <c r="P120" s="1127"/>
      <c r="Q120" s="1127"/>
      <c r="R120" s="1127">
        <v>90000</v>
      </c>
      <c r="S120" s="1127"/>
      <c r="T120" s="1127">
        <v>90000</v>
      </c>
      <c r="U120" s="1127"/>
      <c r="V120" s="1260">
        <f>VALUE(LEFT(BalanceN1[[#This Row],[Compte]]&amp;"00000000",5))</f>
        <v>63510</v>
      </c>
      <c r="W120" s="1261" cm="1">
        <f t="array" ref="W120">IF(BalanceN1[[#This Row],[Compte]]="",0,_xlfn.IFNA(INDEX(Plan_Comptable[[Table de Compte]:[Sens]],MATCH(VALUE(LEFT(BalanceN1[[#This Row],[Table]],4)),VALUE(Plan_Comptable[Table de Compte]),0),2),"A"))</f>
        <v>0</v>
      </c>
      <c r="X120" s="1262" t="str">
        <f>IF(AND(BalanceN1[[#This Row],[Vérif]]="D",BalanceN1[[#This Row],[BS_Credit]]&gt;0),"A",IF(AND(BalanceN1[[#This Row],[Vérif]]="C",BalanceN1[[#This Row],[BS_Debit]]&gt;0),"A",""))</f>
        <v/>
      </c>
      <c r="Y120" s="1262" t="str">
        <f>IF(AND(BalanceN1[[#This Row],[Vérif]]="D",BalanceN1[[#This Row],[BE_Credit]]&gt;0),"A",IF(AND(BalanceN1[[#This Row],[Vérif]]="C",BalanceN1[[#This Row],[BE_Debit]]&gt;0),"A",""))</f>
        <v/>
      </c>
    </row>
    <row r="121" spans="1:25" ht="18" customHeight="1">
      <c r="A121" s="1124">
        <v>632401</v>
      </c>
      <c r="B121" s="1124" t="s">
        <v>11843</v>
      </c>
      <c r="C121" s="1125"/>
      <c r="D121" s="1125"/>
      <c r="E121" s="1125">
        <v>1500000</v>
      </c>
      <c r="F121" s="1125"/>
      <c r="G121" s="1125">
        <v>1500000</v>
      </c>
      <c r="H121" s="1125"/>
      <c r="I121" s="1122">
        <f>VALUE(LEFT(BalanceN[[#This Row],[Compte]]&amp;"00000000",5))</f>
        <v>63240</v>
      </c>
      <c r="J121" s="1123" cm="1">
        <f t="array" ref="J121">IF(BalanceN[[#This Row],[Compte]]="",0,_xlfn.IFNA(INDEX(Plan_Comptable[[Table de Compte]:[Sens]],MATCH(VALUE(LEFT(BalanceN[[#This Row],[Table]],4)),VALUE(Plan_Comptable[Table de Compte]),0),2),"A"))</f>
        <v>0</v>
      </c>
      <c r="K121" s="1121" t="str">
        <f>IF(AND(BalanceN[[#This Row],[Vérif]]="D",BalanceN[[#This Row],[BS_Credit]]&gt;0),"A",IF(AND(BalanceN[[#This Row],[Vérif]]="C",BalanceN[[#This Row],[BS_Debit]]&gt;0),"A",""))</f>
        <v/>
      </c>
      <c r="L121" s="1121" t="str">
        <f>IF(AND(BalanceN[[#This Row],[Vérif]]="D",BalanceN[[#This Row],[BE_Credit]]&gt;0),"A",IF(AND(BalanceN[[#This Row],[Vérif]]="C",BalanceN[[#This Row],[BE_Debit]]&gt;0),"A",""))</f>
        <v/>
      </c>
      <c r="N121" s="1126">
        <v>635101</v>
      </c>
      <c r="O121" s="1124" t="s">
        <v>11931</v>
      </c>
      <c r="P121" s="1127"/>
      <c r="Q121" s="1127"/>
      <c r="R121" s="1127">
        <v>200000</v>
      </c>
      <c r="S121" s="1127"/>
      <c r="T121" s="1127">
        <v>200000</v>
      </c>
      <c r="U121" s="1127"/>
      <c r="V121" s="1260">
        <f>VALUE(LEFT(BalanceN1[[#This Row],[Compte]]&amp;"00000000",5))</f>
        <v>63510</v>
      </c>
      <c r="W121" s="1261" cm="1">
        <f t="array" ref="W121">IF(BalanceN1[[#This Row],[Compte]]="",0,_xlfn.IFNA(INDEX(Plan_Comptable[[Table de Compte]:[Sens]],MATCH(VALUE(LEFT(BalanceN1[[#This Row],[Table]],4)),VALUE(Plan_Comptable[Table de Compte]),0),2),"A"))</f>
        <v>0</v>
      </c>
      <c r="X121" s="1262" t="str">
        <f>IF(AND(BalanceN1[[#This Row],[Vérif]]="D",BalanceN1[[#This Row],[BS_Credit]]&gt;0),"A",IF(AND(BalanceN1[[#This Row],[Vérif]]="C",BalanceN1[[#This Row],[BS_Debit]]&gt;0),"A",""))</f>
        <v/>
      </c>
      <c r="Y121" s="1262" t="str">
        <f>IF(AND(BalanceN1[[#This Row],[Vérif]]="D",BalanceN1[[#This Row],[BE_Credit]]&gt;0),"A",IF(AND(BalanceN1[[#This Row],[Vérif]]="C",BalanceN1[[#This Row],[BE_Debit]]&gt;0),"A",""))</f>
        <v/>
      </c>
    </row>
    <row r="122" spans="1:25" ht="18" customHeight="1">
      <c r="A122" s="1124">
        <v>632410</v>
      </c>
      <c r="B122" s="1124" t="s">
        <v>11844</v>
      </c>
      <c r="C122" s="1125"/>
      <c r="D122" s="1125"/>
      <c r="E122" s="1125">
        <v>2049080</v>
      </c>
      <c r="F122" s="1125">
        <v>647560</v>
      </c>
      <c r="G122" s="1125">
        <v>1401520</v>
      </c>
      <c r="H122" s="1125"/>
      <c r="I122" s="1122">
        <f>VALUE(LEFT(BalanceN[[#This Row],[Compte]]&amp;"00000000",5))</f>
        <v>63241</v>
      </c>
      <c r="J122" s="1123" cm="1">
        <f t="array" ref="J122">IF(BalanceN[[#This Row],[Compte]]="",0,_xlfn.IFNA(INDEX(Plan_Comptable[[Table de Compte]:[Sens]],MATCH(VALUE(LEFT(BalanceN[[#This Row],[Table]],4)),VALUE(Plan_Comptable[Table de Compte]),0),2),"A"))</f>
        <v>0</v>
      </c>
      <c r="K122" s="1121" t="str">
        <f>IF(AND(BalanceN[[#This Row],[Vérif]]="D",BalanceN[[#This Row],[BS_Credit]]&gt;0),"A",IF(AND(BalanceN[[#This Row],[Vérif]]="C",BalanceN[[#This Row],[BS_Debit]]&gt;0),"A",""))</f>
        <v/>
      </c>
      <c r="L122" s="1121" t="str">
        <f>IF(AND(BalanceN[[#This Row],[Vérif]]="D",BalanceN[[#This Row],[BE_Credit]]&gt;0),"A",IF(AND(BalanceN[[#This Row],[Vérif]]="C",BalanceN[[#This Row],[BE_Debit]]&gt;0),"A",""))</f>
        <v/>
      </c>
      <c r="N122" s="1126">
        <v>638300</v>
      </c>
      <c r="O122" s="1124" t="s">
        <v>2725</v>
      </c>
      <c r="P122" s="1127"/>
      <c r="Q122" s="1127"/>
      <c r="R122" s="1127">
        <v>18000</v>
      </c>
      <c r="S122" s="1127"/>
      <c r="T122" s="1127">
        <v>18000</v>
      </c>
      <c r="U122" s="1127"/>
      <c r="V122" s="1260">
        <f>VALUE(LEFT(BalanceN1[[#This Row],[Compte]]&amp;"00000000",5))</f>
        <v>63830</v>
      </c>
      <c r="W122" s="1261" cm="1">
        <f t="array" ref="W122">IF(BalanceN1[[#This Row],[Compte]]="",0,_xlfn.IFNA(INDEX(Plan_Comptable[[Table de Compte]:[Sens]],MATCH(VALUE(LEFT(BalanceN1[[#This Row],[Table]],4)),VALUE(Plan_Comptable[Table de Compte]),0),2),"A"))</f>
        <v>0</v>
      </c>
      <c r="X122" s="1262" t="str">
        <f>IF(AND(BalanceN1[[#This Row],[Vérif]]="D",BalanceN1[[#This Row],[BS_Credit]]&gt;0),"A",IF(AND(BalanceN1[[#This Row],[Vérif]]="C",BalanceN1[[#This Row],[BS_Debit]]&gt;0),"A",""))</f>
        <v/>
      </c>
      <c r="Y122" s="1262" t="str">
        <f>IF(AND(BalanceN1[[#This Row],[Vérif]]="D",BalanceN1[[#This Row],[BE_Credit]]&gt;0),"A",IF(AND(BalanceN1[[#This Row],[Vérif]]="C",BalanceN1[[#This Row],[BE_Debit]]&gt;0),"A",""))</f>
        <v/>
      </c>
    </row>
    <row r="123" spans="1:25" ht="18" customHeight="1">
      <c r="A123" s="1124">
        <v>632500</v>
      </c>
      <c r="B123" s="1124" t="s">
        <v>11845</v>
      </c>
      <c r="C123" s="1125"/>
      <c r="D123" s="1125"/>
      <c r="E123" s="1125">
        <v>46680</v>
      </c>
      <c r="F123" s="1125"/>
      <c r="G123" s="1125">
        <v>46680</v>
      </c>
      <c r="H123" s="1125"/>
      <c r="I123" s="1122">
        <f>VALUE(LEFT(BalanceN[[#This Row],[Compte]]&amp;"00000000",5))</f>
        <v>63250</v>
      </c>
      <c r="J123" s="1123" cm="1">
        <f t="array" ref="J123">IF(BalanceN[[#This Row],[Compte]]="",0,_xlfn.IFNA(INDEX(Plan_Comptable[[Table de Compte]:[Sens]],MATCH(VALUE(LEFT(BalanceN[[#This Row],[Table]],4)),VALUE(Plan_Comptable[Table de Compte]),0),2),"A"))</f>
        <v>0</v>
      </c>
      <c r="K123" s="1121" t="str">
        <f>IF(AND(BalanceN[[#This Row],[Vérif]]="D",BalanceN[[#This Row],[BS_Credit]]&gt;0),"A",IF(AND(BalanceN[[#This Row],[Vérif]]="C",BalanceN[[#This Row],[BS_Debit]]&gt;0),"A",""))</f>
        <v/>
      </c>
      <c r="L123" s="1121" t="str">
        <f>IF(AND(BalanceN[[#This Row],[Vérif]]="D",BalanceN[[#This Row],[BE_Credit]]&gt;0),"A",IF(AND(BalanceN[[#This Row],[Vérif]]="C",BalanceN[[#This Row],[BE_Debit]]&gt;0),"A",""))</f>
        <v/>
      </c>
      <c r="N123" s="1126">
        <v>646800</v>
      </c>
      <c r="O123" s="1124" t="s">
        <v>11932</v>
      </c>
      <c r="P123" s="1127"/>
      <c r="Q123" s="1127"/>
      <c r="R123" s="1127">
        <v>35000</v>
      </c>
      <c r="S123" s="1127"/>
      <c r="T123" s="1127">
        <v>35000</v>
      </c>
      <c r="U123" s="1127"/>
      <c r="V123" s="1260">
        <f>VALUE(LEFT(BalanceN1[[#This Row],[Compte]]&amp;"00000000",5))</f>
        <v>64680</v>
      </c>
      <c r="W123" s="1261" cm="1">
        <f t="array" ref="W123">IF(BalanceN1[[#This Row],[Compte]]="",0,_xlfn.IFNA(INDEX(Plan_Comptable[[Table de Compte]:[Sens]],MATCH(VALUE(LEFT(BalanceN1[[#This Row],[Table]],4)),VALUE(Plan_Comptable[Table de Compte]),0),2),"A"))</f>
        <v>0</v>
      </c>
      <c r="X123" s="1262" t="str">
        <f>IF(AND(BalanceN1[[#This Row],[Vérif]]="D",BalanceN1[[#This Row],[BS_Credit]]&gt;0),"A",IF(AND(BalanceN1[[#This Row],[Vérif]]="C",BalanceN1[[#This Row],[BS_Debit]]&gt;0),"A",""))</f>
        <v/>
      </c>
      <c r="Y123" s="1262" t="str">
        <f>IF(AND(BalanceN1[[#This Row],[Vérif]]="D",BalanceN1[[#This Row],[BE_Credit]]&gt;0),"A",IF(AND(BalanceN1[[#This Row],[Vérif]]="C",BalanceN1[[#This Row],[BE_Debit]]&gt;0),"A",""))</f>
        <v/>
      </c>
    </row>
    <row r="124" spans="1:25" ht="18" customHeight="1">
      <c r="A124" s="1124">
        <v>632800</v>
      </c>
      <c r="B124" s="1124" t="s">
        <v>11846</v>
      </c>
      <c r="C124" s="1125"/>
      <c r="D124" s="1125"/>
      <c r="E124" s="1125">
        <v>2277000</v>
      </c>
      <c r="F124" s="1125"/>
      <c r="G124" s="1125">
        <v>2277000</v>
      </c>
      <c r="H124" s="1125"/>
      <c r="I124" s="1122">
        <f>VALUE(LEFT(BalanceN[[#This Row],[Compte]]&amp;"00000000",5))</f>
        <v>63280</v>
      </c>
      <c r="J124" s="1123" cm="1">
        <f t="array" ref="J124">IF(BalanceN[[#This Row],[Compte]]="",0,_xlfn.IFNA(INDEX(Plan_Comptable[[Table de Compte]:[Sens]],MATCH(VALUE(LEFT(BalanceN[[#This Row],[Table]],4)),VALUE(Plan_Comptable[Table de Compte]),0),2),"A"))</f>
        <v>0</v>
      </c>
      <c r="K124" s="1121" t="str">
        <f>IF(AND(BalanceN[[#This Row],[Vérif]]="D",BalanceN[[#This Row],[BS_Credit]]&gt;0),"A",IF(AND(BalanceN[[#This Row],[Vérif]]="C",BalanceN[[#This Row],[BS_Debit]]&gt;0),"A",""))</f>
        <v/>
      </c>
      <c r="L124" s="1121" t="str">
        <f>IF(AND(BalanceN[[#This Row],[Vérif]]="D",BalanceN[[#This Row],[BE_Credit]]&gt;0),"A",IF(AND(BalanceN[[#This Row],[Vérif]]="C",BalanceN[[#This Row],[BE_Debit]]&gt;0),"A",""))</f>
        <v/>
      </c>
      <c r="N124" s="1126">
        <v>647800</v>
      </c>
      <c r="O124" s="1124" t="s">
        <v>11933</v>
      </c>
      <c r="P124" s="1127"/>
      <c r="Q124" s="1127"/>
      <c r="R124" s="1127">
        <v>75000</v>
      </c>
      <c r="S124" s="1127"/>
      <c r="T124" s="1127">
        <v>75000</v>
      </c>
      <c r="U124" s="1127"/>
      <c r="V124" s="1260">
        <f>VALUE(LEFT(BalanceN1[[#This Row],[Compte]]&amp;"00000000",5))</f>
        <v>64780</v>
      </c>
      <c r="W124" s="1261" cm="1">
        <f t="array" ref="W124">IF(BalanceN1[[#This Row],[Compte]]="",0,_xlfn.IFNA(INDEX(Plan_Comptable[[Table de Compte]:[Sens]],MATCH(VALUE(LEFT(BalanceN1[[#This Row],[Table]],4)),VALUE(Plan_Comptable[Table de Compte]),0),2),"A"))</f>
        <v>0</v>
      </c>
      <c r="X124" s="1262" t="str">
        <f>IF(AND(BalanceN1[[#This Row],[Vérif]]="D",BalanceN1[[#This Row],[BS_Credit]]&gt;0),"A",IF(AND(BalanceN1[[#This Row],[Vérif]]="C",BalanceN1[[#This Row],[BS_Debit]]&gt;0),"A",""))</f>
        <v/>
      </c>
      <c r="Y124" s="1262" t="str">
        <f>IF(AND(BalanceN1[[#This Row],[Vérif]]="D",BalanceN1[[#This Row],[BE_Credit]]&gt;0),"A",IF(AND(BalanceN1[[#This Row],[Vérif]]="C",BalanceN1[[#This Row],[BE_Debit]]&gt;0),"A",""))</f>
        <v/>
      </c>
    </row>
    <row r="125" spans="1:25" ht="18" customHeight="1">
      <c r="A125" s="1124">
        <v>632801</v>
      </c>
      <c r="B125" s="1124" t="s">
        <v>11847</v>
      </c>
      <c r="C125" s="1125"/>
      <c r="D125" s="1125"/>
      <c r="E125" s="1125">
        <v>129375</v>
      </c>
      <c r="F125" s="1125"/>
      <c r="G125" s="1125">
        <v>129375</v>
      </c>
      <c r="H125" s="1125"/>
      <c r="I125" s="1122">
        <f>VALUE(LEFT(BalanceN[[#This Row],[Compte]]&amp;"00000000",5))</f>
        <v>63280</v>
      </c>
      <c r="J125" s="1123" cm="1">
        <f t="array" ref="J125">IF(BalanceN[[#This Row],[Compte]]="",0,_xlfn.IFNA(INDEX(Plan_Comptable[[Table de Compte]:[Sens]],MATCH(VALUE(LEFT(BalanceN[[#This Row],[Table]],4)),VALUE(Plan_Comptable[Table de Compte]),0),2),"A"))</f>
        <v>0</v>
      </c>
      <c r="K125" s="1121" t="str">
        <f>IF(AND(BalanceN[[#This Row],[Vérif]]="D",BalanceN[[#This Row],[BS_Credit]]&gt;0),"A",IF(AND(BalanceN[[#This Row],[Vérif]]="C",BalanceN[[#This Row],[BS_Debit]]&gt;0),"A",""))</f>
        <v/>
      </c>
      <c r="L125" s="1121" t="str">
        <f>IF(AND(BalanceN[[#This Row],[Vérif]]="D",BalanceN[[#This Row],[BE_Credit]]&gt;0),"A",IF(AND(BalanceN[[#This Row],[Vérif]]="C",BalanceN[[#This Row],[BE_Debit]]&gt;0),"A",""))</f>
        <v/>
      </c>
      <c r="N125" s="1126">
        <v>658800</v>
      </c>
      <c r="O125" s="1124" t="s">
        <v>2229</v>
      </c>
      <c r="P125" s="1127"/>
      <c r="Q125" s="1127"/>
      <c r="R125" s="1127">
        <v>67670</v>
      </c>
      <c r="S125" s="1127"/>
      <c r="T125" s="1127">
        <v>67670</v>
      </c>
      <c r="U125" s="1127"/>
      <c r="V125" s="1260">
        <f>VALUE(LEFT(BalanceN1[[#This Row],[Compte]]&amp;"00000000",5))</f>
        <v>65880</v>
      </c>
      <c r="W125" s="1261" cm="1">
        <f t="array" ref="W125">IF(BalanceN1[[#This Row],[Compte]]="",0,_xlfn.IFNA(INDEX(Plan_Comptable[[Table de Compte]:[Sens]],MATCH(VALUE(LEFT(BalanceN1[[#This Row],[Table]],4)),VALUE(Plan_Comptable[Table de Compte]),0),2),"A"))</f>
        <v>0</v>
      </c>
      <c r="X125" s="1262" t="str">
        <f>IF(AND(BalanceN1[[#This Row],[Vérif]]="D",BalanceN1[[#This Row],[BS_Credit]]&gt;0),"A",IF(AND(BalanceN1[[#This Row],[Vérif]]="C",BalanceN1[[#This Row],[BS_Debit]]&gt;0),"A",""))</f>
        <v/>
      </c>
      <c r="Y125" s="1262" t="str">
        <f>IF(AND(BalanceN1[[#This Row],[Vérif]]="D",BalanceN1[[#This Row],[BE_Credit]]&gt;0),"A",IF(AND(BalanceN1[[#This Row],[Vérif]]="C",BalanceN1[[#This Row],[BE_Debit]]&gt;0),"A",""))</f>
        <v/>
      </c>
    </row>
    <row r="126" spans="1:25" ht="18" customHeight="1">
      <c r="A126" s="1124">
        <v>6346</v>
      </c>
      <c r="B126" s="1124" t="s">
        <v>11848</v>
      </c>
      <c r="C126" s="1125"/>
      <c r="D126" s="1125"/>
      <c r="E126" s="1125">
        <v>48000</v>
      </c>
      <c r="F126" s="1125"/>
      <c r="G126" s="1125">
        <v>48000</v>
      </c>
      <c r="H126" s="1125"/>
      <c r="I126" s="1122">
        <f>VALUE(LEFT(BalanceN[[#This Row],[Compte]]&amp;"00000000",5))</f>
        <v>63460</v>
      </c>
      <c r="J126" s="1123" cm="1">
        <f t="array" ref="J126">IF(BalanceN[[#This Row],[Compte]]="",0,_xlfn.IFNA(INDEX(Plan_Comptable[[Table de Compte]:[Sens]],MATCH(VALUE(LEFT(BalanceN[[#This Row],[Table]],4)),VALUE(Plan_Comptable[Table de Compte]),0),2),"A"))</f>
        <v>0</v>
      </c>
      <c r="K126" s="1121" t="str">
        <f>IF(AND(BalanceN[[#This Row],[Vérif]]="D",BalanceN[[#This Row],[BS_Credit]]&gt;0),"A",IF(AND(BalanceN[[#This Row],[Vérif]]="C",BalanceN[[#This Row],[BS_Debit]]&gt;0),"A",""))</f>
        <v/>
      </c>
      <c r="L126" s="1121" t="str">
        <f>IF(AND(BalanceN[[#This Row],[Vérif]]="D",BalanceN[[#This Row],[BE_Credit]]&gt;0),"A",IF(AND(BalanceN[[#This Row],[Vérif]]="C",BalanceN[[#This Row],[BE_Debit]]&gt;0),"A",""))</f>
        <v/>
      </c>
      <c r="N126" s="1126">
        <v>661100</v>
      </c>
      <c r="O126" s="1124" t="s">
        <v>11854</v>
      </c>
      <c r="P126" s="1127"/>
      <c r="Q126" s="1127"/>
      <c r="R126" s="1127">
        <v>85757833</v>
      </c>
      <c r="S126" s="1127"/>
      <c r="T126" s="1127">
        <v>85757833</v>
      </c>
      <c r="U126" s="1127"/>
      <c r="V126" s="1260">
        <f>VALUE(LEFT(BalanceN1[[#This Row],[Compte]]&amp;"00000000",5))</f>
        <v>66110</v>
      </c>
      <c r="W126" s="1261" cm="1">
        <f t="array" ref="W126">IF(BalanceN1[[#This Row],[Compte]]="",0,_xlfn.IFNA(INDEX(Plan_Comptable[[Table de Compte]:[Sens]],MATCH(VALUE(LEFT(BalanceN1[[#This Row],[Table]],4)),VALUE(Plan_Comptable[Table de Compte]),0),2),"A"))</f>
        <v>0</v>
      </c>
      <c r="X126" s="1262" t="str">
        <f>IF(AND(BalanceN1[[#This Row],[Vérif]]="D",BalanceN1[[#This Row],[BS_Credit]]&gt;0),"A",IF(AND(BalanceN1[[#This Row],[Vérif]]="C",BalanceN1[[#This Row],[BS_Debit]]&gt;0),"A",""))</f>
        <v/>
      </c>
      <c r="Y126" s="1262" t="str">
        <f>IF(AND(BalanceN1[[#This Row],[Vérif]]="D",BalanceN1[[#This Row],[BE_Credit]]&gt;0),"A",IF(AND(BalanceN1[[#This Row],[Vérif]]="C",BalanceN1[[#This Row],[BE_Debit]]&gt;0),"A",""))</f>
        <v/>
      </c>
    </row>
    <row r="127" spans="1:25" ht="18" customHeight="1">
      <c r="A127" s="1124">
        <v>635101</v>
      </c>
      <c r="B127" s="1124" t="s">
        <v>11849</v>
      </c>
      <c r="C127" s="1125"/>
      <c r="D127" s="1125"/>
      <c r="E127" s="1125">
        <v>400000</v>
      </c>
      <c r="F127" s="1125">
        <v>200000</v>
      </c>
      <c r="G127" s="1125">
        <v>200000</v>
      </c>
      <c r="H127" s="1125"/>
      <c r="I127" s="1122">
        <f>VALUE(LEFT(BalanceN[[#This Row],[Compte]]&amp;"00000000",5))</f>
        <v>63510</v>
      </c>
      <c r="J127" s="1123" cm="1">
        <f t="array" ref="J127">IF(BalanceN[[#This Row],[Compte]]="",0,_xlfn.IFNA(INDEX(Plan_Comptable[[Table de Compte]:[Sens]],MATCH(VALUE(LEFT(BalanceN[[#This Row],[Table]],4)),VALUE(Plan_Comptable[Table de Compte]),0),2),"A"))</f>
        <v>0</v>
      </c>
      <c r="K127" s="1121" t="str">
        <f>IF(AND(BalanceN[[#This Row],[Vérif]]="D",BalanceN[[#This Row],[BS_Credit]]&gt;0),"A",IF(AND(BalanceN[[#This Row],[Vérif]]="C",BalanceN[[#This Row],[BS_Debit]]&gt;0),"A",""))</f>
        <v/>
      </c>
      <c r="L127" s="1121" t="str">
        <f>IF(AND(BalanceN[[#This Row],[Vérif]]="D",BalanceN[[#This Row],[BE_Credit]]&gt;0),"A",IF(AND(BalanceN[[#This Row],[Vérif]]="C",BalanceN[[#This Row],[BE_Debit]]&gt;0),"A",""))</f>
        <v/>
      </c>
      <c r="N127" s="1126">
        <v>661300</v>
      </c>
      <c r="O127" s="1124" t="s">
        <v>11934</v>
      </c>
      <c r="P127" s="1127"/>
      <c r="Q127" s="1127"/>
      <c r="R127" s="1127">
        <v>10273495</v>
      </c>
      <c r="S127" s="1127">
        <v>2303892</v>
      </c>
      <c r="T127" s="1127">
        <v>7969603</v>
      </c>
      <c r="U127" s="1127"/>
      <c r="V127" s="1260">
        <f>VALUE(LEFT(BalanceN1[[#This Row],[Compte]]&amp;"00000000",5))</f>
        <v>66130</v>
      </c>
      <c r="W127" s="1261" cm="1">
        <f t="array" ref="W127">IF(BalanceN1[[#This Row],[Compte]]="",0,_xlfn.IFNA(INDEX(Plan_Comptable[[Table de Compte]:[Sens]],MATCH(VALUE(LEFT(BalanceN1[[#This Row],[Table]],4)),VALUE(Plan_Comptable[Table de Compte]),0),2),"A"))</f>
        <v>0</v>
      </c>
      <c r="X127" s="1262" t="str">
        <f>IF(AND(BalanceN1[[#This Row],[Vérif]]="D",BalanceN1[[#This Row],[BS_Credit]]&gt;0),"A",IF(AND(BalanceN1[[#This Row],[Vérif]]="C",BalanceN1[[#This Row],[BS_Debit]]&gt;0),"A",""))</f>
        <v/>
      </c>
      <c r="Y127" s="1262" t="str">
        <f>IF(AND(BalanceN1[[#This Row],[Vérif]]="D",BalanceN1[[#This Row],[BE_Credit]]&gt;0),"A",IF(AND(BalanceN1[[#This Row],[Vérif]]="C",BalanceN1[[#This Row],[BE_Debit]]&gt;0),"A",""))</f>
        <v/>
      </c>
    </row>
    <row r="128" spans="1:25" ht="18" customHeight="1">
      <c r="A128" s="1124">
        <v>638300</v>
      </c>
      <c r="B128" s="1124" t="s">
        <v>2725</v>
      </c>
      <c r="C128" s="1125"/>
      <c r="D128" s="1125"/>
      <c r="E128" s="1125">
        <v>31500</v>
      </c>
      <c r="F128" s="1125"/>
      <c r="G128" s="1125">
        <v>31500</v>
      </c>
      <c r="H128" s="1125"/>
      <c r="I128" s="1122">
        <f>VALUE(LEFT(BalanceN[[#This Row],[Compte]]&amp;"00000000",5))</f>
        <v>63830</v>
      </c>
      <c r="J128" s="1123" cm="1">
        <f t="array" ref="J128">IF(BalanceN[[#This Row],[Compte]]="",0,_xlfn.IFNA(INDEX(Plan_Comptable[[Table de Compte]:[Sens]],MATCH(VALUE(LEFT(BalanceN[[#This Row],[Table]],4)),VALUE(Plan_Comptable[Table de Compte]),0),2),"A"))</f>
        <v>0</v>
      </c>
      <c r="K128" s="1121" t="str">
        <f>IF(AND(BalanceN[[#This Row],[Vérif]]="D",BalanceN[[#This Row],[BS_Credit]]&gt;0),"A",IF(AND(BalanceN[[#This Row],[Vérif]]="C",BalanceN[[#This Row],[BS_Debit]]&gt;0),"A",""))</f>
        <v/>
      </c>
      <c r="L128" s="1121" t="str">
        <f>IF(AND(BalanceN[[#This Row],[Vérif]]="D",BalanceN[[#This Row],[BE_Credit]]&gt;0),"A",IF(AND(BalanceN[[#This Row],[Vérif]]="C",BalanceN[[#This Row],[BE_Debit]]&gt;0),"A",""))</f>
        <v/>
      </c>
      <c r="N128" s="1126">
        <v>661800</v>
      </c>
      <c r="O128" s="1124" t="s">
        <v>11035</v>
      </c>
      <c r="P128" s="1127"/>
      <c r="Q128" s="1127"/>
      <c r="R128" s="1127">
        <v>46989030</v>
      </c>
      <c r="S128" s="1127"/>
      <c r="T128" s="1127">
        <v>46989030</v>
      </c>
      <c r="U128" s="1127"/>
      <c r="V128" s="1260">
        <f>VALUE(LEFT(BalanceN1[[#This Row],[Compte]]&amp;"00000000",5))</f>
        <v>66180</v>
      </c>
      <c r="W128" s="1261" cm="1">
        <f t="array" ref="W128">IF(BalanceN1[[#This Row],[Compte]]="",0,_xlfn.IFNA(INDEX(Plan_Comptable[[Table de Compte]:[Sens]],MATCH(VALUE(LEFT(BalanceN1[[#This Row],[Table]],4)),VALUE(Plan_Comptable[Table de Compte]),0),2),"A"))</f>
        <v>0</v>
      </c>
      <c r="X128" s="1262" t="str">
        <f>IF(AND(BalanceN1[[#This Row],[Vérif]]="D",BalanceN1[[#This Row],[BS_Credit]]&gt;0),"A",IF(AND(BalanceN1[[#This Row],[Vérif]]="C",BalanceN1[[#This Row],[BS_Debit]]&gt;0),"A",""))</f>
        <v/>
      </c>
      <c r="Y128" s="1262" t="str">
        <f>IF(AND(BalanceN1[[#This Row],[Vérif]]="D",BalanceN1[[#This Row],[BE_Credit]]&gt;0),"A",IF(AND(BalanceN1[[#This Row],[Vérif]]="C",BalanceN1[[#This Row],[BE_Debit]]&gt;0),"A",""))</f>
        <v/>
      </c>
    </row>
    <row r="129" spans="1:25" ht="18" customHeight="1">
      <c r="A129" s="1124">
        <v>6388</v>
      </c>
      <c r="B129" s="1124" t="s">
        <v>11850</v>
      </c>
      <c r="C129" s="1125"/>
      <c r="D129" s="1125"/>
      <c r="E129" s="1125">
        <v>30300</v>
      </c>
      <c r="F129" s="1125"/>
      <c r="G129" s="1125">
        <v>30300</v>
      </c>
      <c r="H129" s="1125"/>
      <c r="I129" s="1122">
        <f>VALUE(LEFT(BalanceN[[#This Row],[Compte]]&amp;"00000000",5))</f>
        <v>63880</v>
      </c>
      <c r="J129" s="1123" cm="1">
        <f t="array" ref="J129">IF(BalanceN[[#This Row],[Compte]]="",0,_xlfn.IFNA(INDEX(Plan_Comptable[[Table de Compte]:[Sens]],MATCH(VALUE(LEFT(BalanceN[[#This Row],[Table]],4)),VALUE(Plan_Comptable[Table de Compte]),0),2),"A"))</f>
        <v>0</v>
      </c>
      <c r="K129" s="1121" t="str">
        <f>IF(AND(BalanceN[[#This Row],[Vérif]]="D",BalanceN[[#This Row],[BS_Credit]]&gt;0),"A",IF(AND(BalanceN[[#This Row],[Vérif]]="C",BalanceN[[#This Row],[BS_Debit]]&gt;0),"A",""))</f>
        <v/>
      </c>
      <c r="L129" s="1121" t="str">
        <f>IF(AND(BalanceN[[#This Row],[Vérif]]="D",BalanceN[[#This Row],[BE_Credit]]&gt;0),"A",IF(AND(BalanceN[[#This Row],[Vérif]]="C",BalanceN[[#This Row],[BE_Debit]]&gt;0),"A",""))</f>
        <v/>
      </c>
      <c r="N129" s="1126">
        <v>662100</v>
      </c>
      <c r="O129" s="1124" t="s">
        <v>11856</v>
      </c>
      <c r="P129" s="1127"/>
      <c r="Q129" s="1127"/>
      <c r="R129" s="1127">
        <v>28414973</v>
      </c>
      <c r="S129" s="1127">
        <v>1351085</v>
      </c>
      <c r="T129" s="1127">
        <v>27063888</v>
      </c>
      <c r="U129" s="1127"/>
      <c r="V129" s="1260">
        <f>VALUE(LEFT(BalanceN1[[#This Row],[Compte]]&amp;"00000000",5))</f>
        <v>66210</v>
      </c>
      <c r="W129" s="1261" cm="1">
        <f t="array" ref="W129">IF(BalanceN1[[#This Row],[Compte]]="",0,_xlfn.IFNA(INDEX(Plan_Comptable[[Table de Compte]:[Sens]],MATCH(VALUE(LEFT(BalanceN1[[#This Row],[Table]],4)),VALUE(Plan_Comptable[Table de Compte]),0),2),"A"))</f>
        <v>0</v>
      </c>
      <c r="X129" s="1262" t="str">
        <f>IF(AND(BalanceN1[[#This Row],[Vérif]]="D",BalanceN1[[#This Row],[BS_Credit]]&gt;0),"A",IF(AND(BalanceN1[[#This Row],[Vérif]]="C",BalanceN1[[#This Row],[BS_Debit]]&gt;0),"A",""))</f>
        <v/>
      </c>
      <c r="Y129" s="1262" t="str">
        <f>IF(AND(BalanceN1[[#This Row],[Vérif]]="D",BalanceN1[[#This Row],[BE_Credit]]&gt;0),"A",IF(AND(BalanceN1[[#This Row],[Vérif]]="C",BalanceN1[[#This Row],[BE_Debit]]&gt;0),"A",""))</f>
        <v/>
      </c>
    </row>
    <row r="130" spans="1:25" ht="18" customHeight="1">
      <c r="A130" s="1124">
        <v>646100</v>
      </c>
      <c r="B130" s="1124" t="s">
        <v>11851</v>
      </c>
      <c r="C130" s="1125"/>
      <c r="D130" s="1125"/>
      <c r="E130" s="1125">
        <v>3000000</v>
      </c>
      <c r="F130" s="1125"/>
      <c r="G130" s="1125">
        <v>3000000</v>
      </c>
      <c r="H130" s="1125"/>
      <c r="I130" s="1122">
        <f>VALUE(LEFT(BalanceN[[#This Row],[Compte]]&amp;"00000000",5))</f>
        <v>64610</v>
      </c>
      <c r="J130" s="1123" cm="1">
        <f t="array" ref="J130">IF(BalanceN[[#This Row],[Compte]]="",0,_xlfn.IFNA(INDEX(Plan_Comptable[[Table de Compte]:[Sens]],MATCH(VALUE(LEFT(BalanceN[[#This Row],[Table]],4)),VALUE(Plan_Comptable[Table de Compte]),0),2),"A"))</f>
        <v>0</v>
      </c>
      <c r="K130" s="1121" t="str">
        <f>IF(AND(BalanceN[[#This Row],[Vérif]]="D",BalanceN[[#This Row],[BS_Credit]]&gt;0),"A",IF(AND(BalanceN[[#This Row],[Vérif]]="C",BalanceN[[#This Row],[BS_Debit]]&gt;0),"A",""))</f>
        <v/>
      </c>
      <c r="L130" s="1121" t="str">
        <f>IF(AND(BalanceN[[#This Row],[Vérif]]="D",BalanceN[[#This Row],[BE_Credit]]&gt;0),"A",IF(AND(BalanceN[[#This Row],[Vérif]]="C",BalanceN[[#This Row],[BE_Debit]]&gt;0),"A",""))</f>
        <v/>
      </c>
      <c r="N130" s="1126">
        <v>663100</v>
      </c>
      <c r="O130" s="1124" t="s">
        <v>11040</v>
      </c>
      <c r="P130" s="1127"/>
      <c r="Q130" s="1127"/>
      <c r="R130" s="1127">
        <v>3216000</v>
      </c>
      <c r="S130" s="1127"/>
      <c r="T130" s="1127">
        <v>3216000</v>
      </c>
      <c r="U130" s="1127"/>
      <c r="V130" s="1260">
        <f>VALUE(LEFT(BalanceN1[[#This Row],[Compte]]&amp;"00000000",5))</f>
        <v>66310</v>
      </c>
      <c r="W130" s="1261" cm="1">
        <f t="array" ref="W130">IF(BalanceN1[[#This Row],[Compte]]="",0,_xlfn.IFNA(INDEX(Plan_Comptable[[Table de Compte]:[Sens]],MATCH(VALUE(LEFT(BalanceN1[[#This Row],[Table]],4)),VALUE(Plan_Comptable[Table de Compte]),0),2),"A"))</f>
        <v>0</v>
      </c>
      <c r="X130" s="1262" t="str">
        <f>IF(AND(BalanceN1[[#This Row],[Vérif]]="D",BalanceN1[[#This Row],[BS_Credit]]&gt;0),"A",IF(AND(BalanceN1[[#This Row],[Vérif]]="C",BalanceN1[[#This Row],[BS_Debit]]&gt;0),"A",""))</f>
        <v/>
      </c>
      <c r="Y130" s="1262" t="str">
        <f>IF(AND(BalanceN1[[#This Row],[Vérif]]="D",BalanceN1[[#This Row],[BE_Credit]]&gt;0),"A",IF(AND(BalanceN1[[#This Row],[Vérif]]="C",BalanceN1[[#This Row],[BE_Debit]]&gt;0),"A",""))</f>
        <v/>
      </c>
    </row>
    <row r="131" spans="1:25" ht="18" customHeight="1">
      <c r="A131" s="1124">
        <v>646200</v>
      </c>
      <c r="B131" s="1124" t="s">
        <v>11852</v>
      </c>
      <c r="C131" s="1125"/>
      <c r="D131" s="1125"/>
      <c r="E131" s="1125">
        <v>10200</v>
      </c>
      <c r="F131" s="1125"/>
      <c r="G131" s="1125">
        <v>10200</v>
      </c>
      <c r="H131" s="1125"/>
      <c r="I131" s="1122">
        <f>VALUE(LEFT(BalanceN[[#This Row],[Compte]]&amp;"00000000",5))</f>
        <v>64620</v>
      </c>
      <c r="J131" s="1123" cm="1">
        <f t="array" ref="J131">IF(BalanceN[[#This Row],[Compte]]="",0,_xlfn.IFNA(INDEX(Plan_Comptable[[Table de Compte]:[Sens]],MATCH(VALUE(LEFT(BalanceN[[#This Row],[Table]],4)),VALUE(Plan_Comptable[Table de Compte]),0),2),"A"))</f>
        <v>0</v>
      </c>
      <c r="K131" s="1121" t="str">
        <f>IF(AND(BalanceN[[#This Row],[Vérif]]="D",BalanceN[[#This Row],[BS_Credit]]&gt;0),"A",IF(AND(BalanceN[[#This Row],[Vérif]]="C",BalanceN[[#This Row],[BS_Debit]]&gt;0),"A",""))</f>
        <v/>
      </c>
      <c r="L131" s="1121" t="str">
        <f>IF(AND(BalanceN[[#This Row],[Vérif]]="D",BalanceN[[#This Row],[BE_Credit]]&gt;0),"A",IF(AND(BalanceN[[#This Row],[Vérif]]="C",BalanceN[[#This Row],[BE_Debit]]&gt;0),"A",""))</f>
        <v/>
      </c>
      <c r="N131" s="1126">
        <v>663400</v>
      </c>
      <c r="O131" s="1124" t="s">
        <v>11858</v>
      </c>
      <c r="P131" s="1127"/>
      <c r="Q131" s="1127"/>
      <c r="R131" s="1127">
        <v>5360307</v>
      </c>
      <c r="S131" s="1127"/>
      <c r="T131" s="1127">
        <v>5360307</v>
      </c>
      <c r="U131" s="1127"/>
      <c r="V131" s="1260">
        <f>VALUE(LEFT(BalanceN1[[#This Row],[Compte]]&amp;"00000000",5))</f>
        <v>66340</v>
      </c>
      <c r="W131" s="1261" cm="1">
        <f t="array" ref="W131">IF(BalanceN1[[#This Row],[Compte]]="",0,_xlfn.IFNA(INDEX(Plan_Comptable[[Table de Compte]:[Sens]],MATCH(VALUE(LEFT(BalanceN1[[#This Row],[Table]],4)),VALUE(Plan_Comptable[Table de Compte]),0),2),"A"))</f>
        <v>0</v>
      </c>
      <c r="X131" s="1262" t="str">
        <f>IF(AND(BalanceN1[[#This Row],[Vérif]]="D",BalanceN1[[#This Row],[BS_Credit]]&gt;0),"A",IF(AND(BalanceN1[[#This Row],[Vérif]]="C",BalanceN1[[#This Row],[BS_Debit]]&gt;0),"A",""))</f>
        <v/>
      </c>
      <c r="Y131" s="1262" t="str">
        <f>IF(AND(BalanceN1[[#This Row],[Vérif]]="D",BalanceN1[[#This Row],[BE_Credit]]&gt;0),"A",IF(AND(BalanceN1[[#This Row],[Vérif]]="C",BalanceN1[[#This Row],[BE_Debit]]&gt;0),"A",""))</f>
        <v/>
      </c>
    </row>
    <row r="132" spans="1:25" ht="18" customHeight="1">
      <c r="A132" s="1124">
        <v>646400</v>
      </c>
      <c r="B132" s="1124" t="s">
        <v>2739</v>
      </c>
      <c r="C132" s="1125"/>
      <c r="D132" s="1125"/>
      <c r="E132" s="1125">
        <v>35000</v>
      </c>
      <c r="F132" s="1125"/>
      <c r="G132" s="1125">
        <v>35000</v>
      </c>
      <c r="H132" s="1125"/>
      <c r="I132" s="1122">
        <f>VALUE(LEFT(BalanceN[[#This Row],[Compte]]&amp;"00000000",5))</f>
        <v>64640</v>
      </c>
      <c r="J132" s="1123" cm="1">
        <f t="array" ref="J132">IF(BalanceN[[#This Row],[Compte]]="",0,_xlfn.IFNA(INDEX(Plan_Comptable[[Table de Compte]:[Sens]],MATCH(VALUE(LEFT(BalanceN[[#This Row],[Table]],4)),VALUE(Plan_Comptable[Table de Compte]),0),2),"A"))</f>
        <v>0</v>
      </c>
      <c r="K132" s="1121" t="str">
        <f>IF(AND(BalanceN[[#This Row],[Vérif]]="D",BalanceN[[#This Row],[BS_Credit]]&gt;0),"A",IF(AND(BalanceN[[#This Row],[Vérif]]="C",BalanceN[[#This Row],[BS_Debit]]&gt;0),"A",""))</f>
        <v/>
      </c>
      <c r="L132" s="1121" t="str">
        <f>IF(AND(BalanceN[[#This Row],[Vérif]]="D",BalanceN[[#This Row],[BE_Credit]]&gt;0),"A",IF(AND(BalanceN[[#This Row],[Vérif]]="C",BalanceN[[#This Row],[BE_Debit]]&gt;0),"A",""))</f>
        <v/>
      </c>
      <c r="N132" s="1126">
        <v>663800</v>
      </c>
      <c r="O132" s="1124" t="s">
        <v>11935</v>
      </c>
      <c r="P132" s="1127"/>
      <c r="Q132" s="1127"/>
      <c r="R132" s="1127">
        <v>4776437</v>
      </c>
      <c r="S132" s="1127"/>
      <c r="T132" s="1127">
        <v>4776437</v>
      </c>
      <c r="U132" s="1127"/>
      <c r="V132" s="1260">
        <f>VALUE(LEFT(BalanceN1[[#This Row],[Compte]]&amp;"00000000",5))</f>
        <v>66380</v>
      </c>
      <c r="W132" s="1261" cm="1">
        <f t="array" ref="W132">IF(BalanceN1[[#This Row],[Compte]]="",0,_xlfn.IFNA(INDEX(Plan_Comptable[[Table de Compte]:[Sens]],MATCH(VALUE(LEFT(BalanceN1[[#This Row],[Table]],4)),VALUE(Plan_Comptable[Table de Compte]),0),2),"A"))</f>
        <v>0</v>
      </c>
      <c r="X132" s="1262" t="str">
        <f>IF(AND(BalanceN1[[#This Row],[Vérif]]="D",BalanceN1[[#This Row],[BS_Credit]]&gt;0),"A",IF(AND(BalanceN1[[#This Row],[Vérif]]="C",BalanceN1[[#This Row],[BS_Debit]]&gt;0),"A",""))</f>
        <v/>
      </c>
      <c r="Y132" s="1262" t="str">
        <f>IF(AND(BalanceN1[[#This Row],[Vérif]]="D",BalanceN1[[#This Row],[BE_Credit]]&gt;0),"A",IF(AND(BalanceN1[[#This Row],[Vérif]]="C",BalanceN1[[#This Row],[BE_Debit]]&gt;0),"A",""))</f>
        <v/>
      </c>
    </row>
    <row r="133" spans="1:25" ht="18" customHeight="1">
      <c r="A133" s="1124">
        <v>647200</v>
      </c>
      <c r="B133" s="1124" t="s">
        <v>11853</v>
      </c>
      <c r="C133" s="1125"/>
      <c r="D133" s="1125"/>
      <c r="E133" s="1125">
        <v>90000</v>
      </c>
      <c r="F133" s="1125"/>
      <c r="G133" s="1125">
        <v>90000</v>
      </c>
      <c r="H133" s="1125"/>
      <c r="I133" s="1122">
        <f>VALUE(LEFT(BalanceN[[#This Row],[Compte]]&amp;"00000000",5))</f>
        <v>64720</v>
      </c>
      <c r="J133" s="1123" cm="1">
        <f t="array" ref="J133">IF(BalanceN[[#This Row],[Compte]]="",0,_xlfn.IFNA(INDEX(Plan_Comptable[[Table de Compte]:[Sens]],MATCH(VALUE(LEFT(BalanceN[[#This Row],[Table]],4)),VALUE(Plan_Comptable[Table de Compte]),0),2),"A"))</f>
        <v>0</v>
      </c>
      <c r="K133" s="1121" t="str">
        <f>IF(AND(BalanceN[[#This Row],[Vérif]]="D",BalanceN[[#This Row],[BS_Credit]]&gt;0),"A",IF(AND(BalanceN[[#This Row],[Vérif]]="C",BalanceN[[#This Row],[BS_Debit]]&gt;0),"A",""))</f>
        <v/>
      </c>
      <c r="L133" s="1121" t="str">
        <f>IF(AND(BalanceN[[#This Row],[Vérif]]="D",BalanceN[[#This Row],[BE_Credit]]&gt;0),"A",IF(AND(BalanceN[[#This Row],[Vérif]]="C",BalanceN[[#This Row],[BE_Debit]]&gt;0),"A",""))</f>
        <v/>
      </c>
      <c r="N133" s="1126">
        <v>6641</v>
      </c>
      <c r="O133" s="1124" t="s">
        <v>11051</v>
      </c>
      <c r="P133" s="1127"/>
      <c r="Q133" s="1127"/>
      <c r="R133" s="1127">
        <v>5000821</v>
      </c>
      <c r="S133" s="1127"/>
      <c r="T133" s="1127">
        <v>5000821</v>
      </c>
      <c r="U133" s="1127"/>
      <c r="V133" s="1260">
        <f>VALUE(LEFT(BalanceN1[[#This Row],[Compte]]&amp;"00000000",5))</f>
        <v>66410</v>
      </c>
      <c r="W133" s="1261" cm="1">
        <f t="array" ref="W133">IF(BalanceN1[[#This Row],[Compte]]="",0,_xlfn.IFNA(INDEX(Plan_Comptable[[Table de Compte]:[Sens]],MATCH(VALUE(LEFT(BalanceN1[[#This Row],[Table]],4)),VALUE(Plan_Comptable[Table de Compte]),0),2),"A"))</f>
        <v>0</v>
      </c>
      <c r="X133" s="1262" t="str">
        <f>IF(AND(BalanceN1[[#This Row],[Vérif]]="D",BalanceN1[[#This Row],[BS_Credit]]&gt;0),"A",IF(AND(BalanceN1[[#This Row],[Vérif]]="C",BalanceN1[[#This Row],[BS_Debit]]&gt;0),"A",""))</f>
        <v/>
      </c>
      <c r="Y133" s="1262" t="str">
        <f>IF(AND(BalanceN1[[#This Row],[Vérif]]="D",BalanceN1[[#This Row],[BE_Credit]]&gt;0),"A",IF(AND(BalanceN1[[#This Row],[Vérif]]="C",BalanceN1[[#This Row],[BE_Debit]]&gt;0),"A",""))</f>
        <v/>
      </c>
    </row>
    <row r="134" spans="1:25" ht="18" customHeight="1">
      <c r="A134" s="1124">
        <v>651100</v>
      </c>
      <c r="B134" s="1124" t="s">
        <v>2221</v>
      </c>
      <c r="C134" s="1125"/>
      <c r="D134" s="1125"/>
      <c r="E134" s="1125">
        <v>4150956</v>
      </c>
      <c r="F134" s="1125"/>
      <c r="G134" s="1125">
        <v>4150956</v>
      </c>
      <c r="H134" s="1125"/>
      <c r="I134" s="1122">
        <f>VALUE(LEFT(BalanceN[[#This Row],[Compte]]&amp;"00000000",5))</f>
        <v>65110</v>
      </c>
      <c r="J134" s="1123" cm="1">
        <f t="array" ref="J134">IF(BalanceN[[#This Row],[Compte]]="",0,_xlfn.IFNA(INDEX(Plan_Comptable[[Table de Compte]:[Sens]],MATCH(VALUE(LEFT(BalanceN[[#This Row],[Table]],4)),VALUE(Plan_Comptable[Table de Compte]),0),2),"A"))</f>
        <v>0</v>
      </c>
      <c r="K134" s="1121" t="str">
        <f>IF(AND(BalanceN[[#This Row],[Vérif]]="D",BalanceN[[#This Row],[BS_Credit]]&gt;0),"A",IF(AND(BalanceN[[#This Row],[Vérif]]="C",BalanceN[[#This Row],[BS_Debit]]&gt;0),"A",""))</f>
        <v/>
      </c>
      <c r="L134" s="1121" t="str">
        <f>IF(AND(BalanceN[[#This Row],[Vérif]]="D",BalanceN[[#This Row],[BE_Credit]]&gt;0),"A",IF(AND(BalanceN[[#This Row],[Vérif]]="C",BalanceN[[#This Row],[BE_Debit]]&gt;0),"A",""))</f>
        <v/>
      </c>
      <c r="N134" s="1126">
        <v>664120</v>
      </c>
      <c r="O134" s="1124" t="s">
        <v>11936</v>
      </c>
      <c r="P134" s="1127"/>
      <c r="Q134" s="1127"/>
      <c r="R134" s="1127">
        <v>2762138</v>
      </c>
      <c r="S134" s="1127">
        <v>176400</v>
      </c>
      <c r="T134" s="1127">
        <v>2585738</v>
      </c>
      <c r="U134" s="1127"/>
      <c r="V134" s="1260">
        <f>VALUE(LEFT(BalanceN1[[#This Row],[Compte]]&amp;"00000000",5))</f>
        <v>66412</v>
      </c>
      <c r="W134" s="1261" cm="1">
        <f t="array" ref="W134">IF(BalanceN1[[#This Row],[Compte]]="",0,_xlfn.IFNA(INDEX(Plan_Comptable[[Table de Compte]:[Sens]],MATCH(VALUE(LEFT(BalanceN1[[#This Row],[Table]],4)),VALUE(Plan_Comptable[Table de Compte]),0),2),"A"))</f>
        <v>0</v>
      </c>
      <c r="X134" s="1262" t="str">
        <f>IF(AND(BalanceN1[[#This Row],[Vérif]]="D",BalanceN1[[#This Row],[BS_Credit]]&gt;0),"A",IF(AND(BalanceN1[[#This Row],[Vérif]]="C",BalanceN1[[#This Row],[BS_Debit]]&gt;0),"A",""))</f>
        <v/>
      </c>
      <c r="Y134" s="1262" t="str">
        <f>IF(AND(BalanceN1[[#This Row],[Vérif]]="D",BalanceN1[[#This Row],[BE_Credit]]&gt;0),"A",IF(AND(BalanceN1[[#This Row],[Vérif]]="C",BalanceN1[[#This Row],[BE_Debit]]&gt;0),"A",""))</f>
        <v/>
      </c>
    </row>
    <row r="135" spans="1:25" ht="18" customHeight="1">
      <c r="A135" s="1124">
        <v>658200</v>
      </c>
      <c r="B135" s="1124" t="s">
        <v>2750</v>
      </c>
      <c r="C135" s="1125"/>
      <c r="D135" s="1125"/>
      <c r="E135" s="1125">
        <v>100000</v>
      </c>
      <c r="F135" s="1125"/>
      <c r="G135" s="1125">
        <v>100000</v>
      </c>
      <c r="H135" s="1125"/>
      <c r="I135" s="1122">
        <f>VALUE(LEFT(BalanceN[[#This Row],[Compte]]&amp;"00000000",5))</f>
        <v>65820</v>
      </c>
      <c r="J135" s="1123" cm="1">
        <f t="array" ref="J135">IF(BalanceN[[#This Row],[Compte]]="",0,_xlfn.IFNA(INDEX(Plan_Comptable[[Table de Compte]:[Sens]],MATCH(VALUE(LEFT(BalanceN[[#This Row],[Table]],4)),VALUE(Plan_Comptable[Table de Compte]),0),2),"A"))</f>
        <v>0</v>
      </c>
      <c r="K135" s="1121" t="str">
        <f>IF(AND(BalanceN[[#This Row],[Vérif]]="D",BalanceN[[#This Row],[BS_Credit]]&gt;0),"A",IF(AND(BalanceN[[#This Row],[Vérif]]="C",BalanceN[[#This Row],[BS_Debit]]&gt;0),"A",""))</f>
        <v/>
      </c>
      <c r="L135" s="1121" t="str">
        <f>IF(AND(BalanceN[[#This Row],[Vérif]]="D",BalanceN[[#This Row],[BE_Credit]]&gt;0),"A",IF(AND(BalanceN[[#This Row],[Vérif]]="C",BalanceN[[#This Row],[BE_Debit]]&gt;0),"A",""))</f>
        <v/>
      </c>
      <c r="N135" s="1126">
        <v>664121</v>
      </c>
      <c r="O135" s="1124" t="s">
        <v>11937</v>
      </c>
      <c r="P135" s="1127"/>
      <c r="Q135" s="1127"/>
      <c r="R135" s="1127">
        <v>4522558</v>
      </c>
      <c r="S135" s="1127"/>
      <c r="T135" s="1127">
        <v>4522558</v>
      </c>
      <c r="U135" s="1127"/>
      <c r="V135" s="1260">
        <f>VALUE(LEFT(BalanceN1[[#This Row],[Compte]]&amp;"00000000",5))</f>
        <v>66412</v>
      </c>
      <c r="W135" s="1261" cm="1">
        <f t="array" ref="W135">IF(BalanceN1[[#This Row],[Compte]]="",0,_xlfn.IFNA(INDEX(Plan_Comptable[[Table de Compte]:[Sens]],MATCH(VALUE(LEFT(BalanceN1[[#This Row],[Table]],4)),VALUE(Plan_Comptable[Table de Compte]),0),2),"A"))</f>
        <v>0</v>
      </c>
      <c r="X135" s="1262" t="str">
        <f>IF(AND(BalanceN1[[#This Row],[Vérif]]="D",BalanceN1[[#This Row],[BS_Credit]]&gt;0),"A",IF(AND(BalanceN1[[#This Row],[Vérif]]="C",BalanceN1[[#This Row],[BS_Debit]]&gt;0),"A",""))</f>
        <v/>
      </c>
      <c r="Y135" s="1262" t="str">
        <f>IF(AND(BalanceN1[[#This Row],[Vérif]]="D",BalanceN1[[#This Row],[BE_Credit]]&gt;0),"A",IF(AND(BalanceN1[[#This Row],[Vérif]]="C",BalanceN1[[#This Row],[BE_Debit]]&gt;0),"A",""))</f>
        <v/>
      </c>
    </row>
    <row r="136" spans="1:25" ht="18" customHeight="1">
      <c r="A136" s="1124">
        <v>658800</v>
      </c>
      <c r="B136" s="1124" t="s">
        <v>2229</v>
      </c>
      <c r="C136" s="1125"/>
      <c r="D136" s="1125"/>
      <c r="E136" s="1125">
        <v>12973</v>
      </c>
      <c r="F136" s="1125"/>
      <c r="G136" s="1125">
        <v>12973</v>
      </c>
      <c r="H136" s="1125"/>
      <c r="I136" s="1122">
        <f>VALUE(LEFT(BalanceN[[#This Row],[Compte]]&amp;"00000000",5))</f>
        <v>65880</v>
      </c>
      <c r="J136" s="1123" cm="1">
        <f t="array" ref="J136">IF(BalanceN[[#This Row],[Compte]]="",0,_xlfn.IFNA(INDEX(Plan_Comptable[[Table de Compte]:[Sens]],MATCH(VALUE(LEFT(BalanceN[[#This Row],[Table]],4)),VALUE(Plan_Comptable[Table de Compte]),0),2),"A"))</f>
        <v>0</v>
      </c>
      <c r="K136" s="1121" t="str">
        <f>IF(AND(BalanceN[[#This Row],[Vérif]]="D",BalanceN[[#This Row],[BS_Credit]]&gt;0),"A",IF(AND(BalanceN[[#This Row],[Vérif]]="C",BalanceN[[#This Row],[BS_Debit]]&gt;0),"A",""))</f>
        <v/>
      </c>
      <c r="L136" s="1121" t="str">
        <f>IF(AND(BalanceN[[#This Row],[Vérif]]="D",BalanceN[[#This Row],[BE_Credit]]&gt;0),"A",IF(AND(BalanceN[[#This Row],[Vérif]]="C",BalanceN[[#This Row],[BE_Debit]]&gt;0),"A",""))</f>
        <v/>
      </c>
      <c r="N136" s="1126">
        <v>664130</v>
      </c>
      <c r="O136" s="1124" t="s">
        <v>11862</v>
      </c>
      <c r="P136" s="1127"/>
      <c r="Q136" s="1127"/>
      <c r="R136" s="1127">
        <v>8386885</v>
      </c>
      <c r="S136" s="1127">
        <v>329647</v>
      </c>
      <c r="T136" s="1127">
        <v>8057238</v>
      </c>
      <c r="U136" s="1127"/>
      <c r="V136" s="1260">
        <f>VALUE(LEFT(BalanceN1[[#This Row],[Compte]]&amp;"00000000",5))</f>
        <v>66413</v>
      </c>
      <c r="W136" s="1261" cm="1">
        <f t="array" ref="W136">IF(BalanceN1[[#This Row],[Compte]]="",0,_xlfn.IFNA(INDEX(Plan_Comptable[[Table de Compte]:[Sens]],MATCH(VALUE(LEFT(BalanceN1[[#This Row],[Table]],4)),VALUE(Plan_Comptable[Table de Compte]),0),2),"A"))</f>
        <v>0</v>
      </c>
      <c r="X136" s="1262" t="str">
        <f>IF(AND(BalanceN1[[#This Row],[Vérif]]="D",BalanceN1[[#This Row],[BS_Credit]]&gt;0),"A",IF(AND(BalanceN1[[#This Row],[Vérif]]="C",BalanceN1[[#This Row],[BS_Debit]]&gt;0),"A",""))</f>
        <v/>
      </c>
      <c r="Y136" s="1262" t="str">
        <f>IF(AND(BalanceN1[[#This Row],[Vérif]]="D",BalanceN1[[#This Row],[BE_Credit]]&gt;0),"A",IF(AND(BalanceN1[[#This Row],[Vérif]]="C",BalanceN1[[#This Row],[BE_Debit]]&gt;0),"A",""))</f>
        <v/>
      </c>
    </row>
    <row r="137" spans="1:25" ht="18" customHeight="1">
      <c r="A137" s="1124">
        <v>661100</v>
      </c>
      <c r="B137" s="1124" t="s">
        <v>11854</v>
      </c>
      <c r="C137" s="1125"/>
      <c r="D137" s="1125"/>
      <c r="E137" s="1125">
        <v>101601787</v>
      </c>
      <c r="F137" s="1125"/>
      <c r="G137" s="1125">
        <v>101601787</v>
      </c>
      <c r="H137" s="1125"/>
      <c r="I137" s="1122">
        <f>VALUE(LEFT(BalanceN[[#This Row],[Compte]]&amp;"00000000",5))</f>
        <v>66110</v>
      </c>
      <c r="J137" s="1123" cm="1">
        <f t="array" ref="J137">IF(BalanceN[[#This Row],[Compte]]="",0,_xlfn.IFNA(INDEX(Plan_Comptable[[Table de Compte]:[Sens]],MATCH(VALUE(LEFT(BalanceN[[#This Row],[Table]],4)),VALUE(Plan_Comptable[Table de Compte]),0),2),"A"))</f>
        <v>0</v>
      </c>
      <c r="K137" s="1121" t="str">
        <f>IF(AND(BalanceN[[#This Row],[Vérif]]="D",BalanceN[[#This Row],[BS_Credit]]&gt;0),"A",IF(AND(BalanceN[[#This Row],[Vérif]]="C",BalanceN[[#This Row],[BS_Debit]]&gt;0),"A",""))</f>
        <v/>
      </c>
      <c r="L137" s="1121" t="str">
        <f>IF(AND(BalanceN[[#This Row],[Vérif]]="D",BalanceN[[#This Row],[BE_Credit]]&gt;0),"A",IF(AND(BalanceN[[#This Row],[Vérif]]="C",BalanceN[[#This Row],[BE_Debit]]&gt;0),"A",""))</f>
        <v/>
      </c>
      <c r="N137" s="1126">
        <v>664140</v>
      </c>
      <c r="O137" s="1124" t="s">
        <v>11938</v>
      </c>
      <c r="P137" s="1127"/>
      <c r="Q137" s="1127"/>
      <c r="R137" s="1127">
        <v>1770020</v>
      </c>
      <c r="S137" s="1127"/>
      <c r="T137" s="1127">
        <v>1770020</v>
      </c>
      <c r="U137" s="1127"/>
      <c r="V137" s="1260">
        <f>VALUE(LEFT(BalanceN1[[#This Row],[Compte]]&amp;"00000000",5))</f>
        <v>66414</v>
      </c>
      <c r="W137" s="1261" cm="1">
        <f t="array" ref="W137">IF(BalanceN1[[#This Row],[Compte]]="",0,_xlfn.IFNA(INDEX(Plan_Comptable[[Table de Compte]:[Sens]],MATCH(VALUE(LEFT(BalanceN1[[#This Row],[Table]],4)),VALUE(Plan_Comptable[Table de Compte]),0),2),"A"))</f>
        <v>0</v>
      </c>
      <c r="X137" s="1262" t="str">
        <f>IF(AND(BalanceN1[[#This Row],[Vérif]]="D",BalanceN1[[#This Row],[BS_Credit]]&gt;0),"A",IF(AND(BalanceN1[[#This Row],[Vérif]]="C",BalanceN1[[#This Row],[BS_Debit]]&gt;0),"A",""))</f>
        <v/>
      </c>
      <c r="Y137" s="1262" t="str">
        <f>IF(AND(BalanceN1[[#This Row],[Vérif]]="D",BalanceN1[[#This Row],[BE_Credit]]&gt;0),"A",IF(AND(BalanceN1[[#This Row],[Vérif]]="C",BalanceN1[[#This Row],[BE_Debit]]&gt;0),"A",""))</f>
        <v/>
      </c>
    </row>
    <row r="138" spans="1:25" ht="18" customHeight="1">
      <c r="A138" s="1124">
        <v>661300</v>
      </c>
      <c r="B138" s="1124" t="s">
        <v>11855</v>
      </c>
      <c r="C138" s="1125"/>
      <c r="D138" s="1125"/>
      <c r="E138" s="1125">
        <v>7690099</v>
      </c>
      <c r="F138" s="1125">
        <v>3057458</v>
      </c>
      <c r="G138" s="1125">
        <v>4632641</v>
      </c>
      <c r="H138" s="1125"/>
      <c r="I138" s="1122">
        <f>VALUE(LEFT(BalanceN[[#This Row],[Compte]]&amp;"00000000",5))</f>
        <v>66130</v>
      </c>
      <c r="J138" s="1123" cm="1">
        <f t="array" ref="J138">IF(BalanceN[[#This Row],[Compte]]="",0,_xlfn.IFNA(INDEX(Plan_Comptable[[Table de Compte]:[Sens]],MATCH(VALUE(LEFT(BalanceN[[#This Row],[Table]],4)),VALUE(Plan_Comptable[Table de Compte]),0),2),"A"))</f>
        <v>0</v>
      </c>
      <c r="K138" s="1121" t="str">
        <f>IF(AND(BalanceN[[#This Row],[Vérif]]="D",BalanceN[[#This Row],[BS_Credit]]&gt;0),"A",IF(AND(BalanceN[[#This Row],[Vérif]]="C",BalanceN[[#This Row],[BS_Debit]]&gt;0),"A",""))</f>
        <v/>
      </c>
      <c r="L138" s="1121" t="str">
        <f>IF(AND(BalanceN[[#This Row],[Vérif]]="D",BalanceN[[#This Row],[BE_Credit]]&gt;0),"A",IF(AND(BalanceN[[#This Row],[Vérif]]="C",BalanceN[[#This Row],[BE_Debit]]&gt;0),"A",""))</f>
        <v/>
      </c>
      <c r="N138" s="1126">
        <v>664200</v>
      </c>
      <c r="O138" s="1124" t="s">
        <v>11939</v>
      </c>
      <c r="P138" s="1127"/>
      <c r="Q138" s="1127"/>
      <c r="R138" s="1127">
        <v>513033</v>
      </c>
      <c r="S138" s="1127"/>
      <c r="T138" s="1127">
        <v>513033</v>
      </c>
      <c r="U138" s="1127"/>
      <c r="V138" s="1260">
        <f>VALUE(LEFT(BalanceN1[[#This Row],[Compte]]&amp;"00000000",5))</f>
        <v>66420</v>
      </c>
      <c r="W138" s="1261" cm="1">
        <f t="array" ref="W138">IF(BalanceN1[[#This Row],[Compte]]="",0,_xlfn.IFNA(INDEX(Plan_Comptable[[Table de Compte]:[Sens]],MATCH(VALUE(LEFT(BalanceN1[[#This Row],[Table]],4)),VALUE(Plan_Comptable[Table de Compte]),0),2),"A"))</f>
        <v>0</v>
      </c>
      <c r="X138" s="1262" t="str">
        <f>IF(AND(BalanceN1[[#This Row],[Vérif]]="D",BalanceN1[[#This Row],[BS_Credit]]&gt;0),"A",IF(AND(BalanceN1[[#This Row],[Vérif]]="C",BalanceN1[[#This Row],[BS_Debit]]&gt;0),"A",""))</f>
        <v/>
      </c>
      <c r="Y138" s="1262" t="str">
        <f>IF(AND(BalanceN1[[#This Row],[Vérif]]="D",BalanceN1[[#This Row],[BE_Credit]]&gt;0),"A",IF(AND(BalanceN1[[#This Row],[Vérif]]="C",BalanceN1[[#This Row],[BE_Debit]]&gt;0),"A",""))</f>
        <v/>
      </c>
    </row>
    <row r="139" spans="1:25" ht="18" customHeight="1">
      <c r="A139" s="1124">
        <v>661800</v>
      </c>
      <c r="B139" s="1124" t="s">
        <v>11035</v>
      </c>
      <c r="C139" s="1125"/>
      <c r="D139" s="1125"/>
      <c r="E139" s="1125">
        <v>45353580</v>
      </c>
      <c r="F139" s="1125"/>
      <c r="G139" s="1125">
        <v>45353580</v>
      </c>
      <c r="H139" s="1125"/>
      <c r="I139" s="1122">
        <f>VALUE(LEFT(BalanceN[[#This Row],[Compte]]&amp;"00000000",5))</f>
        <v>66180</v>
      </c>
      <c r="J139" s="1123" cm="1">
        <f t="array" ref="J139">IF(BalanceN[[#This Row],[Compte]]="",0,_xlfn.IFNA(INDEX(Plan_Comptable[[Table de Compte]:[Sens]],MATCH(VALUE(LEFT(BalanceN[[#This Row],[Table]],4)),VALUE(Plan_Comptable[Table de Compte]),0),2),"A"))</f>
        <v>0</v>
      </c>
      <c r="K139" s="1121" t="str">
        <f>IF(AND(BalanceN[[#This Row],[Vérif]]="D",BalanceN[[#This Row],[BS_Credit]]&gt;0),"A",IF(AND(BalanceN[[#This Row],[Vérif]]="C",BalanceN[[#This Row],[BS_Debit]]&gt;0),"A",""))</f>
        <v/>
      </c>
      <c r="L139" s="1121" t="str">
        <f>IF(AND(BalanceN[[#This Row],[Vérif]]="D",BalanceN[[#This Row],[BE_Credit]]&gt;0),"A",IF(AND(BalanceN[[#This Row],[Vérif]]="C",BalanceN[[#This Row],[BE_Debit]]&gt;0),"A",""))</f>
        <v/>
      </c>
      <c r="N139" s="1126">
        <v>6641</v>
      </c>
      <c r="O139" s="1124" t="s">
        <v>2242</v>
      </c>
      <c r="P139" s="1127"/>
      <c r="Q139" s="1127"/>
      <c r="R139" s="1127">
        <v>800000</v>
      </c>
      <c r="S139" s="1127"/>
      <c r="T139" s="1127">
        <v>800000</v>
      </c>
      <c r="U139" s="1127"/>
      <c r="V139" s="1260">
        <f>VALUE(LEFT(BalanceN1[[#This Row],[Compte]]&amp;"00000000",5))</f>
        <v>66410</v>
      </c>
      <c r="W139" s="1261" cm="1">
        <f t="array" ref="W139">IF(BalanceN1[[#This Row],[Compte]]="",0,_xlfn.IFNA(INDEX(Plan_Comptable[[Table de Compte]:[Sens]],MATCH(VALUE(LEFT(BalanceN1[[#This Row],[Table]],4)),VALUE(Plan_Comptable[Table de Compte]),0),2),"A"))</f>
        <v>0</v>
      </c>
      <c r="X139" s="1262" t="str">
        <f>IF(AND(BalanceN1[[#This Row],[Vérif]]="D",BalanceN1[[#This Row],[BS_Credit]]&gt;0),"A",IF(AND(BalanceN1[[#This Row],[Vérif]]="C",BalanceN1[[#This Row],[BS_Debit]]&gt;0),"A",""))</f>
        <v/>
      </c>
      <c r="Y139" s="1262" t="str">
        <f>IF(AND(BalanceN1[[#This Row],[Vérif]]="D",BalanceN1[[#This Row],[BE_Credit]]&gt;0),"A",IF(AND(BalanceN1[[#This Row],[Vérif]]="C",BalanceN1[[#This Row],[BE_Debit]]&gt;0),"A",""))</f>
        <v/>
      </c>
    </row>
    <row r="140" spans="1:25" ht="18" customHeight="1">
      <c r="A140" s="1124">
        <v>662100</v>
      </c>
      <c r="B140" s="1124" t="s">
        <v>11856</v>
      </c>
      <c r="C140" s="1125"/>
      <c r="D140" s="1125"/>
      <c r="E140" s="1125">
        <v>26964127</v>
      </c>
      <c r="F140" s="1125"/>
      <c r="G140" s="1125">
        <v>26964127</v>
      </c>
      <c r="H140" s="1125"/>
      <c r="I140" s="1122">
        <f>VALUE(LEFT(BalanceN[[#This Row],[Compte]]&amp;"00000000",5))</f>
        <v>66210</v>
      </c>
      <c r="J140" s="1123" cm="1">
        <f t="array" ref="J140">IF(BalanceN[[#This Row],[Compte]]="",0,_xlfn.IFNA(INDEX(Plan_Comptable[[Table de Compte]:[Sens]],MATCH(VALUE(LEFT(BalanceN[[#This Row],[Table]],4)),VALUE(Plan_Comptable[Table de Compte]),0),2),"A"))</f>
        <v>0</v>
      </c>
      <c r="K140" s="1121" t="str">
        <f>IF(AND(BalanceN[[#This Row],[Vérif]]="D",BalanceN[[#This Row],[BS_Credit]]&gt;0),"A",IF(AND(BalanceN[[#This Row],[Vérif]]="C",BalanceN[[#This Row],[BS_Debit]]&gt;0),"A",""))</f>
        <v/>
      </c>
      <c r="L140" s="1121" t="str">
        <f>IF(AND(BalanceN[[#This Row],[Vérif]]="D",BalanceN[[#This Row],[BE_Credit]]&gt;0),"A",IF(AND(BalanceN[[#This Row],[Vérif]]="C",BalanceN[[#This Row],[BE_Debit]]&gt;0),"A",""))</f>
        <v/>
      </c>
      <c r="N140" s="1126">
        <v>668400</v>
      </c>
      <c r="O140" s="1124" t="s">
        <v>11940</v>
      </c>
      <c r="P140" s="1127"/>
      <c r="Q140" s="1127"/>
      <c r="R140" s="1127">
        <v>662735</v>
      </c>
      <c r="S140" s="1127"/>
      <c r="T140" s="1127">
        <v>662735</v>
      </c>
      <c r="U140" s="1127"/>
      <c r="V140" s="1260">
        <f>VALUE(LEFT(BalanceN1[[#This Row],[Compte]]&amp;"00000000",5))</f>
        <v>66840</v>
      </c>
      <c r="W140" s="1261" cm="1">
        <f t="array" ref="W140">IF(BalanceN1[[#This Row],[Compte]]="",0,_xlfn.IFNA(INDEX(Plan_Comptable[[Table de Compte]:[Sens]],MATCH(VALUE(LEFT(BalanceN1[[#This Row],[Table]],4)),VALUE(Plan_Comptable[Table de Compte]),0),2),"A"))</f>
        <v>0</v>
      </c>
      <c r="X140" s="1262" t="str">
        <f>IF(AND(BalanceN1[[#This Row],[Vérif]]="D",BalanceN1[[#This Row],[BS_Credit]]&gt;0),"A",IF(AND(BalanceN1[[#This Row],[Vérif]]="C",BalanceN1[[#This Row],[BS_Debit]]&gt;0),"A",""))</f>
        <v/>
      </c>
      <c r="Y140" s="1262" t="str">
        <f>IF(AND(BalanceN1[[#This Row],[Vérif]]="D",BalanceN1[[#This Row],[BE_Credit]]&gt;0),"A",IF(AND(BalanceN1[[#This Row],[Vérif]]="C",BalanceN1[[#This Row],[BE_Debit]]&gt;0),"A",""))</f>
        <v/>
      </c>
    </row>
    <row r="141" spans="1:25" ht="18" customHeight="1">
      <c r="A141" s="1124">
        <v>662300</v>
      </c>
      <c r="B141" s="1124" t="s">
        <v>11857</v>
      </c>
      <c r="C141" s="1125"/>
      <c r="D141" s="1125"/>
      <c r="E141" s="1125">
        <v>956541</v>
      </c>
      <c r="F141" s="1125">
        <v>955634</v>
      </c>
      <c r="G141" s="1125">
        <v>907</v>
      </c>
      <c r="H141" s="1125"/>
      <c r="I141" s="1122">
        <f>VALUE(LEFT(BalanceN[[#This Row],[Compte]]&amp;"00000000",5))</f>
        <v>66230</v>
      </c>
      <c r="J141" s="1123" cm="1">
        <f t="array" ref="J141">IF(BalanceN[[#This Row],[Compte]]="",0,_xlfn.IFNA(INDEX(Plan_Comptable[[Table de Compte]:[Sens]],MATCH(VALUE(LEFT(BalanceN[[#This Row],[Table]],4)),VALUE(Plan_Comptable[Table de Compte]),0),2),"A"))</f>
        <v>0</v>
      </c>
      <c r="K141" s="1121" t="str">
        <f>IF(AND(BalanceN[[#This Row],[Vérif]]="D",BalanceN[[#This Row],[BS_Credit]]&gt;0),"A",IF(AND(BalanceN[[#This Row],[Vérif]]="C",BalanceN[[#This Row],[BS_Debit]]&gt;0),"A",""))</f>
        <v/>
      </c>
      <c r="L141" s="1121" t="str">
        <f>IF(AND(BalanceN[[#This Row],[Vérif]]="D",BalanceN[[#This Row],[BE_Credit]]&gt;0),"A",IF(AND(BalanceN[[#This Row],[Vérif]]="C",BalanceN[[#This Row],[BE_Debit]]&gt;0),"A",""))</f>
        <v/>
      </c>
      <c r="N141" s="1126">
        <v>668500</v>
      </c>
      <c r="O141" s="1124" t="s">
        <v>11941</v>
      </c>
      <c r="P141" s="1127"/>
      <c r="Q141" s="1127"/>
      <c r="R141" s="1127">
        <v>3807010</v>
      </c>
      <c r="S141" s="1127"/>
      <c r="T141" s="1127">
        <v>3807010</v>
      </c>
      <c r="U141" s="1127"/>
      <c r="V141" s="1260">
        <f>VALUE(LEFT(BalanceN1[[#This Row],[Compte]]&amp;"00000000",5))</f>
        <v>66850</v>
      </c>
      <c r="W141" s="1261" cm="1">
        <f t="array" ref="W141">IF(BalanceN1[[#This Row],[Compte]]="",0,_xlfn.IFNA(INDEX(Plan_Comptable[[Table de Compte]:[Sens]],MATCH(VALUE(LEFT(BalanceN1[[#This Row],[Table]],4)),VALUE(Plan_Comptable[Table de Compte]),0),2),"A"))</f>
        <v>0</v>
      </c>
      <c r="X141" s="1262" t="str">
        <f>IF(AND(BalanceN1[[#This Row],[Vérif]]="D",BalanceN1[[#This Row],[BS_Credit]]&gt;0),"A",IF(AND(BalanceN1[[#This Row],[Vérif]]="C",BalanceN1[[#This Row],[BS_Debit]]&gt;0),"A",""))</f>
        <v/>
      </c>
      <c r="Y141" s="1262" t="str">
        <f>IF(AND(BalanceN1[[#This Row],[Vérif]]="D",BalanceN1[[#This Row],[BE_Credit]]&gt;0),"A",IF(AND(BalanceN1[[#This Row],[Vérif]]="C",BalanceN1[[#This Row],[BE_Debit]]&gt;0),"A",""))</f>
        <v/>
      </c>
    </row>
    <row r="142" spans="1:25" ht="18" customHeight="1">
      <c r="A142" s="1124">
        <v>663100</v>
      </c>
      <c r="B142" s="1124" t="s">
        <v>11040</v>
      </c>
      <c r="C142" s="1125"/>
      <c r="D142" s="1125"/>
      <c r="E142" s="1125">
        <v>3216000</v>
      </c>
      <c r="F142" s="1125"/>
      <c r="G142" s="1125">
        <v>3216000</v>
      </c>
      <c r="H142" s="1125"/>
      <c r="I142" s="1122">
        <f>VALUE(LEFT(BalanceN[[#This Row],[Compte]]&amp;"00000000",5))</f>
        <v>66310</v>
      </c>
      <c r="J142" s="1123" cm="1">
        <f t="array" ref="J142">IF(BalanceN[[#This Row],[Compte]]="",0,_xlfn.IFNA(INDEX(Plan_Comptable[[Table de Compte]:[Sens]],MATCH(VALUE(LEFT(BalanceN[[#This Row],[Table]],4)),VALUE(Plan_Comptable[Table de Compte]),0),2),"A"))</f>
        <v>0</v>
      </c>
      <c r="K142" s="1121" t="str">
        <f>IF(AND(BalanceN[[#This Row],[Vérif]]="D",BalanceN[[#This Row],[BS_Credit]]&gt;0),"A",IF(AND(BalanceN[[#This Row],[Vérif]]="C",BalanceN[[#This Row],[BS_Debit]]&gt;0),"A",""))</f>
        <v/>
      </c>
      <c r="L142" s="1121" t="str">
        <f>IF(AND(BalanceN[[#This Row],[Vérif]]="D",BalanceN[[#This Row],[BE_Credit]]&gt;0),"A",IF(AND(BalanceN[[#This Row],[Vérif]]="C",BalanceN[[#This Row],[BE_Debit]]&gt;0),"A",""))</f>
        <v/>
      </c>
      <c r="N142" s="1126">
        <v>681300</v>
      </c>
      <c r="O142" s="1124" t="s">
        <v>11942</v>
      </c>
      <c r="P142" s="1127"/>
      <c r="Q142" s="1127"/>
      <c r="R142" s="1127">
        <v>47569542</v>
      </c>
      <c r="S142" s="1127">
        <v>23264549</v>
      </c>
      <c r="T142" s="1127">
        <v>24304993</v>
      </c>
      <c r="U142" s="1127"/>
      <c r="V142" s="1260">
        <f>VALUE(LEFT(BalanceN1[[#This Row],[Compte]]&amp;"00000000",5))</f>
        <v>68130</v>
      </c>
      <c r="W142" s="1261" cm="1">
        <f t="array" ref="W142">IF(BalanceN1[[#This Row],[Compte]]="",0,_xlfn.IFNA(INDEX(Plan_Comptable[[Table de Compte]:[Sens]],MATCH(VALUE(LEFT(BalanceN1[[#This Row],[Table]],4)),VALUE(Plan_Comptable[Table de Compte]),0),2),"A"))</f>
        <v>0</v>
      </c>
      <c r="X142" s="1262" t="str">
        <f>IF(AND(BalanceN1[[#This Row],[Vérif]]="D",BalanceN1[[#This Row],[BS_Credit]]&gt;0),"A",IF(AND(BalanceN1[[#This Row],[Vérif]]="C",BalanceN1[[#This Row],[BS_Debit]]&gt;0),"A",""))</f>
        <v/>
      </c>
      <c r="Y142" s="1262" t="str">
        <f>IF(AND(BalanceN1[[#This Row],[Vérif]]="D",BalanceN1[[#This Row],[BE_Credit]]&gt;0),"A",IF(AND(BalanceN1[[#This Row],[Vérif]]="C",BalanceN1[[#This Row],[BE_Debit]]&gt;0),"A",""))</f>
        <v/>
      </c>
    </row>
    <row r="143" spans="1:25" ht="18" customHeight="1">
      <c r="A143" s="1124">
        <v>663400</v>
      </c>
      <c r="B143" s="1124" t="s">
        <v>11858</v>
      </c>
      <c r="C143" s="1125"/>
      <c r="D143" s="1125"/>
      <c r="E143" s="1125">
        <v>5407994</v>
      </c>
      <c r="F143" s="1125"/>
      <c r="G143" s="1125">
        <v>5407994</v>
      </c>
      <c r="H143" s="1125"/>
      <c r="I143" s="1122">
        <f>VALUE(LEFT(BalanceN[[#This Row],[Compte]]&amp;"00000000",5))</f>
        <v>66340</v>
      </c>
      <c r="J143" s="1123" cm="1">
        <f t="array" ref="J143">IF(BalanceN[[#This Row],[Compte]]="",0,_xlfn.IFNA(INDEX(Plan_Comptable[[Table de Compte]:[Sens]],MATCH(VALUE(LEFT(BalanceN[[#This Row],[Table]],4)),VALUE(Plan_Comptable[Table de Compte]),0),2),"A"))</f>
        <v>0</v>
      </c>
      <c r="K143" s="1121" t="str">
        <f>IF(AND(BalanceN[[#This Row],[Vérif]]="D",BalanceN[[#This Row],[BS_Credit]]&gt;0),"A",IF(AND(BalanceN[[#This Row],[Vérif]]="C",BalanceN[[#This Row],[BS_Debit]]&gt;0),"A",""))</f>
        <v/>
      </c>
      <c r="L143" s="1121" t="str">
        <f>IF(AND(BalanceN[[#This Row],[Vérif]]="D",BalanceN[[#This Row],[BE_Credit]]&gt;0),"A",IF(AND(BalanceN[[#This Row],[Vérif]]="C",BalanceN[[#This Row],[BE_Debit]]&gt;0),"A",""))</f>
        <v/>
      </c>
      <c r="N143" s="1126">
        <v>6911</v>
      </c>
      <c r="O143" s="1124" t="s">
        <v>11868</v>
      </c>
      <c r="P143" s="1127"/>
      <c r="Q143" s="1127"/>
      <c r="R143" s="1127">
        <v>11082662</v>
      </c>
      <c r="S143" s="1127">
        <v>3771900</v>
      </c>
      <c r="T143" s="1127">
        <v>7310762</v>
      </c>
      <c r="U143" s="1127"/>
      <c r="V143" s="1260">
        <f>VALUE(LEFT(BalanceN1[[#This Row],[Compte]]&amp;"00000000",5))</f>
        <v>69110</v>
      </c>
      <c r="W143" s="1261" cm="1">
        <f t="array" ref="W143">IF(BalanceN1[[#This Row],[Compte]]="",0,_xlfn.IFNA(INDEX(Plan_Comptable[[Table de Compte]:[Sens]],MATCH(VALUE(LEFT(BalanceN1[[#This Row],[Table]],4)),VALUE(Plan_Comptable[Table de Compte]),0),2),"A"))</f>
        <v>0</v>
      </c>
      <c r="X143" s="1262" t="str">
        <f>IF(AND(BalanceN1[[#This Row],[Vérif]]="D",BalanceN1[[#This Row],[BS_Credit]]&gt;0),"A",IF(AND(BalanceN1[[#This Row],[Vérif]]="C",BalanceN1[[#This Row],[BS_Debit]]&gt;0),"A",""))</f>
        <v/>
      </c>
      <c r="Y143" s="1262" t="str">
        <f>IF(AND(BalanceN1[[#This Row],[Vérif]]="D",BalanceN1[[#This Row],[BE_Credit]]&gt;0),"A",IF(AND(BalanceN1[[#This Row],[Vérif]]="C",BalanceN1[[#This Row],[BE_Debit]]&gt;0),"A",""))</f>
        <v/>
      </c>
    </row>
    <row r="144" spans="1:25" ht="18" customHeight="1">
      <c r="A144" s="1124">
        <v>663800</v>
      </c>
      <c r="B144" s="1124" t="s">
        <v>11859</v>
      </c>
      <c r="C144" s="1125"/>
      <c r="D144" s="1125"/>
      <c r="E144" s="1125">
        <v>4651183</v>
      </c>
      <c r="F144" s="1125"/>
      <c r="G144" s="1125">
        <v>4651183</v>
      </c>
      <c r="H144" s="1125"/>
      <c r="I144" s="1122">
        <f>VALUE(LEFT(BalanceN[[#This Row],[Compte]]&amp;"00000000",5))</f>
        <v>66380</v>
      </c>
      <c r="J144" s="1123" cm="1">
        <f t="array" ref="J144">IF(BalanceN[[#This Row],[Compte]]="",0,_xlfn.IFNA(INDEX(Plan_Comptable[[Table de Compte]:[Sens]],MATCH(VALUE(LEFT(BalanceN[[#This Row],[Table]],4)),VALUE(Plan_Comptable[Table de Compte]),0),2),"A"))</f>
        <v>0</v>
      </c>
      <c r="K144" s="1121" t="str">
        <f>IF(AND(BalanceN[[#This Row],[Vérif]]="D",BalanceN[[#This Row],[BS_Credit]]&gt;0),"A",IF(AND(BalanceN[[#This Row],[Vérif]]="C",BalanceN[[#This Row],[BS_Debit]]&gt;0),"A",""))</f>
        <v/>
      </c>
      <c r="L144" s="1121" t="str">
        <f>IF(AND(BalanceN[[#This Row],[Vérif]]="D",BalanceN[[#This Row],[BE_Credit]]&gt;0),"A",IF(AND(BalanceN[[#This Row],[Vérif]]="C",BalanceN[[#This Row],[BE_Debit]]&gt;0),"A",""))</f>
        <v/>
      </c>
      <c r="N144" s="1126">
        <v>702200</v>
      </c>
      <c r="O144" s="1124" t="s">
        <v>11870</v>
      </c>
      <c r="P144" s="1127"/>
      <c r="Q144" s="1127"/>
      <c r="R144" s="1127"/>
      <c r="S144" s="1127">
        <v>1872894148</v>
      </c>
      <c r="T144" s="1127"/>
      <c r="U144" s="1127">
        <v>1872894148</v>
      </c>
      <c r="V144" s="1260">
        <f>VALUE(LEFT(BalanceN1[[#This Row],[Compte]]&amp;"00000000",5))</f>
        <v>70220</v>
      </c>
      <c r="W144" s="1261" cm="1">
        <f t="array" ref="W144">IF(BalanceN1[[#This Row],[Compte]]="",0,_xlfn.IFNA(INDEX(Plan_Comptable[[Table de Compte]:[Sens]],MATCH(VALUE(LEFT(BalanceN1[[#This Row],[Table]],4)),VALUE(Plan_Comptable[Table de Compte]),0),2),"A"))</f>
        <v>0</v>
      </c>
      <c r="X144" s="1262" t="str">
        <f>IF(AND(BalanceN1[[#This Row],[Vérif]]="D",BalanceN1[[#This Row],[BS_Credit]]&gt;0),"A",IF(AND(BalanceN1[[#This Row],[Vérif]]="C",BalanceN1[[#This Row],[BS_Debit]]&gt;0),"A",""))</f>
        <v/>
      </c>
      <c r="Y144" s="1262" t="str">
        <f>IF(AND(BalanceN1[[#This Row],[Vérif]]="D",BalanceN1[[#This Row],[BE_Credit]]&gt;0),"A",IF(AND(BalanceN1[[#This Row],[Vérif]]="C",BalanceN1[[#This Row],[BE_Debit]]&gt;0),"A",""))</f>
        <v/>
      </c>
    </row>
    <row r="145" spans="1:25" ht="18" customHeight="1">
      <c r="A145" s="1124">
        <v>664120</v>
      </c>
      <c r="B145" s="1124" t="s">
        <v>11860</v>
      </c>
      <c r="C145" s="1125"/>
      <c r="D145" s="1125"/>
      <c r="E145" s="1125">
        <v>2588506</v>
      </c>
      <c r="F145" s="1125">
        <v>171878</v>
      </c>
      <c r="G145" s="1125">
        <v>2416628</v>
      </c>
      <c r="H145" s="1125"/>
      <c r="I145" s="1122">
        <f>VALUE(LEFT(BalanceN[[#This Row],[Compte]]&amp;"00000000",5))</f>
        <v>66412</v>
      </c>
      <c r="J145" s="1123" cm="1">
        <f t="array" ref="J145">IF(BalanceN[[#This Row],[Compte]]="",0,_xlfn.IFNA(INDEX(Plan_Comptable[[Table de Compte]:[Sens]],MATCH(VALUE(LEFT(BalanceN[[#This Row],[Table]],4)),VALUE(Plan_Comptable[Table de Compte]),0),2),"A"))</f>
        <v>0</v>
      </c>
      <c r="K145" s="1121" t="str">
        <f>IF(AND(BalanceN[[#This Row],[Vérif]]="D",BalanceN[[#This Row],[BS_Credit]]&gt;0),"A",IF(AND(BalanceN[[#This Row],[Vérif]]="C",BalanceN[[#This Row],[BS_Debit]]&gt;0),"A",""))</f>
        <v/>
      </c>
      <c r="L145" s="1121" t="str">
        <f>IF(AND(BalanceN[[#This Row],[Vérif]]="D",BalanceN[[#This Row],[BE_Credit]]&gt;0),"A",IF(AND(BalanceN[[#This Row],[Vérif]]="C",BalanceN[[#This Row],[BE_Debit]]&gt;0),"A",""))</f>
        <v/>
      </c>
      <c r="N145" s="1126">
        <v>702201</v>
      </c>
      <c r="O145" s="1124" t="s">
        <v>11943</v>
      </c>
      <c r="P145" s="1127"/>
      <c r="Q145" s="1127"/>
      <c r="R145" s="1127">
        <v>14316453</v>
      </c>
      <c r="S145" s="1127"/>
      <c r="T145" s="1127">
        <v>14316453</v>
      </c>
      <c r="U145" s="1127"/>
      <c r="V145" s="1260">
        <f>VALUE(LEFT(BalanceN1[[#This Row],[Compte]]&amp;"00000000",5))</f>
        <v>70220</v>
      </c>
      <c r="W145" s="1261" cm="1">
        <f t="array" ref="W145">IF(BalanceN1[[#This Row],[Compte]]="",0,_xlfn.IFNA(INDEX(Plan_Comptable[[Table de Compte]:[Sens]],MATCH(VALUE(LEFT(BalanceN1[[#This Row],[Table]],4)),VALUE(Plan_Comptable[Table de Compte]),0),2),"A"))</f>
        <v>0</v>
      </c>
      <c r="X145" s="1262" t="str">
        <f>IF(AND(BalanceN1[[#This Row],[Vérif]]="D",BalanceN1[[#This Row],[BS_Credit]]&gt;0),"A",IF(AND(BalanceN1[[#This Row],[Vérif]]="C",BalanceN1[[#This Row],[BS_Debit]]&gt;0),"A",""))</f>
        <v/>
      </c>
      <c r="Y145" s="1262" t="str">
        <f>IF(AND(BalanceN1[[#This Row],[Vérif]]="D",BalanceN1[[#This Row],[BE_Credit]]&gt;0),"A",IF(AND(BalanceN1[[#This Row],[Vérif]]="C",BalanceN1[[#This Row],[BE_Debit]]&gt;0),"A",""))</f>
        <v/>
      </c>
    </row>
    <row r="146" spans="1:25" ht="18" customHeight="1">
      <c r="A146" s="1124">
        <v>664121</v>
      </c>
      <c r="B146" s="1124" t="s">
        <v>11861</v>
      </c>
      <c r="C146" s="1125"/>
      <c r="D146" s="1125"/>
      <c r="E146" s="1125">
        <v>4728850</v>
      </c>
      <c r="F146" s="1125"/>
      <c r="G146" s="1125">
        <v>4728850</v>
      </c>
      <c r="H146" s="1125"/>
      <c r="I146" s="1122">
        <f>VALUE(LEFT(BalanceN[[#This Row],[Compte]]&amp;"00000000",5))</f>
        <v>66412</v>
      </c>
      <c r="J146" s="1123" cm="1">
        <f t="array" ref="J146">IF(BalanceN[[#This Row],[Compte]]="",0,_xlfn.IFNA(INDEX(Plan_Comptable[[Table de Compte]:[Sens]],MATCH(VALUE(LEFT(BalanceN[[#This Row],[Table]],4)),VALUE(Plan_Comptable[Table de Compte]),0),2),"A"))</f>
        <v>0</v>
      </c>
      <c r="K146" s="1121" t="str">
        <f>IF(AND(BalanceN[[#This Row],[Vérif]]="D",BalanceN[[#This Row],[BS_Credit]]&gt;0),"A",IF(AND(BalanceN[[#This Row],[Vérif]]="C",BalanceN[[#This Row],[BS_Debit]]&gt;0),"A",""))</f>
        <v/>
      </c>
      <c r="L146" s="1121" t="str">
        <f>IF(AND(BalanceN[[#This Row],[Vérif]]="D",BalanceN[[#This Row],[BE_Credit]]&gt;0),"A",IF(AND(BalanceN[[#This Row],[Vérif]]="C",BalanceN[[#This Row],[BE_Debit]]&gt;0),"A",""))</f>
        <v/>
      </c>
      <c r="N146" s="1126">
        <v>702902</v>
      </c>
      <c r="O146" s="1124" t="s">
        <v>11944</v>
      </c>
      <c r="P146" s="1127"/>
      <c r="Q146" s="1127"/>
      <c r="R146" s="1127">
        <v>1153585</v>
      </c>
      <c r="S146" s="1127"/>
      <c r="T146" s="1127">
        <v>1153585</v>
      </c>
      <c r="U146" s="1127"/>
      <c r="V146" s="1260">
        <f>VALUE(LEFT(BalanceN1[[#This Row],[Compte]]&amp;"00000000",5))</f>
        <v>70290</v>
      </c>
      <c r="W146" s="1261" cm="1">
        <f t="array" ref="W146">IF(BalanceN1[[#This Row],[Compte]]="",0,_xlfn.IFNA(INDEX(Plan_Comptable[[Table de Compte]:[Sens]],MATCH(VALUE(LEFT(BalanceN1[[#This Row],[Table]],4)),VALUE(Plan_Comptable[Table de Compte]),0),2),"A"))</f>
        <v>0</v>
      </c>
      <c r="X146" s="1262" t="str">
        <f>IF(AND(BalanceN1[[#This Row],[Vérif]]="D",BalanceN1[[#This Row],[BS_Credit]]&gt;0),"A",IF(AND(BalanceN1[[#This Row],[Vérif]]="C",BalanceN1[[#This Row],[BS_Debit]]&gt;0),"A",""))</f>
        <v/>
      </c>
      <c r="Y146" s="1262" t="str">
        <f>IF(AND(BalanceN1[[#This Row],[Vérif]]="D",BalanceN1[[#This Row],[BE_Credit]]&gt;0),"A",IF(AND(BalanceN1[[#This Row],[Vérif]]="C",BalanceN1[[#This Row],[BE_Debit]]&gt;0),"A",""))</f>
        <v/>
      </c>
    </row>
    <row r="147" spans="1:25" ht="18" customHeight="1">
      <c r="A147" s="1124">
        <v>664130</v>
      </c>
      <c r="B147" s="1124" t="s">
        <v>11862</v>
      </c>
      <c r="C147" s="1125"/>
      <c r="D147" s="1125"/>
      <c r="E147" s="1125">
        <v>8662975</v>
      </c>
      <c r="F147" s="1125">
        <v>336707</v>
      </c>
      <c r="G147" s="1125">
        <v>8326268</v>
      </c>
      <c r="H147" s="1125"/>
      <c r="I147" s="1122">
        <f>VALUE(LEFT(BalanceN[[#This Row],[Compte]]&amp;"00000000",5))</f>
        <v>66413</v>
      </c>
      <c r="J147" s="1123" cm="1">
        <f t="array" ref="J147">IF(BalanceN[[#This Row],[Compte]]="",0,_xlfn.IFNA(INDEX(Plan_Comptable[[Table de Compte]:[Sens]],MATCH(VALUE(LEFT(BalanceN[[#This Row],[Table]],4)),VALUE(Plan_Comptable[Table de Compte]),0),2),"A"))</f>
        <v>0</v>
      </c>
      <c r="K147" s="1121" t="str">
        <f>IF(AND(BalanceN[[#This Row],[Vérif]]="D",BalanceN[[#This Row],[BS_Credit]]&gt;0),"A",IF(AND(BalanceN[[#This Row],[Vérif]]="C",BalanceN[[#This Row],[BS_Debit]]&gt;0),"A",""))</f>
        <v/>
      </c>
      <c r="L147" s="1121" t="str">
        <f>IF(AND(BalanceN[[#This Row],[Vérif]]="D",BalanceN[[#This Row],[BE_Credit]]&gt;0),"A",IF(AND(BalanceN[[#This Row],[Vérif]]="C",BalanceN[[#This Row],[BE_Debit]]&gt;0),"A",""))</f>
        <v/>
      </c>
      <c r="N147" s="1126">
        <v>706100</v>
      </c>
      <c r="O147" s="1124" t="s">
        <v>11945</v>
      </c>
      <c r="P147" s="1127"/>
      <c r="Q147" s="1127"/>
      <c r="R147" s="1127">
        <v>2112000</v>
      </c>
      <c r="S147" s="1127">
        <v>14916000</v>
      </c>
      <c r="T147" s="1127"/>
      <c r="U147" s="1127">
        <v>12804000</v>
      </c>
      <c r="V147" s="1260">
        <f>VALUE(LEFT(BalanceN1[[#This Row],[Compte]]&amp;"00000000",5))</f>
        <v>70610</v>
      </c>
      <c r="W147" s="1261" cm="1">
        <f t="array" ref="W147">IF(BalanceN1[[#This Row],[Compte]]="",0,_xlfn.IFNA(INDEX(Plan_Comptable[[Table de Compte]:[Sens]],MATCH(VALUE(LEFT(BalanceN1[[#This Row],[Table]],4)),VALUE(Plan_Comptable[Table de Compte]),0),2),"A"))</f>
        <v>0</v>
      </c>
      <c r="X147" s="1262" t="str">
        <f>IF(AND(BalanceN1[[#This Row],[Vérif]]="D",BalanceN1[[#This Row],[BS_Credit]]&gt;0),"A",IF(AND(BalanceN1[[#This Row],[Vérif]]="C",BalanceN1[[#This Row],[BS_Debit]]&gt;0),"A",""))</f>
        <v/>
      </c>
      <c r="Y147" s="1262" t="str">
        <f>IF(AND(BalanceN1[[#This Row],[Vérif]]="D",BalanceN1[[#This Row],[BE_Credit]]&gt;0),"A",IF(AND(BalanceN1[[#This Row],[Vérif]]="C",BalanceN1[[#This Row],[BE_Debit]]&gt;0),"A",""))</f>
        <v/>
      </c>
    </row>
    <row r="148" spans="1:25" ht="18" customHeight="1">
      <c r="A148" s="1124">
        <v>664140</v>
      </c>
      <c r="B148" s="1124" t="s">
        <v>11863</v>
      </c>
      <c r="C148" s="1125"/>
      <c r="D148" s="1125"/>
      <c r="E148" s="1125">
        <v>1739939</v>
      </c>
      <c r="F148" s="1125"/>
      <c r="G148" s="1125">
        <v>1739939</v>
      </c>
      <c r="H148" s="1125"/>
      <c r="I148" s="1122">
        <f>VALUE(LEFT(BalanceN[[#This Row],[Compte]]&amp;"00000000",5))</f>
        <v>66414</v>
      </c>
      <c r="J148" s="1123" cm="1">
        <f t="array" ref="J148">IF(BalanceN[[#This Row],[Compte]]="",0,_xlfn.IFNA(INDEX(Plan_Comptable[[Table de Compte]:[Sens]],MATCH(VALUE(LEFT(BalanceN[[#This Row],[Table]],4)),VALUE(Plan_Comptable[Table de Compte]),0),2),"A"))</f>
        <v>0</v>
      </c>
      <c r="K148" s="1121" t="str">
        <f>IF(AND(BalanceN[[#This Row],[Vérif]]="D",BalanceN[[#This Row],[BS_Credit]]&gt;0),"A",IF(AND(BalanceN[[#This Row],[Vérif]]="C",BalanceN[[#This Row],[BS_Debit]]&gt;0),"A",""))</f>
        <v/>
      </c>
      <c r="L148" s="1121" t="str">
        <f>IF(AND(BalanceN[[#This Row],[Vérif]]="D",BalanceN[[#This Row],[BE_Credit]]&gt;0),"A",IF(AND(BalanceN[[#This Row],[Vérif]]="C",BalanceN[[#This Row],[BE_Debit]]&gt;0),"A",""))</f>
        <v/>
      </c>
      <c r="N148" s="1126">
        <v>707800</v>
      </c>
      <c r="O148" s="1124" t="s">
        <v>11118</v>
      </c>
      <c r="P148" s="1127"/>
      <c r="Q148" s="1127"/>
      <c r="R148" s="1127"/>
      <c r="S148" s="1127">
        <v>1400000</v>
      </c>
      <c r="T148" s="1127"/>
      <c r="U148" s="1127">
        <v>1400000</v>
      </c>
      <c r="V148" s="1260">
        <f>VALUE(LEFT(BalanceN1[[#This Row],[Compte]]&amp;"00000000",5))</f>
        <v>70780</v>
      </c>
      <c r="W148" s="1261" cm="1">
        <f t="array" ref="W148">IF(BalanceN1[[#This Row],[Compte]]="",0,_xlfn.IFNA(INDEX(Plan_Comptable[[Table de Compte]:[Sens]],MATCH(VALUE(LEFT(BalanceN1[[#This Row],[Table]],4)),VALUE(Plan_Comptable[Table de Compte]),0),2),"A"))</f>
        <v>0</v>
      </c>
      <c r="X148" s="1262" t="str">
        <f>IF(AND(BalanceN1[[#This Row],[Vérif]]="D",BalanceN1[[#This Row],[BS_Credit]]&gt;0),"A",IF(AND(BalanceN1[[#This Row],[Vérif]]="C",BalanceN1[[#This Row],[BS_Debit]]&gt;0),"A",""))</f>
        <v/>
      </c>
      <c r="Y148" s="1262" t="str">
        <f>IF(AND(BalanceN1[[#This Row],[Vérif]]="D",BalanceN1[[#This Row],[BE_Credit]]&gt;0),"A",IF(AND(BalanceN1[[#This Row],[Vérif]]="C",BalanceN1[[#This Row],[BE_Debit]]&gt;0),"A",""))</f>
        <v/>
      </c>
    </row>
    <row r="149" spans="1:25" ht="18" customHeight="1">
      <c r="A149" s="1124">
        <v>664200</v>
      </c>
      <c r="B149" s="1124" t="s">
        <v>11864</v>
      </c>
      <c r="C149" s="1125"/>
      <c r="D149" s="1125"/>
      <c r="E149" s="1125">
        <v>9164992</v>
      </c>
      <c r="F149" s="1125">
        <v>2893292</v>
      </c>
      <c r="G149" s="1125">
        <v>6271700</v>
      </c>
      <c r="H149" s="1125"/>
      <c r="I149" s="1122">
        <f>VALUE(LEFT(BalanceN[[#This Row],[Compte]]&amp;"00000000",5))</f>
        <v>66420</v>
      </c>
      <c r="J149" s="1123" cm="1">
        <f t="array" ref="J149">IF(BalanceN[[#This Row],[Compte]]="",0,_xlfn.IFNA(INDEX(Plan_Comptable[[Table de Compte]:[Sens]],MATCH(VALUE(LEFT(BalanceN[[#This Row],[Table]],4)),VALUE(Plan_Comptable[Table de Compte]),0),2),"A"))</f>
        <v>0</v>
      </c>
      <c r="K149" s="1121" t="str">
        <f>IF(AND(BalanceN[[#This Row],[Vérif]]="D",BalanceN[[#This Row],[BS_Credit]]&gt;0),"A",IF(AND(BalanceN[[#This Row],[Vérif]]="C",BalanceN[[#This Row],[BS_Debit]]&gt;0),"A",""))</f>
        <v/>
      </c>
      <c r="L149" s="1121" t="str">
        <f>IF(AND(BalanceN[[#This Row],[Vérif]]="D",BalanceN[[#This Row],[BE_Credit]]&gt;0),"A",IF(AND(BalanceN[[#This Row],[Vérif]]="C",BalanceN[[#This Row],[BE_Debit]]&gt;0),"A",""))</f>
        <v/>
      </c>
      <c r="N149" s="1126">
        <v>707810</v>
      </c>
      <c r="O149" s="1124" t="s">
        <v>1289</v>
      </c>
      <c r="P149" s="1127"/>
      <c r="Q149" s="1127"/>
      <c r="R149" s="1127"/>
      <c r="S149" s="1127">
        <v>198780</v>
      </c>
      <c r="T149" s="1127"/>
      <c r="U149" s="1127">
        <v>198780</v>
      </c>
      <c r="V149" s="1260">
        <f>VALUE(LEFT(BalanceN1[[#This Row],[Compte]]&amp;"00000000",5))</f>
        <v>70781</v>
      </c>
      <c r="W149" s="1261" cm="1">
        <f t="array" ref="W149">IF(BalanceN1[[#This Row],[Compte]]="",0,_xlfn.IFNA(INDEX(Plan_Comptable[[Table de Compte]:[Sens]],MATCH(VALUE(LEFT(BalanceN1[[#This Row],[Table]],4)),VALUE(Plan_Comptable[Table de Compte]),0),2),"A"))</f>
        <v>0</v>
      </c>
      <c r="X149" s="1262" t="str">
        <f>IF(AND(BalanceN1[[#This Row],[Vérif]]="D",BalanceN1[[#This Row],[BS_Credit]]&gt;0),"A",IF(AND(BalanceN1[[#This Row],[Vérif]]="C",BalanceN1[[#This Row],[BS_Debit]]&gt;0),"A",""))</f>
        <v/>
      </c>
      <c r="Y149" s="1262" t="str">
        <f>IF(AND(BalanceN1[[#This Row],[Vérif]]="D",BalanceN1[[#This Row],[BE_Credit]]&gt;0),"A",IF(AND(BalanceN1[[#This Row],[Vérif]]="C",BalanceN1[[#This Row],[BE_Debit]]&gt;0),"A",""))</f>
        <v/>
      </c>
    </row>
    <row r="150" spans="1:25" ht="18" customHeight="1">
      <c r="A150" s="1124">
        <v>6641</v>
      </c>
      <c r="B150" s="1124" t="s">
        <v>2242</v>
      </c>
      <c r="C150" s="1125"/>
      <c r="D150" s="1125"/>
      <c r="E150" s="1125">
        <v>800000</v>
      </c>
      <c r="F150" s="1125"/>
      <c r="G150" s="1125">
        <v>800000</v>
      </c>
      <c r="H150" s="1125"/>
      <c r="I150" s="1122">
        <f>VALUE(LEFT(BalanceN[[#This Row],[Compte]]&amp;"00000000",5))</f>
        <v>66410</v>
      </c>
      <c r="J150" s="1123" cm="1">
        <f t="array" ref="J150">IF(BalanceN[[#This Row],[Compte]]="",0,_xlfn.IFNA(INDEX(Plan_Comptable[[Table de Compte]:[Sens]],MATCH(VALUE(LEFT(BalanceN[[#This Row],[Table]],4)),VALUE(Plan_Comptable[Table de Compte]),0),2),"A"))</f>
        <v>0</v>
      </c>
      <c r="K150" s="1121" t="str">
        <f>IF(AND(BalanceN[[#This Row],[Vérif]]="D",BalanceN[[#This Row],[BS_Credit]]&gt;0),"A",IF(AND(BalanceN[[#This Row],[Vérif]]="C",BalanceN[[#This Row],[BS_Debit]]&gt;0),"A",""))</f>
        <v/>
      </c>
      <c r="L150" s="1121" t="str">
        <f>IF(AND(BalanceN[[#This Row],[Vérif]]="D",BalanceN[[#This Row],[BE_Credit]]&gt;0),"A",IF(AND(BalanceN[[#This Row],[Vérif]]="C",BalanceN[[#This Row],[BE_Debit]]&gt;0),"A",""))</f>
        <v/>
      </c>
      <c r="N150" s="1126">
        <v>758800</v>
      </c>
      <c r="O150" s="1124" t="s">
        <v>11149</v>
      </c>
      <c r="P150" s="1127"/>
      <c r="Q150" s="1127"/>
      <c r="R150" s="1127">
        <v>347132</v>
      </c>
      <c r="S150" s="1127">
        <v>11833669</v>
      </c>
      <c r="T150" s="1127"/>
      <c r="U150" s="1127">
        <v>11486537</v>
      </c>
      <c r="V150" s="1260">
        <f>VALUE(LEFT(BalanceN1[[#This Row],[Compte]]&amp;"00000000",5))</f>
        <v>75880</v>
      </c>
      <c r="W150" s="1261" cm="1">
        <f t="array" ref="W150">IF(BalanceN1[[#This Row],[Compte]]="",0,_xlfn.IFNA(INDEX(Plan_Comptable[[Table de Compte]:[Sens]],MATCH(VALUE(LEFT(BalanceN1[[#This Row],[Table]],4)),VALUE(Plan_Comptable[Table de Compte]),0),2),"A"))</f>
        <v>0</v>
      </c>
      <c r="X150" s="1262" t="str">
        <f>IF(AND(BalanceN1[[#This Row],[Vérif]]="D",BalanceN1[[#This Row],[BS_Credit]]&gt;0),"A",IF(AND(BalanceN1[[#This Row],[Vérif]]="C",BalanceN1[[#This Row],[BS_Debit]]&gt;0),"A",""))</f>
        <v/>
      </c>
      <c r="Y150" s="1262" t="str">
        <f>IF(AND(BalanceN1[[#This Row],[Vérif]]="D",BalanceN1[[#This Row],[BE_Credit]]&gt;0),"A",IF(AND(BalanceN1[[#This Row],[Vérif]]="C",BalanceN1[[#This Row],[BE_Debit]]&gt;0),"A",""))</f>
        <v/>
      </c>
    </row>
    <row r="151" spans="1:25" ht="18" customHeight="1">
      <c r="A151" s="1124">
        <v>668400</v>
      </c>
      <c r="B151" s="1124" t="s">
        <v>2787</v>
      </c>
      <c r="C151" s="1125"/>
      <c r="D151" s="1125"/>
      <c r="E151" s="1125">
        <v>2929779</v>
      </c>
      <c r="F151" s="1125">
        <v>1241500</v>
      </c>
      <c r="G151" s="1125">
        <v>1688279</v>
      </c>
      <c r="H151" s="1125"/>
      <c r="I151" s="1122">
        <f>VALUE(LEFT(BalanceN[[#This Row],[Compte]]&amp;"00000000",5))</f>
        <v>66840</v>
      </c>
      <c r="J151" s="1123" cm="1">
        <f t="array" ref="J151">IF(BalanceN[[#This Row],[Compte]]="",0,_xlfn.IFNA(INDEX(Plan_Comptable[[Table de Compte]:[Sens]],MATCH(VALUE(LEFT(BalanceN[[#This Row],[Table]],4)),VALUE(Plan_Comptable[Table de Compte]),0),2),"A"))</f>
        <v>0</v>
      </c>
      <c r="K151" s="1121" t="str">
        <f>IF(AND(BalanceN[[#This Row],[Vérif]]="D",BalanceN[[#This Row],[BS_Credit]]&gt;0),"A",IF(AND(BalanceN[[#This Row],[Vérif]]="C",BalanceN[[#This Row],[BS_Debit]]&gt;0),"A",""))</f>
        <v/>
      </c>
      <c r="L151" s="1121" t="str">
        <f>IF(AND(BalanceN[[#This Row],[Vérif]]="D",BalanceN[[#This Row],[BE_Credit]]&gt;0),"A",IF(AND(BalanceN[[#This Row],[Vérif]]="C",BalanceN[[#This Row],[BE_Debit]]&gt;0),"A",""))</f>
        <v/>
      </c>
      <c r="N151" s="1126">
        <v>781000</v>
      </c>
      <c r="O151" s="1124" t="s">
        <v>11878</v>
      </c>
      <c r="P151" s="1127"/>
      <c r="Q151" s="1127"/>
      <c r="R151" s="1127"/>
      <c r="S151" s="1127">
        <v>3216000</v>
      </c>
      <c r="T151" s="1127"/>
      <c r="U151" s="1127">
        <v>3216000</v>
      </c>
      <c r="V151" s="1260">
        <f>VALUE(LEFT(BalanceN1[[#This Row],[Compte]]&amp;"00000000",5))</f>
        <v>78100</v>
      </c>
      <c r="W151" s="1261" cm="1">
        <f t="array" ref="W151">IF(BalanceN1[[#This Row],[Compte]]="",0,_xlfn.IFNA(INDEX(Plan_Comptable[[Table de Compte]:[Sens]],MATCH(VALUE(LEFT(BalanceN1[[#This Row],[Table]],4)),VALUE(Plan_Comptable[Table de Compte]),0),2),"A"))</f>
        <v>0</v>
      </c>
      <c r="X151" s="1262" t="str">
        <f>IF(AND(BalanceN1[[#This Row],[Vérif]]="D",BalanceN1[[#This Row],[BS_Credit]]&gt;0),"A",IF(AND(BalanceN1[[#This Row],[Vérif]]="C",BalanceN1[[#This Row],[BS_Debit]]&gt;0),"A",""))</f>
        <v/>
      </c>
      <c r="Y151" s="1262" t="str">
        <f>IF(AND(BalanceN1[[#This Row],[Vérif]]="D",BalanceN1[[#This Row],[BE_Credit]]&gt;0),"A",IF(AND(BalanceN1[[#This Row],[Vérif]]="C",BalanceN1[[#This Row],[BE_Debit]]&gt;0),"A",""))</f>
        <v/>
      </c>
    </row>
    <row r="152" spans="1:25" ht="18" customHeight="1">
      <c r="A152" s="1124">
        <v>668500</v>
      </c>
      <c r="B152" s="1124" t="s">
        <v>11865</v>
      </c>
      <c r="C152" s="1125"/>
      <c r="D152" s="1125"/>
      <c r="E152" s="1125">
        <v>417210</v>
      </c>
      <c r="F152" s="1125"/>
      <c r="G152" s="1125">
        <v>417210</v>
      </c>
      <c r="H152" s="1125"/>
      <c r="I152" s="1122">
        <f>VALUE(LEFT(BalanceN[[#This Row],[Compte]]&amp;"00000000",5))</f>
        <v>66850</v>
      </c>
      <c r="J152" s="1123" cm="1">
        <f t="array" ref="J152">IF(BalanceN[[#This Row],[Compte]]="",0,_xlfn.IFNA(INDEX(Plan_Comptable[[Table de Compte]:[Sens]],MATCH(VALUE(LEFT(BalanceN[[#This Row],[Table]],4)),VALUE(Plan_Comptable[Table de Compte]),0),2),"A"))</f>
        <v>0</v>
      </c>
      <c r="K152" s="1121" t="str">
        <f>IF(AND(BalanceN[[#This Row],[Vérif]]="D",BalanceN[[#This Row],[BS_Credit]]&gt;0),"A",IF(AND(BalanceN[[#This Row],[Vérif]]="C",BalanceN[[#This Row],[BS_Debit]]&gt;0),"A",""))</f>
        <v/>
      </c>
      <c r="L152" s="1121" t="str">
        <f>IF(AND(BalanceN[[#This Row],[Vérif]]="D",BalanceN[[#This Row],[BE_Credit]]&gt;0),"A",IF(AND(BalanceN[[#This Row],[Vérif]]="C",BalanceN[[#This Row],[BE_Debit]]&gt;0),"A",""))</f>
        <v/>
      </c>
      <c r="N152" s="1126">
        <v>781</v>
      </c>
      <c r="O152" s="1124" t="s">
        <v>11946</v>
      </c>
      <c r="P152" s="1127"/>
      <c r="Q152" s="1127"/>
      <c r="R152" s="1127"/>
      <c r="S152" s="1127">
        <v>2601880</v>
      </c>
      <c r="T152" s="1127"/>
      <c r="U152" s="1127">
        <v>2601880</v>
      </c>
      <c r="V152" s="1260">
        <f>VALUE(LEFT(BalanceN1[[#This Row],[Compte]]&amp;"00000000",5))</f>
        <v>78100</v>
      </c>
      <c r="W152" s="1261" cm="1">
        <f t="array" ref="W152">IF(BalanceN1[[#This Row],[Compte]]="",0,_xlfn.IFNA(INDEX(Plan_Comptable[[Table de Compte]:[Sens]],MATCH(VALUE(LEFT(BalanceN1[[#This Row],[Table]],4)),VALUE(Plan_Comptable[Table de Compte]),0),2),"A"))</f>
        <v>0</v>
      </c>
      <c r="X152" s="1262" t="str">
        <f>IF(AND(BalanceN1[[#This Row],[Vérif]]="D",BalanceN1[[#This Row],[BS_Credit]]&gt;0),"A",IF(AND(BalanceN1[[#This Row],[Vérif]]="C",BalanceN1[[#This Row],[BS_Debit]]&gt;0),"A",""))</f>
        <v/>
      </c>
      <c r="Y152" s="1262" t="str">
        <f>IF(AND(BalanceN1[[#This Row],[Vérif]]="D",BalanceN1[[#This Row],[BE_Credit]]&gt;0),"A",IF(AND(BalanceN1[[#This Row],[Vérif]]="C",BalanceN1[[#This Row],[BE_Debit]]&gt;0),"A",""))</f>
        <v/>
      </c>
    </row>
    <row r="153" spans="1:25" ht="18" customHeight="1">
      <c r="A153" s="1124">
        <v>671200</v>
      </c>
      <c r="B153" s="1124" t="s">
        <v>11866</v>
      </c>
      <c r="C153" s="1125"/>
      <c r="D153" s="1125"/>
      <c r="E153" s="1125">
        <v>3500000</v>
      </c>
      <c r="F153" s="1125"/>
      <c r="G153" s="1125">
        <v>3500000</v>
      </c>
      <c r="H153" s="1125"/>
      <c r="I153" s="1122">
        <f>VALUE(LEFT(BalanceN[[#This Row],[Compte]]&amp;"00000000",5))</f>
        <v>67120</v>
      </c>
      <c r="J153" s="1123" cm="1">
        <f t="array" ref="J153">IF(BalanceN[[#This Row],[Compte]]="",0,_xlfn.IFNA(INDEX(Plan_Comptable[[Table de Compte]:[Sens]],MATCH(VALUE(LEFT(BalanceN[[#This Row],[Table]],4)),VALUE(Plan_Comptable[Table de Compte]),0),2),"A"))</f>
        <v>0</v>
      </c>
      <c r="K153" s="1121" t="str">
        <f>IF(AND(BalanceN[[#This Row],[Vérif]]="D",BalanceN[[#This Row],[BS_Credit]]&gt;0),"A",IF(AND(BalanceN[[#This Row],[Vérif]]="C",BalanceN[[#This Row],[BS_Debit]]&gt;0),"A",""))</f>
        <v/>
      </c>
      <c r="L153" s="1121" t="str">
        <f>IF(AND(BalanceN[[#This Row],[Vérif]]="D",BalanceN[[#This Row],[BE_Credit]]&gt;0),"A",IF(AND(BalanceN[[#This Row],[Vérif]]="C",BalanceN[[#This Row],[BE_Debit]]&gt;0),"A",""))</f>
        <v/>
      </c>
      <c r="N153" s="1126">
        <v>812000</v>
      </c>
      <c r="O153" s="1124" t="s">
        <v>11947</v>
      </c>
      <c r="P153" s="1127"/>
      <c r="Q153" s="1127"/>
      <c r="R153" s="1127">
        <v>350000</v>
      </c>
      <c r="S153" s="1127">
        <v>58333</v>
      </c>
      <c r="T153" s="1127">
        <v>291667</v>
      </c>
      <c r="U153" s="1127"/>
      <c r="V153" s="1260">
        <f>VALUE(LEFT(BalanceN1[[#This Row],[Compte]]&amp;"00000000",5))</f>
        <v>81200</v>
      </c>
      <c r="W153" s="1261" cm="1">
        <f t="array" ref="W153">IF(BalanceN1[[#This Row],[Compte]]="",0,_xlfn.IFNA(INDEX(Plan_Comptable[[Table de Compte]:[Sens]],MATCH(VALUE(LEFT(BalanceN1[[#This Row],[Table]],4)),VALUE(Plan_Comptable[Table de Compte]),0),2),"A"))</f>
        <v>0</v>
      </c>
      <c r="X153" s="1262" t="str">
        <f>IF(AND(BalanceN1[[#This Row],[Vérif]]="D",BalanceN1[[#This Row],[BS_Credit]]&gt;0),"A",IF(AND(BalanceN1[[#This Row],[Vérif]]="C",BalanceN1[[#This Row],[BS_Debit]]&gt;0),"A",""))</f>
        <v/>
      </c>
      <c r="Y153" s="1262" t="str">
        <f>IF(AND(BalanceN1[[#This Row],[Vérif]]="D",BalanceN1[[#This Row],[BE_Credit]]&gt;0),"A",IF(AND(BalanceN1[[#This Row],[Vérif]]="C",BalanceN1[[#This Row],[BE_Debit]]&gt;0),"A",""))</f>
        <v/>
      </c>
    </row>
    <row r="154" spans="1:25" ht="18" customHeight="1">
      <c r="A154" s="1124">
        <v>681300</v>
      </c>
      <c r="B154" s="1124" t="s">
        <v>11867</v>
      </c>
      <c r="C154" s="1125"/>
      <c r="D154" s="1125"/>
      <c r="E154" s="1125">
        <v>41555720</v>
      </c>
      <c r="F154" s="1125">
        <v>22296076</v>
      </c>
      <c r="G154" s="1125">
        <v>19259644</v>
      </c>
      <c r="H154" s="1125"/>
      <c r="I154" s="1122">
        <f>VALUE(LEFT(BalanceN[[#This Row],[Compte]]&amp;"00000000",5))</f>
        <v>68130</v>
      </c>
      <c r="J154" s="1123" cm="1">
        <f t="array" ref="J154">IF(BalanceN[[#This Row],[Compte]]="",0,_xlfn.IFNA(INDEX(Plan_Comptable[[Table de Compte]:[Sens]],MATCH(VALUE(LEFT(BalanceN[[#This Row],[Table]],4)),VALUE(Plan_Comptable[Table de Compte]),0),2),"A"))</f>
        <v>0</v>
      </c>
      <c r="K154" s="1121" t="str">
        <f>IF(AND(BalanceN[[#This Row],[Vérif]]="D",BalanceN[[#This Row],[BS_Credit]]&gt;0),"A",IF(AND(BalanceN[[#This Row],[Vérif]]="C",BalanceN[[#This Row],[BS_Debit]]&gt;0),"A",""))</f>
        <v/>
      </c>
      <c r="L154" s="1121" t="str">
        <f>IF(AND(BalanceN[[#This Row],[Vérif]]="D",BalanceN[[#This Row],[BE_Credit]]&gt;0),"A",IF(AND(BalanceN[[#This Row],[Vérif]]="C",BalanceN[[#This Row],[BE_Debit]]&gt;0),"A",""))</f>
        <v/>
      </c>
      <c r="N154" s="1126">
        <v>822000</v>
      </c>
      <c r="O154" s="1124" t="s">
        <v>11880</v>
      </c>
      <c r="P154" s="1127"/>
      <c r="Q154" s="1127"/>
      <c r="R154" s="1127"/>
      <c r="S154" s="1127">
        <v>350000</v>
      </c>
      <c r="T154" s="1127"/>
      <c r="U154" s="1127">
        <v>350000</v>
      </c>
      <c r="V154" s="1260">
        <f>VALUE(LEFT(BalanceN1[[#This Row],[Compte]]&amp;"00000000",5))</f>
        <v>82200</v>
      </c>
      <c r="W154" s="1261" cm="1">
        <f t="array" ref="W154">IF(BalanceN1[[#This Row],[Compte]]="",0,_xlfn.IFNA(INDEX(Plan_Comptable[[Table de Compte]:[Sens]],MATCH(VALUE(LEFT(BalanceN1[[#This Row],[Table]],4)),VALUE(Plan_Comptable[Table de Compte]),0),2),"A"))</f>
        <v>0</v>
      </c>
      <c r="X154" s="1262" t="str">
        <f>IF(AND(BalanceN1[[#This Row],[Vérif]]="D",BalanceN1[[#This Row],[BS_Credit]]&gt;0),"A",IF(AND(BalanceN1[[#This Row],[Vérif]]="C",BalanceN1[[#This Row],[BS_Debit]]&gt;0),"A",""))</f>
        <v/>
      </c>
      <c r="Y154" s="1262" t="str">
        <f>IF(AND(BalanceN1[[#This Row],[Vérif]]="D",BalanceN1[[#This Row],[BE_Credit]]&gt;0),"A",IF(AND(BalanceN1[[#This Row],[Vérif]]="C",BalanceN1[[#This Row],[BE_Debit]]&gt;0),"A",""))</f>
        <v/>
      </c>
    </row>
    <row r="155" spans="1:25" ht="18" customHeight="1">
      <c r="A155" s="1124">
        <v>691100</v>
      </c>
      <c r="B155" s="1124" t="s">
        <v>11868</v>
      </c>
      <c r="C155" s="1125"/>
      <c r="D155" s="1125"/>
      <c r="E155" s="1125">
        <v>13953199</v>
      </c>
      <c r="F155" s="1125">
        <v>6701530</v>
      </c>
      <c r="G155" s="1125">
        <v>7251669</v>
      </c>
      <c r="H155" s="1125"/>
      <c r="I155" s="1122">
        <f>VALUE(LEFT(BalanceN[[#This Row],[Compte]]&amp;"00000000",5))</f>
        <v>69110</v>
      </c>
      <c r="J155" s="1123" cm="1">
        <f t="array" ref="J155">IF(BalanceN[[#This Row],[Compte]]="",0,_xlfn.IFNA(INDEX(Plan_Comptable[[Table de Compte]:[Sens]],MATCH(VALUE(LEFT(BalanceN[[#This Row],[Table]],4)),VALUE(Plan_Comptable[Table de Compte]),0),2),"A"))</f>
        <v>0</v>
      </c>
      <c r="K155" s="1121" t="str">
        <f>IF(AND(BalanceN[[#This Row],[Vérif]]="D",BalanceN[[#This Row],[BS_Credit]]&gt;0),"A",IF(AND(BalanceN[[#This Row],[Vérif]]="C",BalanceN[[#This Row],[BS_Debit]]&gt;0),"A",""))</f>
        <v/>
      </c>
      <c r="L155" s="1121" t="str">
        <f>IF(AND(BalanceN[[#This Row],[Vérif]]="D",BalanceN[[#This Row],[BE_Credit]]&gt;0),"A",IF(AND(BalanceN[[#This Row],[Vérif]]="C",BalanceN[[#This Row],[BE_Debit]]&gt;0),"A",""))</f>
        <v/>
      </c>
      <c r="N155" s="1126">
        <v>8911</v>
      </c>
      <c r="O155" s="1124" t="s">
        <v>11881</v>
      </c>
      <c r="P155" s="1127"/>
      <c r="Q155" s="1127"/>
      <c r="R155" s="1127">
        <v>23411413</v>
      </c>
      <c r="S155" s="1127"/>
      <c r="T155" s="1127">
        <v>23411413</v>
      </c>
      <c r="U155" s="1127"/>
      <c r="V155" s="1260">
        <f>VALUE(LEFT(BalanceN1[[#This Row],[Compte]]&amp;"00000000",5))</f>
        <v>89110</v>
      </c>
      <c r="W155" s="1261" cm="1">
        <f t="array" ref="W155">IF(BalanceN1[[#This Row],[Compte]]="",0,_xlfn.IFNA(INDEX(Plan_Comptable[[Table de Compte]:[Sens]],MATCH(VALUE(LEFT(BalanceN1[[#This Row],[Table]],4)),VALUE(Plan_Comptable[Table de Compte]),0),2),"A"))</f>
        <v>0</v>
      </c>
      <c r="X155" s="1262" t="str">
        <f>IF(AND(BalanceN1[[#This Row],[Vérif]]="D",BalanceN1[[#This Row],[BS_Credit]]&gt;0),"A",IF(AND(BalanceN1[[#This Row],[Vérif]]="C",BalanceN1[[#This Row],[BS_Debit]]&gt;0),"A",""))</f>
        <v/>
      </c>
      <c r="Y155" s="1262" t="str">
        <f>IF(AND(BalanceN1[[#This Row],[Vérif]]="D",BalanceN1[[#This Row],[BE_Credit]]&gt;0),"A",IF(AND(BalanceN1[[#This Row],[Vérif]]="C",BalanceN1[[#This Row],[BE_Debit]]&gt;0),"A",""))</f>
        <v/>
      </c>
    </row>
    <row r="156" spans="1:25" ht="18" customHeight="1">
      <c r="A156" s="1124">
        <v>701100</v>
      </c>
      <c r="B156" s="1124" t="s">
        <v>11869</v>
      </c>
      <c r="C156" s="1125"/>
      <c r="D156" s="1125"/>
      <c r="E156" s="1125"/>
      <c r="F156" s="1125">
        <v>110000000</v>
      </c>
      <c r="G156" s="1125"/>
      <c r="H156" s="1125">
        <v>110000000</v>
      </c>
      <c r="I156" s="1122">
        <f>VALUE(LEFT(BalanceN[[#This Row],[Compte]]&amp;"00000000",5))</f>
        <v>70110</v>
      </c>
      <c r="J156" s="1123" cm="1">
        <f t="array" ref="J156">IF(BalanceN[[#This Row],[Compte]]="",0,_xlfn.IFNA(INDEX(Plan_Comptable[[Table de Compte]:[Sens]],MATCH(VALUE(LEFT(BalanceN[[#This Row],[Table]],4)),VALUE(Plan_Comptable[Table de Compte]),0),2),"A"))</f>
        <v>0</v>
      </c>
      <c r="K156" s="1121" t="str">
        <f>IF(AND(BalanceN[[#This Row],[Vérif]]="D",BalanceN[[#This Row],[BS_Credit]]&gt;0),"A",IF(AND(BalanceN[[#This Row],[Vérif]]="C",BalanceN[[#This Row],[BS_Debit]]&gt;0),"A",""))</f>
        <v/>
      </c>
      <c r="L156" s="1121" t="str">
        <f>IF(AND(BalanceN[[#This Row],[Vérif]]="D",BalanceN[[#This Row],[BE_Credit]]&gt;0),"A",IF(AND(BalanceN[[#This Row],[Vérif]]="C",BalanceN[[#This Row],[BE_Debit]]&gt;0),"A",""))</f>
        <v/>
      </c>
    </row>
    <row r="157" spans="1:25" ht="18" customHeight="1">
      <c r="A157" s="1124">
        <v>702200</v>
      </c>
      <c r="B157" s="1124" t="s">
        <v>11870</v>
      </c>
      <c r="C157" s="1125"/>
      <c r="D157" s="1125"/>
      <c r="E157" s="1125"/>
      <c r="F157" s="1125">
        <v>1941053121</v>
      </c>
      <c r="G157" s="1125"/>
      <c r="H157" s="1125">
        <v>1941053121</v>
      </c>
      <c r="I157" s="1122">
        <f>VALUE(LEFT(BalanceN[[#This Row],[Compte]]&amp;"00000000",5))</f>
        <v>70220</v>
      </c>
      <c r="J157" s="1123" cm="1">
        <f t="array" ref="J157">IF(BalanceN[[#This Row],[Compte]]="",0,_xlfn.IFNA(INDEX(Plan_Comptable[[Table de Compte]:[Sens]],MATCH(VALUE(LEFT(BalanceN[[#This Row],[Table]],4)),VALUE(Plan_Comptable[Table de Compte]),0),2),"A"))</f>
        <v>0</v>
      </c>
      <c r="K157" s="1121" t="str">
        <f>IF(AND(BalanceN[[#This Row],[Vérif]]="D",BalanceN[[#This Row],[BS_Credit]]&gt;0),"A",IF(AND(BalanceN[[#This Row],[Vérif]]="C",BalanceN[[#This Row],[BS_Debit]]&gt;0),"A",""))</f>
        <v/>
      </c>
      <c r="L157" s="1121" t="str">
        <f>IF(AND(BalanceN[[#This Row],[Vérif]]="D",BalanceN[[#This Row],[BE_Credit]]&gt;0),"A",IF(AND(BalanceN[[#This Row],[Vérif]]="C",BalanceN[[#This Row],[BE_Debit]]&gt;0),"A",""))</f>
        <v/>
      </c>
    </row>
    <row r="158" spans="1:25" ht="18" customHeight="1">
      <c r="A158" s="1124">
        <v>7029</v>
      </c>
      <c r="B158" s="1124" t="s">
        <v>11871</v>
      </c>
      <c r="C158" s="1125"/>
      <c r="D158" s="1125"/>
      <c r="E158" s="1125">
        <v>1112590</v>
      </c>
      <c r="F158" s="1125"/>
      <c r="G158" s="1125">
        <v>1112590</v>
      </c>
      <c r="H158" s="1125"/>
      <c r="I158" s="1122">
        <f>VALUE(LEFT(BalanceN[[#This Row],[Compte]]&amp;"00000000",5))</f>
        <v>70290</v>
      </c>
      <c r="J158" s="1123" cm="1">
        <f t="array" ref="J158">IF(BalanceN[[#This Row],[Compte]]="",0,_xlfn.IFNA(INDEX(Plan_Comptable[[Table de Compte]:[Sens]],MATCH(VALUE(LEFT(BalanceN[[#This Row],[Table]],4)),VALUE(Plan_Comptable[Table de Compte]),0),2),"A"))</f>
        <v>0</v>
      </c>
      <c r="K158" s="1121" t="str">
        <f>IF(AND(BalanceN[[#This Row],[Vérif]]="D",BalanceN[[#This Row],[BS_Credit]]&gt;0),"A",IF(AND(BalanceN[[#This Row],[Vérif]]="C",BalanceN[[#This Row],[BS_Debit]]&gt;0),"A",""))</f>
        <v/>
      </c>
      <c r="L158" s="1121" t="str">
        <f>IF(AND(BalanceN[[#This Row],[Vérif]]="D",BalanceN[[#This Row],[BE_Credit]]&gt;0),"A",IF(AND(BalanceN[[#This Row],[Vérif]]="C",BalanceN[[#This Row],[BE_Debit]]&gt;0),"A",""))</f>
        <v/>
      </c>
    </row>
    <row r="159" spans="1:25" ht="18" customHeight="1">
      <c r="A159" s="1124">
        <v>702901</v>
      </c>
      <c r="B159" s="1124" t="s">
        <v>11872</v>
      </c>
      <c r="C159" s="1125"/>
      <c r="D159" s="1125"/>
      <c r="E159" s="1125">
        <v>21795786</v>
      </c>
      <c r="F159" s="1125"/>
      <c r="G159" s="1125">
        <v>21795786</v>
      </c>
      <c r="H159" s="1125"/>
      <c r="I159" s="1122">
        <f>VALUE(LEFT(BalanceN[[#This Row],[Compte]]&amp;"00000000",5))</f>
        <v>70290</v>
      </c>
      <c r="J159" s="1123" cm="1">
        <f t="array" ref="J159">IF(BalanceN[[#This Row],[Compte]]="",0,_xlfn.IFNA(INDEX(Plan_Comptable[[Table de Compte]:[Sens]],MATCH(VALUE(LEFT(BalanceN[[#This Row],[Table]],4)),VALUE(Plan_Comptable[Table de Compte]),0),2),"A"))</f>
        <v>0</v>
      </c>
      <c r="K159" s="1121" t="str">
        <f>IF(AND(BalanceN[[#This Row],[Vérif]]="D",BalanceN[[#This Row],[BS_Credit]]&gt;0),"A",IF(AND(BalanceN[[#This Row],[Vérif]]="C",BalanceN[[#This Row],[BS_Debit]]&gt;0),"A",""))</f>
        <v/>
      </c>
      <c r="L159" s="1121" t="str">
        <f>IF(AND(BalanceN[[#This Row],[Vérif]]="D",BalanceN[[#This Row],[BE_Credit]]&gt;0),"A",IF(AND(BalanceN[[#This Row],[Vérif]]="C",BalanceN[[#This Row],[BE_Debit]]&gt;0),"A",""))</f>
        <v/>
      </c>
    </row>
    <row r="160" spans="1:25" ht="18" customHeight="1">
      <c r="A160" s="1124">
        <v>706100</v>
      </c>
      <c r="B160" s="1124" t="s">
        <v>11873</v>
      </c>
      <c r="C160" s="1125"/>
      <c r="D160" s="1125"/>
      <c r="E160" s="1125"/>
      <c r="F160" s="1125">
        <v>12672000</v>
      </c>
      <c r="G160" s="1125"/>
      <c r="H160" s="1125">
        <v>12672000</v>
      </c>
      <c r="I160" s="1122">
        <f>VALUE(LEFT(BalanceN[[#This Row],[Compte]]&amp;"00000000",5))</f>
        <v>70610</v>
      </c>
      <c r="J160" s="1123" cm="1">
        <f t="array" ref="J160">IF(BalanceN[[#This Row],[Compte]]="",0,_xlfn.IFNA(INDEX(Plan_Comptable[[Table de Compte]:[Sens]],MATCH(VALUE(LEFT(BalanceN[[#This Row],[Table]],4)),VALUE(Plan_Comptable[Table de Compte]),0),2),"A"))</f>
        <v>0</v>
      </c>
      <c r="K160" s="1121" t="str">
        <f>IF(AND(BalanceN[[#This Row],[Vérif]]="D",BalanceN[[#This Row],[BS_Credit]]&gt;0),"A",IF(AND(BalanceN[[#This Row],[Vérif]]="C",BalanceN[[#This Row],[BS_Debit]]&gt;0),"A",""))</f>
        <v/>
      </c>
      <c r="L160" s="1121" t="str">
        <f>IF(AND(BalanceN[[#This Row],[Vérif]]="D",BalanceN[[#This Row],[BE_Credit]]&gt;0),"A",IF(AND(BalanceN[[#This Row],[Vérif]]="C",BalanceN[[#This Row],[BE_Debit]]&gt;0),"A",""))</f>
        <v/>
      </c>
    </row>
    <row r="161" spans="1:12" ht="18" customHeight="1">
      <c r="A161" s="1124">
        <v>707800</v>
      </c>
      <c r="B161" s="1124" t="s">
        <v>11874</v>
      </c>
      <c r="C161" s="1125"/>
      <c r="D161" s="1125"/>
      <c r="E161" s="1125"/>
      <c r="F161" s="1125">
        <v>1130000</v>
      </c>
      <c r="G161" s="1125"/>
      <c r="H161" s="1125">
        <v>1130000</v>
      </c>
      <c r="I161" s="1122">
        <f>VALUE(LEFT(BalanceN[[#This Row],[Compte]]&amp;"00000000",5))</f>
        <v>70780</v>
      </c>
      <c r="J161" s="1123" cm="1">
        <f t="array" ref="J161">IF(BalanceN[[#This Row],[Compte]]="",0,_xlfn.IFNA(INDEX(Plan_Comptable[[Table de Compte]:[Sens]],MATCH(VALUE(LEFT(BalanceN[[#This Row],[Table]],4)),VALUE(Plan_Comptable[Table de Compte]),0),2),"A"))</f>
        <v>0</v>
      </c>
      <c r="K161" s="1121" t="str">
        <f>IF(AND(BalanceN[[#This Row],[Vérif]]="D",BalanceN[[#This Row],[BS_Credit]]&gt;0),"A",IF(AND(BalanceN[[#This Row],[Vérif]]="C",BalanceN[[#This Row],[BS_Debit]]&gt;0),"A",""))</f>
        <v/>
      </c>
      <c r="L161" s="1121" t="str">
        <f>IF(AND(BalanceN[[#This Row],[Vérif]]="D",BalanceN[[#This Row],[BE_Credit]]&gt;0),"A",IF(AND(BalanceN[[#This Row],[Vérif]]="C",BalanceN[[#This Row],[BE_Debit]]&gt;0),"A",""))</f>
        <v/>
      </c>
    </row>
    <row r="162" spans="1:12" ht="18" customHeight="1">
      <c r="A162" s="1124">
        <v>722100</v>
      </c>
      <c r="B162" s="1124" t="s">
        <v>11875</v>
      </c>
      <c r="C162" s="1125"/>
      <c r="D162" s="1125"/>
      <c r="E162" s="1125"/>
      <c r="F162" s="1125">
        <v>4500000</v>
      </c>
      <c r="G162" s="1125"/>
      <c r="H162" s="1125">
        <v>4500000</v>
      </c>
      <c r="I162" s="1122">
        <f>VALUE(LEFT(BalanceN[[#This Row],[Compte]]&amp;"00000000",5))</f>
        <v>72210</v>
      </c>
      <c r="J162" s="1123" cm="1">
        <f t="array" ref="J162">IF(BalanceN[[#This Row],[Compte]]="",0,_xlfn.IFNA(INDEX(Plan_Comptable[[Table de Compte]:[Sens]],MATCH(VALUE(LEFT(BalanceN[[#This Row],[Table]],4)),VALUE(Plan_Comptable[Table de Compte]),0),2),"A"))</f>
        <v>0</v>
      </c>
      <c r="K162" s="1121" t="str">
        <f>IF(AND(BalanceN[[#This Row],[Vérif]]="D",BalanceN[[#This Row],[BS_Credit]]&gt;0),"A",IF(AND(BalanceN[[#This Row],[Vérif]]="C",BalanceN[[#This Row],[BS_Debit]]&gt;0),"A",""))</f>
        <v/>
      </c>
      <c r="L162" s="1121" t="str">
        <f>IF(AND(BalanceN[[#This Row],[Vérif]]="D",BalanceN[[#This Row],[BE_Credit]]&gt;0),"A",IF(AND(BalanceN[[#This Row],[Vérif]]="C",BalanceN[[#This Row],[BE_Debit]]&gt;0),"A",""))</f>
        <v/>
      </c>
    </row>
    <row r="163" spans="1:12" ht="18" customHeight="1">
      <c r="A163" s="1124">
        <v>756000</v>
      </c>
      <c r="B163" s="1124" t="s">
        <v>11876</v>
      </c>
      <c r="C163" s="1125"/>
      <c r="D163" s="1125"/>
      <c r="E163" s="1125"/>
      <c r="F163" s="1125">
        <v>1081031</v>
      </c>
      <c r="G163" s="1125"/>
      <c r="H163" s="1125">
        <v>1081031</v>
      </c>
      <c r="I163" s="1122">
        <f>VALUE(LEFT(BalanceN[[#This Row],[Compte]]&amp;"00000000",5))</f>
        <v>75600</v>
      </c>
      <c r="J163" s="1123" cm="1">
        <f t="array" ref="J163">IF(BalanceN[[#This Row],[Compte]]="",0,_xlfn.IFNA(INDEX(Plan_Comptable[[Table de Compte]:[Sens]],MATCH(VALUE(LEFT(BalanceN[[#This Row],[Table]],4)),VALUE(Plan_Comptable[Table de Compte]),0),2),"A"))</f>
        <v>0</v>
      </c>
      <c r="K163" s="1121" t="str">
        <f>IF(AND(BalanceN[[#This Row],[Vérif]]="D",BalanceN[[#This Row],[BS_Credit]]&gt;0),"A",IF(AND(BalanceN[[#This Row],[Vérif]]="C",BalanceN[[#This Row],[BS_Debit]]&gt;0),"A",""))</f>
        <v/>
      </c>
      <c r="L163" s="1121" t="str">
        <f>IF(AND(BalanceN[[#This Row],[Vérif]]="D",BalanceN[[#This Row],[BE_Credit]]&gt;0),"A",IF(AND(BalanceN[[#This Row],[Vérif]]="C",BalanceN[[#This Row],[BE_Debit]]&gt;0),"A",""))</f>
        <v/>
      </c>
    </row>
    <row r="164" spans="1:12" ht="18" customHeight="1">
      <c r="A164" s="1124">
        <v>7582</v>
      </c>
      <c r="B164" s="1124" t="s">
        <v>11877</v>
      </c>
      <c r="C164" s="1125"/>
      <c r="D164" s="1125"/>
      <c r="E164" s="1125"/>
      <c r="F164" s="1125">
        <v>2355947</v>
      </c>
      <c r="G164" s="1125"/>
      <c r="H164" s="1125">
        <v>2355947</v>
      </c>
      <c r="I164" s="1122">
        <f>VALUE(LEFT(BalanceN[[#This Row],[Compte]]&amp;"00000000",5))</f>
        <v>75820</v>
      </c>
      <c r="J164" s="1123" cm="1">
        <f t="array" ref="J164">IF(BalanceN[[#This Row],[Compte]]="",0,_xlfn.IFNA(INDEX(Plan_Comptable[[Table de Compte]:[Sens]],MATCH(VALUE(LEFT(BalanceN[[#This Row],[Table]],4)),VALUE(Plan_Comptable[Table de Compte]),0),2),"A"))</f>
        <v>0</v>
      </c>
      <c r="K164" s="1121" t="str">
        <f>IF(AND(BalanceN[[#This Row],[Vérif]]="D",BalanceN[[#This Row],[BS_Credit]]&gt;0),"A",IF(AND(BalanceN[[#This Row],[Vérif]]="C",BalanceN[[#This Row],[BS_Debit]]&gt;0),"A",""))</f>
        <v/>
      </c>
      <c r="L164" s="1121" t="str">
        <f>IF(AND(BalanceN[[#This Row],[Vérif]]="D",BalanceN[[#This Row],[BE_Credit]]&gt;0),"A",IF(AND(BalanceN[[#This Row],[Vérif]]="C",BalanceN[[#This Row],[BE_Debit]]&gt;0),"A",""))</f>
        <v/>
      </c>
    </row>
    <row r="165" spans="1:12" ht="18" customHeight="1">
      <c r="A165" s="1124">
        <v>773000</v>
      </c>
      <c r="B165" s="1124" t="s">
        <v>2335</v>
      </c>
      <c r="C165" s="1125"/>
      <c r="D165" s="1125"/>
      <c r="E165" s="1125"/>
      <c r="F165" s="1125">
        <v>7500000</v>
      </c>
      <c r="G165" s="1125"/>
      <c r="H165" s="1125">
        <v>7500000</v>
      </c>
      <c r="I165" s="1122">
        <f>VALUE(LEFT(BalanceN[[#This Row],[Compte]]&amp;"00000000",5))</f>
        <v>77300</v>
      </c>
      <c r="J165" s="1123" cm="1">
        <f t="array" ref="J165">IF(BalanceN[[#This Row],[Compte]]="",0,_xlfn.IFNA(INDEX(Plan_Comptable[[Table de Compte]:[Sens]],MATCH(VALUE(LEFT(BalanceN[[#This Row],[Table]],4)),VALUE(Plan_Comptable[Table de Compte]),0),2),"A"))</f>
        <v>0</v>
      </c>
      <c r="K165" s="1121" t="str">
        <f>IF(AND(BalanceN[[#This Row],[Vérif]]="D",BalanceN[[#This Row],[BS_Credit]]&gt;0),"A",IF(AND(BalanceN[[#This Row],[Vérif]]="C",BalanceN[[#This Row],[BS_Debit]]&gt;0),"A",""))</f>
        <v/>
      </c>
      <c r="L165" s="1121" t="str">
        <f>IF(AND(BalanceN[[#This Row],[Vérif]]="D",BalanceN[[#This Row],[BE_Credit]]&gt;0),"A",IF(AND(BalanceN[[#This Row],[Vérif]]="C",BalanceN[[#This Row],[BE_Debit]]&gt;0),"A",""))</f>
        <v/>
      </c>
    </row>
    <row r="166" spans="1:12" ht="18" customHeight="1">
      <c r="A166" s="1124">
        <v>781000</v>
      </c>
      <c r="B166" s="1124" t="s">
        <v>11878</v>
      </c>
      <c r="C166" s="1125"/>
      <c r="D166" s="1125"/>
      <c r="E166" s="1125"/>
      <c r="F166" s="1125">
        <v>3233550</v>
      </c>
      <c r="G166" s="1125"/>
      <c r="H166" s="1125">
        <v>3233550</v>
      </c>
      <c r="I166" s="1122">
        <f>VALUE(LEFT(BalanceN[[#This Row],[Compte]]&amp;"00000000",5))</f>
        <v>78100</v>
      </c>
      <c r="J166" s="1123" cm="1">
        <f t="array" ref="J166">IF(BalanceN[[#This Row],[Compte]]="",0,_xlfn.IFNA(INDEX(Plan_Comptable[[Table de Compte]:[Sens]],MATCH(VALUE(LEFT(BalanceN[[#This Row],[Table]],4)),VALUE(Plan_Comptable[Table de Compte]),0),2),"A"))</f>
        <v>0</v>
      </c>
      <c r="K166" s="1121" t="str">
        <f>IF(AND(BalanceN[[#This Row],[Vérif]]="D",BalanceN[[#This Row],[BS_Credit]]&gt;0),"A",IF(AND(BalanceN[[#This Row],[Vérif]]="C",BalanceN[[#This Row],[BS_Debit]]&gt;0),"A",""))</f>
        <v/>
      </c>
      <c r="L166" s="1121" t="str">
        <f>IF(AND(BalanceN[[#This Row],[Vérif]]="D",BalanceN[[#This Row],[BE_Credit]]&gt;0),"A",IF(AND(BalanceN[[#This Row],[Vérif]]="C",BalanceN[[#This Row],[BE_Debit]]&gt;0),"A",""))</f>
        <v/>
      </c>
    </row>
    <row r="167" spans="1:12" ht="18" customHeight="1">
      <c r="A167" s="1124">
        <v>812000</v>
      </c>
      <c r="B167" s="1124" t="s">
        <v>11879</v>
      </c>
      <c r="C167" s="1125"/>
      <c r="D167" s="1125"/>
      <c r="E167" s="1125">
        <v>45992979</v>
      </c>
      <c r="F167" s="1125">
        <v>45992979</v>
      </c>
      <c r="G167" s="1125"/>
      <c r="H167" s="1125"/>
      <c r="I167" s="1122">
        <f>VALUE(LEFT(BalanceN[[#This Row],[Compte]]&amp;"00000000",5))</f>
        <v>81200</v>
      </c>
      <c r="J167" s="1123" cm="1">
        <f t="array" ref="J167">IF(BalanceN[[#This Row],[Compte]]="",0,_xlfn.IFNA(INDEX(Plan_Comptable[[Table de Compte]:[Sens]],MATCH(VALUE(LEFT(BalanceN[[#This Row],[Table]],4)),VALUE(Plan_Comptable[Table de Compte]),0),2),"A"))</f>
        <v>0</v>
      </c>
      <c r="K167" s="1121" t="str">
        <f>IF(AND(BalanceN[[#This Row],[Vérif]]="D",BalanceN[[#This Row],[BS_Credit]]&gt;0),"A",IF(AND(BalanceN[[#This Row],[Vérif]]="C",BalanceN[[#This Row],[BS_Debit]]&gt;0),"A",""))</f>
        <v/>
      </c>
      <c r="L167" s="1121" t="str">
        <f>IF(AND(BalanceN[[#This Row],[Vérif]]="D",BalanceN[[#This Row],[BE_Credit]]&gt;0),"A",IF(AND(BalanceN[[#This Row],[Vérif]]="C",BalanceN[[#This Row],[BE_Debit]]&gt;0),"A",""))</f>
        <v/>
      </c>
    </row>
    <row r="168" spans="1:12" ht="18" customHeight="1">
      <c r="A168" s="1124">
        <v>822000</v>
      </c>
      <c r="B168" s="1124" t="s">
        <v>11880</v>
      </c>
      <c r="C168" s="1125"/>
      <c r="D168" s="1125"/>
      <c r="E168" s="1125"/>
      <c r="F168" s="1125">
        <v>127119</v>
      </c>
      <c r="G168" s="1125"/>
      <c r="H168" s="1125">
        <v>127119</v>
      </c>
      <c r="I168" s="1122">
        <f>VALUE(LEFT(BalanceN[[#This Row],[Compte]]&amp;"00000000",5))</f>
        <v>82200</v>
      </c>
      <c r="J168" s="1123" cm="1">
        <f t="array" ref="J168">IF(BalanceN[[#This Row],[Compte]]="",0,_xlfn.IFNA(INDEX(Plan_Comptable[[Table de Compte]:[Sens]],MATCH(VALUE(LEFT(BalanceN[[#This Row],[Table]],4)),VALUE(Plan_Comptable[Table de Compte]),0),2),"A"))</f>
        <v>0</v>
      </c>
      <c r="K168" s="1121" t="str">
        <f>IF(AND(BalanceN[[#This Row],[Vérif]]="D",BalanceN[[#This Row],[BS_Credit]]&gt;0),"A",IF(AND(BalanceN[[#This Row],[Vérif]]="C",BalanceN[[#This Row],[BS_Debit]]&gt;0),"A",""))</f>
        <v/>
      </c>
      <c r="L168" s="1121" t="str">
        <f>IF(AND(BalanceN[[#This Row],[Vérif]]="D",BalanceN[[#This Row],[BE_Credit]]&gt;0),"A",IF(AND(BalanceN[[#This Row],[Vérif]]="C",BalanceN[[#This Row],[BE_Debit]]&gt;0),"A",""))</f>
        <v/>
      </c>
    </row>
    <row r="169" spans="1:12" ht="18" customHeight="1">
      <c r="A169" s="1124">
        <v>845000</v>
      </c>
      <c r="B169" s="1124" t="s">
        <v>2363</v>
      </c>
      <c r="C169" s="1125"/>
      <c r="D169" s="1125"/>
      <c r="E169" s="1125"/>
      <c r="F169" s="1125">
        <v>2000000</v>
      </c>
      <c r="G169" s="1125"/>
      <c r="H169" s="1125">
        <v>2000000</v>
      </c>
      <c r="I169" s="1122">
        <f>VALUE(LEFT(BalanceN[[#This Row],[Compte]]&amp;"00000000",5))</f>
        <v>84500</v>
      </c>
      <c r="J169" s="1123" cm="1">
        <f t="array" ref="J169">IF(BalanceN[[#This Row],[Compte]]="",0,_xlfn.IFNA(INDEX(Plan_Comptable[[Table de Compte]:[Sens]],MATCH(VALUE(LEFT(BalanceN[[#This Row],[Table]],4)),VALUE(Plan_Comptable[Table de Compte]),0),2),"A"))</f>
        <v>0</v>
      </c>
      <c r="K169" s="1121" t="str">
        <f>IF(AND(BalanceN[[#This Row],[Vérif]]="D",BalanceN[[#This Row],[BS_Credit]]&gt;0),"A",IF(AND(BalanceN[[#This Row],[Vérif]]="C",BalanceN[[#This Row],[BS_Debit]]&gt;0),"A",""))</f>
        <v/>
      </c>
      <c r="L169" s="1121" t="str">
        <f>IF(AND(BalanceN[[#This Row],[Vérif]]="D",BalanceN[[#This Row],[BE_Credit]]&gt;0),"A",IF(AND(BalanceN[[#This Row],[Vérif]]="C",BalanceN[[#This Row],[BE_Debit]]&gt;0),"A",""))</f>
        <v/>
      </c>
    </row>
    <row r="170" spans="1:12" ht="18" customHeight="1">
      <c r="A170" s="1124">
        <v>8911</v>
      </c>
      <c r="B170" s="1124" t="s">
        <v>11881</v>
      </c>
      <c r="C170" s="1125"/>
      <c r="D170" s="1125"/>
      <c r="E170" s="1125">
        <v>31102200</v>
      </c>
      <c r="F170" s="1125"/>
      <c r="G170" s="1125">
        <v>31102200</v>
      </c>
      <c r="H170" s="1125"/>
      <c r="I170" s="1122">
        <f>VALUE(LEFT(BalanceN[[#This Row],[Compte]]&amp;"00000000",5))</f>
        <v>89110</v>
      </c>
      <c r="J170" s="1123" cm="1">
        <f t="array" ref="J170">IF(BalanceN[[#This Row],[Compte]]="",0,_xlfn.IFNA(INDEX(Plan_Comptable[[Table de Compte]:[Sens]],MATCH(VALUE(LEFT(BalanceN[[#This Row],[Table]],4)),VALUE(Plan_Comptable[Table de Compte]),0),2),"A"))</f>
        <v>0</v>
      </c>
      <c r="K170" s="1121" t="str">
        <f>IF(AND(BalanceN[[#This Row],[Vérif]]="D",BalanceN[[#This Row],[BS_Credit]]&gt;0),"A",IF(AND(BalanceN[[#This Row],[Vérif]]="C",BalanceN[[#This Row],[BS_Debit]]&gt;0),"A",""))</f>
        <v/>
      </c>
      <c r="L170" s="1121" t="str">
        <f>IF(AND(BalanceN[[#This Row],[Vérif]]="D",BalanceN[[#This Row],[BE_Credit]]&gt;0),"A",IF(AND(BalanceN[[#This Row],[Vérif]]="C",BalanceN[[#This Row],[BE_Debit]]&gt;0),"A",""))</f>
        <v/>
      </c>
    </row>
    <row r="617" spans="1:26" s="1250" customFormat="1" ht="18" customHeight="1">
      <c r="A617" s="287"/>
      <c r="B617" s="287"/>
      <c r="C617" s="288"/>
      <c r="D617" s="288"/>
      <c r="E617" s="288"/>
      <c r="F617" s="288"/>
      <c r="G617" s="288"/>
      <c r="H617" s="288"/>
      <c r="I617" s="287"/>
      <c r="J617" s="287"/>
      <c r="K617" s="287"/>
      <c r="L617" s="287"/>
      <c r="M617" s="1246"/>
      <c r="N617" s="287"/>
      <c r="O617" s="287"/>
      <c r="P617" s="288"/>
      <c r="Q617" s="288"/>
      <c r="R617" s="288"/>
      <c r="S617" s="288"/>
      <c r="T617" s="288"/>
      <c r="U617" s="288"/>
      <c r="V617" s="287"/>
      <c r="W617" s="287"/>
      <c r="X617" s="287"/>
      <c r="Y617" s="287"/>
      <c r="Z617" s="1246"/>
    </row>
    <row r="880" spans="1:26" s="1250" customFormat="1" ht="18" customHeight="1">
      <c r="A880" s="287"/>
      <c r="B880" s="287"/>
      <c r="C880" s="288"/>
      <c r="D880" s="288"/>
      <c r="E880" s="288"/>
      <c r="F880" s="288"/>
      <c r="G880" s="288"/>
      <c r="H880" s="288"/>
      <c r="I880" s="287"/>
      <c r="J880" s="287"/>
      <c r="K880" s="287"/>
      <c r="L880" s="287"/>
      <c r="M880" s="1246"/>
      <c r="N880" s="287"/>
      <c r="O880" s="287"/>
      <c r="P880" s="288"/>
      <c r="Q880" s="288"/>
      <c r="R880" s="288"/>
      <c r="S880" s="288"/>
      <c r="T880" s="288"/>
      <c r="U880" s="288"/>
      <c r="V880" s="287"/>
      <c r="W880" s="287"/>
      <c r="X880" s="287"/>
      <c r="Y880" s="287"/>
      <c r="Z880" s="1246"/>
    </row>
    <row r="883" spans="1:26" s="1250" customFormat="1" ht="18" customHeight="1">
      <c r="A883" s="287"/>
      <c r="B883" s="287"/>
      <c r="C883" s="288"/>
      <c r="D883" s="288"/>
      <c r="E883" s="288"/>
      <c r="F883" s="288"/>
      <c r="G883" s="288"/>
      <c r="H883" s="288"/>
      <c r="I883" s="287"/>
      <c r="J883" s="287"/>
      <c r="K883" s="287"/>
      <c r="L883" s="287"/>
      <c r="M883" s="1246"/>
      <c r="N883" s="287"/>
      <c r="O883" s="287"/>
      <c r="P883" s="288"/>
      <c r="Q883" s="288"/>
      <c r="R883" s="288"/>
      <c r="S883" s="288"/>
      <c r="T883" s="288"/>
      <c r="U883" s="288"/>
      <c r="V883" s="287"/>
      <c r="W883" s="287"/>
      <c r="X883" s="287"/>
      <c r="Y883" s="287"/>
      <c r="Z883" s="1246"/>
    </row>
    <row r="886" spans="1:26" s="1250" customFormat="1" ht="18" customHeight="1">
      <c r="A886" s="287"/>
      <c r="B886" s="287"/>
      <c r="C886" s="288"/>
      <c r="D886" s="288"/>
      <c r="E886" s="288"/>
      <c r="F886" s="288"/>
      <c r="G886" s="288"/>
      <c r="H886" s="288"/>
      <c r="I886" s="287"/>
      <c r="J886" s="287"/>
      <c r="K886" s="287"/>
      <c r="L886" s="287"/>
      <c r="M886" s="1246"/>
      <c r="N886" s="287"/>
      <c r="O886" s="287"/>
      <c r="P886" s="288"/>
      <c r="Q886" s="288"/>
      <c r="R886" s="288"/>
      <c r="S886" s="288"/>
      <c r="T886" s="288"/>
      <c r="U886" s="288"/>
      <c r="V886" s="287"/>
      <c r="W886" s="287"/>
      <c r="X886" s="287"/>
      <c r="Y886" s="287"/>
      <c r="Z886" s="1246"/>
    </row>
    <row r="888" spans="1:26" s="1252" customFormat="1" ht="18" customHeight="1">
      <c r="A888" s="287"/>
      <c r="B888" s="287"/>
      <c r="C888" s="288"/>
      <c r="D888" s="288"/>
      <c r="E888" s="288"/>
      <c r="F888" s="288"/>
      <c r="G888" s="288"/>
      <c r="H888" s="288"/>
      <c r="I888" s="287"/>
      <c r="J888" s="287"/>
      <c r="K888" s="287"/>
      <c r="L888" s="287"/>
      <c r="M888" s="1251"/>
      <c r="N888" s="287"/>
      <c r="O888" s="287"/>
      <c r="P888" s="288"/>
      <c r="Q888" s="288"/>
      <c r="R888" s="288"/>
      <c r="S888" s="288"/>
      <c r="T888" s="288"/>
      <c r="U888" s="288"/>
      <c r="V888" s="287"/>
      <c r="W888" s="287"/>
      <c r="X888" s="287"/>
      <c r="Y888" s="287"/>
      <c r="Z888" s="1251"/>
    </row>
    <row r="889" spans="1:26" s="1250" customFormat="1" ht="18" customHeight="1">
      <c r="A889" s="287"/>
      <c r="B889" s="287"/>
      <c r="C889" s="288"/>
      <c r="D889" s="288"/>
      <c r="E889" s="288"/>
      <c r="F889" s="288"/>
      <c r="G889" s="288"/>
      <c r="H889" s="288"/>
      <c r="I889" s="287"/>
      <c r="J889" s="287"/>
      <c r="K889" s="287"/>
      <c r="L889" s="287"/>
      <c r="M889" s="1246"/>
      <c r="N889" s="287"/>
      <c r="O889" s="287"/>
      <c r="P889" s="288"/>
      <c r="Q889" s="288"/>
      <c r="R889" s="288"/>
      <c r="S889" s="288"/>
      <c r="T889" s="288"/>
      <c r="U889" s="288"/>
      <c r="V889" s="287"/>
      <c r="W889" s="287"/>
      <c r="X889" s="287"/>
      <c r="Y889" s="287"/>
      <c r="Z889" s="1246"/>
    </row>
    <row r="890" spans="1:26" s="1254" customFormat="1" ht="18" customHeight="1">
      <c r="A890" s="287"/>
      <c r="B890" s="287"/>
      <c r="C890" s="288"/>
      <c r="D890" s="288"/>
      <c r="E890" s="288"/>
      <c r="F890" s="288"/>
      <c r="G890" s="288"/>
      <c r="H890" s="288"/>
      <c r="I890" s="287"/>
      <c r="J890" s="287"/>
      <c r="K890" s="287"/>
      <c r="L890" s="287"/>
      <c r="M890" s="1253"/>
      <c r="N890" s="287"/>
      <c r="O890" s="287"/>
      <c r="P890" s="288"/>
      <c r="Q890" s="288"/>
      <c r="R890" s="288"/>
      <c r="S890" s="288"/>
      <c r="T890" s="288"/>
      <c r="U890" s="288"/>
      <c r="V890" s="287"/>
      <c r="W890" s="287"/>
      <c r="X890" s="287"/>
      <c r="Y890" s="287"/>
      <c r="Z890" s="1253"/>
    </row>
    <row r="891" spans="1:26" s="1254" customFormat="1" ht="18" customHeight="1">
      <c r="A891" s="287"/>
      <c r="B891" s="287"/>
      <c r="C891" s="288"/>
      <c r="D891" s="288"/>
      <c r="E891" s="288"/>
      <c r="F891" s="288"/>
      <c r="G891" s="288"/>
      <c r="H891" s="288"/>
      <c r="I891" s="287"/>
      <c r="J891" s="287"/>
      <c r="K891" s="287"/>
      <c r="L891" s="287"/>
      <c r="M891" s="1253"/>
      <c r="N891" s="287"/>
      <c r="O891" s="287"/>
      <c r="P891" s="288"/>
      <c r="Q891" s="288"/>
      <c r="R891" s="288"/>
      <c r="S891" s="288"/>
      <c r="T891" s="288"/>
      <c r="U891" s="288"/>
      <c r="V891" s="287"/>
      <c r="W891" s="287"/>
      <c r="X891" s="287"/>
      <c r="Y891" s="287"/>
      <c r="Z891" s="1253"/>
    </row>
    <row r="892" spans="1:26" s="1254" customFormat="1" ht="18" customHeight="1">
      <c r="A892" s="287"/>
      <c r="B892" s="287"/>
      <c r="C892" s="288"/>
      <c r="D892" s="288"/>
      <c r="E892" s="288"/>
      <c r="F892" s="288"/>
      <c r="G892" s="288"/>
      <c r="H892" s="288"/>
      <c r="I892" s="287"/>
      <c r="J892" s="287"/>
      <c r="K892" s="287"/>
      <c r="L892" s="287"/>
      <c r="M892" s="1253"/>
      <c r="N892" s="287"/>
      <c r="O892" s="287"/>
      <c r="P892" s="288"/>
      <c r="Q892" s="288"/>
      <c r="R892" s="288"/>
      <c r="S892" s="288"/>
      <c r="T892" s="288"/>
      <c r="U892" s="288"/>
      <c r="V892" s="287"/>
      <c r="W892" s="287"/>
      <c r="X892" s="287"/>
      <c r="Y892" s="287"/>
      <c r="Z892" s="1253"/>
    </row>
    <row r="893" spans="1:26" s="1254" customFormat="1" ht="18" customHeight="1">
      <c r="A893" s="287"/>
      <c r="B893" s="287"/>
      <c r="C893" s="288"/>
      <c r="D893" s="288"/>
      <c r="E893" s="288"/>
      <c r="F893" s="288"/>
      <c r="G893" s="288"/>
      <c r="H893" s="288"/>
      <c r="I893" s="287"/>
      <c r="J893" s="287"/>
      <c r="K893" s="287"/>
      <c r="L893" s="287"/>
      <c r="M893" s="1253"/>
      <c r="N893" s="287"/>
      <c r="O893" s="287"/>
      <c r="P893" s="288"/>
      <c r="Q893" s="288"/>
      <c r="R893" s="288"/>
      <c r="S893" s="288"/>
      <c r="T893" s="288"/>
      <c r="U893" s="288"/>
      <c r="V893" s="287"/>
      <c r="W893" s="287"/>
      <c r="X893" s="287"/>
      <c r="Y893" s="287"/>
      <c r="Z893" s="1253"/>
    </row>
    <row r="894" spans="1:26" s="1254" customFormat="1" ht="18" customHeight="1">
      <c r="A894" s="287"/>
      <c r="B894" s="287"/>
      <c r="C894" s="288"/>
      <c r="D894" s="288"/>
      <c r="E894" s="288"/>
      <c r="F894" s="288"/>
      <c r="G894" s="288"/>
      <c r="H894" s="288"/>
      <c r="I894" s="287"/>
      <c r="J894" s="287"/>
      <c r="K894" s="287"/>
      <c r="L894" s="287"/>
      <c r="M894" s="1253"/>
      <c r="N894" s="287"/>
      <c r="O894" s="287"/>
      <c r="P894" s="288"/>
      <c r="Q894" s="288"/>
      <c r="R894" s="288"/>
      <c r="S894" s="288"/>
      <c r="T894" s="288"/>
      <c r="U894" s="288"/>
      <c r="V894" s="287"/>
      <c r="W894" s="287"/>
      <c r="X894" s="287"/>
      <c r="Y894" s="287"/>
      <c r="Z894" s="1253"/>
    </row>
    <row r="895" spans="1:26" s="1254" customFormat="1" ht="18" customHeight="1">
      <c r="A895" s="287"/>
      <c r="B895" s="287"/>
      <c r="C895" s="288"/>
      <c r="D895" s="288"/>
      <c r="E895" s="288"/>
      <c r="F895" s="288"/>
      <c r="G895" s="288"/>
      <c r="H895" s="288"/>
      <c r="I895" s="287"/>
      <c r="J895" s="287"/>
      <c r="K895" s="287"/>
      <c r="L895" s="287"/>
      <c r="M895" s="1253"/>
      <c r="N895" s="287"/>
      <c r="O895" s="287"/>
      <c r="P895" s="288"/>
      <c r="Q895" s="288"/>
      <c r="R895" s="288"/>
      <c r="S895" s="288"/>
      <c r="T895" s="288"/>
      <c r="U895" s="288"/>
      <c r="V895" s="287"/>
      <c r="W895" s="287"/>
      <c r="X895" s="287"/>
      <c r="Y895" s="287"/>
      <c r="Z895" s="1253"/>
    </row>
    <row r="896" spans="1:26" s="1254" customFormat="1" ht="18" customHeight="1">
      <c r="A896" s="287"/>
      <c r="B896" s="287"/>
      <c r="C896" s="288"/>
      <c r="D896" s="288"/>
      <c r="E896" s="288"/>
      <c r="F896" s="288"/>
      <c r="G896" s="288"/>
      <c r="H896" s="288"/>
      <c r="I896" s="287"/>
      <c r="J896" s="287"/>
      <c r="K896" s="287"/>
      <c r="L896" s="287"/>
      <c r="M896" s="1253"/>
      <c r="N896" s="287"/>
      <c r="O896" s="287"/>
      <c r="P896" s="288"/>
      <c r="Q896" s="288"/>
      <c r="R896" s="288"/>
      <c r="S896" s="288"/>
      <c r="T896" s="288"/>
      <c r="U896" s="288"/>
      <c r="V896" s="287"/>
      <c r="W896" s="287"/>
      <c r="X896" s="287"/>
      <c r="Y896" s="287"/>
      <c r="Z896" s="1253"/>
    </row>
    <row r="897" spans="1:26" s="1254" customFormat="1" ht="18" customHeight="1">
      <c r="A897" s="287"/>
      <c r="B897" s="287"/>
      <c r="C897" s="288"/>
      <c r="D897" s="288"/>
      <c r="E897" s="288"/>
      <c r="F897" s="288"/>
      <c r="G897" s="288"/>
      <c r="H897" s="288"/>
      <c r="I897" s="287"/>
      <c r="J897" s="287"/>
      <c r="K897" s="287"/>
      <c r="L897" s="287"/>
      <c r="M897" s="1253"/>
      <c r="N897" s="287"/>
      <c r="O897" s="287"/>
      <c r="P897" s="288"/>
      <c r="Q897" s="288"/>
      <c r="R897" s="288"/>
      <c r="S897" s="288"/>
      <c r="T897" s="288"/>
      <c r="U897" s="288"/>
      <c r="V897" s="287"/>
      <c r="W897" s="287"/>
      <c r="X897" s="287"/>
      <c r="Y897" s="287"/>
      <c r="Z897" s="1253"/>
    </row>
    <row r="898" spans="1:26" s="1250" customFormat="1" ht="18" customHeight="1">
      <c r="A898" s="287"/>
      <c r="B898" s="287"/>
      <c r="C898" s="288"/>
      <c r="D898" s="288"/>
      <c r="E898" s="288"/>
      <c r="F898" s="288"/>
      <c r="G898" s="288"/>
      <c r="H898" s="288"/>
      <c r="I898" s="287"/>
      <c r="J898" s="287"/>
      <c r="K898" s="287"/>
      <c r="L898" s="287"/>
      <c r="M898" s="1246"/>
      <c r="N898" s="287"/>
      <c r="O898" s="287"/>
      <c r="P898" s="288"/>
      <c r="Q898" s="288"/>
      <c r="R898" s="288"/>
      <c r="S898" s="288"/>
      <c r="T898" s="288"/>
      <c r="U898" s="288"/>
      <c r="V898" s="287"/>
      <c r="W898" s="287"/>
      <c r="X898" s="287"/>
      <c r="Y898" s="287"/>
      <c r="Z898" s="1246"/>
    </row>
    <row r="899" spans="1:26" s="1254" customFormat="1" ht="18" customHeight="1">
      <c r="A899" s="287"/>
      <c r="B899" s="287"/>
      <c r="C899" s="288"/>
      <c r="D899" s="288"/>
      <c r="E899" s="288"/>
      <c r="F899" s="288"/>
      <c r="G899" s="288"/>
      <c r="H899" s="288"/>
      <c r="I899" s="287"/>
      <c r="J899" s="287"/>
      <c r="K899" s="287"/>
      <c r="L899" s="287"/>
      <c r="M899" s="1253"/>
      <c r="N899" s="287"/>
      <c r="O899" s="287"/>
      <c r="P899" s="288"/>
      <c r="Q899" s="288"/>
      <c r="R899" s="288"/>
      <c r="S899" s="288"/>
      <c r="T899" s="288"/>
      <c r="U899" s="288"/>
      <c r="V899" s="287"/>
      <c r="W899" s="287"/>
      <c r="X899" s="287"/>
      <c r="Y899" s="287"/>
      <c r="Z899" s="1253"/>
    </row>
    <row r="900" spans="1:26" s="1254" customFormat="1" ht="18" customHeight="1">
      <c r="A900" s="287"/>
      <c r="B900" s="287"/>
      <c r="C900" s="288"/>
      <c r="D900" s="288"/>
      <c r="E900" s="288"/>
      <c r="F900" s="288"/>
      <c r="G900" s="288"/>
      <c r="H900" s="288"/>
      <c r="I900" s="287"/>
      <c r="J900" s="287"/>
      <c r="K900" s="287"/>
      <c r="L900" s="287"/>
      <c r="M900" s="1253"/>
      <c r="N900" s="287"/>
      <c r="O900" s="287"/>
      <c r="P900" s="288"/>
      <c r="Q900" s="288"/>
      <c r="R900" s="288"/>
      <c r="S900" s="288"/>
      <c r="T900" s="288"/>
      <c r="U900" s="288"/>
      <c r="V900" s="287"/>
      <c r="W900" s="287"/>
      <c r="X900" s="287"/>
      <c r="Y900" s="287"/>
      <c r="Z900" s="1253"/>
    </row>
    <row r="901" spans="1:26" s="1250" customFormat="1" ht="18" customHeight="1">
      <c r="A901" s="287"/>
      <c r="B901" s="287"/>
      <c r="C901" s="288"/>
      <c r="D901" s="288"/>
      <c r="E901" s="288"/>
      <c r="F901" s="288"/>
      <c r="G901" s="288"/>
      <c r="H901" s="288"/>
      <c r="I901" s="287"/>
      <c r="J901" s="287"/>
      <c r="K901" s="287"/>
      <c r="L901" s="287"/>
      <c r="M901" s="1246"/>
      <c r="N901" s="287"/>
      <c r="O901" s="287"/>
      <c r="P901" s="288"/>
      <c r="Q901" s="288"/>
      <c r="R901" s="288"/>
      <c r="S901" s="288"/>
      <c r="T901" s="288"/>
      <c r="U901" s="288"/>
      <c r="V901" s="287"/>
      <c r="W901" s="287"/>
      <c r="X901" s="287"/>
      <c r="Y901" s="287"/>
      <c r="Z901" s="1246"/>
    </row>
    <row r="902" spans="1:26" s="1254" customFormat="1" ht="18" customHeight="1">
      <c r="A902" s="287"/>
      <c r="B902" s="287"/>
      <c r="C902" s="288"/>
      <c r="D902" s="288"/>
      <c r="E902" s="288"/>
      <c r="F902" s="288"/>
      <c r="G902" s="288"/>
      <c r="H902" s="288"/>
      <c r="I902" s="287"/>
      <c r="J902" s="287"/>
      <c r="K902" s="287"/>
      <c r="L902" s="287"/>
      <c r="M902" s="1253"/>
      <c r="N902" s="287"/>
      <c r="O902" s="287"/>
      <c r="P902" s="288"/>
      <c r="Q902" s="288"/>
      <c r="R902" s="288"/>
      <c r="S902" s="288"/>
      <c r="T902" s="288"/>
      <c r="U902" s="288"/>
      <c r="V902" s="287"/>
      <c r="W902" s="287"/>
      <c r="X902" s="287"/>
      <c r="Y902" s="287"/>
      <c r="Z902" s="1253"/>
    </row>
    <row r="903" spans="1:26" s="1254" customFormat="1" ht="18" customHeight="1">
      <c r="A903" s="287"/>
      <c r="B903" s="287"/>
      <c r="C903" s="288"/>
      <c r="D903" s="288"/>
      <c r="E903" s="288"/>
      <c r="F903" s="288"/>
      <c r="G903" s="288"/>
      <c r="H903" s="288"/>
      <c r="I903" s="287"/>
      <c r="J903" s="287"/>
      <c r="K903" s="287"/>
      <c r="L903" s="287"/>
      <c r="M903" s="1253"/>
      <c r="N903" s="287"/>
      <c r="O903" s="287"/>
      <c r="P903" s="288"/>
      <c r="Q903" s="288"/>
      <c r="R903" s="288"/>
      <c r="S903" s="288"/>
      <c r="T903" s="288"/>
      <c r="U903" s="288"/>
      <c r="V903" s="287"/>
      <c r="W903" s="287"/>
      <c r="X903" s="287"/>
      <c r="Y903" s="287"/>
      <c r="Z903" s="1253"/>
    </row>
    <row r="904" spans="1:26" s="1254" customFormat="1" ht="18" customHeight="1">
      <c r="A904" s="287"/>
      <c r="B904" s="287"/>
      <c r="C904" s="288"/>
      <c r="D904" s="288"/>
      <c r="E904" s="288"/>
      <c r="F904" s="288"/>
      <c r="G904" s="288"/>
      <c r="H904" s="288"/>
      <c r="I904" s="287"/>
      <c r="J904" s="287"/>
      <c r="K904" s="287"/>
      <c r="L904" s="287"/>
      <c r="M904" s="1253"/>
      <c r="N904" s="287"/>
      <c r="O904" s="287"/>
      <c r="P904" s="288"/>
      <c r="Q904" s="288"/>
      <c r="R904" s="288"/>
      <c r="S904" s="288"/>
      <c r="T904" s="288"/>
      <c r="U904" s="288"/>
      <c r="V904" s="287"/>
      <c r="W904" s="287"/>
      <c r="X904" s="287"/>
      <c r="Y904" s="287"/>
      <c r="Z904" s="1253"/>
    </row>
    <row r="905" spans="1:26" s="1255" customFormat="1" ht="18" customHeight="1">
      <c r="A905" s="287"/>
      <c r="B905" s="287"/>
      <c r="C905" s="288"/>
      <c r="D905" s="288"/>
      <c r="E905" s="288"/>
      <c r="F905" s="288"/>
      <c r="G905" s="288"/>
      <c r="H905" s="288"/>
      <c r="I905" s="287"/>
      <c r="J905" s="287"/>
      <c r="K905" s="287"/>
      <c r="L905" s="287"/>
      <c r="M905" s="1253"/>
      <c r="N905" s="287"/>
      <c r="O905" s="287"/>
      <c r="P905" s="288"/>
      <c r="Q905" s="288"/>
      <c r="R905" s="288"/>
      <c r="S905" s="288"/>
      <c r="T905" s="288"/>
      <c r="U905" s="288"/>
      <c r="V905" s="287"/>
      <c r="W905" s="287"/>
      <c r="X905" s="287"/>
      <c r="Y905" s="287"/>
      <c r="Z905" s="1253"/>
    </row>
    <row r="906" spans="1:26" s="1255" customFormat="1" ht="18" customHeight="1">
      <c r="A906" s="287"/>
      <c r="B906" s="287"/>
      <c r="C906" s="288"/>
      <c r="D906" s="288"/>
      <c r="E906" s="288"/>
      <c r="F906" s="288"/>
      <c r="G906" s="288"/>
      <c r="H906" s="288"/>
      <c r="I906" s="287"/>
      <c r="J906" s="287"/>
      <c r="K906" s="287"/>
      <c r="L906" s="287"/>
      <c r="M906" s="1253"/>
      <c r="N906" s="287"/>
      <c r="O906" s="287"/>
      <c r="P906" s="288"/>
      <c r="Q906" s="288"/>
      <c r="R906" s="288"/>
      <c r="S906" s="288"/>
      <c r="T906" s="288"/>
      <c r="U906" s="288"/>
      <c r="V906" s="287"/>
      <c r="W906" s="287"/>
      <c r="X906" s="287"/>
      <c r="Y906" s="287"/>
      <c r="Z906" s="1253"/>
    </row>
    <row r="907" spans="1:26" s="1255" customFormat="1" ht="18" customHeight="1">
      <c r="A907" s="287"/>
      <c r="B907" s="287"/>
      <c r="C907" s="288"/>
      <c r="D907" s="288"/>
      <c r="E907" s="288"/>
      <c r="F907" s="288"/>
      <c r="G907" s="288"/>
      <c r="H907" s="288"/>
      <c r="I907" s="287"/>
      <c r="J907" s="287"/>
      <c r="K907" s="287"/>
      <c r="L907" s="287"/>
      <c r="M907" s="1253"/>
      <c r="N907" s="287"/>
      <c r="O907" s="287"/>
      <c r="P907" s="288"/>
      <c r="Q907" s="288"/>
      <c r="R907" s="288"/>
      <c r="S907" s="288"/>
      <c r="T907" s="288"/>
      <c r="U907" s="288"/>
      <c r="V907" s="287"/>
      <c r="W907" s="287"/>
      <c r="X907" s="287"/>
      <c r="Y907" s="287"/>
      <c r="Z907" s="1253"/>
    </row>
    <row r="908" spans="1:26" s="1255" customFormat="1" ht="18" customHeight="1">
      <c r="A908" s="287"/>
      <c r="B908" s="287"/>
      <c r="C908" s="288"/>
      <c r="D908" s="288"/>
      <c r="E908" s="288"/>
      <c r="F908" s="288"/>
      <c r="G908" s="288"/>
      <c r="H908" s="288"/>
      <c r="I908" s="287"/>
      <c r="J908" s="287"/>
      <c r="K908" s="287"/>
      <c r="L908" s="287"/>
      <c r="M908" s="1253"/>
      <c r="N908" s="287"/>
      <c r="O908" s="287"/>
      <c r="P908" s="288"/>
      <c r="Q908" s="288"/>
      <c r="R908" s="288"/>
      <c r="S908" s="288"/>
      <c r="T908" s="288"/>
      <c r="U908" s="288"/>
      <c r="V908" s="287"/>
      <c r="W908" s="287"/>
      <c r="X908" s="287"/>
      <c r="Y908" s="287"/>
      <c r="Z908" s="1253"/>
    </row>
    <row r="909" spans="1:26" s="1255" customFormat="1" ht="18" customHeight="1">
      <c r="A909" s="287"/>
      <c r="B909" s="287"/>
      <c r="C909" s="288"/>
      <c r="D909" s="288"/>
      <c r="E909" s="288"/>
      <c r="F909" s="288"/>
      <c r="G909" s="288"/>
      <c r="H909" s="288"/>
      <c r="I909" s="287"/>
      <c r="J909" s="287"/>
      <c r="K909" s="287"/>
      <c r="L909" s="287"/>
      <c r="M909" s="1253"/>
      <c r="N909" s="287"/>
      <c r="O909" s="287"/>
      <c r="P909" s="288"/>
      <c r="Q909" s="288"/>
      <c r="R909" s="288"/>
      <c r="S909" s="288"/>
      <c r="T909" s="288"/>
      <c r="U909" s="288"/>
      <c r="V909" s="287"/>
      <c r="W909" s="287"/>
      <c r="X909" s="287"/>
      <c r="Y909" s="287"/>
      <c r="Z909" s="1253"/>
    </row>
    <row r="910" spans="1:26" s="1255" customFormat="1" ht="18" customHeight="1">
      <c r="A910" s="287"/>
      <c r="B910" s="287"/>
      <c r="C910" s="288"/>
      <c r="D910" s="288"/>
      <c r="E910" s="288"/>
      <c r="F910" s="288"/>
      <c r="G910" s="288"/>
      <c r="H910" s="288"/>
      <c r="I910" s="287"/>
      <c r="J910" s="287"/>
      <c r="K910" s="287"/>
      <c r="L910" s="287"/>
      <c r="M910" s="1253"/>
      <c r="N910" s="287"/>
      <c r="O910" s="287"/>
      <c r="P910" s="288"/>
      <c r="Q910" s="288"/>
      <c r="R910" s="288"/>
      <c r="S910" s="288"/>
      <c r="T910" s="288"/>
      <c r="U910" s="288"/>
      <c r="V910" s="287"/>
      <c r="W910" s="287"/>
      <c r="X910" s="287"/>
      <c r="Y910" s="287"/>
      <c r="Z910" s="1253"/>
    </row>
    <row r="911" spans="1:26" s="1255" customFormat="1" ht="18" customHeight="1">
      <c r="A911" s="287"/>
      <c r="B911" s="287"/>
      <c r="C911" s="288"/>
      <c r="D911" s="288"/>
      <c r="E911" s="288"/>
      <c r="F911" s="288"/>
      <c r="G911" s="288"/>
      <c r="H911" s="288"/>
      <c r="I911" s="287"/>
      <c r="J911" s="287"/>
      <c r="K911" s="287"/>
      <c r="L911" s="287"/>
      <c r="M911" s="1253"/>
      <c r="N911" s="287"/>
      <c r="O911" s="287"/>
      <c r="P911" s="288"/>
      <c r="Q911" s="288"/>
      <c r="R911" s="288"/>
      <c r="S911" s="288"/>
      <c r="T911" s="288"/>
      <c r="U911" s="288"/>
      <c r="V911" s="287"/>
      <c r="W911" s="287"/>
      <c r="X911" s="287"/>
      <c r="Y911" s="287"/>
      <c r="Z911" s="1253"/>
    </row>
    <row r="912" spans="1:26" s="1255" customFormat="1" ht="18" customHeight="1">
      <c r="A912" s="287"/>
      <c r="B912" s="287"/>
      <c r="C912" s="288"/>
      <c r="D912" s="288"/>
      <c r="E912" s="288"/>
      <c r="F912" s="288"/>
      <c r="G912" s="288"/>
      <c r="H912" s="288"/>
      <c r="I912" s="287"/>
      <c r="J912" s="287"/>
      <c r="K912" s="287"/>
      <c r="L912" s="287"/>
      <c r="M912" s="1253"/>
      <c r="N912" s="287"/>
      <c r="O912" s="287"/>
      <c r="P912" s="288"/>
      <c r="Q912" s="288"/>
      <c r="R912" s="288"/>
      <c r="S912" s="288"/>
      <c r="T912" s="288"/>
      <c r="U912" s="288"/>
      <c r="V912" s="287"/>
      <c r="W912" s="287"/>
      <c r="X912" s="287"/>
      <c r="Y912" s="287"/>
      <c r="Z912" s="1253"/>
    </row>
    <row r="913" spans="1:26" s="1254" customFormat="1" ht="18" customHeight="1">
      <c r="A913" s="287"/>
      <c r="B913" s="287"/>
      <c r="C913" s="288"/>
      <c r="D913" s="288"/>
      <c r="E913" s="288"/>
      <c r="F913" s="288"/>
      <c r="G913" s="288"/>
      <c r="H913" s="288"/>
      <c r="I913" s="287"/>
      <c r="J913" s="287"/>
      <c r="K913" s="287"/>
      <c r="L913" s="287"/>
      <c r="M913" s="1253"/>
      <c r="N913" s="287"/>
      <c r="O913" s="287"/>
      <c r="P913" s="288"/>
      <c r="Q913" s="288"/>
      <c r="R913" s="288"/>
      <c r="S913" s="288"/>
      <c r="T913" s="288"/>
      <c r="U913" s="288"/>
      <c r="V913" s="287"/>
      <c r="W913" s="287"/>
      <c r="X913" s="287"/>
      <c r="Y913" s="287"/>
      <c r="Z913" s="1253"/>
    </row>
    <row r="914" spans="1:26" s="1254" customFormat="1" ht="18" customHeight="1">
      <c r="A914" s="287"/>
      <c r="B914" s="287"/>
      <c r="C914" s="288"/>
      <c r="D914" s="288"/>
      <c r="E914" s="288"/>
      <c r="F914" s="288"/>
      <c r="G914" s="288"/>
      <c r="H914" s="288"/>
      <c r="I914" s="287"/>
      <c r="J914" s="287"/>
      <c r="K914" s="287"/>
      <c r="L914" s="287"/>
      <c r="M914" s="1253"/>
      <c r="N914" s="287"/>
      <c r="O914" s="287"/>
      <c r="P914" s="288"/>
      <c r="Q914" s="288"/>
      <c r="R914" s="288"/>
      <c r="S914" s="288"/>
      <c r="T914" s="288"/>
      <c r="U914" s="288"/>
      <c r="V914" s="287"/>
      <c r="W914" s="287"/>
      <c r="X914" s="287"/>
      <c r="Y914" s="287"/>
      <c r="Z914" s="1253"/>
    </row>
  </sheetData>
  <sheetProtection algorithmName="SHA-512" hashValue="/WIt5D4rRaYVxA92qSP6P5koANe7IzEjMRblwIjBsXNfRQQTvk165uzNUdyLum2Cdq+Xdqv/iHlCHVL2FAyTkg==" saltValue="UaYdjZqLvoanpPwpYkwNxw==" spinCount="100000" sheet="1" objects="1" scenarios="1" selectLockedCells="1"/>
  <conditionalFormatting sqref="N5 A5">
    <cfRule type="cellIs" dxfId="370" priority="36" operator="notEqual">
      <formula>""""""</formula>
    </cfRule>
  </conditionalFormatting>
  <conditionalFormatting sqref="A6">
    <cfRule type="cellIs" dxfId="369" priority="34" operator="notEqual">
      <formula>""""""</formula>
    </cfRule>
  </conditionalFormatting>
  <conditionalFormatting sqref="N4:U4">
    <cfRule type="expression" dxfId="368" priority="25">
      <formula>$N4&lt;&gt;""</formula>
    </cfRule>
  </conditionalFormatting>
  <conditionalFormatting sqref="A9:H170">
    <cfRule type="expression" priority="17">
      <formula>$A9=""</formula>
    </cfRule>
    <cfRule type="expression" dxfId="367" priority="21">
      <formula>$J9="A"</formula>
    </cfRule>
    <cfRule type="expression" dxfId="366" priority="23">
      <formula>$K9="A"</formula>
    </cfRule>
  </conditionalFormatting>
  <conditionalFormatting sqref="A9:H170">
    <cfRule type="expression" dxfId="365" priority="22">
      <formula>$L9="A"</formula>
    </cfRule>
  </conditionalFormatting>
  <conditionalFormatting sqref="N9:U155">
    <cfRule type="expression" dxfId="364" priority="15">
      <formula>$Y9="A"</formula>
    </cfRule>
  </conditionalFormatting>
  <conditionalFormatting sqref="N9:U155">
    <cfRule type="expression" priority="12">
      <formula>$N9=""</formula>
    </cfRule>
    <cfRule type="expression" dxfId="363" priority="13">
      <formula>$W9="A"</formula>
    </cfRule>
    <cfRule type="expression" dxfId="362" priority="14">
      <formula>$X9="A"</formula>
    </cfRule>
  </conditionalFormatting>
  <conditionalFormatting sqref="A3:H3">
    <cfRule type="expression" dxfId="361" priority="7">
      <formula>$A$3&lt;&gt;""</formula>
    </cfRule>
  </conditionalFormatting>
  <conditionalFormatting sqref="N3:U3">
    <cfRule type="expression" dxfId="360" priority="6">
      <formula>$N$3&lt;&gt;""</formula>
    </cfRule>
  </conditionalFormatting>
  <conditionalFormatting sqref="A4:H4">
    <cfRule type="expression" dxfId="359" priority="5">
      <formula>$A4&lt;&gt;""</formula>
    </cfRule>
  </conditionalFormatting>
  <conditionalFormatting sqref="N7">
    <cfRule type="cellIs" dxfId="358" priority="4" operator="notEqual">
      <formula>""""""</formula>
    </cfRule>
  </conditionalFormatting>
  <conditionalFormatting sqref="A7">
    <cfRule type="cellIs" dxfId="357" priority="3" operator="notEqual">
      <formula>""""""</formula>
    </cfRule>
  </conditionalFormatting>
  <conditionalFormatting sqref="B7 O7">
    <cfRule type="cellIs" dxfId="356" priority="2" operator="notEqual">
      <formula>""</formula>
    </cfRule>
  </conditionalFormatting>
  <conditionalFormatting sqref="N6">
    <cfRule type="cellIs" dxfId="355" priority="1" operator="notEqual">
      <formula>""""""</formula>
    </cfRule>
  </conditionalFormatting>
  <printOptions horizontalCentered="1"/>
  <pageMargins left="0.39370078740157483" right="0.39370078740157483" top="0.39370078740157483" bottom="0.39370078740157483" header="0" footer="0.23622047244094491"/>
  <pageSetup paperSize="9" scale="87" orientation="portrait" horizontalDpi="300" r:id="rId1"/>
  <headerFooter>
    <oddFooter>&amp;C&amp;"-,Gras"&amp;P &amp;"-,Normal"sur &amp;N</oddFoot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D4428-EF90-471D-B5E7-C6ECC2659C19}">
  <sheetPr codeName="Feuil105">
    <tabColor theme="3" tint="-0.499984740745262"/>
    <outlinePr showOutlineSymbols="0"/>
    <pageSetUpPr autoPageBreaks="0"/>
  </sheetPr>
  <dimension ref="A1:Q919"/>
  <sheetViews>
    <sheetView showGridLines="0" showZeros="0" showOutlineSymbols="0" zoomScale="85" zoomScaleNormal="85" zoomScalePageLayoutView="75" workbookViewId="0">
      <pane ySplit="13" topLeftCell="A14" activePane="bottomLeft" state="frozen"/>
      <selection activeCell="N9" sqref="N9:U155"/>
      <selection pane="bottomLeft" activeCell="N9" sqref="N9:U155"/>
    </sheetView>
  </sheetViews>
  <sheetFormatPr baseColWidth="10" defaultColWidth="11.41796875" defaultRowHeight="18" customHeight="1"/>
  <cols>
    <col min="1" max="1" width="11.41796875" style="282"/>
    <col min="2" max="2" width="72.41796875" style="282" bestFit="1" customWidth="1"/>
    <col min="3" max="8" width="20.1015625" style="290" customWidth="1"/>
    <col min="9" max="9" width="3.5234375" style="282" customWidth="1"/>
    <col min="10" max="10" width="11.41796875" style="282"/>
    <col min="11" max="11" width="72.41796875" style="282" bestFit="1" customWidth="1"/>
    <col min="12" max="17" width="20.1015625" style="290" customWidth="1"/>
    <col min="18" max="16384" width="11.41796875" style="283"/>
  </cols>
  <sheetData>
    <row r="1" spans="1:17" s="261" customFormat="1" ht="32.700000000000003">
      <c r="A1" s="258" t="str">
        <f>"COMPTE A ECLATER DE L'EXERCICE "&amp;TEXT(Sommaire!Q35,"yyyy")</f>
        <v>COMPTE A ECLATER DE L'EXERCICE 1900</v>
      </c>
      <c r="B1" s="259"/>
      <c r="C1" s="260"/>
      <c r="D1" s="260"/>
      <c r="E1" s="260"/>
      <c r="F1" s="260"/>
      <c r="G1" s="260"/>
      <c r="H1" s="260"/>
      <c r="J1" s="262" t="str">
        <f>"COMPTE A ECLATER DE L'EXERCICE "&amp;TEXT(Sommaire!Q37,"yyyy")</f>
        <v>COMPTE A ECLATER DE L'EXERCICE 1900</v>
      </c>
      <c r="K1" s="263"/>
      <c r="L1" s="264"/>
      <c r="M1" s="264"/>
      <c r="N1" s="264"/>
      <c r="O1" s="264"/>
      <c r="P1" s="264"/>
      <c r="Q1" s="264"/>
    </row>
    <row r="2" spans="1:17" s="261" customFormat="1" ht="15.3">
      <c r="A2" s="1109" t="str">
        <f>"Veuillez subdiviser les comptes 106; 154; 1984; 4781; 48161;4817; 4818 figurant dans votre balance à 6 colonnes de l'exercice "&amp;TEXT(Sommaire!Q35,"yyyy")</f>
        <v>Veuillez subdiviser les comptes 106; 154; 1984; 4781; 48161;4817; 4818 figurant dans votre balance à 6 colonnes de l'exercice 1900</v>
      </c>
      <c r="B2" s="265"/>
      <c r="C2" s="266"/>
      <c r="D2" s="266"/>
      <c r="E2" s="266"/>
      <c r="F2" s="266"/>
      <c r="G2" s="266"/>
      <c r="H2" s="266"/>
      <c r="J2" s="1109" t="str">
        <f>"Veuillez subdiviser les comptes 106; 154; 1984; 4781; 48161;4817; 4818 figurant dans votre balance à 6 colonnes de l'exercice "&amp;TEXT(Sommaire!Q37,"yyyy")</f>
        <v>Veuillez subdiviser les comptes 106; 154; 1984; 4781; 48161;4817; 4818 figurant dans votre balance à 6 colonnes de l'exercice 1900</v>
      </c>
      <c r="K2" s="265"/>
      <c r="L2" s="266"/>
      <c r="M2" s="266"/>
      <c r="N2" s="266"/>
      <c r="O2" s="266"/>
      <c r="P2" s="266"/>
      <c r="Q2" s="266"/>
    </row>
    <row r="3" spans="1:17" s="261" customFormat="1" ht="25.05" customHeight="1">
      <c r="A3" s="283"/>
      <c r="C3" s="272"/>
      <c r="D3" s="272"/>
      <c r="E3" s="272"/>
      <c r="F3" s="272"/>
      <c r="G3" s="272"/>
      <c r="H3" s="272"/>
      <c r="J3" s="283"/>
      <c r="L3" s="272"/>
      <c r="M3" s="272"/>
      <c r="N3" s="272"/>
      <c r="O3" s="272"/>
      <c r="P3" s="272"/>
      <c r="Q3" s="272"/>
    </row>
    <row r="4" spans="1:17" ht="18" customHeight="1">
      <c r="B4" s="286" t="str">
        <f>IF(OR(C4&lt;&gt;0,D4&lt;&gt;0,E4&lt;&gt;0,F4&lt;&gt;0,G4&lt;&gt;0,H4&lt;&gt;0),"Attention détail compte 106 non conforme","")</f>
        <v/>
      </c>
      <c r="C4" s="289">
        <f>SUMIFS(BalanceN[BE_Debit],BalanceN[Table],"&gt;=10600",BalanceN[Table],"&lt;10700")-SUMIFS(TFTN[BE_Debit],TFTN[Compte],"&gt;=10600",TFTN[Compte],"&lt;10700")</f>
        <v>0</v>
      </c>
      <c r="D4" s="289">
        <f>SUMIFS(BalanceN[BE_Credit],BalanceN[Table],"&gt;=10600",BalanceN[Table],"&lt;10700")-SUMIFS(TFTN[BE_Credit],TFTN[Compte],"&gt;=10600",TFTN[Compte],"&lt;10700")</f>
        <v>0</v>
      </c>
      <c r="E4" s="289">
        <f>SUMIFS(BalanceN[Mvt_Debit],BalanceN[Table],"&gt;=10600",BalanceN[Table],"&lt;10700")-SUMIFS(TFTN[Mvt_Debit],TFTN[Compte],"&gt;=10600",TFTN[Compte],"&lt;10700")</f>
        <v>0</v>
      </c>
      <c r="F4" s="289">
        <f>SUMIFS(BalanceN[Mvt_Credit],BalanceN[Table],"&gt;=10600",BalanceN[Table],"&lt;10700")-SUMIFS(TFTN[Mvt_Credit],TFTN[Compte],"&gt;=10600",TFTN[Compte],"&lt;10700")</f>
        <v>0</v>
      </c>
      <c r="G4" s="289">
        <f>SUMIFS(BalanceN[BS_Debit],BalanceN[Table],"&gt;=10600",BalanceN[Table],"&lt;10700")-SUMIFS(TFTN[BS_Debit],TFTN[Compte],"&gt;=10600",TFTN[Compte],"&lt;10700")</f>
        <v>0</v>
      </c>
      <c r="H4" s="289">
        <f>SUMIFS(BalanceN[BS_Credit],BalanceN[Table],"&gt;=10600",BalanceN[Table],"&lt;10700")-SUMIFS(TFTN[BS_Credit],TFTN[Compte],"&gt;=10600",TFTN[Compte],"&lt;10700")</f>
        <v>0</v>
      </c>
      <c r="K4" s="286" t="str">
        <f>IF(OR(L4&lt;&gt;0,M4&lt;&gt;0,N4&lt;&gt;0,O4&lt;&gt;0,P4&lt;&gt;0,Q4&lt;&gt;0),"Attention détail compte 106 non conforme","")</f>
        <v/>
      </c>
      <c r="L4" s="289">
        <f>SUMIFS(BalanceN1[BE_Debit],BalanceN1[Table],"&gt;=10600",BalanceN1[Table],"&lt;10700")-SUMIFS(TFTN1[BE_Debit],TFTN1[Compte],"&gt;=10600",TFTN1[Compte],"&lt;10700")</f>
        <v>0</v>
      </c>
      <c r="M4" s="289">
        <f>SUMIFS(BalanceN1[BE_Credit],BalanceN1[Table],"&gt;=10600",BalanceN1[Table],"&lt;10700")-SUMIFS(TFTN1[BE_Credit],TFTN1[Compte],"&gt;=10600",TFTN1[Compte],"&lt;10700")</f>
        <v>0</v>
      </c>
      <c r="N4" s="289">
        <f>SUMIFS(BalanceN1[Mvt_Debit],BalanceN1[Table],"&gt;=10600",BalanceN1[Table],"&lt;10700")-SUMIFS(TFTN1[Mvt_Debit],TFTN1[Compte],"&gt;=10600",TFTN1[Compte],"&lt;10700")</f>
        <v>0</v>
      </c>
      <c r="O4" s="289">
        <f>SUMIFS(BalanceN1[Mvt_Credit],BalanceN1[Table],"&gt;=10600",BalanceN1[Table],"&lt;10700")-SUMIFS(TFTN1[Mvt_Credit],TFTN1[Compte],"&gt;=10600",TFTN1[Compte],"&lt;10700")</f>
        <v>0</v>
      </c>
      <c r="P4" s="289">
        <f>SUMIFS(BalanceN1[BS_Debit],BalanceN1[Table],"&gt;=10600",BalanceN1[Table],"&lt;10700")-SUMIFS(TFTN1[BS_Debit],TFTN1[Compte],"&gt;=10600",TFTN1[Compte],"&lt;10700")</f>
        <v>0</v>
      </c>
      <c r="Q4" s="289">
        <f>SUMIFS(BalanceN1[BS_Credit],BalanceN1[Table],"&gt;=10600",BalanceN1[Table],"&lt;10700")-SUMIFS(TFTN1[BS_Credit],TFTN1[Compte],"&gt;=10600",TFTN1[Compte],"&lt;10700")</f>
        <v>0</v>
      </c>
    </row>
    <row r="5" spans="1:17" ht="18" customHeight="1">
      <c r="B5" s="286" t="str">
        <f>IF(OR(C5&lt;&gt;0,D5&lt;&gt;0,E5&lt;&gt;0,F5&lt;&gt;0,G5&lt;&gt;0,H5&lt;&gt;0),"Attention détail compte 154 non conforme","")</f>
        <v/>
      </c>
      <c r="C5" s="289">
        <f>SUMIFS(BalanceN[BE_Debit],BalanceN[Table],"&gt;=15400",BalanceN[Table],"&lt;15500")-SUMIFS(TFTN[BE_Debit],TFTN[Compte],"&gt;=15400",TFTN[Compte],"&lt;15500")</f>
        <v>0</v>
      </c>
      <c r="D5" s="289">
        <f>SUMIFS(BalanceN[BE_Credit],BalanceN[Table],"&gt;=15400",BalanceN[Table],"&lt;15500")-SUMIFS(TFTN[BE_Credit],TFTN[Compte],"&gt;=15400",TFTN[Compte],"&lt;15500")</f>
        <v>0</v>
      </c>
      <c r="E5" s="289">
        <f>SUMIFS(BalanceN[Mvt_Debit],BalanceN[Table],"&gt;=15400",BalanceN[Table],"&lt;15500")-SUMIFS(TFTN[Mvt_Debit],TFTN[Compte],"&gt;=15400",TFTN[Compte],"&lt;15500")</f>
        <v>0</v>
      </c>
      <c r="F5" s="289">
        <f>SUMIFS(BalanceN[Mvt_Credit],BalanceN[Table],"&gt;=15400",BalanceN[Table],"&lt;15500")-SUMIFS(TFTN[Mvt_Credit],TFTN[Compte],"&gt;=15400",TFTN[Compte],"&lt;15500")</f>
        <v>0</v>
      </c>
      <c r="G5" s="289">
        <f>SUMIFS(BalanceN[BS_Debit],BalanceN[Table],"&gt;=15400",BalanceN[Table],"&lt;15500")-SUMIFS(TFTN[BS_Debit],TFTN[Compte],"&gt;=15400",TFTN[Compte],"&lt;15500")</f>
        <v>0</v>
      </c>
      <c r="H5" s="289">
        <f>SUMIFS(BalanceN[BS_Credit],BalanceN[Table],"&gt;=15400",BalanceN[Table],"&lt;15500")-SUMIFS(TFTN[BS_Credit],TFTN[Compte],"&gt;=15400",TFTN[Compte],"&lt;15500")</f>
        <v>0</v>
      </c>
      <c r="K5" s="286" t="str">
        <f>IF(OR(L5&lt;&gt;0,M5&lt;&gt;0,N5&lt;&gt;0,O5&lt;&gt;0,P5&lt;&gt;0,Q5&lt;&gt;0),"Attention détail compte 154 non conforme","")</f>
        <v/>
      </c>
      <c r="L5" s="289">
        <f>SUMIFS(BalanceN1[BE_Debit],BalanceN1[Table],"&gt;=15400",BalanceN1[Table],"&lt;15500")-SUMIFS(TFTN1[BE_Debit],TFTN1[Compte],"&gt;=15400",TFTN1[Compte],"&lt;15500")</f>
        <v>0</v>
      </c>
      <c r="M5" s="289">
        <f>SUMIFS(BalanceN1[BE_Credit],BalanceN1[Table],"&gt;=15400",BalanceN1[Table],"&lt;15500")-SUMIFS(TFTN1[BE_Credit],TFTN1[Compte],"&gt;=15400",TFTN1[Compte],"&lt;15500")</f>
        <v>0</v>
      </c>
      <c r="N5" s="289">
        <f>SUMIFS(BalanceN1[Mvt_Debit],BalanceN1[Table],"&gt;=15400",BalanceN1[Table],"&lt;15500")-SUMIFS(TFTN1[Mvt_Debit],TFTN1[Compte],"&gt;=15400",TFTN1[Compte],"&lt;15500")</f>
        <v>0</v>
      </c>
      <c r="O5" s="289">
        <f>SUMIFS(BalanceN1[Mvt_Credit],BalanceN1[Table],"&gt;=15400",BalanceN1[Table],"&lt;15500")-SUMIFS(TFTN1[Mvt_Credit],TFTN1[Compte],"&gt;=15400",TFTN1[Compte],"&lt;15500")</f>
        <v>0</v>
      </c>
      <c r="P5" s="289">
        <f>SUMIFS(BalanceN1[BS_Debit],BalanceN1[Table],"&gt;=15400",BalanceN1[Table],"&lt;15500")-SUMIFS(TFTN1[BS_Debit],TFTN1[Compte],"&gt;=15400",TFTN1[Compte],"&lt;15500")</f>
        <v>0</v>
      </c>
      <c r="Q5" s="289">
        <f>SUMIFS(BalanceN1[BS_Credit],BalanceN1[Table],"&gt;=15400",BalanceN1[Table],"&lt;15500")-SUMIFS(TFTN1[BS_Credit],TFTN1[Compte],"&gt;=15400",TFTN1[Compte],"&lt;15500")</f>
        <v>0</v>
      </c>
    </row>
    <row r="6" spans="1:17" ht="18" customHeight="1">
      <c r="B6" s="286" t="str">
        <f>IF(OR(C6&lt;&gt;0,D6&lt;&gt;0,E6&lt;&gt;0,F6&lt;&gt;0,G6&lt;&gt;0,H6&lt;&gt;0),"Attention détail compte 1984 non conforme","")</f>
        <v/>
      </c>
      <c r="C6" s="289">
        <f>SUMIFS(BalanceN[BE_Debit],BalanceN[Table],"&gt;=19840",BalanceN[Table],"&lt;19850")-SUMIFS(TFTN[BE_Debit],TFTN[Compte],"&gt;=19840",TFTN[Compte],"&lt;19850")</f>
        <v>0</v>
      </c>
      <c r="D6" s="289">
        <f>SUMIFS(BalanceN[BE_Credit],BalanceN[Table],"&gt;=19840",BalanceN[Table],"&lt;19850")-SUMIFS(TFTN[BE_Credit],TFTN[Compte],"&gt;=19840",TFTN[Compte],"&lt;19850")</f>
        <v>0</v>
      </c>
      <c r="E6" s="289">
        <f>SUMIFS(BalanceN[Mvt_Debit],BalanceN[Table],"&gt;=19840",BalanceN[Table],"&lt;19850")-SUMIFS(TFTN[Mvt_Debit],TFTN[Compte],"&gt;=19840",TFTN[Compte],"&lt;19850")</f>
        <v>0</v>
      </c>
      <c r="F6" s="289">
        <f>SUMIFS(BalanceN[Mvt_Credit],BalanceN[Table],"&gt;=19840",BalanceN[Table],"&lt;19850")-SUMIFS(TFTN[Mvt_Credit],TFTN[Compte],"&gt;=19840",TFTN[Compte],"&lt;19850")</f>
        <v>0</v>
      </c>
      <c r="G6" s="289">
        <f>SUMIFS(BalanceN[BS_Debit],BalanceN[Table],"&gt;=19840",BalanceN[Table],"&lt;19850")-SUMIFS(TFTN[BS_Debit],TFTN[Compte],"&gt;=19840",TFTN[Compte],"&lt;19850")</f>
        <v>0</v>
      </c>
      <c r="H6" s="289">
        <f>SUMIFS(BalanceN[BS_Credit],BalanceN[Table],"&gt;=19840",BalanceN[Table],"&lt;19850")-SUMIFS(TFTN[BS_Credit],TFTN[Compte],"&gt;=19840",TFTN[Compte],"&lt;19850")</f>
        <v>0</v>
      </c>
      <c r="K6" s="286" t="str">
        <f>IF(OR(L6&lt;&gt;0,M6&lt;&gt;0,N6&lt;&gt;0,O6&lt;&gt;0,P6&lt;&gt;0,Q6&lt;&gt;0),"Attention détail compte 1984 non conforme","")</f>
        <v/>
      </c>
      <c r="L6" s="289">
        <f>SUMIFS(BalanceN1[BE_Debit],BalanceN1[Table],"&gt;=19840",BalanceN1[Table],"&lt;19850")-SUMIFS(TFTN1[BE_Debit],TFTN1[Compte],"&gt;=19840",TFTN1[Compte],"&lt;19850")</f>
        <v>0</v>
      </c>
      <c r="M6" s="289">
        <f>SUMIFS(BalanceN1[BE_Credit],BalanceN1[Table],"&gt;=19840",BalanceN1[Table],"&lt;19850")-SUMIFS(TFTN1[BE_Credit],TFTN1[Compte],"&gt;=19840",TFTN1[Compte],"&lt;19850")</f>
        <v>0</v>
      </c>
      <c r="N6" s="289">
        <f>SUMIFS(BalanceN1[Mvt_Debit],BalanceN1[Table],"&gt;=19840",BalanceN1[Table],"&lt;19850")-SUMIFS(TFTN1[Mvt_Debit],TFTN1[Compte],"&gt;=19840",TFTN1[Compte],"&lt;19850")</f>
        <v>0</v>
      </c>
      <c r="O6" s="289">
        <f>SUMIFS(BalanceN1[Mvt_Credit],BalanceN1[Table],"&gt;=19840",BalanceN1[Table],"&lt;19850")-SUMIFS(TFTN1[Mvt_Credit],TFTN1[Compte],"&gt;=19840",TFTN1[Compte],"&lt;19850")</f>
        <v>0</v>
      </c>
      <c r="P6" s="289">
        <f>SUMIFS(BalanceN1[BS_Debit],BalanceN1[Table],"&gt;=19840",BalanceN1[Table],"&lt;19850")-SUMIFS(TFTN1[BS_Debit],TFTN1[Compte],"&gt;=19840",TFTN1[Compte],"&lt;19850")</f>
        <v>0</v>
      </c>
      <c r="Q6" s="289">
        <f>SUMIFS(BalanceN1[BS_Credit],BalanceN1[Table],"&gt;=19840",BalanceN1[Table],"&lt;19850")-SUMIFS(TFTN1[BS_Credit],TFTN1[Compte],"&gt;=19840",TFTN1[Compte],"&lt;19850")</f>
        <v>0</v>
      </c>
    </row>
    <row r="7" spans="1:17" ht="18" customHeight="1">
      <c r="B7" s="286" t="str">
        <f>IF(OR(C7&lt;&gt;0,D7&lt;&gt;0,E7&lt;&gt;0,F7&lt;&gt;0,G7&lt;&gt;0,H7&lt;&gt;0),"Attention détail compte 4781 non conforme","")</f>
        <v/>
      </c>
      <c r="C7" s="289">
        <f>SUMIFS(BalanceN[BE_Debit],BalanceN[Table],"&gt;=47810",BalanceN[Table],"&lt;47820")-SUMIFS(TFTN[BE_Debit],TFTN[Compte],"&gt;=47810",TFTN[Compte],"&lt;47820")</f>
        <v>0</v>
      </c>
      <c r="D7" s="289">
        <f>SUMIFS(BalanceN[BE_Credit],BalanceN[Table],"&gt;=47810",BalanceN[Table],"&lt;47820")-SUMIFS(TFTN[BE_Credit],TFTN[Compte],"&gt;=47810",TFTN[Compte],"&lt;47820")</f>
        <v>0</v>
      </c>
      <c r="E7" s="289">
        <f>SUMIFS(BalanceN[Mvt_Debit],BalanceN[Table],"&gt;=47810",BalanceN[Table],"&lt;47820")-SUMIFS(TFTN[Mvt_Debit],TFTN[Compte],"&gt;=47810",TFTN[Compte],"&lt;47820")</f>
        <v>0</v>
      </c>
      <c r="F7" s="289">
        <f>SUMIFS(BalanceN[Mvt_Credit],BalanceN[Table],"&gt;=47810",BalanceN[Table],"&lt;47820")-SUMIFS(TFTN[Mvt_Credit],TFTN[Compte],"&gt;=47810",TFTN[Compte],"&lt;47820")</f>
        <v>0</v>
      </c>
      <c r="G7" s="289">
        <f>SUMIFS(BalanceN[BS_Debit],BalanceN[Table],"&gt;=47810",BalanceN[Table],"&lt;47820")-SUMIFS(TFTN[BS_Debit],TFTN[Compte],"&gt;=47810",TFTN[Compte],"&lt;47820")</f>
        <v>0</v>
      </c>
      <c r="H7" s="289">
        <f>SUMIFS(BalanceN[BS_Credit],BalanceN[Table],"&gt;=47810",BalanceN[Table],"&lt;47820")-SUMIFS(TFTN[BS_Credit],TFTN[Compte],"&gt;=47810",TFTN[Compte],"&lt;47820")</f>
        <v>0</v>
      </c>
      <c r="K7" s="286" t="str">
        <f>IF(OR(L7&lt;&gt;0,M7&lt;&gt;0,N7&lt;&gt;0,O7&lt;&gt;0,P7&lt;&gt;0,Q7&lt;&gt;0),"Attention détail compte 4781 non conforme","")</f>
        <v/>
      </c>
      <c r="L7" s="289">
        <f>SUMIFS(BalanceN1[BE_Debit],BalanceN1[Table],"&gt;=47810",BalanceN1[Table],"&lt;47820")-SUMIFS(TFTN1[BE_Debit],TFTN1[Compte],"&gt;=47810",TFTN1[Compte],"&lt;47820")</f>
        <v>0</v>
      </c>
      <c r="M7" s="289">
        <f>SUMIFS(BalanceN1[BE_Credit],BalanceN1[Table],"&gt;=47810",BalanceN1[Table],"&lt;47820")-SUMIFS(TFTN1[BE_Credit],TFTN1[Compte],"&gt;=47810",TFTN1[Compte],"&lt;47820")</f>
        <v>0</v>
      </c>
      <c r="N7" s="289">
        <f>SUMIFS(BalanceN1[Mvt_Debit],BalanceN1[Table],"&gt;=47810",BalanceN1[Table],"&lt;47820")-SUMIFS(TFTN1[Mvt_Debit],TFTN1[Compte],"&gt;=47810",TFTN1[Compte],"&lt;47820")</f>
        <v>0</v>
      </c>
      <c r="O7" s="289">
        <f>SUMIFS(BalanceN1[Mvt_Credit],BalanceN1[Table],"&gt;=47810",BalanceN1[Table],"&lt;47820")-SUMIFS(TFTN1[Mvt_Credit],TFTN1[Compte],"&gt;=47810",TFTN1[Compte],"&lt;47820")</f>
        <v>0</v>
      </c>
      <c r="P7" s="289">
        <f>SUMIFS(BalanceN1[BS_Debit],BalanceN1[Table],"&gt;=47810",BalanceN1[Table],"&lt;47820")-SUMIFS(TFTN1[BS_Debit],TFTN1[Compte],"&gt;=47810",TFTN1[Compte],"&lt;47820")</f>
        <v>0</v>
      </c>
      <c r="Q7" s="289">
        <f>SUMIFS(BalanceN1[BS_Credit],BalanceN1[Table],"&gt;=47810",BalanceN1[Table],"&lt;47820")-SUMIFS(TFTN1[BS_Credit],TFTN1[Compte],"&gt;=47810",TFTN1[Compte],"&lt;47820")</f>
        <v>0</v>
      </c>
    </row>
    <row r="8" spans="1:17" ht="18" customHeight="1">
      <c r="B8" s="286" t="str">
        <f>IF(OR(C8&lt;&gt;0,D8&lt;&gt;0,E8&lt;&gt;0,F8&lt;&gt;0,G8&lt;&gt;0,H8&lt;&gt;0),"Attention détail compte 4791 non conforme","")</f>
        <v/>
      </c>
      <c r="C8" s="289">
        <f>SUMIFS(BalanceN[BE_Debit],BalanceN[Table],"&gt;=47910",BalanceN[Table],"&lt;47920")-SUMIFS(TFTN[BE_Debit],TFTN[Compte],"&gt;=47910",TFTN[Compte],"&lt;47920")</f>
        <v>0</v>
      </c>
      <c r="D8" s="289">
        <f>SUMIFS(BalanceN[BE_Credit],BalanceN[Table],"&gt;=47910",BalanceN[Table],"&lt;47920")-SUMIFS(TFTN[BE_Credit],TFTN[Compte],"&gt;=47910",TFTN[Compte],"&lt;47920")</f>
        <v>0</v>
      </c>
      <c r="E8" s="289">
        <f>SUMIFS(BalanceN[Mvt_Debit],BalanceN[Table],"&gt;=47910",BalanceN[Table],"&lt;47920")-SUMIFS(TFTN[Mvt_Debit],TFTN[Compte],"&gt;=47910",TFTN[Compte],"&lt;47920")</f>
        <v>0</v>
      </c>
      <c r="F8" s="289">
        <f>SUMIFS(BalanceN[Mvt_Credit],BalanceN[Table],"&gt;=47910",BalanceN[Table],"&lt;47920")-SUMIFS(TFTN[Mvt_Credit],TFTN[Compte],"&gt;=47910",TFTN[Compte],"&lt;47920")</f>
        <v>0</v>
      </c>
      <c r="G8" s="289">
        <f>SUMIFS(BalanceN[BS_Debit],BalanceN[Table],"&gt;=47910",BalanceN[Table],"&lt;47920")-SUMIFS(TFTN[BS_Debit],TFTN[Compte],"&gt;=47910",TFTN[Compte],"&lt;47920")</f>
        <v>0</v>
      </c>
      <c r="H8" s="289">
        <f>SUMIFS(BalanceN[BS_Credit],BalanceN[Table],"&gt;=47910",BalanceN[Table],"&lt;47920")-SUMIFS(TFTN[BS_Credit],TFTN[Compte],"&gt;=47910",TFTN[Compte],"&lt;47920")</f>
        <v>0</v>
      </c>
      <c r="K8" s="286" t="str">
        <f>IF(OR(L8&lt;&gt;0,M8&lt;&gt;0,N8&lt;&gt;0,O8&lt;&gt;0,P8&lt;&gt;0,Q8&lt;&gt;0),"Attention détail compte 4791 non conforme","")</f>
        <v/>
      </c>
      <c r="L8" s="289">
        <f>SUMIFS(BalanceN1[BE_Debit],BalanceN1[Table],"&gt;=47910",BalanceN1[Table],"&lt;47920")-SUMIFS(TFTN1[BE_Debit],TFTN1[Compte],"&gt;=47910",TFTN1[Compte],"&lt;47920")</f>
        <v>0</v>
      </c>
      <c r="M8" s="289">
        <f>SUMIFS(BalanceN1[BE_Credit],BalanceN1[Table],"&gt;=47910",BalanceN1[Table],"&lt;47920")-SUMIFS(TFTN1[BE_Credit],TFTN1[Compte],"&gt;=47910",TFTN1[Compte],"&lt;47920")</f>
        <v>0</v>
      </c>
      <c r="N8" s="289">
        <f>SUMIFS(BalanceN1[Mvt_Debit],BalanceN1[Table],"&gt;=47910",BalanceN1[Table],"&lt;47920")-SUMIFS(TFTN1[Mvt_Debit],TFTN1[Compte],"&gt;=47910",TFTN1[Compte],"&lt;47920")</f>
        <v>0</v>
      </c>
      <c r="O8" s="289">
        <f>SUMIFS(BalanceN1[Mvt_Credit],BalanceN1[Table],"&gt;=47910",BalanceN1[Table],"&lt;47920")-SUMIFS(TFTN1[Mvt_Credit],TFTN1[Compte],"&gt;=47910",TFTN1[Compte],"&lt;47920")</f>
        <v>0</v>
      </c>
      <c r="P8" s="289">
        <f>SUMIFS(BalanceN1[BS_Debit],BalanceN1[Table],"&gt;=47910",BalanceN1[Table],"&lt;47920")-SUMIFS(TFTN1[BS_Debit],TFTN1[Compte],"&gt;=47910",TFTN1[Compte],"&lt;47920")</f>
        <v>0</v>
      </c>
      <c r="Q8" s="289">
        <f>SUMIFS(BalanceN1[BS_Credit],BalanceN1[Table],"&gt;=47910",BalanceN1[Table],"&lt;47920")-SUMIFS(TFTN1[BS_Credit],TFTN1[Compte],"&gt;=47910",TFTN1[Compte],"&lt;47920")</f>
        <v>0</v>
      </c>
    </row>
    <row r="9" spans="1:17" ht="18" customHeight="1">
      <c r="B9" s="286" t="str">
        <f>IF(OR(C9&lt;&gt;0,D9&lt;&gt;0,E9&lt;&gt;0,F9&lt;&gt;0,G9&lt;&gt;0,H9&lt;&gt;0),"Attention détail compte 4816 non conforme","")</f>
        <v/>
      </c>
      <c r="C9" s="289">
        <f>SUMIFS(BalanceN[BE_Debit],BalanceN[Table],"&gt;=48160",BalanceN[Table],"&lt;48170")-SUMIFS(TFTN[BE_Debit],TFTN[Compte],"&gt;=48160",TFTN[Compte],"&lt;48170")</f>
        <v>0</v>
      </c>
      <c r="D9" s="289">
        <f>SUMIFS(BalanceN[BE_Credit],BalanceN[Table],"&gt;=48160",BalanceN[Table],"&lt;48170")-SUMIFS(TFTN[BE_Credit],TFTN[Compte],"&gt;=48160",TFTN[Compte],"&lt;48170")</f>
        <v>0</v>
      </c>
      <c r="E9" s="289">
        <f>SUMIFS(BalanceN[Mvt_Debit],BalanceN[Table],"&gt;=48160",BalanceN[Table],"&lt;48170")-SUMIFS(TFTN[Mvt_Debit],TFTN[Compte],"&gt;=48160",TFTN[Compte],"&lt;48170")</f>
        <v>0</v>
      </c>
      <c r="F9" s="289">
        <f>SUMIFS(BalanceN[Mvt_Credit],BalanceN[Table],"&gt;=48160",BalanceN[Table],"&lt;48170")-SUMIFS(TFTN[Mvt_Credit],TFTN[Compte],"&gt;=48160",TFTN[Compte],"&lt;48170")</f>
        <v>0</v>
      </c>
      <c r="G9" s="289">
        <f>SUMIFS(BalanceN[BS_Debit],BalanceN[Table],"&gt;=48160",BalanceN[Table],"&lt;48170")-SUMIFS(TFTN[BS_Debit],TFTN[Compte],"&gt;=48160",TFTN[Compte],"&lt;48170")</f>
        <v>0</v>
      </c>
      <c r="H9" s="289">
        <f>SUMIFS(BalanceN[BS_Credit],BalanceN[Table],"&gt;=48160",BalanceN[Table],"&lt;48170")-SUMIFS(TFTN[BS_Credit],TFTN[Compte],"&gt;=48160",TFTN[Compte],"&lt;48170")</f>
        <v>0</v>
      </c>
      <c r="K9" s="286" t="str">
        <f>IF(OR(L9&lt;&gt;0,M9&lt;&gt;0,N9&lt;&gt;0,O9&lt;&gt;0,P9&lt;&gt;0,Q9&lt;&gt;0),"Attention détail compte 4816 non conforme","")</f>
        <v/>
      </c>
      <c r="L9" s="289">
        <f>SUMIFS(BalanceN1[BE_Debit],BalanceN1[Table],"&gt;=48160",BalanceN1[Table],"&lt;48170")-SUMIFS(TFTN1[BE_Debit],TFTN1[Compte],"&gt;=48160",TFTN1[Compte],"&lt;48170")</f>
        <v>0</v>
      </c>
      <c r="M9" s="289">
        <f>SUMIFS(BalanceN1[BE_Credit],BalanceN1[Table],"&gt;=48160",BalanceN1[Table],"&lt;48170")-SUMIFS(TFTN1[BE_Credit],TFTN1[Compte],"&gt;=48160",TFTN1[Compte],"&lt;48170")</f>
        <v>0</v>
      </c>
      <c r="N9" s="289">
        <f>SUMIFS(BalanceN1[Mvt_Debit],BalanceN1[Table],"&gt;=48160",BalanceN1[Table],"&lt;48170")-SUMIFS(TFTN1[Mvt_Debit],TFTN1[Compte],"&gt;=48160",TFTN1[Compte],"&lt;48170")</f>
        <v>0</v>
      </c>
      <c r="O9" s="289">
        <f>SUMIFS(BalanceN1[Mvt_Credit],BalanceN1[Table],"&gt;=48160",BalanceN1[Table],"&lt;48170")-SUMIFS(TFTN1[Mvt_Credit],TFTN1[Compte],"&gt;=48160",TFTN1[Compte],"&lt;48170")</f>
        <v>0</v>
      </c>
      <c r="P9" s="289">
        <f>SUMIFS(BalanceN1[BS_Debit],BalanceN1[Table],"&gt;=48160",BalanceN1[Table],"&lt;48170")-SUMIFS(TFTN1[BS_Debit],TFTN1[Compte],"&gt;=48160",TFTN1[Compte],"&lt;48170")</f>
        <v>0</v>
      </c>
      <c r="Q9" s="289">
        <f>SUMIFS(BalanceN1[BS_Credit],BalanceN1[Table],"&gt;=48160",BalanceN1[Table],"&lt;48170")-SUMIFS(TFTN1[BS_Credit],TFTN1[Compte],"&gt;=48160",TFTN1[Compte],"&lt;48170")</f>
        <v>0</v>
      </c>
    </row>
    <row r="10" spans="1:17" ht="18" customHeight="1">
      <c r="B10" s="286" t="str">
        <f>IF(OR(C10&lt;&gt;0,D10&lt;&gt;0,E10&lt;&gt;0,F10&lt;&gt;0,G10&lt;&gt;0,H10&lt;&gt;0),"Attention détail compte 4817 non conforme","")</f>
        <v/>
      </c>
      <c r="C10" s="289">
        <f>SUMIFS(BalanceN[BE_Debit],BalanceN[Table],"&gt;=48170",BalanceN[Table],"&lt;48180")-SUMIFS(TFTN[BE_Debit],TFTN[Compte],"&gt;=48170",TFTN[Compte],"&lt;48180")</f>
        <v>0</v>
      </c>
      <c r="D10" s="289">
        <f>SUMIFS(BalanceN[BE_Credit],BalanceN[Table],"&gt;=48170",BalanceN[Table],"&lt;48180")-SUMIFS(TFTN[BE_Credit],TFTN[Compte],"&gt;=48170",TFTN[Compte],"&lt;48180")</f>
        <v>0</v>
      </c>
      <c r="E10" s="289">
        <f>SUMIFS(BalanceN[Mvt_Debit],BalanceN[Table],"&gt;=48170",BalanceN[Table],"&lt;48180")-SUMIFS(TFTN[Mvt_Debit],TFTN[Compte],"&gt;=48170",TFTN[Compte],"&lt;48180")</f>
        <v>0</v>
      </c>
      <c r="F10" s="289">
        <f>SUMIFS(BalanceN[Mvt_Credit],BalanceN[Table],"&gt;=48170",BalanceN[Table],"&lt;48180")-SUMIFS(TFTN[Mvt_Credit],TFTN[Compte],"&gt;=48170",TFTN[Compte],"&lt;48180")</f>
        <v>0</v>
      </c>
      <c r="G10" s="289">
        <f>SUMIFS(BalanceN[BS_Debit],BalanceN[Table],"&gt;=48170",BalanceN[Table],"&lt;48180")-SUMIFS(TFTN[BS_Debit],TFTN[Compte],"&gt;=48170",TFTN[Compte],"&lt;48180")</f>
        <v>0</v>
      </c>
      <c r="H10" s="289">
        <f>SUMIFS(BalanceN[BS_Credit],BalanceN[Table],"&gt;=48170",BalanceN[Table],"&lt;48180")-SUMIFS(TFTN[BS_Credit],TFTN[Compte],"&gt;=48170",TFTN[Compte],"&lt;48180")</f>
        <v>0</v>
      </c>
      <c r="K10" s="286" t="str">
        <f>IF(OR(L10&lt;&gt;0,M10&lt;&gt;0,N10&lt;&gt;0,O10&lt;&gt;0,P10&lt;&gt;0,Q10&lt;&gt;0),"Attention détail compte 4817 non conforme","")</f>
        <v/>
      </c>
      <c r="L10" s="289">
        <f>SUMIFS(BalanceN1[BE_Debit],BalanceN1[Table],"&gt;=48170",BalanceN1[Table],"&lt;48180")-SUMIFS(TFTN1[BE_Debit],TFTN1[Compte],"&gt;=48170",TFTN1[Compte],"&lt;48180")</f>
        <v>0</v>
      </c>
      <c r="M10" s="289">
        <f>SUMIFS(BalanceN1[BE_Credit],BalanceN1[Table],"&gt;=48170",BalanceN1[Table],"&lt;48180")-SUMIFS(TFTN1[BE_Credit],TFTN1[Compte],"&gt;=48170",TFTN1[Compte],"&lt;48180")</f>
        <v>0</v>
      </c>
      <c r="N10" s="289">
        <f>SUMIFS(BalanceN1[Mvt_Debit],BalanceN1[Table],"&gt;=48170",BalanceN1[Table],"&lt;48180")-SUMIFS(TFTN1[Mvt_Debit],TFTN1[Compte],"&gt;=48170",TFTN1[Compte],"&lt;48180")</f>
        <v>0</v>
      </c>
      <c r="O10" s="289">
        <f>SUMIFS(BalanceN1[Mvt_Credit],BalanceN1[Table],"&gt;=48170",BalanceN1[Table],"&lt;48180")-SUMIFS(TFTN1[Mvt_Credit],TFTN1[Compte],"&gt;=48170",TFTN1[Compte],"&lt;48180")</f>
        <v>0</v>
      </c>
      <c r="P10" s="289">
        <f>SUMIFS(BalanceN1[BS_Debit],BalanceN1[Table],"&gt;=48170",BalanceN1[Table],"&lt;48180")-SUMIFS(TFTN1[BS_Debit],TFTN1[Compte],"&gt;=48170",TFTN1[Compte],"&lt;48180")</f>
        <v>0</v>
      </c>
      <c r="Q10" s="289">
        <f>SUMIFS(BalanceN1[BS_Credit],BalanceN1[Table],"&gt;=48170",BalanceN1[Table],"&lt;48180")-SUMIFS(TFTN1[BS_Credit],TFTN1[Compte],"&gt;=48170",TFTN1[Compte],"&lt;48180")</f>
        <v>0</v>
      </c>
    </row>
    <row r="11" spans="1:17" ht="18" customHeight="1" thickBot="1">
      <c r="B11" s="286" t="str">
        <f>IF(OR(C11&lt;&gt;0,D11&lt;&gt;0,E11&lt;&gt;0,F11&lt;&gt;0,G11&lt;&gt;0,H11&lt;&gt;0),"Attention détail compte 4818 non conforme","")</f>
        <v/>
      </c>
      <c r="C11" s="289">
        <f>SUMIFS(BalanceN[BE_Debit],BalanceN[Table],"&gt;=48180",BalanceN[Table],"&lt;48190")-SUMIFS(TFTN[BE_Debit],TFTN[Compte],"&gt;=48180",TFTN[Compte],"&lt;48190")</f>
        <v>0</v>
      </c>
      <c r="D11" s="289">
        <f>SUMIFS(BalanceN[BE_Credit],BalanceN[Table],"&gt;=48180",BalanceN[Table],"&lt;48190")-SUMIFS(TFTN[BE_Credit],TFTN[Compte],"&gt;=48180",TFTN[Compte],"&lt;48190")</f>
        <v>0</v>
      </c>
      <c r="E11" s="289">
        <f>SUMIFS(BalanceN[Mvt_Debit],BalanceN[Table],"&gt;=48180",BalanceN[Table],"&lt;48190")-SUMIFS(TFTN[Mvt_Debit],TFTN[Compte],"&gt;=48180",TFTN[Compte],"&lt;48190")</f>
        <v>0</v>
      </c>
      <c r="F11" s="289">
        <f>SUMIFS(BalanceN[Mvt_Credit],BalanceN[Table],"&gt;=48180",BalanceN[Table],"&lt;48190")-SUMIFS(TFTN[Mvt_Credit],TFTN[Compte],"&gt;=48180",TFTN[Compte],"&lt;48190")</f>
        <v>0</v>
      </c>
      <c r="G11" s="289">
        <f>SUMIFS(BalanceN[BS_Debit],BalanceN[Table],"&gt;=48180",BalanceN[Table],"&lt;48190")-SUMIFS(TFTN[BS_Debit],TFTN[Compte],"&gt;=48180",TFTN[Compte],"&lt;48190")</f>
        <v>0</v>
      </c>
      <c r="H11" s="289">
        <f>SUMIFS(BalanceN[BS_Credit],BalanceN[Table],"&gt;=48180",BalanceN[Table],"&lt;48190")-SUMIFS(TFTN[BS_Credit],TFTN[Compte],"&gt;=48180",TFTN[Compte],"&lt;48190")</f>
        <v>0</v>
      </c>
      <c r="K11" s="286" t="str">
        <f>IF(OR(L11&lt;&gt;0,M11&lt;&gt;0,N11&lt;&gt;0,O11&lt;&gt;0,P11&lt;&gt;0,Q11&lt;&gt;0),"Attention détail compte 4818 non conforme","")</f>
        <v/>
      </c>
      <c r="L11" s="289">
        <f>SUMIFS(BalanceN1[BE_Debit],BalanceN1[Table],"&gt;=48180",BalanceN1[Table],"&lt;48190")-SUMIFS(TFTN1[BE_Debit],TFTN1[Compte],"&gt;=48180",TFTN1[Compte],"&lt;48190")</f>
        <v>0</v>
      </c>
      <c r="M11" s="289">
        <f>SUMIFS(BalanceN1[BE_Credit],BalanceN1[Table],"&gt;=48180",BalanceN1[Table],"&lt;48190")-SUMIFS(TFTN1[BE_Credit],TFTN1[Compte],"&gt;=48180",TFTN1[Compte],"&lt;48190")</f>
        <v>0</v>
      </c>
      <c r="N11" s="289">
        <f>SUMIFS(BalanceN1[Mvt_Debit],BalanceN1[Table],"&gt;=48180",BalanceN1[Table],"&lt;48190")-SUMIFS(TFTN1[Mvt_Debit],TFTN1[Compte],"&gt;=48180",TFTN1[Compte],"&lt;48190")</f>
        <v>0</v>
      </c>
      <c r="O11" s="289">
        <f>SUMIFS(BalanceN1[Mvt_Credit],BalanceN1[Table],"&gt;=48180",BalanceN1[Table],"&lt;48190")-SUMIFS(TFTN1[Mvt_Credit],TFTN1[Compte],"&gt;=48180",TFTN1[Compte],"&lt;48190")</f>
        <v>0</v>
      </c>
      <c r="P11" s="289">
        <f>SUMIFS(BalanceN1[BS_Debit],BalanceN1[Table],"&gt;=48180",BalanceN1[Table],"&lt;48190")-SUMIFS(TFTN1[BS_Debit],TFTN1[Compte],"&gt;=48180",TFTN1[Compte],"&lt;48190")</f>
        <v>0</v>
      </c>
      <c r="Q11" s="289">
        <f>SUMIFS(BalanceN1[BS_Credit],BalanceN1[Table],"&gt;=48180",BalanceN1[Table],"&lt;48190")-SUMIFS(TFTN1[BS_Credit],TFTN1[Compte],"&gt;=48180",TFTN1[Compte],"&lt;48190")</f>
        <v>0</v>
      </c>
    </row>
    <row r="12" spans="1:17" s="261" customFormat="1" ht="25.05" customHeight="1" thickTop="1">
      <c r="A12" s="283"/>
      <c r="C12" s="1134">
        <f>SUM(TFTN[BE_Debit])</f>
        <v>0</v>
      </c>
      <c r="D12" s="1134">
        <f>SUM(TFTN[BE_Credit])</f>
        <v>399942</v>
      </c>
      <c r="E12" s="1134">
        <f>SUM(TFTN[Mvt_Debit])</f>
        <v>15000000</v>
      </c>
      <c r="F12" s="1134">
        <f>SUM(TFTN[Mvt_Credit])</f>
        <v>43500000</v>
      </c>
      <c r="G12" s="1134">
        <f>SUM(TFTN[BS_Debit])</f>
        <v>15000000</v>
      </c>
      <c r="H12" s="1135">
        <f>SUM(TFTN[BS_Credit])</f>
        <v>43899942</v>
      </c>
      <c r="J12" s="283"/>
      <c r="L12" s="1136">
        <f>SUM(TFTN1[BE_Debit])</f>
        <v>0</v>
      </c>
      <c r="M12" s="1136">
        <f>SUM(TFTN1[BE_Credit])</f>
        <v>0</v>
      </c>
      <c r="N12" s="1136">
        <f>SUM(TFTN1[Mvt_Debit])</f>
        <v>0</v>
      </c>
      <c r="O12" s="1136">
        <f>SUM(TFTN1[Mvt_Credit])</f>
        <v>399942</v>
      </c>
      <c r="P12" s="1136">
        <f>SUM(TFTN1[BS_Debit])</f>
        <v>0</v>
      </c>
      <c r="Q12" s="1137">
        <f>SUM(TFTN1[BS_Credit])</f>
        <v>399942</v>
      </c>
    </row>
    <row r="13" spans="1:17" s="1113" customFormat="1" ht="25.05" customHeight="1">
      <c r="A13" s="1114" t="s">
        <v>9988</v>
      </c>
      <c r="B13" s="1115" t="s">
        <v>9985</v>
      </c>
      <c r="C13" s="1116" t="s">
        <v>11551</v>
      </c>
      <c r="D13" s="1116" t="s">
        <v>11552</v>
      </c>
      <c r="E13" s="1116" t="s">
        <v>11553</v>
      </c>
      <c r="F13" s="1116" t="s">
        <v>11554</v>
      </c>
      <c r="G13" s="1116" t="s">
        <v>11555</v>
      </c>
      <c r="H13" s="1116" t="s">
        <v>11556</v>
      </c>
      <c r="J13" s="1114" t="s">
        <v>9988</v>
      </c>
      <c r="K13" s="1115" t="s">
        <v>9985</v>
      </c>
      <c r="L13" s="1116" t="s">
        <v>11551</v>
      </c>
      <c r="M13" s="1116" t="s">
        <v>11552</v>
      </c>
      <c r="N13" s="1116" t="s">
        <v>11553</v>
      </c>
      <c r="O13" s="1116" t="s">
        <v>11554</v>
      </c>
      <c r="P13" s="1116" t="s">
        <v>11555</v>
      </c>
      <c r="Q13" s="1116" t="s">
        <v>11556</v>
      </c>
    </row>
    <row r="14" spans="1:17" ht="18" customHeight="1">
      <c r="A14" s="1128">
        <v>10611</v>
      </c>
      <c r="B14" s="1129" t="s">
        <v>11559</v>
      </c>
      <c r="C14" s="1266"/>
      <c r="D14" s="1266"/>
      <c r="E14" s="1266"/>
      <c r="F14" s="1266"/>
      <c r="G14" s="1210">
        <f>IF((TFTN[[#This Row],[BE_Debit]]-TFTN[[#This Row],[BE_Credit]]+TFTN[[#This Row],[Mvt_Debit]]-TFTN[[#This Row],[Mvt_Credit]])&gt;0,TFTN[[#This Row],[BE_Debit]]-TFTN[[#This Row],[BE_Credit]]+TFTN[[#This Row],[Mvt_Debit]]-TFTN[[#This Row],[Mvt_Credit]],0)</f>
        <v>0</v>
      </c>
      <c r="H14" s="1210">
        <f>IF((TFTN[[#This Row],[BE_Debit]]-TFTN[[#This Row],[BE_Credit]]+TFTN[[#This Row],[Mvt_Debit]]-TFTN[[#This Row],[Mvt_Credit]])&gt;0,0,-(TFTN[[#This Row],[BE_Debit]]-TFTN[[#This Row],[BE_Credit]]+TFTN[[#This Row],[Mvt_Debit]]-TFTN[[#This Row],[Mvt_Credit]]))</f>
        <v>0</v>
      </c>
      <c r="J14" s="1128">
        <v>10611</v>
      </c>
      <c r="K14" s="1129" t="s">
        <v>11559</v>
      </c>
      <c r="L14" s="1265"/>
      <c r="M14" s="1130"/>
      <c r="N14" s="1130"/>
      <c r="O14" s="1130"/>
      <c r="P14" s="1130">
        <f>IF((TFTN1[[#This Row],[BE_Debit]]-TFTN1[[#This Row],[BE_Credit]]+TFTN1[[#This Row],[Mvt_Debit]]-TFTN1[[#This Row],[Mvt_Credit]])&gt;0,TFTN1[[#This Row],[BE_Debit]]-TFTN1[[#This Row],[BE_Credit]]+TFTN1[[#This Row],[Mvt_Debit]]-TFTN1[[#This Row],[Mvt_Credit]],0)</f>
        <v>0</v>
      </c>
      <c r="Q14" s="1130">
        <f>IF((TFTN1[[#This Row],[BE_Debit]]-TFTN1[[#This Row],[BE_Credit]]+TFTN1[[#This Row],[Mvt_Debit]]-TFTN1[[#This Row],[Mvt_Credit]])&gt;0,0,-(TFTN1[[#This Row],[BE_Debit]]-TFTN1[[#This Row],[BE_Credit]]+TFTN1[[#This Row],[Mvt_Debit]]-TFTN1[[#This Row],[Mvt_Credit]]))</f>
        <v>0</v>
      </c>
    </row>
    <row r="15" spans="1:17" ht="18" customHeight="1">
      <c r="A15" s="1128">
        <v>10612</v>
      </c>
      <c r="B15" s="1129" t="s">
        <v>11560</v>
      </c>
      <c r="C15" s="1266"/>
      <c r="D15" s="1266"/>
      <c r="E15" s="1266"/>
      <c r="F15" s="1266"/>
      <c r="G15" s="1210">
        <f>IF((TFTN[[#This Row],[BE_Debit]]-TFTN[[#This Row],[BE_Credit]]+TFTN[[#This Row],[Mvt_Debit]]-TFTN[[#This Row],[Mvt_Credit]])&gt;0,TFTN[[#This Row],[BE_Debit]]-TFTN[[#This Row],[BE_Credit]]+TFTN[[#This Row],[Mvt_Debit]]-TFTN[[#This Row],[Mvt_Credit]],0)</f>
        <v>0</v>
      </c>
      <c r="H15" s="1210">
        <f>IF((TFTN[[#This Row],[BE_Debit]]-TFTN[[#This Row],[BE_Credit]]+TFTN[[#This Row],[Mvt_Debit]]-TFTN[[#This Row],[Mvt_Credit]])&gt;0,0,-(TFTN[[#This Row],[BE_Debit]]-TFTN[[#This Row],[BE_Credit]]+TFTN[[#This Row],[Mvt_Debit]]-TFTN[[#This Row],[Mvt_Credit]]))</f>
        <v>0</v>
      </c>
      <c r="J15" s="1128">
        <v>10612</v>
      </c>
      <c r="K15" s="1129" t="s">
        <v>11560</v>
      </c>
      <c r="L15" s="1265"/>
      <c r="M15" s="1130"/>
      <c r="N15" s="1130">
        <v>0</v>
      </c>
      <c r="O15" s="1130"/>
      <c r="P15" s="1130">
        <f>IF((TFTN1[[#This Row],[BE_Debit]]-TFTN1[[#This Row],[BE_Credit]]+TFTN1[[#This Row],[Mvt_Debit]]-TFTN1[[#This Row],[Mvt_Credit]])&gt;0,TFTN1[[#This Row],[BE_Debit]]-TFTN1[[#This Row],[BE_Credit]]+TFTN1[[#This Row],[Mvt_Debit]]-TFTN1[[#This Row],[Mvt_Credit]],0)</f>
        <v>0</v>
      </c>
      <c r="Q15" s="1130">
        <f>IF((TFTN1[[#This Row],[BE_Debit]]-TFTN1[[#This Row],[BE_Credit]]+TFTN1[[#This Row],[Mvt_Debit]]-TFTN1[[#This Row],[Mvt_Credit]])&gt;0,0,-(TFTN1[[#This Row],[BE_Debit]]-TFTN1[[#This Row],[BE_Credit]]+TFTN1[[#This Row],[Mvt_Debit]]-TFTN1[[#This Row],[Mvt_Credit]]))</f>
        <v>0</v>
      </c>
    </row>
    <row r="16" spans="1:17" ht="18" customHeight="1">
      <c r="A16" s="1128">
        <v>10613</v>
      </c>
      <c r="B16" s="1129" t="s">
        <v>11561</v>
      </c>
      <c r="C16" s="1266"/>
      <c r="D16" s="1266"/>
      <c r="E16" s="1266"/>
      <c r="F16" s="1266"/>
      <c r="G16" s="1210">
        <f>IF((TFTN[[#This Row],[BE_Debit]]-TFTN[[#This Row],[BE_Credit]]+TFTN[[#This Row],[Mvt_Debit]]-TFTN[[#This Row],[Mvt_Credit]])&gt;0,TFTN[[#This Row],[BE_Debit]]-TFTN[[#This Row],[BE_Credit]]+TFTN[[#This Row],[Mvt_Debit]]-TFTN[[#This Row],[Mvt_Credit]],0)</f>
        <v>0</v>
      </c>
      <c r="H16" s="1210">
        <f>IF((TFTN[[#This Row],[BE_Debit]]-TFTN[[#This Row],[BE_Credit]]+TFTN[[#This Row],[Mvt_Debit]]-TFTN[[#This Row],[Mvt_Credit]])&gt;0,0,-(TFTN[[#This Row],[BE_Debit]]-TFTN[[#This Row],[BE_Credit]]+TFTN[[#This Row],[Mvt_Debit]]-TFTN[[#This Row],[Mvt_Credit]]))</f>
        <v>0</v>
      </c>
      <c r="J16" s="1128">
        <v>10613</v>
      </c>
      <c r="K16" s="1129" t="s">
        <v>11561</v>
      </c>
      <c r="L16" s="1265"/>
      <c r="M16" s="1130"/>
      <c r="N16" s="1130"/>
      <c r="O16" s="1130"/>
      <c r="P16" s="1130">
        <f>IF((TFTN1[[#This Row],[BE_Debit]]-TFTN1[[#This Row],[BE_Credit]]+TFTN1[[#This Row],[Mvt_Debit]]-TFTN1[[#This Row],[Mvt_Credit]])&gt;0,TFTN1[[#This Row],[BE_Debit]]-TFTN1[[#This Row],[BE_Credit]]+TFTN1[[#This Row],[Mvt_Debit]]-TFTN1[[#This Row],[Mvt_Credit]],0)</f>
        <v>0</v>
      </c>
      <c r="Q16" s="1130">
        <f>IF((TFTN1[[#This Row],[BE_Debit]]-TFTN1[[#This Row],[BE_Credit]]+TFTN1[[#This Row],[Mvt_Debit]]-TFTN1[[#This Row],[Mvt_Credit]])&gt;0,0,-(TFTN1[[#This Row],[BE_Debit]]-TFTN1[[#This Row],[BE_Credit]]+TFTN1[[#This Row],[Mvt_Debit]]-TFTN1[[#This Row],[Mvt_Credit]]))</f>
        <v>0</v>
      </c>
    </row>
    <row r="17" spans="1:17" ht="18" customHeight="1">
      <c r="A17" s="1128">
        <v>10621</v>
      </c>
      <c r="B17" s="1129" t="s">
        <v>11562</v>
      </c>
      <c r="C17" s="1266"/>
      <c r="D17" s="1266"/>
      <c r="E17" s="1266"/>
      <c r="F17" s="1266"/>
      <c r="G17" s="1210">
        <f>IF((TFTN[[#This Row],[BE_Debit]]-TFTN[[#This Row],[BE_Credit]]+TFTN[[#This Row],[Mvt_Debit]]-TFTN[[#This Row],[Mvt_Credit]])&gt;0,TFTN[[#This Row],[BE_Debit]]-TFTN[[#This Row],[BE_Credit]]+TFTN[[#This Row],[Mvt_Debit]]-TFTN[[#This Row],[Mvt_Credit]],0)</f>
        <v>0</v>
      </c>
      <c r="H17" s="1210">
        <f>IF((TFTN[[#This Row],[BE_Debit]]-TFTN[[#This Row],[BE_Credit]]+TFTN[[#This Row],[Mvt_Debit]]-TFTN[[#This Row],[Mvt_Credit]])&gt;0,0,-(TFTN[[#This Row],[BE_Debit]]-TFTN[[#This Row],[BE_Credit]]+TFTN[[#This Row],[Mvt_Debit]]-TFTN[[#This Row],[Mvt_Credit]]))</f>
        <v>0</v>
      </c>
      <c r="J17" s="1128">
        <v>10621</v>
      </c>
      <c r="K17" s="1129" t="s">
        <v>11562</v>
      </c>
      <c r="L17" s="1265"/>
      <c r="M17" s="1130"/>
      <c r="N17" s="1130"/>
      <c r="O17" s="1130"/>
      <c r="P17" s="1210">
        <f>IF((TFTN1[[#This Row],[BE_Debit]]-TFTN1[[#This Row],[BE_Credit]]+TFTN1[[#This Row],[Mvt_Debit]]-TFTN1[[#This Row],[Mvt_Credit]])&gt;0,TFTN1[[#This Row],[BE_Debit]]-TFTN1[[#This Row],[BE_Credit]]+TFTN1[[#This Row],[Mvt_Debit]]-TFTN1[[#This Row],[Mvt_Credit]],0)</f>
        <v>0</v>
      </c>
      <c r="Q17" s="1210">
        <f>IF((TFTN1[[#This Row],[BE_Debit]]-TFTN1[[#This Row],[BE_Credit]]+TFTN1[[#This Row],[Mvt_Debit]]-TFTN1[[#This Row],[Mvt_Credit]])&gt;0,0,-(TFTN1[[#This Row],[BE_Debit]]-TFTN1[[#This Row],[BE_Credit]]+TFTN1[[#This Row],[Mvt_Debit]]-TFTN1[[#This Row],[Mvt_Credit]]))</f>
        <v>0</v>
      </c>
    </row>
    <row r="18" spans="1:17" ht="18" customHeight="1">
      <c r="A18" s="1128">
        <v>10622</v>
      </c>
      <c r="B18" s="1129" t="s">
        <v>11563</v>
      </c>
      <c r="C18" s="1266"/>
      <c r="D18" s="1266"/>
      <c r="E18" s="1266"/>
      <c r="F18" s="1266">
        <v>3500000</v>
      </c>
      <c r="G18" s="1210">
        <f>IF((TFTN[[#This Row],[BE_Debit]]-TFTN[[#This Row],[BE_Credit]]+TFTN[[#This Row],[Mvt_Debit]]-TFTN[[#This Row],[Mvt_Credit]])&gt;0,TFTN[[#This Row],[BE_Debit]]-TFTN[[#This Row],[BE_Credit]]+TFTN[[#This Row],[Mvt_Debit]]-TFTN[[#This Row],[Mvt_Credit]],0)</f>
        <v>0</v>
      </c>
      <c r="H18" s="1210">
        <f>IF((TFTN[[#This Row],[BE_Debit]]-TFTN[[#This Row],[BE_Credit]]+TFTN[[#This Row],[Mvt_Debit]]-TFTN[[#This Row],[Mvt_Credit]])&gt;0,0,-(TFTN[[#This Row],[BE_Debit]]-TFTN[[#This Row],[BE_Credit]]+TFTN[[#This Row],[Mvt_Debit]]-TFTN[[#This Row],[Mvt_Credit]]))</f>
        <v>3500000</v>
      </c>
      <c r="J18" s="1128">
        <v>10622</v>
      </c>
      <c r="K18" s="1129" t="s">
        <v>11563</v>
      </c>
      <c r="L18" s="1265"/>
      <c r="M18" s="1130"/>
      <c r="N18" s="1130"/>
      <c r="O18" s="1130"/>
      <c r="P18" s="1210">
        <f>IF((TFTN1[[#This Row],[BE_Debit]]-TFTN1[[#This Row],[BE_Credit]]+TFTN1[[#This Row],[Mvt_Debit]]-TFTN1[[#This Row],[Mvt_Credit]])&gt;0,TFTN1[[#This Row],[BE_Debit]]-TFTN1[[#This Row],[BE_Credit]]+TFTN1[[#This Row],[Mvt_Debit]]-TFTN1[[#This Row],[Mvt_Credit]],0)</f>
        <v>0</v>
      </c>
      <c r="Q18" s="1210">
        <f>IF((TFTN1[[#This Row],[BE_Debit]]-TFTN1[[#This Row],[BE_Credit]]+TFTN1[[#This Row],[Mvt_Debit]]-TFTN1[[#This Row],[Mvt_Credit]])&gt;0,0,-(TFTN1[[#This Row],[BE_Debit]]-TFTN1[[#This Row],[BE_Credit]]+TFTN1[[#This Row],[Mvt_Debit]]-TFTN1[[#This Row],[Mvt_Credit]]))</f>
        <v>0</v>
      </c>
    </row>
    <row r="19" spans="1:17" ht="18" customHeight="1">
      <c r="A19" s="1128">
        <v>10623</v>
      </c>
      <c r="B19" s="1129" t="s">
        <v>11564</v>
      </c>
      <c r="C19" s="1266"/>
      <c r="D19" s="1266"/>
      <c r="E19" s="1266"/>
      <c r="F19" s="1266"/>
      <c r="G19" s="1210">
        <f>IF((TFTN[[#This Row],[BE_Debit]]-TFTN[[#This Row],[BE_Credit]]+TFTN[[#This Row],[Mvt_Debit]]-TFTN[[#This Row],[Mvt_Credit]])&gt;0,TFTN[[#This Row],[BE_Debit]]-TFTN[[#This Row],[BE_Credit]]+TFTN[[#This Row],[Mvt_Debit]]-TFTN[[#This Row],[Mvt_Credit]],0)</f>
        <v>0</v>
      </c>
      <c r="H19" s="1210">
        <f>IF((TFTN[[#This Row],[BE_Debit]]-TFTN[[#This Row],[BE_Credit]]+TFTN[[#This Row],[Mvt_Debit]]-TFTN[[#This Row],[Mvt_Credit]])&gt;0,0,-(TFTN[[#This Row],[BE_Debit]]-TFTN[[#This Row],[BE_Credit]]+TFTN[[#This Row],[Mvt_Debit]]-TFTN[[#This Row],[Mvt_Credit]]))</f>
        <v>0</v>
      </c>
      <c r="J19" s="1128">
        <v>10623</v>
      </c>
      <c r="K19" s="1129" t="s">
        <v>11564</v>
      </c>
      <c r="L19" s="1265"/>
      <c r="M19" s="1130"/>
      <c r="N19" s="1130"/>
      <c r="O19" s="1130"/>
      <c r="P19" s="1210">
        <f>IF((TFTN1[[#This Row],[BE_Debit]]-TFTN1[[#This Row],[BE_Credit]]+TFTN1[[#This Row],[Mvt_Debit]]-TFTN1[[#This Row],[Mvt_Credit]])&gt;0,TFTN1[[#This Row],[BE_Debit]]-TFTN1[[#This Row],[BE_Credit]]+TFTN1[[#This Row],[Mvt_Debit]]-TFTN1[[#This Row],[Mvt_Credit]],0)</f>
        <v>0</v>
      </c>
      <c r="Q19" s="1210">
        <f>IF((TFTN1[[#This Row],[BE_Debit]]-TFTN1[[#This Row],[BE_Credit]]+TFTN1[[#This Row],[Mvt_Debit]]-TFTN1[[#This Row],[Mvt_Credit]])&gt;0,0,-(TFTN1[[#This Row],[BE_Debit]]-TFTN1[[#This Row],[BE_Credit]]+TFTN1[[#This Row],[Mvt_Debit]]-TFTN1[[#This Row],[Mvt_Credit]]))</f>
        <v>0</v>
      </c>
    </row>
    <row r="20" spans="1:17" s="285" customFormat="1" ht="18" customHeight="1">
      <c r="A20" s="1128">
        <v>15410</v>
      </c>
      <c r="B20" s="1129" t="s">
        <v>11565</v>
      </c>
      <c r="C20" s="1266"/>
      <c r="D20" s="1266"/>
      <c r="E20" s="1266"/>
      <c r="F20" s="1266"/>
      <c r="G20" s="1210">
        <f>IF((TFTN[[#This Row],[BE_Debit]]-TFTN[[#This Row],[BE_Credit]]+TFTN[[#This Row],[Mvt_Debit]]-TFTN[[#This Row],[Mvt_Credit]])&gt;0,TFTN[[#This Row],[BE_Debit]]-TFTN[[#This Row],[BE_Credit]]+TFTN[[#This Row],[Mvt_Debit]]-TFTN[[#This Row],[Mvt_Credit]],0)</f>
        <v>0</v>
      </c>
      <c r="H20" s="1210">
        <f>IF((TFTN[[#This Row],[BE_Debit]]-TFTN[[#This Row],[BE_Credit]]+TFTN[[#This Row],[Mvt_Debit]]-TFTN[[#This Row],[Mvt_Credit]])&gt;0,0,-(TFTN[[#This Row],[BE_Debit]]-TFTN[[#This Row],[BE_Credit]]+TFTN[[#This Row],[Mvt_Debit]]-TFTN[[#This Row],[Mvt_Credit]]))</f>
        <v>0</v>
      </c>
      <c r="I20" s="284"/>
      <c r="J20" s="1128">
        <v>15410</v>
      </c>
      <c r="K20" s="1129" t="s">
        <v>11565</v>
      </c>
      <c r="L20" s="1265"/>
      <c r="M20" s="1130"/>
      <c r="N20" s="1130"/>
      <c r="O20" s="1130"/>
      <c r="P20" s="1210">
        <f>IF((TFTN1[[#This Row],[BE_Debit]]-TFTN1[[#This Row],[BE_Credit]]+TFTN1[[#This Row],[Mvt_Debit]]-TFTN1[[#This Row],[Mvt_Credit]])&gt;0,TFTN1[[#This Row],[BE_Debit]]-TFTN1[[#This Row],[BE_Credit]]+TFTN1[[#This Row],[Mvt_Debit]]-TFTN1[[#This Row],[Mvt_Credit]],0)</f>
        <v>0</v>
      </c>
      <c r="Q20" s="1210">
        <f>IF((TFTN1[[#This Row],[BE_Debit]]-TFTN1[[#This Row],[BE_Credit]]+TFTN1[[#This Row],[Mvt_Debit]]-TFTN1[[#This Row],[Mvt_Credit]])&gt;0,0,-(TFTN1[[#This Row],[BE_Debit]]-TFTN1[[#This Row],[BE_Credit]]+TFTN1[[#This Row],[Mvt_Debit]]-TFTN1[[#This Row],[Mvt_Credit]]))</f>
        <v>0</v>
      </c>
    </row>
    <row r="21" spans="1:17" ht="18" customHeight="1">
      <c r="A21" s="1128">
        <v>15420</v>
      </c>
      <c r="B21" s="1129" t="s">
        <v>11566</v>
      </c>
      <c r="C21" s="1266"/>
      <c r="D21" s="1266"/>
      <c r="E21" s="1266"/>
      <c r="F21" s="1266">
        <v>40000000</v>
      </c>
      <c r="G21" s="1210">
        <f>IF((TFTN[[#This Row],[BE_Debit]]-TFTN[[#This Row],[BE_Credit]]+TFTN[[#This Row],[Mvt_Debit]]-TFTN[[#This Row],[Mvt_Credit]])&gt;0,TFTN[[#This Row],[BE_Debit]]-TFTN[[#This Row],[BE_Credit]]+TFTN[[#This Row],[Mvt_Debit]]-TFTN[[#This Row],[Mvt_Credit]],0)</f>
        <v>0</v>
      </c>
      <c r="H21" s="1210">
        <f>IF((TFTN[[#This Row],[BE_Debit]]-TFTN[[#This Row],[BE_Credit]]+TFTN[[#This Row],[Mvt_Debit]]-TFTN[[#This Row],[Mvt_Credit]])&gt;0,0,-(TFTN[[#This Row],[BE_Debit]]-TFTN[[#This Row],[BE_Credit]]+TFTN[[#This Row],[Mvt_Debit]]-TFTN[[#This Row],[Mvt_Credit]]))</f>
        <v>40000000</v>
      </c>
      <c r="J21" s="1128">
        <v>15420</v>
      </c>
      <c r="K21" s="1129" t="s">
        <v>11566</v>
      </c>
      <c r="L21" s="1265"/>
      <c r="M21" s="1130"/>
      <c r="N21" s="1130"/>
      <c r="O21" s="1130"/>
      <c r="P21" s="1210">
        <f>IF((TFTN1[[#This Row],[BE_Debit]]-TFTN1[[#This Row],[BE_Credit]]+TFTN1[[#This Row],[Mvt_Debit]]-TFTN1[[#This Row],[Mvt_Credit]])&gt;0,TFTN1[[#This Row],[BE_Debit]]-TFTN1[[#This Row],[BE_Credit]]+TFTN1[[#This Row],[Mvt_Debit]]-TFTN1[[#This Row],[Mvt_Credit]],0)</f>
        <v>0</v>
      </c>
      <c r="Q21" s="1210">
        <f>IF((TFTN1[[#This Row],[BE_Debit]]-TFTN1[[#This Row],[BE_Credit]]+TFTN1[[#This Row],[Mvt_Debit]]-TFTN1[[#This Row],[Mvt_Credit]])&gt;0,0,-(TFTN1[[#This Row],[BE_Debit]]-TFTN1[[#This Row],[BE_Credit]]+TFTN1[[#This Row],[Mvt_Debit]]-TFTN1[[#This Row],[Mvt_Credit]]))</f>
        <v>0</v>
      </c>
    </row>
    <row r="22" spans="1:17" ht="18" customHeight="1">
      <c r="A22" s="1128">
        <v>15430</v>
      </c>
      <c r="B22" s="1129" t="s">
        <v>11567</v>
      </c>
      <c r="C22" s="1266"/>
      <c r="D22" s="1266"/>
      <c r="E22" s="1266"/>
      <c r="F22" s="1266"/>
      <c r="G22" s="1210">
        <f>IF((TFTN[[#This Row],[BE_Debit]]-TFTN[[#This Row],[BE_Credit]]+TFTN[[#This Row],[Mvt_Debit]]-TFTN[[#This Row],[Mvt_Credit]])&gt;0,TFTN[[#This Row],[BE_Debit]]-TFTN[[#This Row],[BE_Credit]]+TFTN[[#This Row],[Mvt_Debit]]-TFTN[[#This Row],[Mvt_Credit]],0)</f>
        <v>0</v>
      </c>
      <c r="H22" s="1210">
        <f>IF((TFTN[[#This Row],[BE_Debit]]-TFTN[[#This Row],[BE_Credit]]+TFTN[[#This Row],[Mvt_Debit]]-TFTN[[#This Row],[Mvt_Credit]])&gt;0,0,-(TFTN[[#This Row],[BE_Debit]]-TFTN[[#This Row],[BE_Credit]]+TFTN[[#This Row],[Mvt_Debit]]-TFTN[[#This Row],[Mvt_Credit]]))</f>
        <v>0</v>
      </c>
      <c r="J22" s="1128">
        <v>15430</v>
      </c>
      <c r="K22" s="1129" t="s">
        <v>11567</v>
      </c>
      <c r="L22" s="1265"/>
      <c r="M22" s="1130"/>
      <c r="N22" s="1130"/>
      <c r="O22" s="1130"/>
      <c r="P22" s="1210">
        <f>IF((TFTN1[[#This Row],[BE_Debit]]-TFTN1[[#This Row],[BE_Credit]]+TFTN1[[#This Row],[Mvt_Debit]]-TFTN1[[#This Row],[Mvt_Credit]])&gt;0,TFTN1[[#This Row],[BE_Debit]]-TFTN1[[#This Row],[BE_Credit]]+TFTN1[[#This Row],[Mvt_Debit]]-TFTN1[[#This Row],[Mvt_Credit]],0)</f>
        <v>0</v>
      </c>
      <c r="Q22" s="1210">
        <f>IF((TFTN1[[#This Row],[BE_Debit]]-TFTN1[[#This Row],[BE_Credit]]+TFTN1[[#This Row],[Mvt_Debit]]-TFTN1[[#This Row],[Mvt_Credit]])&gt;0,0,-(TFTN1[[#This Row],[BE_Debit]]-TFTN1[[#This Row],[BE_Credit]]+TFTN1[[#This Row],[Mvt_Debit]]-TFTN1[[#This Row],[Mvt_Credit]]))</f>
        <v>0</v>
      </c>
    </row>
    <row r="23" spans="1:17" ht="18" customHeight="1">
      <c r="A23" s="1128">
        <v>19841</v>
      </c>
      <c r="B23" s="1129" t="s">
        <v>11568</v>
      </c>
      <c r="C23" s="1266"/>
      <c r="D23" s="1266"/>
      <c r="E23" s="1266"/>
      <c r="F23" s="1266"/>
      <c r="G23" s="1210">
        <f>IF((TFTN[[#This Row],[BE_Debit]]-TFTN[[#This Row],[BE_Credit]]+TFTN[[#This Row],[Mvt_Debit]]-TFTN[[#This Row],[Mvt_Credit]])&gt;0,TFTN[[#This Row],[BE_Debit]]-TFTN[[#This Row],[BE_Credit]]+TFTN[[#This Row],[Mvt_Debit]]-TFTN[[#This Row],[Mvt_Credit]],0)</f>
        <v>0</v>
      </c>
      <c r="H23" s="1210">
        <f>IF((TFTN[[#This Row],[BE_Debit]]-TFTN[[#This Row],[BE_Credit]]+TFTN[[#This Row],[Mvt_Debit]]-TFTN[[#This Row],[Mvt_Credit]])&gt;0,0,-(TFTN[[#This Row],[BE_Debit]]-TFTN[[#This Row],[BE_Credit]]+TFTN[[#This Row],[Mvt_Debit]]-TFTN[[#This Row],[Mvt_Credit]]))</f>
        <v>0</v>
      </c>
      <c r="J23" s="1128">
        <v>19841</v>
      </c>
      <c r="K23" s="1129" t="s">
        <v>11568</v>
      </c>
      <c r="L23" s="1265"/>
      <c r="M23" s="1130"/>
      <c r="N23" s="1130"/>
      <c r="O23" s="1130"/>
      <c r="P23" s="1210">
        <f>IF((TFTN1[[#This Row],[BE_Debit]]-TFTN1[[#This Row],[BE_Credit]]+TFTN1[[#This Row],[Mvt_Debit]]-TFTN1[[#This Row],[Mvt_Credit]])&gt;0,TFTN1[[#This Row],[BE_Debit]]-TFTN1[[#This Row],[BE_Credit]]+TFTN1[[#This Row],[Mvt_Debit]]-TFTN1[[#This Row],[Mvt_Credit]],0)</f>
        <v>0</v>
      </c>
      <c r="Q23" s="1210">
        <f>IF((TFTN1[[#This Row],[BE_Debit]]-TFTN1[[#This Row],[BE_Credit]]+TFTN1[[#This Row],[Mvt_Debit]]-TFTN1[[#This Row],[Mvt_Credit]])&gt;0,0,-(TFTN1[[#This Row],[BE_Debit]]-TFTN1[[#This Row],[BE_Credit]]+TFTN1[[#This Row],[Mvt_Debit]]-TFTN1[[#This Row],[Mvt_Credit]]))</f>
        <v>0</v>
      </c>
    </row>
    <row r="24" spans="1:17" ht="18" customHeight="1">
      <c r="A24" s="1128">
        <v>19842</v>
      </c>
      <c r="B24" s="1129" t="s">
        <v>11569</v>
      </c>
      <c r="C24" s="1266"/>
      <c r="D24" s="1266"/>
      <c r="E24" s="1266"/>
      <c r="F24" s="1266"/>
      <c r="G24" s="1210">
        <f>IF((TFTN[[#This Row],[BE_Debit]]-TFTN[[#This Row],[BE_Credit]]+TFTN[[#This Row],[Mvt_Debit]]-TFTN[[#This Row],[Mvt_Credit]])&gt;0,TFTN[[#This Row],[BE_Debit]]-TFTN[[#This Row],[BE_Credit]]+TFTN[[#This Row],[Mvt_Debit]]-TFTN[[#This Row],[Mvt_Credit]],0)</f>
        <v>0</v>
      </c>
      <c r="H24" s="1210">
        <f>IF((TFTN[[#This Row],[BE_Debit]]-TFTN[[#This Row],[BE_Credit]]+TFTN[[#This Row],[Mvt_Debit]]-TFTN[[#This Row],[Mvt_Credit]])&gt;0,0,-(TFTN[[#This Row],[BE_Debit]]-TFTN[[#This Row],[BE_Credit]]+TFTN[[#This Row],[Mvt_Debit]]-TFTN[[#This Row],[Mvt_Credit]]))</f>
        <v>0</v>
      </c>
      <c r="J24" s="1128">
        <v>19842</v>
      </c>
      <c r="K24" s="1129" t="s">
        <v>11569</v>
      </c>
      <c r="L24" s="1265"/>
      <c r="M24" s="1130"/>
      <c r="N24" s="1130"/>
      <c r="O24" s="1130"/>
      <c r="P24" s="1210">
        <f>IF((TFTN1[[#This Row],[BE_Debit]]-TFTN1[[#This Row],[BE_Credit]]+TFTN1[[#This Row],[Mvt_Debit]]-TFTN1[[#This Row],[Mvt_Credit]])&gt;0,TFTN1[[#This Row],[BE_Debit]]-TFTN1[[#This Row],[BE_Credit]]+TFTN1[[#This Row],[Mvt_Debit]]-TFTN1[[#This Row],[Mvt_Credit]],0)</f>
        <v>0</v>
      </c>
      <c r="Q24" s="1210">
        <f>IF((TFTN1[[#This Row],[BE_Debit]]-TFTN1[[#This Row],[BE_Credit]]+TFTN1[[#This Row],[Mvt_Debit]]-TFTN1[[#This Row],[Mvt_Credit]])&gt;0,0,-(TFTN1[[#This Row],[BE_Debit]]-TFTN1[[#This Row],[BE_Credit]]+TFTN1[[#This Row],[Mvt_Debit]]-TFTN1[[#This Row],[Mvt_Credit]]))</f>
        <v>0</v>
      </c>
    </row>
    <row r="25" spans="1:17" ht="18" customHeight="1">
      <c r="A25" s="1128">
        <v>47811</v>
      </c>
      <c r="B25" s="1129" t="s">
        <v>11570</v>
      </c>
      <c r="C25" s="1266"/>
      <c r="D25" s="1266"/>
      <c r="E25" s="1266">
        <v>15000000</v>
      </c>
      <c r="F25" s="1266"/>
      <c r="G25" s="1210">
        <f>IF((TFTN[[#This Row],[BE_Debit]]-TFTN[[#This Row],[BE_Credit]]+TFTN[[#This Row],[Mvt_Debit]]-TFTN[[#This Row],[Mvt_Credit]])&gt;0,TFTN[[#This Row],[BE_Debit]]-TFTN[[#This Row],[BE_Credit]]+TFTN[[#This Row],[Mvt_Debit]]-TFTN[[#This Row],[Mvt_Credit]],0)</f>
        <v>15000000</v>
      </c>
      <c r="H25" s="1210">
        <f>IF((TFTN[[#This Row],[BE_Debit]]-TFTN[[#This Row],[BE_Credit]]+TFTN[[#This Row],[Mvt_Debit]]-TFTN[[#This Row],[Mvt_Credit]])&gt;0,0,-(TFTN[[#This Row],[BE_Debit]]-TFTN[[#This Row],[BE_Credit]]+TFTN[[#This Row],[Mvt_Debit]]-TFTN[[#This Row],[Mvt_Credit]]))</f>
        <v>0</v>
      </c>
      <c r="J25" s="1128">
        <v>47811</v>
      </c>
      <c r="K25" s="1129" t="s">
        <v>11570</v>
      </c>
      <c r="L25" s="1265"/>
      <c r="M25" s="1130"/>
      <c r="N25" s="1130"/>
      <c r="O25" s="1130"/>
      <c r="P25" s="1210">
        <f>IF((TFTN1[[#This Row],[BE_Debit]]-TFTN1[[#This Row],[BE_Credit]]+TFTN1[[#This Row],[Mvt_Debit]]-TFTN1[[#This Row],[Mvt_Credit]])&gt;0,TFTN1[[#This Row],[BE_Debit]]-TFTN1[[#This Row],[BE_Credit]]+TFTN1[[#This Row],[Mvt_Debit]]-TFTN1[[#This Row],[Mvt_Credit]],0)</f>
        <v>0</v>
      </c>
      <c r="Q25" s="1210">
        <f>IF((TFTN1[[#This Row],[BE_Debit]]-TFTN1[[#This Row],[BE_Credit]]+TFTN1[[#This Row],[Mvt_Debit]]-TFTN1[[#This Row],[Mvt_Credit]])&gt;0,0,-(TFTN1[[#This Row],[BE_Debit]]-TFTN1[[#This Row],[BE_Credit]]+TFTN1[[#This Row],[Mvt_Debit]]-TFTN1[[#This Row],[Mvt_Credit]]))</f>
        <v>0</v>
      </c>
    </row>
    <row r="26" spans="1:17" ht="18" customHeight="1">
      <c r="A26" s="1128">
        <v>47812</v>
      </c>
      <c r="B26" s="1129" t="s">
        <v>11571</v>
      </c>
      <c r="C26" s="1266"/>
      <c r="D26" s="1266"/>
      <c r="E26" s="1266"/>
      <c r="F26" s="1266"/>
      <c r="G26" s="1210">
        <f>IF((TFTN[[#This Row],[BE_Debit]]-TFTN[[#This Row],[BE_Credit]]+TFTN[[#This Row],[Mvt_Debit]]-TFTN[[#This Row],[Mvt_Credit]])&gt;0,TFTN[[#This Row],[BE_Debit]]-TFTN[[#This Row],[BE_Credit]]+TFTN[[#This Row],[Mvt_Debit]]-TFTN[[#This Row],[Mvt_Credit]],0)</f>
        <v>0</v>
      </c>
      <c r="H26" s="1210">
        <f>IF((TFTN[[#This Row],[BE_Debit]]-TFTN[[#This Row],[BE_Credit]]+TFTN[[#This Row],[Mvt_Debit]]-TFTN[[#This Row],[Mvt_Credit]])&gt;0,0,-(TFTN[[#This Row],[BE_Debit]]-TFTN[[#This Row],[BE_Credit]]+TFTN[[#This Row],[Mvt_Debit]]-TFTN[[#This Row],[Mvt_Credit]]))</f>
        <v>0</v>
      </c>
      <c r="J26" s="1128">
        <v>47812</v>
      </c>
      <c r="K26" s="1129" t="s">
        <v>11571</v>
      </c>
      <c r="L26" s="1265"/>
      <c r="M26" s="1130"/>
      <c r="N26" s="1130"/>
      <c r="O26" s="1130"/>
      <c r="P26" s="1210">
        <f>IF((TFTN1[[#This Row],[BE_Debit]]-TFTN1[[#This Row],[BE_Credit]]+TFTN1[[#This Row],[Mvt_Debit]]-TFTN1[[#This Row],[Mvt_Credit]])&gt;0,TFTN1[[#This Row],[BE_Debit]]-TFTN1[[#This Row],[BE_Credit]]+TFTN1[[#This Row],[Mvt_Debit]]-TFTN1[[#This Row],[Mvt_Credit]],0)</f>
        <v>0</v>
      </c>
      <c r="Q26" s="1210">
        <f>IF((TFTN1[[#This Row],[BE_Debit]]-TFTN1[[#This Row],[BE_Credit]]+TFTN1[[#This Row],[Mvt_Debit]]-TFTN1[[#This Row],[Mvt_Credit]])&gt;0,0,-(TFTN1[[#This Row],[BE_Debit]]-TFTN1[[#This Row],[BE_Credit]]+TFTN1[[#This Row],[Mvt_Debit]]-TFTN1[[#This Row],[Mvt_Credit]]))</f>
        <v>0</v>
      </c>
    </row>
    <row r="27" spans="1:17" ht="18" customHeight="1">
      <c r="A27" s="1128">
        <v>47911</v>
      </c>
      <c r="B27" s="1129" t="s">
        <v>11572</v>
      </c>
      <c r="C27" s="1266"/>
      <c r="D27" s="1266"/>
      <c r="E27" s="1266"/>
      <c r="F27" s="1266"/>
      <c r="G27" s="1210">
        <f>IF((TFTN[[#This Row],[BE_Debit]]-TFTN[[#This Row],[BE_Credit]]+TFTN[[#This Row],[Mvt_Debit]]-TFTN[[#This Row],[Mvt_Credit]])&gt;0,TFTN[[#This Row],[BE_Debit]]-TFTN[[#This Row],[BE_Credit]]+TFTN[[#This Row],[Mvt_Debit]]-TFTN[[#This Row],[Mvt_Credit]],0)</f>
        <v>0</v>
      </c>
      <c r="H27" s="1210">
        <f>IF((TFTN[[#This Row],[BE_Debit]]-TFTN[[#This Row],[BE_Credit]]+TFTN[[#This Row],[Mvt_Debit]]-TFTN[[#This Row],[Mvt_Credit]])&gt;0,0,-(TFTN[[#This Row],[BE_Debit]]-TFTN[[#This Row],[BE_Credit]]+TFTN[[#This Row],[Mvt_Debit]]-TFTN[[#This Row],[Mvt_Credit]]))</f>
        <v>0</v>
      </c>
      <c r="J27" s="1128">
        <v>47911</v>
      </c>
      <c r="K27" s="1129" t="s">
        <v>11572</v>
      </c>
      <c r="L27" s="1265"/>
      <c r="M27" s="1130"/>
      <c r="N27" s="1130"/>
      <c r="O27" s="1130"/>
      <c r="P27" s="1210">
        <f>IF((TFTN1[[#This Row],[BE_Debit]]-TFTN1[[#This Row],[BE_Credit]]+TFTN1[[#This Row],[Mvt_Debit]]-TFTN1[[#This Row],[Mvt_Credit]])&gt;0,TFTN1[[#This Row],[BE_Debit]]-TFTN1[[#This Row],[BE_Credit]]+TFTN1[[#This Row],[Mvt_Debit]]-TFTN1[[#This Row],[Mvt_Credit]],0)</f>
        <v>0</v>
      </c>
      <c r="Q27" s="1210">
        <f>IF((TFTN1[[#This Row],[BE_Debit]]-TFTN1[[#This Row],[BE_Credit]]+TFTN1[[#This Row],[Mvt_Debit]]-TFTN1[[#This Row],[Mvt_Credit]])&gt;0,0,-(TFTN1[[#This Row],[BE_Debit]]-TFTN1[[#This Row],[BE_Credit]]+TFTN1[[#This Row],[Mvt_Debit]]-TFTN1[[#This Row],[Mvt_Credit]]))</f>
        <v>0</v>
      </c>
    </row>
    <row r="28" spans="1:17" ht="18" customHeight="1">
      <c r="A28" s="1128">
        <v>47912</v>
      </c>
      <c r="B28" s="1129" t="s">
        <v>11573</v>
      </c>
      <c r="C28" s="1266"/>
      <c r="D28" s="1266"/>
      <c r="E28" s="1266"/>
      <c r="F28" s="1266"/>
      <c r="G28" s="1210">
        <f>IF((TFTN[[#This Row],[BE_Debit]]-TFTN[[#This Row],[BE_Credit]]+TFTN[[#This Row],[Mvt_Debit]]-TFTN[[#This Row],[Mvt_Credit]])&gt;0,TFTN[[#This Row],[BE_Debit]]-TFTN[[#This Row],[BE_Credit]]+TFTN[[#This Row],[Mvt_Debit]]-TFTN[[#This Row],[Mvt_Credit]],0)</f>
        <v>0</v>
      </c>
      <c r="H28" s="1210">
        <f>IF((TFTN[[#This Row],[BE_Debit]]-TFTN[[#This Row],[BE_Credit]]+TFTN[[#This Row],[Mvt_Debit]]-TFTN[[#This Row],[Mvt_Credit]])&gt;0,0,-(TFTN[[#This Row],[BE_Debit]]-TFTN[[#This Row],[BE_Credit]]+TFTN[[#This Row],[Mvt_Debit]]-TFTN[[#This Row],[Mvt_Credit]]))</f>
        <v>0</v>
      </c>
      <c r="J28" s="1128">
        <v>47912</v>
      </c>
      <c r="K28" s="1129" t="s">
        <v>11573</v>
      </c>
      <c r="L28" s="1265"/>
      <c r="M28" s="1130"/>
      <c r="N28" s="1130"/>
      <c r="O28" s="1130"/>
      <c r="P28" s="1210">
        <f>IF((TFTN1[[#This Row],[BE_Debit]]-TFTN1[[#This Row],[BE_Credit]]+TFTN1[[#This Row],[Mvt_Debit]]-TFTN1[[#This Row],[Mvt_Credit]])&gt;0,TFTN1[[#This Row],[BE_Debit]]-TFTN1[[#This Row],[BE_Credit]]+TFTN1[[#This Row],[Mvt_Debit]]-TFTN1[[#This Row],[Mvt_Credit]],0)</f>
        <v>0</v>
      </c>
      <c r="Q28" s="1210">
        <f>IF((TFTN1[[#This Row],[BE_Debit]]-TFTN1[[#This Row],[BE_Credit]]+TFTN1[[#This Row],[Mvt_Debit]]-TFTN1[[#This Row],[Mvt_Credit]])&gt;0,0,-(TFTN1[[#This Row],[BE_Debit]]-TFTN1[[#This Row],[BE_Credit]]+TFTN1[[#This Row],[Mvt_Debit]]-TFTN1[[#This Row],[Mvt_Credit]]))</f>
        <v>0</v>
      </c>
    </row>
    <row r="29" spans="1:17" ht="18" customHeight="1">
      <c r="A29" s="1128">
        <v>48161</v>
      </c>
      <c r="B29" s="1129" t="s">
        <v>11574</v>
      </c>
      <c r="C29" s="1266"/>
      <c r="D29" s="1266"/>
      <c r="E29" s="1266"/>
      <c r="F29" s="1266"/>
      <c r="G29" s="1210">
        <f>IF((TFTN[[#This Row],[BE_Debit]]-TFTN[[#This Row],[BE_Credit]]+TFTN[[#This Row],[Mvt_Debit]]-TFTN[[#This Row],[Mvt_Credit]])&gt;0,TFTN[[#This Row],[BE_Debit]]-TFTN[[#This Row],[BE_Credit]]+TFTN[[#This Row],[Mvt_Debit]]-TFTN[[#This Row],[Mvt_Credit]],0)</f>
        <v>0</v>
      </c>
      <c r="H29" s="1210">
        <f>IF((TFTN[[#This Row],[BE_Debit]]-TFTN[[#This Row],[BE_Credit]]+TFTN[[#This Row],[Mvt_Debit]]-TFTN[[#This Row],[Mvt_Credit]])&gt;0,0,-(TFTN[[#This Row],[BE_Debit]]-TFTN[[#This Row],[BE_Credit]]+TFTN[[#This Row],[Mvt_Debit]]-TFTN[[#This Row],[Mvt_Credit]]))</f>
        <v>0</v>
      </c>
      <c r="J29" s="1128">
        <v>48161</v>
      </c>
      <c r="K29" s="1129" t="s">
        <v>11574</v>
      </c>
      <c r="L29" s="1265"/>
      <c r="M29" s="1130"/>
      <c r="N29" s="1130"/>
      <c r="O29" s="1130"/>
      <c r="P29" s="1210">
        <f>IF((TFTN1[[#This Row],[BE_Debit]]-TFTN1[[#This Row],[BE_Credit]]+TFTN1[[#This Row],[Mvt_Debit]]-TFTN1[[#This Row],[Mvt_Credit]])&gt;0,TFTN1[[#This Row],[BE_Debit]]-TFTN1[[#This Row],[BE_Credit]]+TFTN1[[#This Row],[Mvt_Debit]]-TFTN1[[#This Row],[Mvt_Credit]],0)</f>
        <v>0</v>
      </c>
      <c r="Q29" s="1210">
        <f>IF((TFTN1[[#This Row],[BE_Debit]]-TFTN1[[#This Row],[BE_Credit]]+TFTN1[[#This Row],[Mvt_Debit]]-TFTN1[[#This Row],[Mvt_Credit]])&gt;0,0,-(TFTN1[[#This Row],[BE_Debit]]-TFTN1[[#This Row],[BE_Credit]]+TFTN1[[#This Row],[Mvt_Debit]]-TFTN1[[#This Row],[Mvt_Credit]]))</f>
        <v>0</v>
      </c>
    </row>
    <row r="30" spans="1:17" ht="18" customHeight="1">
      <c r="A30" s="1128">
        <v>48162</v>
      </c>
      <c r="B30" s="1129" t="s">
        <v>11575</v>
      </c>
      <c r="C30" s="1266"/>
      <c r="D30" s="1266"/>
      <c r="E30" s="1266"/>
      <c r="F30" s="1266"/>
      <c r="G30" s="1210">
        <f>IF((TFTN[[#This Row],[BE_Debit]]-TFTN[[#This Row],[BE_Credit]]+TFTN[[#This Row],[Mvt_Debit]]-TFTN[[#This Row],[Mvt_Credit]])&gt;0,TFTN[[#This Row],[BE_Debit]]-TFTN[[#This Row],[BE_Credit]]+TFTN[[#This Row],[Mvt_Debit]]-TFTN[[#This Row],[Mvt_Credit]],0)</f>
        <v>0</v>
      </c>
      <c r="H30" s="1210">
        <f>IF((TFTN[[#This Row],[BE_Debit]]-TFTN[[#This Row],[BE_Credit]]+TFTN[[#This Row],[Mvt_Debit]]-TFTN[[#This Row],[Mvt_Credit]])&gt;0,0,-(TFTN[[#This Row],[BE_Debit]]-TFTN[[#This Row],[BE_Credit]]+TFTN[[#This Row],[Mvt_Debit]]-TFTN[[#This Row],[Mvt_Credit]]))</f>
        <v>0</v>
      </c>
      <c r="J30" s="1128">
        <v>48162</v>
      </c>
      <c r="K30" s="1129" t="s">
        <v>11575</v>
      </c>
      <c r="L30" s="1265"/>
      <c r="M30" s="1130"/>
      <c r="N30" s="1130"/>
      <c r="O30" s="1130"/>
      <c r="P30" s="1210">
        <f>IF((TFTN1[[#This Row],[BE_Debit]]-TFTN1[[#This Row],[BE_Credit]]+TFTN1[[#This Row],[Mvt_Debit]]-TFTN1[[#This Row],[Mvt_Credit]])&gt;0,TFTN1[[#This Row],[BE_Debit]]-TFTN1[[#This Row],[BE_Credit]]+TFTN1[[#This Row],[Mvt_Debit]]-TFTN1[[#This Row],[Mvt_Credit]],0)</f>
        <v>0</v>
      </c>
      <c r="Q30" s="1210">
        <f>IF((TFTN1[[#This Row],[BE_Debit]]-TFTN1[[#This Row],[BE_Credit]]+TFTN1[[#This Row],[Mvt_Debit]]-TFTN1[[#This Row],[Mvt_Credit]])&gt;0,0,-(TFTN1[[#This Row],[BE_Debit]]-TFTN1[[#This Row],[BE_Credit]]+TFTN1[[#This Row],[Mvt_Debit]]-TFTN1[[#This Row],[Mvt_Credit]]))</f>
        <v>0</v>
      </c>
    </row>
    <row r="31" spans="1:17" ht="18" customHeight="1">
      <c r="A31" s="1128">
        <v>48171</v>
      </c>
      <c r="B31" s="1129" t="s">
        <v>11576</v>
      </c>
      <c r="C31" s="1266"/>
      <c r="D31" s="1266"/>
      <c r="E31" s="1266"/>
      <c r="F31" s="1266"/>
      <c r="G31" s="1210">
        <f>IF((TFTN[[#This Row],[BE_Debit]]-TFTN[[#This Row],[BE_Credit]]+TFTN[[#This Row],[Mvt_Debit]]-TFTN[[#This Row],[Mvt_Credit]])&gt;0,TFTN[[#This Row],[BE_Debit]]-TFTN[[#This Row],[BE_Credit]]+TFTN[[#This Row],[Mvt_Debit]]-TFTN[[#This Row],[Mvt_Credit]],0)</f>
        <v>0</v>
      </c>
      <c r="H31" s="1210">
        <f>IF((TFTN[[#This Row],[BE_Debit]]-TFTN[[#This Row],[BE_Credit]]+TFTN[[#This Row],[Mvt_Debit]]-TFTN[[#This Row],[Mvt_Credit]])&gt;0,0,-(TFTN[[#This Row],[BE_Debit]]-TFTN[[#This Row],[BE_Credit]]+TFTN[[#This Row],[Mvt_Debit]]-TFTN[[#This Row],[Mvt_Credit]]))</f>
        <v>0</v>
      </c>
      <c r="J31" s="1128">
        <v>48171</v>
      </c>
      <c r="K31" s="1129" t="s">
        <v>11576</v>
      </c>
      <c r="L31" s="1265"/>
      <c r="M31" s="1130"/>
      <c r="N31" s="1130"/>
      <c r="O31" s="1130"/>
      <c r="P31" s="1210">
        <f>IF((TFTN1[[#This Row],[BE_Debit]]-TFTN1[[#This Row],[BE_Credit]]+TFTN1[[#This Row],[Mvt_Debit]]-TFTN1[[#This Row],[Mvt_Credit]])&gt;0,TFTN1[[#This Row],[BE_Debit]]-TFTN1[[#This Row],[BE_Credit]]+TFTN1[[#This Row],[Mvt_Debit]]-TFTN1[[#This Row],[Mvt_Credit]],0)</f>
        <v>0</v>
      </c>
      <c r="Q31" s="1210">
        <f>IF((TFTN1[[#This Row],[BE_Debit]]-TFTN1[[#This Row],[BE_Credit]]+TFTN1[[#This Row],[Mvt_Debit]]-TFTN1[[#This Row],[Mvt_Credit]])&gt;0,0,-(TFTN1[[#This Row],[BE_Debit]]-TFTN1[[#This Row],[BE_Credit]]+TFTN1[[#This Row],[Mvt_Debit]]-TFTN1[[#This Row],[Mvt_Credit]]))</f>
        <v>0</v>
      </c>
    </row>
    <row r="32" spans="1:17" ht="18" customHeight="1">
      <c r="A32" s="1128">
        <v>48172</v>
      </c>
      <c r="B32" s="1129" t="s">
        <v>11577</v>
      </c>
      <c r="C32" s="1266"/>
      <c r="D32" s="1266"/>
      <c r="E32" s="1266"/>
      <c r="F32" s="1266"/>
      <c r="G32" s="1210">
        <f>IF((TFTN[[#This Row],[BE_Debit]]-TFTN[[#This Row],[BE_Credit]]+TFTN[[#This Row],[Mvt_Debit]]-TFTN[[#This Row],[Mvt_Credit]])&gt;0,TFTN[[#This Row],[BE_Debit]]-TFTN[[#This Row],[BE_Credit]]+TFTN[[#This Row],[Mvt_Debit]]-TFTN[[#This Row],[Mvt_Credit]],0)</f>
        <v>0</v>
      </c>
      <c r="H32" s="1210">
        <f>IF((TFTN[[#This Row],[BE_Debit]]-TFTN[[#This Row],[BE_Credit]]+TFTN[[#This Row],[Mvt_Debit]]-TFTN[[#This Row],[Mvt_Credit]])&gt;0,0,-(TFTN[[#This Row],[BE_Debit]]-TFTN[[#This Row],[BE_Credit]]+TFTN[[#This Row],[Mvt_Debit]]-TFTN[[#This Row],[Mvt_Credit]]))</f>
        <v>0</v>
      </c>
      <c r="J32" s="1128">
        <v>48172</v>
      </c>
      <c r="K32" s="1129" t="s">
        <v>11577</v>
      </c>
      <c r="L32" s="1265"/>
      <c r="M32" s="1130"/>
      <c r="N32" s="1130"/>
      <c r="O32" s="1130"/>
      <c r="P32" s="1210">
        <f>IF((TFTN1[[#This Row],[BE_Debit]]-TFTN1[[#This Row],[BE_Credit]]+TFTN1[[#This Row],[Mvt_Debit]]-TFTN1[[#This Row],[Mvt_Credit]])&gt;0,TFTN1[[#This Row],[BE_Debit]]-TFTN1[[#This Row],[BE_Credit]]+TFTN1[[#This Row],[Mvt_Debit]]-TFTN1[[#This Row],[Mvt_Credit]],0)</f>
        <v>0</v>
      </c>
      <c r="Q32" s="1210">
        <f>IF((TFTN1[[#This Row],[BE_Debit]]-TFTN1[[#This Row],[BE_Credit]]+TFTN1[[#This Row],[Mvt_Debit]]-TFTN1[[#This Row],[Mvt_Credit]])&gt;0,0,-(TFTN1[[#This Row],[BE_Debit]]-TFTN1[[#This Row],[BE_Credit]]+TFTN1[[#This Row],[Mvt_Debit]]-TFTN1[[#This Row],[Mvt_Credit]]))</f>
        <v>0</v>
      </c>
    </row>
    <row r="33" spans="1:17" ht="18" customHeight="1">
      <c r="A33" s="1128">
        <v>48181</v>
      </c>
      <c r="B33" s="1129" t="s">
        <v>11578</v>
      </c>
      <c r="C33" s="1266"/>
      <c r="D33" s="1266"/>
      <c r="E33" s="1266"/>
      <c r="F33" s="1266"/>
      <c r="G33" s="1210">
        <f>IF((TFTN[[#This Row],[BE_Debit]]-TFTN[[#This Row],[BE_Credit]]+TFTN[[#This Row],[Mvt_Debit]]-TFTN[[#This Row],[Mvt_Credit]])&gt;0,TFTN[[#This Row],[BE_Debit]]-TFTN[[#This Row],[BE_Credit]]+TFTN[[#This Row],[Mvt_Debit]]-TFTN[[#This Row],[Mvt_Credit]],0)</f>
        <v>0</v>
      </c>
      <c r="H33" s="1210">
        <f>IF((TFTN[[#This Row],[BE_Debit]]-TFTN[[#This Row],[BE_Credit]]+TFTN[[#This Row],[Mvt_Debit]]-TFTN[[#This Row],[Mvt_Credit]])&gt;0,0,-(TFTN[[#This Row],[BE_Debit]]-TFTN[[#This Row],[BE_Credit]]+TFTN[[#This Row],[Mvt_Debit]]-TFTN[[#This Row],[Mvt_Credit]]))</f>
        <v>0</v>
      </c>
      <c r="J33" s="1128">
        <v>48181</v>
      </c>
      <c r="K33" s="1129" t="s">
        <v>11578</v>
      </c>
      <c r="L33" s="1265"/>
      <c r="M33" s="1130"/>
      <c r="N33" s="1130"/>
      <c r="O33" s="1130"/>
      <c r="P33" s="1210">
        <f>IF((TFTN1[[#This Row],[BE_Debit]]-TFTN1[[#This Row],[BE_Credit]]+TFTN1[[#This Row],[Mvt_Debit]]-TFTN1[[#This Row],[Mvt_Credit]])&gt;0,TFTN1[[#This Row],[BE_Debit]]-TFTN1[[#This Row],[BE_Credit]]+TFTN1[[#This Row],[Mvt_Debit]]-TFTN1[[#This Row],[Mvt_Credit]],0)</f>
        <v>0</v>
      </c>
      <c r="Q33" s="1210">
        <f>IF((TFTN1[[#This Row],[BE_Debit]]-TFTN1[[#This Row],[BE_Credit]]+TFTN1[[#This Row],[Mvt_Debit]]-TFTN1[[#This Row],[Mvt_Credit]])&gt;0,0,-(TFTN1[[#This Row],[BE_Debit]]-TFTN1[[#This Row],[BE_Credit]]+TFTN1[[#This Row],[Mvt_Debit]]-TFTN1[[#This Row],[Mvt_Credit]]))</f>
        <v>0</v>
      </c>
    </row>
    <row r="34" spans="1:17" ht="18" customHeight="1">
      <c r="A34" s="1128">
        <v>48182</v>
      </c>
      <c r="B34" s="1129" t="s">
        <v>11579</v>
      </c>
      <c r="C34" s="1266"/>
      <c r="D34" s="1266">
        <v>399942</v>
      </c>
      <c r="E34" s="1266"/>
      <c r="F34" s="1266"/>
      <c r="G34" s="1210">
        <f>IF((TFTN[[#This Row],[BE_Debit]]-TFTN[[#This Row],[BE_Credit]]+TFTN[[#This Row],[Mvt_Debit]]-TFTN[[#This Row],[Mvt_Credit]])&gt;0,TFTN[[#This Row],[BE_Debit]]-TFTN[[#This Row],[BE_Credit]]+TFTN[[#This Row],[Mvt_Debit]]-TFTN[[#This Row],[Mvt_Credit]],0)</f>
        <v>0</v>
      </c>
      <c r="H34" s="1210">
        <f>IF((TFTN[[#This Row],[BE_Debit]]-TFTN[[#This Row],[BE_Credit]]+TFTN[[#This Row],[Mvt_Debit]]-TFTN[[#This Row],[Mvt_Credit]])&gt;0,0,-(TFTN[[#This Row],[BE_Debit]]-TFTN[[#This Row],[BE_Credit]]+TFTN[[#This Row],[Mvt_Debit]]-TFTN[[#This Row],[Mvt_Credit]]))</f>
        <v>399942</v>
      </c>
      <c r="J34" s="1128">
        <v>48182</v>
      </c>
      <c r="K34" s="1129" t="s">
        <v>11579</v>
      </c>
      <c r="L34" s="1265"/>
      <c r="M34" s="1130"/>
      <c r="N34" s="1130"/>
      <c r="O34" s="1130">
        <v>399942</v>
      </c>
      <c r="P34" s="1210">
        <f>IF((TFTN1[[#This Row],[BE_Debit]]-TFTN1[[#This Row],[BE_Credit]]+TFTN1[[#This Row],[Mvt_Debit]]-TFTN1[[#This Row],[Mvt_Credit]])&gt;0,TFTN1[[#This Row],[BE_Debit]]-TFTN1[[#This Row],[BE_Credit]]+TFTN1[[#This Row],[Mvt_Debit]]-TFTN1[[#This Row],[Mvt_Credit]],0)</f>
        <v>0</v>
      </c>
      <c r="Q34" s="1210">
        <f>IF((TFTN1[[#This Row],[BE_Debit]]-TFTN1[[#This Row],[BE_Credit]]+TFTN1[[#This Row],[Mvt_Debit]]-TFTN1[[#This Row],[Mvt_Credit]])&gt;0,0,-(TFTN1[[#This Row],[BE_Debit]]-TFTN1[[#This Row],[BE_Credit]]+TFTN1[[#This Row],[Mvt_Debit]]-TFTN1[[#This Row],[Mvt_Credit]]))</f>
        <v>399942</v>
      </c>
    </row>
    <row r="36" spans="1:17" ht="18" customHeight="1">
      <c r="B36" s="286" t="str">
        <f>IF(OR(C36&lt;&gt;0,D36&lt;&gt;0,E36&lt;&gt;0,F36&lt;&gt;0,G36&lt;&gt;0,H36&lt;&gt;0),"Attention détail compte 106 non conforme","")</f>
        <v/>
      </c>
      <c r="C36" s="289">
        <f>SUMIFS(BalanceN[BE_Debit],BalanceN[Table],"&gt;=10600",BalanceN[Table],"&lt;10700")-SUMIFS(TFTN[BE_Debit],TFTN[Compte],"&gt;=10600",TFTN[Compte],"&lt;10700")</f>
        <v>0</v>
      </c>
      <c r="D36" s="289">
        <f>SUMIFS(BalanceN[BE_Credit],BalanceN[Table],"&gt;=10600",BalanceN[Table],"&lt;10700")-SUMIFS(TFTN[BE_Credit],TFTN[Compte],"&gt;=10600",TFTN[Compte],"&lt;10700")</f>
        <v>0</v>
      </c>
      <c r="E36" s="289">
        <f>SUMIFS(BalanceN[Mvt_Debit],BalanceN[Table],"&gt;=10600",BalanceN[Table],"&lt;10700")-SUMIFS(TFTN[Mvt_Debit],TFTN[Compte],"&gt;=10600",TFTN[Compte],"&lt;10700")</f>
        <v>0</v>
      </c>
      <c r="F36" s="289">
        <f>SUMIFS(BalanceN[Mvt_Credit],BalanceN[Table],"&gt;=10600",BalanceN[Table],"&lt;10700")-SUMIFS(TFTN[Mvt_Credit],TFTN[Compte],"&gt;=10600",TFTN[Compte],"&lt;10700")</f>
        <v>0</v>
      </c>
      <c r="G36" s="289">
        <f>SUMIFS(BalanceN[BS_Debit],BalanceN[Table],"&gt;=10600",BalanceN[Table],"&lt;10700")-SUMIFS(TFTN[BS_Debit],TFTN[Compte],"&gt;=10600",TFTN[Compte],"&lt;10700")</f>
        <v>0</v>
      </c>
      <c r="H36" s="289">
        <f>SUMIFS(BalanceN[BS_Credit],BalanceN[Table],"&gt;=10600",BalanceN[Table],"&lt;10700")-SUMIFS(TFTN[BS_Credit],TFTN[Compte],"&gt;=10600",TFTN[Compte],"&lt;10700")</f>
        <v>0</v>
      </c>
      <c r="K36" s="286" t="str">
        <f>IF(OR(L36&lt;&gt;0,M36&lt;&gt;0,N36&lt;&gt;0,O36&lt;&gt;0,P36&lt;&gt;0,Q36&lt;&gt;0),"Attention détail compte 106 non conforme","")</f>
        <v/>
      </c>
      <c r="L36" s="289">
        <f>SUMIFS(BalanceN1[BE_Debit],BalanceN1[Table],"&gt;=10600",BalanceN1[Table],"&lt;10700")-SUMIFS(TFTN1[BE_Debit],TFTN1[Compte],"&gt;=10600",TFTN1[Compte],"&lt;10700")</f>
        <v>0</v>
      </c>
      <c r="M36" s="289">
        <f>SUMIFS(BalanceN1[BE_Credit],BalanceN1[Table],"&gt;=10600",BalanceN1[Table],"&lt;10700")-SUMIFS(TFTN1[BE_Credit],TFTN1[Compte],"&gt;=10600",TFTN1[Compte],"&lt;10700")</f>
        <v>0</v>
      </c>
      <c r="N36" s="289">
        <f>SUMIFS(BalanceN1[Mvt_Debit],BalanceN1[Table],"&gt;=10600",BalanceN1[Table],"&lt;10700")-SUMIFS(TFTN1[Mvt_Debit],TFTN1[Compte],"&gt;=10600",TFTN1[Compte],"&lt;10700")</f>
        <v>0</v>
      </c>
      <c r="O36" s="289">
        <f>SUMIFS(BalanceN1[Mvt_Credit],BalanceN1[Table],"&gt;=10600",BalanceN1[Table],"&lt;10700")-SUMIFS(TFTN1[Mvt_Credit],TFTN1[Compte],"&gt;=10600",TFTN1[Compte],"&lt;10700")</f>
        <v>0</v>
      </c>
      <c r="P36" s="289">
        <f>SUMIFS(BalanceN1[BS_Debit],BalanceN1[Table],"&gt;=10600",BalanceN1[Table],"&lt;10700")-SUMIFS(TFTN1[BS_Debit],TFTN1[Compte],"&gt;=10600",TFTN1[Compte],"&lt;10700")</f>
        <v>0</v>
      </c>
      <c r="Q36" s="289">
        <f>SUMIFS(BalanceN1[BS_Credit],BalanceN1[Table],"&gt;=10600",BalanceN1[Table],"&lt;10700")-SUMIFS(TFTN1[BS_Credit],TFTN1[Compte],"&gt;=10600",TFTN1[Compte],"&lt;10700")</f>
        <v>0</v>
      </c>
    </row>
    <row r="37" spans="1:17" ht="18" customHeight="1">
      <c r="B37" s="286" t="str">
        <f>IF(OR(C37&lt;&gt;0,D37&lt;&gt;0,E37&lt;&gt;0,F37&lt;&gt;0,G37&lt;&gt;0,H37&lt;&gt;0),"Attention détail compte 154 non conforme","")</f>
        <v/>
      </c>
      <c r="C37" s="289">
        <f>SUMIFS(BalanceN[BE_Debit],BalanceN[Table],"&gt;=15400",BalanceN[Table],"&lt;15500")-SUMIFS(TFTN[BE_Debit],TFTN[Compte],"&gt;=15400",TFTN[Compte],"&lt;15500")</f>
        <v>0</v>
      </c>
      <c r="D37" s="289">
        <f>SUMIFS(BalanceN[BE_Credit],BalanceN[Table],"&gt;=15400",BalanceN[Table],"&lt;15500")-SUMIFS(TFTN[BE_Credit],TFTN[Compte],"&gt;=15400",TFTN[Compte],"&lt;15500")</f>
        <v>0</v>
      </c>
      <c r="E37" s="289">
        <f>SUMIFS(BalanceN[Mvt_Debit],BalanceN[Table],"&gt;=15400",BalanceN[Table],"&lt;15500")-SUMIFS(TFTN[Mvt_Debit],TFTN[Compte],"&gt;=15400",TFTN[Compte],"&lt;15500")</f>
        <v>0</v>
      </c>
      <c r="F37" s="289">
        <f>SUMIFS(BalanceN[Mvt_Credit],BalanceN[Table],"&gt;=15400",BalanceN[Table],"&lt;15500")-SUMIFS(TFTN[Mvt_Credit],TFTN[Compte],"&gt;=15400",TFTN[Compte],"&lt;15500")</f>
        <v>0</v>
      </c>
      <c r="G37" s="289">
        <f>SUMIFS(BalanceN[BS_Debit],BalanceN[Table],"&gt;=15400",BalanceN[Table],"&lt;15500")-SUMIFS(TFTN[BS_Debit],TFTN[Compte],"&gt;=15400",TFTN[Compte],"&lt;15500")</f>
        <v>0</v>
      </c>
      <c r="H37" s="289">
        <f>SUMIFS(BalanceN[BS_Credit],BalanceN[Table],"&gt;=15400",BalanceN[Table],"&lt;15500")-SUMIFS(TFTN[BS_Credit],TFTN[Compte],"&gt;=15400",TFTN[Compte],"&lt;15500")</f>
        <v>0</v>
      </c>
      <c r="K37" s="286" t="str">
        <f>IF(OR(L37&lt;&gt;0,M37&lt;&gt;0,N37&lt;&gt;0,O37&lt;&gt;0,P37&lt;&gt;0,Q37&lt;&gt;0),"Attention détail compte 154 non conforme","")</f>
        <v/>
      </c>
      <c r="L37" s="289">
        <f>SUMIFS(BalanceN1[BE_Debit],BalanceN1[Table],"&gt;=15400",BalanceN1[Table],"&lt;15500")-SUMIFS(TFTN1[BE_Debit],TFTN1[Compte],"&gt;=15400",TFTN1[Compte],"&lt;15500")</f>
        <v>0</v>
      </c>
      <c r="M37" s="289">
        <f>SUMIFS(BalanceN1[BE_Credit],BalanceN1[Table],"&gt;=15400",BalanceN1[Table],"&lt;15500")-SUMIFS(TFTN1[BE_Credit],TFTN1[Compte],"&gt;=15400",TFTN1[Compte],"&lt;15500")</f>
        <v>0</v>
      </c>
      <c r="N37" s="289">
        <f>SUMIFS(BalanceN1[Mvt_Debit],BalanceN1[Table],"&gt;=15400",BalanceN1[Table],"&lt;15500")-SUMIFS(TFTN1[Mvt_Debit],TFTN1[Compte],"&gt;=15400",TFTN1[Compte],"&lt;15500")</f>
        <v>0</v>
      </c>
      <c r="O37" s="289">
        <f>SUMIFS(BalanceN1[Mvt_Credit],BalanceN1[Table],"&gt;=15400",BalanceN1[Table],"&lt;15500")-SUMIFS(TFTN1[Mvt_Credit],TFTN1[Compte],"&gt;=15400",TFTN1[Compte],"&lt;15500")</f>
        <v>0</v>
      </c>
      <c r="P37" s="289">
        <f>SUMIFS(BalanceN1[BS_Debit],BalanceN1[Table],"&gt;=15400",BalanceN1[Table],"&lt;15500")-SUMIFS(TFTN1[BS_Debit],TFTN1[Compte],"&gt;=15400",TFTN1[Compte],"&lt;15500")</f>
        <v>0</v>
      </c>
      <c r="Q37" s="289">
        <f>SUMIFS(BalanceN1[BS_Credit],BalanceN1[Table],"&gt;=15400",BalanceN1[Table],"&lt;15500")-SUMIFS(TFTN1[BS_Credit],TFTN1[Compte],"&gt;=15400",TFTN1[Compte],"&lt;15500")</f>
        <v>0</v>
      </c>
    </row>
    <row r="38" spans="1:17" ht="18" customHeight="1">
      <c r="B38" s="286" t="str">
        <f>IF(OR(C38&lt;&gt;0,D38&lt;&gt;0,E38&lt;&gt;0,F38&lt;&gt;0,G38&lt;&gt;0,H38&lt;&gt;0),"Attention détail compte 1984 non conforme","")</f>
        <v/>
      </c>
      <c r="C38" s="289">
        <f>SUMIFS(BalanceN[BE_Debit],BalanceN[Table],"&gt;=19840",BalanceN[Table],"&lt;19850")-SUMIFS(TFTN[BE_Debit],TFTN[Compte],"&gt;=19840",TFTN[Compte],"&lt;19850")</f>
        <v>0</v>
      </c>
      <c r="D38" s="289">
        <f>SUMIFS(BalanceN[BE_Credit],BalanceN[Table],"&gt;=19840",BalanceN[Table],"&lt;19850")-SUMIFS(TFTN[BE_Credit],TFTN[Compte],"&gt;=19840",TFTN[Compte],"&lt;19850")</f>
        <v>0</v>
      </c>
      <c r="E38" s="289">
        <f>SUMIFS(BalanceN[Mvt_Debit],BalanceN[Table],"&gt;=19840",BalanceN[Table],"&lt;19850")-SUMIFS(TFTN[Mvt_Debit],TFTN[Compte],"&gt;=19840",TFTN[Compte],"&lt;19850")</f>
        <v>0</v>
      </c>
      <c r="F38" s="289">
        <f>SUMIFS(BalanceN[Mvt_Credit],BalanceN[Table],"&gt;=19840",BalanceN[Table],"&lt;19850")-SUMIFS(TFTN[Mvt_Credit],TFTN[Compte],"&gt;=19840",TFTN[Compte],"&lt;19850")</f>
        <v>0</v>
      </c>
      <c r="G38" s="289">
        <f>SUMIFS(BalanceN[BS_Debit],BalanceN[Table],"&gt;=19840",BalanceN[Table],"&lt;19850")-SUMIFS(TFTN[BS_Debit],TFTN[Compte],"&gt;=19840",TFTN[Compte],"&lt;19850")</f>
        <v>0</v>
      </c>
      <c r="H38" s="289">
        <f>SUMIFS(BalanceN[BS_Credit],BalanceN[Table],"&gt;=19840",BalanceN[Table],"&lt;19850")-SUMIFS(TFTN[BS_Credit],TFTN[Compte],"&gt;=19840",TFTN[Compte],"&lt;19850")</f>
        <v>0</v>
      </c>
      <c r="K38" s="286" t="str">
        <f>IF(OR(L38&lt;&gt;0,M38&lt;&gt;0,N38&lt;&gt;0,O38&lt;&gt;0,P38&lt;&gt;0,Q38&lt;&gt;0),"Attention détail compte 1984 non conforme","")</f>
        <v/>
      </c>
      <c r="L38" s="289">
        <f>SUMIFS(BalanceN1[BE_Debit],BalanceN1[Table],"&gt;=19840",BalanceN1[Table],"&lt;19850")-SUMIFS(TFTN1[BE_Debit],TFTN1[Compte],"&gt;=19840",TFTN1[Compte],"&lt;19850")</f>
        <v>0</v>
      </c>
      <c r="M38" s="289">
        <f>SUMIFS(BalanceN1[BE_Credit],BalanceN1[Table],"&gt;=19840",BalanceN1[Table],"&lt;19850")-SUMIFS(TFTN1[BE_Credit],TFTN1[Compte],"&gt;=19840",TFTN1[Compte],"&lt;19850")</f>
        <v>0</v>
      </c>
      <c r="N38" s="289">
        <f>SUMIFS(BalanceN1[Mvt_Debit],BalanceN1[Table],"&gt;=19840",BalanceN1[Table],"&lt;19850")-SUMIFS(TFTN1[Mvt_Debit],TFTN1[Compte],"&gt;=19840",TFTN1[Compte],"&lt;19850")</f>
        <v>0</v>
      </c>
      <c r="O38" s="289">
        <f>SUMIFS(BalanceN1[Mvt_Credit],BalanceN1[Table],"&gt;=19840",BalanceN1[Table],"&lt;19850")-SUMIFS(TFTN1[Mvt_Credit],TFTN1[Compte],"&gt;=19840",TFTN1[Compte],"&lt;19850")</f>
        <v>0</v>
      </c>
      <c r="P38" s="289">
        <f>SUMIFS(BalanceN1[BS_Debit],BalanceN1[Table],"&gt;=19840",BalanceN1[Table],"&lt;19850")-SUMIFS(TFTN1[BS_Debit],TFTN1[Compte],"&gt;=19840",TFTN1[Compte],"&lt;19850")</f>
        <v>0</v>
      </c>
      <c r="Q38" s="289">
        <f>SUMIFS(BalanceN1[BS_Credit],BalanceN1[Table],"&gt;=19840",BalanceN1[Table],"&lt;19850")-SUMIFS(TFTN1[BS_Credit],TFTN1[Compte],"&gt;=19840",TFTN1[Compte],"&lt;19850")</f>
        <v>0</v>
      </c>
    </row>
    <row r="39" spans="1:17" ht="18" customHeight="1">
      <c r="B39" s="286" t="str">
        <f>IF(OR(C39&lt;&gt;0,D39&lt;&gt;0,E39&lt;&gt;0,F39&lt;&gt;0,G39&lt;&gt;0,H39&lt;&gt;0),"Attention détail compte 4781 non conforme","")</f>
        <v/>
      </c>
      <c r="C39" s="289">
        <f>SUMIFS(BalanceN[BE_Debit],BalanceN[Table],"&gt;=47810",BalanceN[Table],"&lt;47820")-SUMIFS(TFTN[BE_Debit],TFTN[Compte],"&gt;=47810",TFTN[Compte],"&lt;47820")</f>
        <v>0</v>
      </c>
      <c r="D39" s="289">
        <f>SUMIFS(BalanceN[BE_Credit],BalanceN[Table],"&gt;=47810",BalanceN[Table],"&lt;47820")-SUMIFS(TFTN[BE_Credit],TFTN[Compte],"&gt;=47810",TFTN[Compte],"&lt;47820")</f>
        <v>0</v>
      </c>
      <c r="E39" s="289">
        <f>SUMIFS(BalanceN[Mvt_Debit],BalanceN[Table],"&gt;=47810",BalanceN[Table],"&lt;47820")-SUMIFS(TFTN[Mvt_Debit],TFTN[Compte],"&gt;=47810",TFTN[Compte],"&lt;47820")</f>
        <v>0</v>
      </c>
      <c r="F39" s="289">
        <f>SUMIFS(BalanceN[Mvt_Credit],BalanceN[Table],"&gt;=47810",BalanceN[Table],"&lt;47820")-SUMIFS(TFTN[Mvt_Credit],TFTN[Compte],"&gt;=47810",TFTN[Compte],"&lt;47820")</f>
        <v>0</v>
      </c>
      <c r="G39" s="289">
        <f>SUMIFS(BalanceN[BS_Debit],BalanceN[Table],"&gt;=47810",BalanceN[Table],"&lt;47820")-SUMIFS(TFTN[BS_Debit],TFTN[Compte],"&gt;=47810",TFTN[Compte],"&lt;47820")</f>
        <v>0</v>
      </c>
      <c r="H39" s="289">
        <f>SUMIFS(BalanceN[BS_Credit],BalanceN[Table],"&gt;=47810",BalanceN[Table],"&lt;47820")-SUMIFS(TFTN[BS_Credit],TFTN[Compte],"&gt;=47810",TFTN[Compte],"&lt;47820")</f>
        <v>0</v>
      </c>
      <c r="K39" s="286" t="str">
        <f>IF(OR(L39&lt;&gt;0,M39&lt;&gt;0,N39&lt;&gt;0,O39&lt;&gt;0,P39&lt;&gt;0,Q39&lt;&gt;0),"Attention détail compte 4781 non conforme","")</f>
        <v/>
      </c>
      <c r="L39" s="289">
        <f>SUMIFS(BalanceN1[BE_Debit],BalanceN1[Table],"&gt;=47810",BalanceN1[Table],"&lt;47820")-SUMIFS(TFTN1[BE_Debit],TFTN1[Compte],"&gt;=47810",TFTN1[Compte],"&lt;47820")</f>
        <v>0</v>
      </c>
      <c r="M39" s="289">
        <f>SUMIFS(BalanceN1[BE_Credit],BalanceN1[Table],"&gt;=47810",BalanceN1[Table],"&lt;47820")-SUMIFS(TFTN1[BE_Credit],TFTN1[Compte],"&gt;=47810",TFTN1[Compte],"&lt;47820")</f>
        <v>0</v>
      </c>
      <c r="N39" s="289">
        <f>SUMIFS(BalanceN1[Mvt_Debit],BalanceN1[Table],"&gt;=47810",BalanceN1[Table],"&lt;47820")-SUMIFS(TFTN1[Mvt_Debit],TFTN1[Compte],"&gt;=47810",TFTN1[Compte],"&lt;47820")</f>
        <v>0</v>
      </c>
      <c r="O39" s="289">
        <f>SUMIFS(BalanceN1[Mvt_Credit],BalanceN1[Table],"&gt;=47810",BalanceN1[Table],"&lt;47820")-SUMIFS(TFTN1[Mvt_Credit],TFTN1[Compte],"&gt;=47810",TFTN1[Compte],"&lt;47820")</f>
        <v>0</v>
      </c>
      <c r="P39" s="289">
        <f>SUMIFS(BalanceN1[BS_Debit],BalanceN1[Table],"&gt;=47810",BalanceN1[Table],"&lt;47820")-SUMIFS(TFTN1[BS_Debit],TFTN1[Compte],"&gt;=47810",TFTN1[Compte],"&lt;47820")</f>
        <v>0</v>
      </c>
      <c r="Q39" s="289">
        <f>SUMIFS(BalanceN1[BS_Credit],BalanceN1[Table],"&gt;=47810",BalanceN1[Table],"&lt;47820")-SUMIFS(TFTN1[BS_Credit],TFTN1[Compte],"&gt;=47810",TFTN1[Compte],"&lt;47820")</f>
        <v>0</v>
      </c>
    </row>
    <row r="40" spans="1:17" ht="18" customHeight="1">
      <c r="B40" s="286" t="str">
        <f>IF(OR(C40&lt;&gt;0,D40&lt;&gt;0,E40&lt;&gt;0,F40&lt;&gt;0,G40&lt;&gt;0,H40&lt;&gt;0),"Attention détail compte 4791 non conforme","")</f>
        <v/>
      </c>
      <c r="C40" s="289">
        <f>SUMIFS(BalanceN[BE_Debit],BalanceN[Table],"&gt;=47910",BalanceN[Table],"&lt;47920")-SUMIFS(TFTN[BE_Debit],TFTN[Compte],"&gt;=47910",TFTN[Compte],"&lt;47920")</f>
        <v>0</v>
      </c>
      <c r="D40" s="289">
        <f>SUMIFS(BalanceN[BE_Credit],BalanceN[Table],"&gt;=47910",BalanceN[Table],"&lt;47920")-SUMIFS(TFTN[BE_Credit],TFTN[Compte],"&gt;=47910",TFTN[Compte],"&lt;47920")</f>
        <v>0</v>
      </c>
      <c r="E40" s="289">
        <f>SUMIFS(BalanceN[Mvt_Debit],BalanceN[Table],"&gt;=47910",BalanceN[Table],"&lt;47920")-SUMIFS(TFTN[Mvt_Debit],TFTN[Compte],"&gt;=47910",TFTN[Compte],"&lt;47920")</f>
        <v>0</v>
      </c>
      <c r="F40" s="289">
        <f>SUMIFS(BalanceN[Mvt_Credit],BalanceN[Table],"&gt;=47910",BalanceN[Table],"&lt;47920")-SUMIFS(TFTN[Mvt_Credit],TFTN[Compte],"&gt;=47910",TFTN[Compte],"&lt;47920")</f>
        <v>0</v>
      </c>
      <c r="G40" s="289">
        <f>SUMIFS(BalanceN[BS_Debit],BalanceN[Table],"&gt;=47910",BalanceN[Table],"&lt;47920")-SUMIFS(TFTN[BS_Debit],TFTN[Compte],"&gt;=47910",TFTN[Compte],"&lt;47920")</f>
        <v>0</v>
      </c>
      <c r="H40" s="289">
        <f>SUMIFS(BalanceN[BS_Credit],BalanceN[Table],"&gt;=47910",BalanceN[Table],"&lt;47920")-SUMIFS(TFTN[BS_Credit],TFTN[Compte],"&gt;=47910",TFTN[Compte],"&lt;47920")</f>
        <v>0</v>
      </c>
      <c r="K40" s="286" t="str">
        <f>IF(OR(L40&lt;&gt;0,M40&lt;&gt;0,N40&lt;&gt;0,O40&lt;&gt;0,P40&lt;&gt;0,Q40&lt;&gt;0),"Attention détail compte 4791 non conforme","")</f>
        <v/>
      </c>
      <c r="L40" s="289">
        <f>SUMIFS(BalanceN1[BE_Debit],BalanceN1[Table],"&gt;=47910",BalanceN1[Table],"&lt;47920")-SUMIFS(TFTN1[BE_Debit],TFTN1[Compte],"&gt;=47910",TFTN1[Compte],"&lt;47920")</f>
        <v>0</v>
      </c>
      <c r="M40" s="289">
        <f>SUMIFS(BalanceN1[BE_Credit],BalanceN1[Table],"&gt;=47910",BalanceN1[Table],"&lt;47920")-SUMIFS(TFTN1[BE_Credit],TFTN1[Compte],"&gt;=47910",TFTN1[Compte],"&lt;47920")</f>
        <v>0</v>
      </c>
      <c r="N40" s="289">
        <f>SUMIFS(BalanceN1[Mvt_Debit],BalanceN1[Table],"&gt;=47910",BalanceN1[Table],"&lt;47920")-SUMIFS(TFTN1[Mvt_Debit],TFTN1[Compte],"&gt;=47910",TFTN1[Compte],"&lt;47920")</f>
        <v>0</v>
      </c>
      <c r="O40" s="289">
        <f>SUMIFS(BalanceN1[Mvt_Credit],BalanceN1[Table],"&gt;=47910",BalanceN1[Table],"&lt;47920")-SUMIFS(TFTN1[Mvt_Credit],TFTN1[Compte],"&gt;=47910",TFTN1[Compte],"&lt;47920")</f>
        <v>0</v>
      </c>
      <c r="P40" s="289">
        <f>SUMIFS(BalanceN1[BS_Debit],BalanceN1[Table],"&gt;=47910",BalanceN1[Table],"&lt;47920")-SUMIFS(TFTN1[BS_Debit],TFTN1[Compte],"&gt;=47910",TFTN1[Compte],"&lt;47920")</f>
        <v>0</v>
      </c>
      <c r="Q40" s="289">
        <f>SUMIFS(BalanceN1[BS_Credit],BalanceN1[Table],"&gt;=47910",BalanceN1[Table],"&lt;47920")-SUMIFS(TFTN1[BS_Credit],TFTN1[Compte],"&gt;=47910",TFTN1[Compte],"&lt;47920")</f>
        <v>0</v>
      </c>
    </row>
    <row r="41" spans="1:17" ht="18" customHeight="1">
      <c r="B41" s="286" t="str">
        <f>IF(OR(C41&lt;&gt;0,D41&lt;&gt;0,E41&lt;&gt;0,F41&lt;&gt;0,G41&lt;&gt;0,H41&lt;&gt;0),"Attention détail compte 4816 non conforme","")</f>
        <v/>
      </c>
      <c r="C41" s="289">
        <f>SUMIFS(BalanceN[BE_Debit],BalanceN[Table],"&gt;=48160",BalanceN[Table],"&lt;48170")-SUMIFS(TFTN[BE_Debit],TFTN[Compte],"&gt;=48160",TFTN[Compte],"&lt;48170")</f>
        <v>0</v>
      </c>
      <c r="D41" s="289">
        <f>SUMIFS(BalanceN[BE_Credit],BalanceN[Table],"&gt;=48160",BalanceN[Table],"&lt;48170")-SUMIFS(TFTN[BE_Credit],TFTN[Compte],"&gt;=48160",TFTN[Compte],"&lt;48170")</f>
        <v>0</v>
      </c>
      <c r="E41" s="289">
        <f>SUMIFS(BalanceN[Mvt_Debit],BalanceN[Table],"&gt;=48160",BalanceN[Table],"&lt;48170")-SUMIFS(TFTN[Mvt_Debit],TFTN[Compte],"&gt;=48160",TFTN[Compte],"&lt;48170")</f>
        <v>0</v>
      </c>
      <c r="F41" s="289">
        <f>SUMIFS(BalanceN[Mvt_Credit],BalanceN[Table],"&gt;=48160",BalanceN[Table],"&lt;48170")-SUMIFS(TFTN[Mvt_Credit],TFTN[Compte],"&gt;=48160",TFTN[Compte],"&lt;48170")</f>
        <v>0</v>
      </c>
      <c r="G41" s="289">
        <f>SUMIFS(BalanceN[BS_Debit],BalanceN[Table],"&gt;=48160",BalanceN[Table],"&lt;48170")-SUMIFS(TFTN[BS_Debit],TFTN[Compte],"&gt;=48160",TFTN[Compte],"&lt;48170")</f>
        <v>0</v>
      </c>
      <c r="H41" s="289">
        <f>SUMIFS(BalanceN[BS_Credit],BalanceN[Table],"&gt;=48160",BalanceN[Table],"&lt;48170")-SUMIFS(TFTN[BS_Credit],TFTN[Compte],"&gt;=48160",TFTN[Compte],"&lt;48170")</f>
        <v>0</v>
      </c>
      <c r="K41" s="286" t="str">
        <f>IF(OR(L41&lt;&gt;0,M41&lt;&gt;0,N41&lt;&gt;0,O41&lt;&gt;0,P41&lt;&gt;0,Q41&lt;&gt;0),"Attention détail compte 4816 non conforme","")</f>
        <v/>
      </c>
      <c r="L41" s="289">
        <f>SUMIFS(BalanceN1[BE_Debit],BalanceN1[Table],"&gt;=48160",BalanceN1[Table],"&lt;48170")-SUMIFS(TFTN1[BE_Debit],TFTN1[Compte],"&gt;=48160",TFTN1[Compte],"&lt;48170")</f>
        <v>0</v>
      </c>
      <c r="M41" s="289">
        <f>SUMIFS(BalanceN1[BE_Credit],BalanceN1[Table],"&gt;=48160",BalanceN1[Table],"&lt;48170")-SUMIFS(TFTN1[BE_Credit],TFTN1[Compte],"&gt;=48160",TFTN1[Compte],"&lt;48170")</f>
        <v>0</v>
      </c>
      <c r="N41" s="289">
        <f>SUMIFS(BalanceN1[Mvt_Debit],BalanceN1[Table],"&gt;=48160",BalanceN1[Table],"&lt;48170")-SUMIFS(TFTN1[Mvt_Debit],TFTN1[Compte],"&gt;=48160",TFTN1[Compte],"&lt;48170")</f>
        <v>0</v>
      </c>
      <c r="O41" s="289">
        <f>SUMIFS(BalanceN1[Mvt_Credit],BalanceN1[Table],"&gt;=48160",BalanceN1[Table],"&lt;48170")-SUMIFS(TFTN1[Mvt_Credit],TFTN1[Compte],"&gt;=48160",TFTN1[Compte],"&lt;48170")</f>
        <v>0</v>
      </c>
      <c r="P41" s="289">
        <f>SUMIFS(BalanceN1[BS_Debit],BalanceN1[Table],"&gt;=48160",BalanceN1[Table],"&lt;48170")-SUMIFS(TFTN1[BS_Debit],TFTN1[Compte],"&gt;=48160",TFTN1[Compte],"&lt;48170")</f>
        <v>0</v>
      </c>
      <c r="Q41" s="289">
        <f>SUMIFS(BalanceN1[BS_Credit],BalanceN1[Table],"&gt;=48160",BalanceN1[Table],"&lt;48170")-SUMIFS(TFTN1[BS_Credit],TFTN1[Compte],"&gt;=48160",TFTN1[Compte],"&lt;48170")</f>
        <v>0</v>
      </c>
    </row>
    <row r="42" spans="1:17" ht="18" customHeight="1">
      <c r="B42" s="286" t="str">
        <f>IF(OR(C42&lt;&gt;0,D42&lt;&gt;0,E42&lt;&gt;0,F42&lt;&gt;0,G42&lt;&gt;0,H42&lt;&gt;0),"Attention détail compte 4817 non conforme","")</f>
        <v/>
      </c>
      <c r="C42" s="289">
        <f>SUMIFS(BalanceN[BE_Debit],BalanceN[Table],"&gt;=48170",BalanceN[Table],"&lt;48180")-SUMIFS(TFTN[BE_Debit],TFTN[Compte],"&gt;=48170",TFTN[Compte],"&lt;48180")</f>
        <v>0</v>
      </c>
      <c r="D42" s="289">
        <f>SUMIFS(BalanceN[BE_Credit],BalanceN[Table],"&gt;=48170",BalanceN[Table],"&lt;48180")-SUMIFS(TFTN[BE_Credit],TFTN[Compte],"&gt;=48170",TFTN[Compte],"&lt;48180")</f>
        <v>0</v>
      </c>
      <c r="E42" s="289">
        <f>SUMIFS(BalanceN[Mvt_Debit],BalanceN[Table],"&gt;=48170",BalanceN[Table],"&lt;48180")-SUMIFS(TFTN[Mvt_Debit],TFTN[Compte],"&gt;=48170",TFTN[Compte],"&lt;48180")</f>
        <v>0</v>
      </c>
      <c r="F42" s="289">
        <f>SUMIFS(BalanceN[Mvt_Credit],BalanceN[Table],"&gt;=48170",BalanceN[Table],"&lt;48180")-SUMIFS(TFTN[Mvt_Credit],TFTN[Compte],"&gt;=48170",TFTN[Compte],"&lt;48180")</f>
        <v>0</v>
      </c>
      <c r="G42" s="289">
        <f>SUMIFS(BalanceN[BS_Debit],BalanceN[Table],"&gt;=48170",BalanceN[Table],"&lt;48180")-SUMIFS(TFTN[BS_Debit],TFTN[Compte],"&gt;=48170",TFTN[Compte],"&lt;48180")</f>
        <v>0</v>
      </c>
      <c r="H42" s="289">
        <f>SUMIFS(BalanceN[BS_Credit],BalanceN[Table],"&gt;=48170",BalanceN[Table],"&lt;48180")-SUMIFS(TFTN[BS_Credit],TFTN[Compte],"&gt;=48170",TFTN[Compte],"&lt;48180")</f>
        <v>0</v>
      </c>
      <c r="K42" s="286" t="str">
        <f>IF(OR(L42&lt;&gt;0,M42&lt;&gt;0,N42&lt;&gt;0,O42&lt;&gt;0,P42&lt;&gt;0,Q42&lt;&gt;0),"Attention détail compte 4817 non conforme","")</f>
        <v/>
      </c>
      <c r="L42" s="289">
        <f>SUMIFS(BalanceN1[BE_Debit],BalanceN1[Table],"&gt;=48170",BalanceN1[Table],"&lt;48180")-SUMIFS(TFTN1[BE_Debit],TFTN1[Compte],"&gt;=48170",TFTN1[Compte],"&lt;48180")</f>
        <v>0</v>
      </c>
      <c r="M42" s="289">
        <f>SUMIFS(BalanceN1[BE_Credit],BalanceN1[Table],"&gt;=48170",BalanceN1[Table],"&lt;48180")-SUMIFS(TFTN1[BE_Credit],TFTN1[Compte],"&gt;=48170",TFTN1[Compte],"&lt;48180")</f>
        <v>0</v>
      </c>
      <c r="N42" s="289">
        <f>SUMIFS(BalanceN1[Mvt_Debit],BalanceN1[Table],"&gt;=48170",BalanceN1[Table],"&lt;48180")-SUMIFS(TFTN1[Mvt_Debit],TFTN1[Compte],"&gt;=48170",TFTN1[Compte],"&lt;48180")</f>
        <v>0</v>
      </c>
      <c r="O42" s="289">
        <f>SUMIFS(BalanceN1[Mvt_Credit],BalanceN1[Table],"&gt;=48170",BalanceN1[Table],"&lt;48180")-SUMIFS(TFTN1[Mvt_Credit],TFTN1[Compte],"&gt;=48170",TFTN1[Compte],"&lt;48180")</f>
        <v>0</v>
      </c>
      <c r="P42" s="289">
        <f>SUMIFS(BalanceN1[BS_Debit],BalanceN1[Table],"&gt;=48170",BalanceN1[Table],"&lt;48180")-SUMIFS(TFTN1[BS_Debit],TFTN1[Compte],"&gt;=48170",TFTN1[Compte],"&lt;48180")</f>
        <v>0</v>
      </c>
      <c r="Q42" s="289">
        <f>SUMIFS(BalanceN1[BS_Credit],BalanceN1[Table],"&gt;=48170",BalanceN1[Table],"&lt;48180")-SUMIFS(TFTN1[BS_Credit],TFTN1[Compte],"&gt;=48170",TFTN1[Compte],"&lt;48180")</f>
        <v>0</v>
      </c>
    </row>
    <row r="43" spans="1:17" ht="18" customHeight="1">
      <c r="B43" s="286" t="str">
        <f>IF(OR(C43&lt;&gt;0,D43&lt;&gt;0,E43&lt;&gt;0,F43&lt;&gt;0,G43&lt;&gt;0,H43&lt;&gt;0),"Attention détail compte 4818 non conforme","")</f>
        <v/>
      </c>
      <c r="C43" s="289">
        <f>SUMIFS(BalanceN[BE_Debit],BalanceN[Table],"&gt;=48180",BalanceN[Table],"&lt;48190")-SUMIFS(TFTN[BE_Debit],TFTN[Compte],"&gt;=48180",TFTN[Compte],"&lt;48190")</f>
        <v>0</v>
      </c>
      <c r="D43" s="289">
        <f>SUMIFS(BalanceN[BE_Credit],BalanceN[Table],"&gt;=48180",BalanceN[Table],"&lt;48190")-SUMIFS(TFTN[BE_Credit],TFTN[Compte],"&gt;=48180",TFTN[Compte],"&lt;48190")</f>
        <v>0</v>
      </c>
      <c r="E43" s="289">
        <f>SUMIFS(BalanceN[Mvt_Debit],BalanceN[Table],"&gt;=48180",BalanceN[Table],"&lt;48190")-SUMIFS(TFTN[Mvt_Debit],TFTN[Compte],"&gt;=48180",TFTN[Compte],"&lt;48190")</f>
        <v>0</v>
      </c>
      <c r="F43" s="289">
        <f>SUMIFS(BalanceN[Mvt_Credit],BalanceN[Table],"&gt;=48180",BalanceN[Table],"&lt;48190")-SUMIFS(TFTN[Mvt_Credit],TFTN[Compte],"&gt;=48180",TFTN[Compte],"&lt;48190")</f>
        <v>0</v>
      </c>
      <c r="G43" s="289">
        <f>SUMIFS(BalanceN[BS_Debit],BalanceN[Table],"&gt;=48180",BalanceN[Table],"&lt;48190")-SUMIFS(TFTN[BS_Debit],TFTN[Compte],"&gt;=48180",TFTN[Compte],"&lt;48190")</f>
        <v>0</v>
      </c>
      <c r="H43" s="289">
        <f>SUMIFS(BalanceN[BS_Credit],BalanceN[Table],"&gt;=48180",BalanceN[Table],"&lt;48190")-SUMIFS(TFTN[BS_Credit],TFTN[Compte],"&gt;=48180",TFTN[Compte],"&lt;48190")</f>
        <v>0</v>
      </c>
      <c r="K43" s="286" t="str">
        <f>IF(OR(L43&lt;&gt;0,M43&lt;&gt;0,N43&lt;&gt;0,O43&lt;&gt;0,P43&lt;&gt;0,Q43&lt;&gt;0),"Attention détail compte 4818 non conforme","")</f>
        <v/>
      </c>
      <c r="L43" s="289">
        <f>SUMIFS(BalanceN1[BE_Debit],BalanceN1[Table],"&gt;=48180",BalanceN1[Table],"&lt;48190")-SUMIFS(TFTN1[BE_Debit],TFTN1[Compte],"&gt;=48180",TFTN1[Compte],"&lt;48190")</f>
        <v>0</v>
      </c>
      <c r="M43" s="289">
        <f>SUMIFS(BalanceN1[BE_Credit],BalanceN1[Table],"&gt;=48180",BalanceN1[Table],"&lt;48190")-SUMIFS(TFTN1[BE_Credit],TFTN1[Compte],"&gt;=48180",TFTN1[Compte],"&lt;48190")</f>
        <v>0</v>
      </c>
      <c r="N43" s="289">
        <f>SUMIFS(BalanceN1[Mvt_Debit],BalanceN1[Table],"&gt;=48180",BalanceN1[Table],"&lt;48190")-SUMIFS(TFTN1[Mvt_Debit],TFTN1[Compte],"&gt;=48180",TFTN1[Compte],"&lt;48190")</f>
        <v>0</v>
      </c>
      <c r="O43" s="289">
        <f>SUMIFS(BalanceN1[Mvt_Credit],BalanceN1[Table],"&gt;=48180",BalanceN1[Table],"&lt;48190")-SUMIFS(TFTN1[Mvt_Credit],TFTN1[Compte],"&gt;=48180",TFTN1[Compte],"&lt;48190")</f>
        <v>0</v>
      </c>
      <c r="P43" s="289">
        <f>SUMIFS(BalanceN1[BS_Debit],BalanceN1[Table],"&gt;=48180",BalanceN1[Table],"&lt;48190")-SUMIFS(TFTN1[BS_Debit],TFTN1[Compte],"&gt;=48180",TFTN1[Compte],"&lt;48190")</f>
        <v>0</v>
      </c>
      <c r="Q43" s="289">
        <f>SUMIFS(BalanceN1[BS_Credit],BalanceN1[Table],"&gt;=48180",BalanceN1[Table],"&lt;48190")-SUMIFS(TFTN1[BS_Credit],TFTN1[Compte],"&gt;=48180",TFTN1[Compte],"&lt;48190")</f>
        <v>0</v>
      </c>
    </row>
    <row r="622" spans="1:17" s="291" customFormat="1" ht="18" customHeight="1">
      <c r="A622" s="282"/>
      <c r="B622" s="282"/>
      <c r="C622" s="290"/>
      <c r="D622" s="290"/>
      <c r="E622" s="290"/>
      <c r="F622" s="290"/>
      <c r="G622" s="290"/>
      <c r="H622" s="290"/>
      <c r="I622" s="282"/>
      <c r="J622" s="282"/>
      <c r="K622" s="282"/>
      <c r="L622" s="290"/>
      <c r="M622" s="290"/>
      <c r="N622" s="290"/>
      <c r="O622" s="290"/>
      <c r="P622" s="290"/>
      <c r="Q622" s="290"/>
    </row>
    <row r="885" spans="1:17" s="291" customFormat="1" ht="18" customHeight="1">
      <c r="A885" s="282"/>
      <c r="B885" s="282"/>
      <c r="C885" s="290"/>
      <c r="D885" s="290"/>
      <c r="E885" s="290"/>
      <c r="F885" s="290"/>
      <c r="G885" s="290"/>
      <c r="H885" s="290"/>
      <c r="I885" s="282"/>
      <c r="J885" s="282"/>
      <c r="K885" s="282"/>
      <c r="L885" s="290"/>
      <c r="M885" s="290"/>
      <c r="N885" s="290"/>
      <c r="O885" s="290"/>
      <c r="P885" s="290"/>
      <c r="Q885" s="290"/>
    </row>
    <row r="888" spans="1:17" s="291" customFormat="1" ht="18" customHeight="1">
      <c r="A888" s="282"/>
      <c r="B888" s="282"/>
      <c r="C888" s="290"/>
      <c r="D888" s="290"/>
      <c r="E888" s="290"/>
      <c r="F888" s="290"/>
      <c r="G888" s="290"/>
      <c r="H888" s="290"/>
      <c r="I888" s="282"/>
      <c r="J888" s="282"/>
      <c r="K888" s="282"/>
      <c r="L888" s="290"/>
      <c r="M888" s="290"/>
      <c r="N888" s="290"/>
      <c r="O888" s="290"/>
      <c r="P888" s="290"/>
      <c r="Q888" s="290"/>
    </row>
    <row r="891" spans="1:17" s="291" customFormat="1" ht="18" customHeight="1">
      <c r="A891" s="282"/>
      <c r="B891" s="282"/>
      <c r="C891" s="290"/>
      <c r="D891" s="290"/>
      <c r="E891" s="290"/>
      <c r="F891" s="290"/>
      <c r="G891" s="290"/>
      <c r="H891" s="290"/>
      <c r="I891" s="282"/>
      <c r="J891" s="282"/>
      <c r="K891" s="282"/>
      <c r="L891" s="290"/>
      <c r="M891" s="290"/>
      <c r="N891" s="290"/>
      <c r="O891" s="290"/>
      <c r="P891" s="290"/>
      <c r="Q891" s="290"/>
    </row>
    <row r="892" spans="1:17" ht="18" customHeight="1">
      <c r="A892" s="292"/>
      <c r="B892" s="292"/>
      <c r="C892" s="293"/>
      <c r="D892" s="293"/>
      <c r="E892" s="293"/>
      <c r="F892" s="293"/>
      <c r="G892" s="293"/>
      <c r="H892" s="293"/>
      <c r="J892" s="292"/>
      <c r="K892" s="292"/>
      <c r="L892" s="293"/>
      <c r="M892" s="293"/>
      <c r="N892" s="293"/>
      <c r="O892" s="293"/>
      <c r="P892" s="293"/>
      <c r="Q892" s="293"/>
    </row>
    <row r="893" spans="1:17" s="294" customFormat="1" ht="18" customHeight="1">
      <c r="A893" s="282"/>
      <c r="B893" s="282"/>
      <c r="C893" s="290"/>
      <c r="D893" s="290"/>
      <c r="E893" s="290"/>
      <c r="F893" s="290"/>
      <c r="G893" s="290"/>
      <c r="H893" s="290"/>
      <c r="I893" s="292"/>
      <c r="J893" s="282"/>
      <c r="K893" s="282"/>
      <c r="L893" s="290"/>
      <c r="M893" s="290"/>
      <c r="N893" s="290"/>
      <c r="O893" s="290"/>
      <c r="P893" s="290"/>
      <c r="Q893" s="290"/>
    </row>
    <row r="894" spans="1:17" s="291" customFormat="1" ht="18" customHeight="1">
      <c r="A894" s="295"/>
      <c r="B894" s="295"/>
      <c r="C894" s="296"/>
      <c r="D894" s="296"/>
      <c r="E894" s="296"/>
      <c r="F894" s="296"/>
      <c r="G894" s="296"/>
      <c r="H894" s="296"/>
      <c r="I894" s="282"/>
      <c r="J894" s="295"/>
      <c r="K894" s="295"/>
      <c r="L894" s="296"/>
      <c r="M894" s="296"/>
      <c r="N894" s="296"/>
      <c r="O894" s="296"/>
      <c r="P894" s="296"/>
      <c r="Q894" s="296"/>
    </row>
    <row r="895" spans="1:17" s="297" customFormat="1" ht="18" customHeight="1">
      <c r="A895" s="295"/>
      <c r="B895" s="295"/>
      <c r="C895" s="296"/>
      <c r="D895" s="296"/>
      <c r="E895" s="296"/>
      <c r="F895" s="296"/>
      <c r="G895" s="296"/>
      <c r="H895" s="296"/>
      <c r="I895" s="295"/>
      <c r="J895" s="295"/>
      <c r="K895" s="295"/>
      <c r="L895" s="296"/>
      <c r="M895" s="296"/>
      <c r="N895" s="296"/>
      <c r="O895" s="296"/>
      <c r="P895" s="296"/>
      <c r="Q895" s="296"/>
    </row>
    <row r="896" spans="1:17" s="297" customFormat="1" ht="18" customHeight="1">
      <c r="A896" s="295"/>
      <c r="B896" s="295"/>
      <c r="C896" s="296"/>
      <c r="D896" s="296"/>
      <c r="E896" s="296"/>
      <c r="F896" s="296"/>
      <c r="G896" s="296"/>
      <c r="H896" s="296"/>
      <c r="I896" s="295"/>
      <c r="J896" s="295"/>
      <c r="K896" s="295"/>
      <c r="L896" s="296"/>
      <c r="M896" s="296"/>
      <c r="N896" s="296"/>
      <c r="O896" s="296"/>
      <c r="P896" s="296"/>
      <c r="Q896" s="296"/>
    </row>
    <row r="897" spans="1:17" s="297" customFormat="1" ht="18" customHeight="1">
      <c r="A897" s="295"/>
      <c r="B897" s="295"/>
      <c r="C897" s="296"/>
      <c r="D897" s="296"/>
      <c r="E897" s="296"/>
      <c r="F897" s="296"/>
      <c r="G897" s="296"/>
      <c r="H897" s="296"/>
      <c r="I897" s="295"/>
      <c r="J897" s="295"/>
      <c r="K897" s="295"/>
      <c r="L897" s="296"/>
      <c r="M897" s="296"/>
      <c r="N897" s="296"/>
      <c r="O897" s="296"/>
      <c r="P897" s="296"/>
      <c r="Q897" s="296"/>
    </row>
    <row r="898" spans="1:17" s="297" customFormat="1" ht="18" customHeight="1">
      <c r="A898" s="295"/>
      <c r="B898" s="295"/>
      <c r="C898" s="296"/>
      <c r="D898" s="296"/>
      <c r="E898" s="296"/>
      <c r="F898" s="296"/>
      <c r="G898" s="296"/>
      <c r="H898" s="296"/>
      <c r="I898" s="295"/>
      <c r="J898" s="295"/>
      <c r="K898" s="295"/>
      <c r="L898" s="296"/>
      <c r="M898" s="296"/>
      <c r="N898" s="296"/>
      <c r="O898" s="296"/>
      <c r="P898" s="296"/>
      <c r="Q898" s="296"/>
    </row>
    <row r="899" spans="1:17" s="297" customFormat="1" ht="18" customHeight="1">
      <c r="A899" s="295"/>
      <c r="B899" s="295"/>
      <c r="C899" s="296"/>
      <c r="D899" s="296"/>
      <c r="E899" s="296"/>
      <c r="F899" s="296"/>
      <c r="G899" s="296"/>
      <c r="H899" s="296"/>
      <c r="I899" s="295"/>
      <c r="J899" s="295"/>
      <c r="K899" s="295"/>
      <c r="L899" s="296"/>
      <c r="M899" s="296"/>
      <c r="N899" s="296"/>
      <c r="O899" s="296"/>
      <c r="P899" s="296"/>
      <c r="Q899" s="296"/>
    </row>
    <row r="900" spans="1:17" s="297" customFormat="1" ht="18" customHeight="1">
      <c r="A900" s="295"/>
      <c r="B900" s="295"/>
      <c r="C900" s="296"/>
      <c r="D900" s="296"/>
      <c r="E900" s="296"/>
      <c r="F900" s="296"/>
      <c r="G900" s="296"/>
      <c r="H900" s="296"/>
      <c r="I900" s="295"/>
      <c r="J900" s="295"/>
      <c r="K900" s="295"/>
      <c r="L900" s="296"/>
      <c r="M900" s="296"/>
      <c r="N900" s="296"/>
      <c r="O900" s="296"/>
      <c r="P900" s="296"/>
      <c r="Q900" s="296"/>
    </row>
    <row r="901" spans="1:17" s="297" customFormat="1" ht="18" customHeight="1">
      <c r="A901" s="295"/>
      <c r="B901" s="295"/>
      <c r="C901" s="296"/>
      <c r="D901" s="296"/>
      <c r="E901" s="296"/>
      <c r="F901" s="296"/>
      <c r="G901" s="296"/>
      <c r="H901" s="296"/>
      <c r="I901" s="295"/>
      <c r="J901" s="295"/>
      <c r="K901" s="295"/>
      <c r="L901" s="296"/>
      <c r="M901" s="296"/>
      <c r="N901" s="296"/>
      <c r="O901" s="296"/>
      <c r="P901" s="296"/>
      <c r="Q901" s="296"/>
    </row>
    <row r="902" spans="1:17" s="297" customFormat="1" ht="18" customHeight="1">
      <c r="A902" s="282"/>
      <c r="B902" s="282"/>
      <c r="C902" s="290"/>
      <c r="D902" s="290"/>
      <c r="E902" s="290"/>
      <c r="F902" s="290"/>
      <c r="G902" s="290"/>
      <c r="H902" s="290"/>
      <c r="I902" s="295"/>
      <c r="J902" s="282"/>
      <c r="K902" s="282"/>
      <c r="L902" s="290"/>
      <c r="M902" s="290"/>
      <c r="N902" s="290"/>
      <c r="O902" s="290"/>
      <c r="P902" s="290"/>
      <c r="Q902" s="290"/>
    </row>
    <row r="903" spans="1:17" s="291" customFormat="1" ht="18" customHeight="1">
      <c r="A903" s="295"/>
      <c r="B903" s="295"/>
      <c r="C903" s="296"/>
      <c r="D903" s="296"/>
      <c r="E903" s="296"/>
      <c r="F903" s="296"/>
      <c r="G903" s="296"/>
      <c r="H903" s="296"/>
      <c r="I903" s="282"/>
      <c r="J903" s="295"/>
      <c r="K903" s="295"/>
      <c r="L903" s="296"/>
      <c r="M903" s="296"/>
      <c r="N903" s="296"/>
      <c r="O903" s="296"/>
      <c r="P903" s="296"/>
      <c r="Q903" s="296"/>
    </row>
    <row r="904" spans="1:17" s="297" customFormat="1" ht="18" customHeight="1">
      <c r="A904" s="295"/>
      <c r="B904" s="295"/>
      <c r="C904" s="296"/>
      <c r="D904" s="296"/>
      <c r="E904" s="296"/>
      <c r="F904" s="296"/>
      <c r="G904" s="296"/>
      <c r="H904" s="296"/>
      <c r="I904" s="295"/>
      <c r="J904" s="295"/>
      <c r="K904" s="295"/>
      <c r="L904" s="296"/>
      <c r="M904" s="296"/>
      <c r="N904" s="296"/>
      <c r="O904" s="296"/>
      <c r="P904" s="296"/>
      <c r="Q904" s="296"/>
    </row>
    <row r="905" spans="1:17" s="297" customFormat="1" ht="18" customHeight="1">
      <c r="A905" s="282"/>
      <c r="B905" s="282"/>
      <c r="C905" s="290"/>
      <c r="D905" s="290"/>
      <c r="E905" s="290"/>
      <c r="F905" s="290"/>
      <c r="G905" s="290"/>
      <c r="H905" s="290"/>
      <c r="I905" s="295"/>
      <c r="J905" s="282"/>
      <c r="K905" s="282"/>
      <c r="L905" s="290"/>
      <c r="M905" s="290"/>
      <c r="N905" s="290"/>
      <c r="O905" s="290"/>
      <c r="P905" s="290"/>
      <c r="Q905" s="290"/>
    </row>
    <row r="906" spans="1:17" s="291" customFormat="1" ht="18" customHeight="1">
      <c r="A906" s="295"/>
      <c r="B906" s="295"/>
      <c r="C906" s="296"/>
      <c r="D906" s="296"/>
      <c r="E906" s="296"/>
      <c r="F906" s="296"/>
      <c r="G906" s="296"/>
      <c r="H906" s="296"/>
      <c r="I906" s="282"/>
      <c r="J906" s="295"/>
      <c r="K906" s="295"/>
      <c r="L906" s="296"/>
      <c r="M906" s="296"/>
      <c r="N906" s="296"/>
      <c r="O906" s="296"/>
      <c r="P906" s="296"/>
      <c r="Q906" s="296"/>
    </row>
    <row r="907" spans="1:17" s="297" customFormat="1" ht="18" customHeight="1">
      <c r="A907" s="295"/>
      <c r="B907" s="295"/>
      <c r="C907" s="296"/>
      <c r="D907" s="296"/>
      <c r="E907" s="296"/>
      <c r="F907" s="296"/>
      <c r="G907" s="296"/>
      <c r="H907" s="296"/>
      <c r="I907" s="295"/>
      <c r="J907" s="295"/>
      <c r="K907" s="295"/>
      <c r="L907" s="296"/>
      <c r="M907" s="296"/>
      <c r="N907" s="296"/>
      <c r="O907" s="296"/>
      <c r="P907" s="296"/>
      <c r="Q907" s="296"/>
    </row>
    <row r="908" spans="1:17" s="297" customFormat="1" ht="18" customHeight="1">
      <c r="A908" s="295"/>
      <c r="B908" s="295"/>
      <c r="C908" s="296"/>
      <c r="D908" s="296"/>
      <c r="E908" s="296"/>
      <c r="F908" s="296"/>
      <c r="G908" s="296"/>
      <c r="H908" s="296"/>
      <c r="I908" s="295"/>
      <c r="J908" s="295"/>
      <c r="K908" s="295"/>
      <c r="L908" s="296"/>
      <c r="M908" s="296"/>
      <c r="N908" s="296"/>
      <c r="O908" s="296"/>
      <c r="P908" s="296"/>
      <c r="Q908" s="296"/>
    </row>
    <row r="909" spans="1:17" s="297" customFormat="1" ht="18" customHeight="1">
      <c r="A909" s="295"/>
      <c r="B909" s="295"/>
      <c r="C909" s="296"/>
      <c r="D909" s="296"/>
      <c r="E909" s="296"/>
      <c r="F909" s="296"/>
      <c r="G909" s="296"/>
      <c r="H909" s="296"/>
      <c r="I909" s="295"/>
      <c r="J909" s="295"/>
      <c r="K909" s="295"/>
      <c r="L909" s="296"/>
      <c r="M909" s="296"/>
      <c r="N909" s="296"/>
      <c r="O909" s="296"/>
      <c r="P909" s="296"/>
      <c r="Q909" s="296"/>
    </row>
    <row r="910" spans="1:17" s="298" customFormat="1" ht="18" customHeight="1">
      <c r="A910" s="295"/>
      <c r="B910" s="295"/>
      <c r="C910" s="296"/>
      <c r="D910" s="296"/>
      <c r="E910" s="296"/>
      <c r="F910" s="296"/>
      <c r="G910" s="296"/>
      <c r="H910" s="296"/>
      <c r="I910" s="295"/>
      <c r="J910" s="295"/>
      <c r="K910" s="295"/>
      <c r="L910" s="296"/>
      <c r="M910" s="296"/>
      <c r="N910" s="296"/>
      <c r="O910" s="296"/>
      <c r="P910" s="296"/>
      <c r="Q910" s="296"/>
    </row>
    <row r="911" spans="1:17" s="298" customFormat="1" ht="18" customHeight="1">
      <c r="A911" s="295"/>
      <c r="B911" s="295"/>
      <c r="C911" s="296"/>
      <c r="D911" s="296"/>
      <c r="E911" s="296"/>
      <c r="F911" s="296"/>
      <c r="G911" s="296"/>
      <c r="H911" s="296"/>
      <c r="I911" s="295"/>
      <c r="J911" s="295"/>
      <c r="K911" s="295"/>
      <c r="L911" s="296"/>
      <c r="M911" s="296"/>
      <c r="N911" s="296"/>
      <c r="O911" s="296"/>
      <c r="P911" s="296"/>
      <c r="Q911" s="296"/>
    </row>
    <row r="912" spans="1:17" s="298" customFormat="1" ht="18" customHeight="1">
      <c r="A912" s="295"/>
      <c r="B912" s="295"/>
      <c r="C912" s="296"/>
      <c r="D912" s="296"/>
      <c r="E912" s="296"/>
      <c r="F912" s="296"/>
      <c r="G912" s="296"/>
      <c r="H912" s="296"/>
      <c r="I912" s="295"/>
      <c r="J912" s="295"/>
      <c r="K912" s="295"/>
      <c r="L912" s="296"/>
      <c r="M912" s="296"/>
      <c r="N912" s="296"/>
      <c r="O912" s="296"/>
      <c r="P912" s="296"/>
      <c r="Q912" s="296"/>
    </row>
    <row r="913" spans="1:17" s="298" customFormat="1" ht="18" customHeight="1">
      <c r="A913" s="295"/>
      <c r="B913" s="295"/>
      <c r="C913" s="296"/>
      <c r="D913" s="296"/>
      <c r="E913" s="296"/>
      <c r="F913" s="296"/>
      <c r="G913" s="296"/>
      <c r="H913" s="296"/>
      <c r="I913" s="295"/>
      <c r="J913" s="295"/>
      <c r="K913" s="295"/>
      <c r="L913" s="296"/>
      <c r="M913" s="296"/>
      <c r="N913" s="296"/>
      <c r="O913" s="296"/>
      <c r="P913" s="296"/>
      <c r="Q913" s="296"/>
    </row>
    <row r="914" spans="1:17" s="298" customFormat="1" ht="18" customHeight="1">
      <c r="A914" s="295"/>
      <c r="B914" s="295"/>
      <c r="C914" s="296"/>
      <c r="D914" s="296"/>
      <c r="E914" s="296"/>
      <c r="F914" s="296"/>
      <c r="G914" s="296"/>
      <c r="H914" s="296"/>
      <c r="I914" s="295"/>
      <c r="J914" s="295"/>
      <c r="K914" s="295"/>
      <c r="L914" s="296"/>
      <c r="M914" s="296"/>
      <c r="N914" s="296"/>
      <c r="O914" s="296"/>
      <c r="P914" s="296"/>
      <c r="Q914" s="296"/>
    </row>
    <row r="915" spans="1:17" s="298" customFormat="1" ht="18" customHeight="1">
      <c r="A915" s="295"/>
      <c r="B915" s="295"/>
      <c r="C915" s="296"/>
      <c r="D915" s="296"/>
      <c r="E915" s="296"/>
      <c r="F915" s="296"/>
      <c r="G915" s="296"/>
      <c r="H915" s="296"/>
      <c r="I915" s="295"/>
      <c r="J915" s="295"/>
      <c r="K915" s="295"/>
      <c r="L915" s="296"/>
      <c r="M915" s="296"/>
      <c r="N915" s="296"/>
      <c r="O915" s="296"/>
      <c r="P915" s="296"/>
      <c r="Q915" s="296"/>
    </row>
    <row r="916" spans="1:17" s="298" customFormat="1" ht="18" customHeight="1">
      <c r="A916" s="295"/>
      <c r="B916" s="295"/>
      <c r="C916" s="296"/>
      <c r="D916" s="296"/>
      <c r="E916" s="296"/>
      <c r="F916" s="296"/>
      <c r="G916" s="296"/>
      <c r="H916" s="296"/>
      <c r="I916" s="295"/>
      <c r="J916" s="295"/>
      <c r="K916" s="295"/>
      <c r="L916" s="296"/>
      <c r="M916" s="296"/>
      <c r="N916" s="296"/>
      <c r="O916" s="296"/>
      <c r="P916" s="296"/>
      <c r="Q916" s="296"/>
    </row>
    <row r="917" spans="1:17" s="298" customFormat="1" ht="18" customHeight="1">
      <c r="A917" s="295"/>
      <c r="B917" s="295"/>
      <c r="C917" s="296"/>
      <c r="D917" s="296"/>
      <c r="E917" s="296"/>
      <c r="F917" s="296"/>
      <c r="G917" s="296"/>
      <c r="H917" s="296"/>
      <c r="I917" s="295"/>
      <c r="J917" s="295"/>
      <c r="K917" s="295"/>
      <c r="L917" s="296"/>
      <c r="M917" s="296"/>
      <c r="N917" s="296"/>
      <c r="O917" s="296"/>
      <c r="P917" s="296"/>
      <c r="Q917" s="296"/>
    </row>
    <row r="918" spans="1:17" s="297" customFormat="1" ht="18" customHeight="1">
      <c r="A918" s="295"/>
      <c r="B918" s="295"/>
      <c r="C918" s="296"/>
      <c r="D918" s="296"/>
      <c r="E918" s="296"/>
      <c r="F918" s="296"/>
      <c r="G918" s="296"/>
      <c r="H918" s="296"/>
      <c r="I918" s="295"/>
      <c r="J918" s="295"/>
      <c r="K918" s="295"/>
      <c r="L918" s="296"/>
      <c r="M918" s="296"/>
      <c r="N918" s="296"/>
      <c r="O918" s="296"/>
      <c r="P918" s="296"/>
      <c r="Q918" s="296"/>
    </row>
    <row r="919" spans="1:17" s="297" customFormat="1" ht="18" customHeight="1">
      <c r="A919" s="282"/>
      <c r="B919" s="282"/>
      <c r="C919" s="290"/>
      <c r="D919" s="290"/>
      <c r="E919" s="290"/>
      <c r="F919" s="290"/>
      <c r="G919" s="290"/>
      <c r="H919" s="290"/>
      <c r="I919" s="295"/>
      <c r="J919" s="282"/>
      <c r="K919" s="282"/>
      <c r="L919" s="290"/>
      <c r="M919" s="290"/>
      <c r="N919" s="290"/>
      <c r="O919" s="290"/>
      <c r="P919" s="290"/>
      <c r="Q919" s="290"/>
    </row>
  </sheetData>
  <sheetProtection algorithmName="SHA-512" hashValue="3PIxQY2zZ2EVh1VenOgTDYzv9TGfmp/FgvR7sIL6PZa1Ob3MvxJndToIdKehQqbt4VHWrz03uohIzsbtpP2RRg==" saltValue="+pXZz2hwIlosebkzSna6ww==" spinCount="100000" sheet="1" objects="1" scenarios="1" selectLockedCells="1"/>
  <conditionalFormatting sqref="E36:H43">
    <cfRule type="cellIs" dxfId="300" priority="53" operator="notEqual">
      <formula>0</formula>
    </cfRule>
    <cfRule type="cellIs" dxfId="299" priority="54" operator="equal">
      <formula>0</formula>
    </cfRule>
  </conditionalFormatting>
  <conditionalFormatting sqref="C36">
    <cfRule type="cellIs" dxfId="298" priority="61" operator="notEqual">
      <formula>0</formula>
    </cfRule>
    <cfRule type="cellIs" dxfId="297" priority="62" operator="equal">
      <formula>0</formula>
    </cfRule>
  </conditionalFormatting>
  <conditionalFormatting sqref="C37:C43">
    <cfRule type="cellIs" dxfId="296" priority="59" operator="notEqual">
      <formula>0</formula>
    </cfRule>
    <cfRule type="cellIs" dxfId="295" priority="60" operator="equal">
      <formula>0</formula>
    </cfRule>
  </conditionalFormatting>
  <conditionalFormatting sqref="D36">
    <cfRule type="cellIs" dxfId="294" priority="57" operator="notEqual">
      <formula>0</formula>
    </cfRule>
    <cfRule type="cellIs" dxfId="293" priority="58" operator="equal">
      <formula>0</formula>
    </cfRule>
  </conditionalFormatting>
  <conditionalFormatting sqref="D37:D43">
    <cfRule type="cellIs" dxfId="292" priority="55" operator="notEqual">
      <formula>0</formula>
    </cfRule>
    <cfRule type="cellIs" dxfId="291" priority="56" operator="equal">
      <formula>0</formula>
    </cfRule>
  </conditionalFormatting>
  <conditionalFormatting sqref="L36">
    <cfRule type="cellIs" dxfId="290" priority="51" operator="notEqual">
      <formula>0</formula>
    </cfRule>
    <cfRule type="cellIs" dxfId="289" priority="52" operator="equal">
      <formula>0</formula>
    </cfRule>
  </conditionalFormatting>
  <conditionalFormatting sqref="M36">
    <cfRule type="cellIs" dxfId="288" priority="47" operator="notEqual">
      <formula>0</formula>
    </cfRule>
    <cfRule type="cellIs" dxfId="287" priority="48" operator="equal">
      <formula>0</formula>
    </cfRule>
  </conditionalFormatting>
  <conditionalFormatting sqref="N36:Q36">
    <cfRule type="cellIs" dxfId="286" priority="43" operator="notEqual">
      <formula>0</formula>
    </cfRule>
    <cfRule type="cellIs" dxfId="285" priority="44" operator="equal">
      <formula>0</formula>
    </cfRule>
  </conditionalFormatting>
  <conditionalFormatting sqref="L37:L43">
    <cfRule type="cellIs" dxfId="284" priority="49" operator="notEqual">
      <formula>0</formula>
    </cfRule>
    <cfRule type="cellIs" dxfId="283" priority="50" operator="equal">
      <formula>0</formula>
    </cfRule>
  </conditionalFormatting>
  <conditionalFormatting sqref="M37:M43">
    <cfRule type="cellIs" dxfId="282" priority="45" operator="notEqual">
      <formula>0</formula>
    </cfRule>
    <cfRule type="cellIs" dxfId="281" priority="46" operator="equal">
      <formula>0</formula>
    </cfRule>
  </conditionalFormatting>
  <conditionalFormatting sqref="N37:Q43">
    <cfRule type="cellIs" dxfId="280" priority="41" operator="notEqual">
      <formula>0</formula>
    </cfRule>
    <cfRule type="cellIs" dxfId="279" priority="42" operator="equal">
      <formula>0</formula>
    </cfRule>
  </conditionalFormatting>
  <conditionalFormatting sqref="E4:H11">
    <cfRule type="cellIs" dxfId="278" priority="13" operator="notEqual">
      <formula>0</formula>
    </cfRule>
    <cfRule type="cellIs" dxfId="277" priority="14" operator="equal">
      <formula>0</formula>
    </cfRule>
  </conditionalFormatting>
  <conditionalFormatting sqref="C4">
    <cfRule type="cellIs" dxfId="276" priority="21" operator="notEqual">
      <formula>0</formula>
    </cfRule>
    <cfRule type="cellIs" dxfId="275" priority="22" operator="equal">
      <formula>0</formula>
    </cfRule>
  </conditionalFormatting>
  <conditionalFormatting sqref="C5:C11">
    <cfRule type="cellIs" dxfId="274" priority="19" operator="notEqual">
      <formula>0</formula>
    </cfRule>
    <cfRule type="cellIs" dxfId="273" priority="20" operator="equal">
      <formula>0</formula>
    </cfRule>
  </conditionalFormatting>
  <conditionalFormatting sqref="D4">
    <cfRule type="cellIs" dxfId="272" priority="17" operator="notEqual">
      <formula>0</formula>
    </cfRule>
    <cfRule type="cellIs" dxfId="271" priority="18" operator="equal">
      <formula>0</formula>
    </cfRule>
  </conditionalFormatting>
  <conditionalFormatting sqref="D5:D11">
    <cfRule type="cellIs" dxfId="270" priority="15" operator="notEqual">
      <formula>0</formula>
    </cfRule>
    <cfRule type="cellIs" dxfId="269" priority="16" operator="equal">
      <formula>0</formula>
    </cfRule>
  </conditionalFormatting>
  <conditionalFormatting sqref="L4">
    <cfRule type="cellIs" dxfId="268" priority="11" operator="notEqual">
      <formula>0</formula>
    </cfRule>
    <cfRule type="cellIs" dxfId="267" priority="12" operator="equal">
      <formula>0</formula>
    </cfRule>
  </conditionalFormatting>
  <conditionalFormatting sqref="M4">
    <cfRule type="cellIs" dxfId="266" priority="7" operator="notEqual">
      <formula>0</formula>
    </cfRule>
    <cfRule type="cellIs" dxfId="265" priority="8" operator="equal">
      <formula>0</formula>
    </cfRule>
  </conditionalFormatting>
  <conditionalFormatting sqref="N4:Q4">
    <cfRule type="cellIs" dxfId="264" priority="3" operator="notEqual">
      <formula>0</formula>
    </cfRule>
    <cfRule type="cellIs" dxfId="263" priority="4" operator="equal">
      <formula>0</formula>
    </cfRule>
  </conditionalFormatting>
  <conditionalFormatting sqref="L5:L11">
    <cfRule type="cellIs" dxfId="262" priority="9" operator="notEqual">
      <formula>0</formula>
    </cfRule>
    <cfRule type="cellIs" dxfId="261" priority="10" operator="equal">
      <formula>0</formula>
    </cfRule>
  </conditionalFormatting>
  <conditionalFormatting sqref="M5:M11">
    <cfRule type="cellIs" dxfId="260" priority="5" operator="notEqual">
      <formula>0</formula>
    </cfRule>
    <cfRule type="cellIs" dxfId="259" priority="6" operator="equal">
      <formula>0</formula>
    </cfRule>
  </conditionalFormatting>
  <conditionalFormatting sqref="N5:Q11">
    <cfRule type="cellIs" dxfId="258" priority="1" operator="notEqual">
      <formula>0</formula>
    </cfRule>
    <cfRule type="cellIs" dxfId="257" priority="2" operator="equal">
      <formula>0</formula>
    </cfRule>
  </conditionalFormatting>
  <printOptions horizontalCentered="1"/>
  <pageMargins left="0.39370078740157483" right="0.39370078740157483" top="0.39370078740157483" bottom="0.39370078740157483" header="0" footer="0.23622047244094491"/>
  <pageSetup paperSize="9" scale="87" orientation="portrait" horizontalDpi="300" r:id="rId1"/>
  <headerFooter>
    <oddFooter>&amp;C&amp;"-,Gras"&amp;P &amp;"-,Normal"sur &amp;N</oddFoot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85E0-EA16-4ED5-A880-8193098D625D}">
  <sheetPr codeName="Feuil2">
    <tabColor rgb="FFC00000"/>
  </sheetPr>
  <dimension ref="B1:M53"/>
  <sheetViews>
    <sheetView showGridLines="0" showRowColHeaders="0" zoomScaleNormal="100" zoomScalePageLayoutView="39" workbookViewId="0">
      <selection activeCell="W46" sqref="W46"/>
    </sheetView>
  </sheetViews>
  <sheetFormatPr baseColWidth="10" defaultColWidth="11.41796875" defaultRowHeight="14.4"/>
  <cols>
    <col min="1" max="1" width="1.3125" style="103" customWidth="1"/>
    <col min="2" max="2" width="0.89453125" style="103" customWidth="1"/>
    <col min="3" max="3" width="1.3125" style="103" customWidth="1"/>
    <col min="4" max="4" width="8.68359375" style="103" customWidth="1"/>
    <col min="5" max="5" width="10.41796875" style="103" customWidth="1"/>
    <col min="6" max="7" width="11.41796875" style="103"/>
    <col min="8" max="8" width="13.1015625" style="103" customWidth="1"/>
    <col min="9" max="9" width="11.41796875" style="103"/>
    <col min="10" max="10" width="8.68359375" style="103" customWidth="1"/>
    <col min="11" max="11" width="11.41796875" style="103"/>
    <col min="12" max="12" width="1.3125" style="103" customWidth="1"/>
    <col min="13" max="13" width="0.89453125" style="103" customWidth="1"/>
    <col min="14" max="16384" width="11.41796875" style="103"/>
  </cols>
  <sheetData>
    <row r="1" spans="2:13" ht="3.75" customHeight="1" thickBot="1"/>
    <row r="2" spans="2:13" ht="4.5" customHeight="1">
      <c r="B2" s="104"/>
      <c r="C2" s="105"/>
      <c r="D2" s="105"/>
      <c r="E2" s="105"/>
      <c r="F2" s="105"/>
      <c r="G2" s="105"/>
      <c r="H2" s="105"/>
      <c r="I2" s="105"/>
      <c r="J2" s="105"/>
      <c r="K2" s="105"/>
      <c r="L2" s="105"/>
      <c r="M2" s="106"/>
    </row>
    <row r="3" spans="2:13">
      <c r="B3" s="107"/>
      <c r="C3" s="1452"/>
      <c r="D3" s="1453"/>
      <c r="E3" s="108"/>
      <c r="F3" s="108"/>
      <c r="G3" s="108"/>
      <c r="H3" s="108"/>
      <c r="I3" s="108"/>
      <c r="J3" s="108"/>
      <c r="K3" s="108"/>
      <c r="L3" s="109"/>
      <c r="M3" s="110"/>
    </row>
    <row r="4" spans="2:13" ht="15.6">
      <c r="B4" s="107"/>
      <c r="C4" s="1450"/>
      <c r="D4" s="1451"/>
      <c r="F4" s="1454" t="s">
        <v>0</v>
      </c>
      <c r="G4" s="1454"/>
      <c r="H4" s="1454"/>
      <c r="I4" s="1454"/>
      <c r="K4" s="522"/>
      <c r="L4" s="112"/>
      <c r="M4" s="110"/>
    </row>
    <row r="5" spans="2:13">
      <c r="B5" s="107"/>
      <c r="C5" s="1450"/>
      <c r="D5" s="1451"/>
      <c r="F5" s="123"/>
      <c r="G5" s="123"/>
      <c r="H5" s="123"/>
      <c r="L5" s="112"/>
      <c r="M5" s="110"/>
    </row>
    <row r="6" spans="2:13" ht="15.6">
      <c r="B6" s="107"/>
      <c r="C6" s="1450"/>
      <c r="D6" s="1451"/>
      <c r="F6" s="523" t="s">
        <v>1</v>
      </c>
      <c r="G6" s="524"/>
      <c r="H6" s="524"/>
      <c r="I6" s="522"/>
      <c r="K6" s="522"/>
      <c r="L6" s="112"/>
      <c r="M6" s="110"/>
    </row>
    <row r="7" spans="2:13">
      <c r="B7" s="107"/>
      <c r="C7" s="1450"/>
      <c r="D7" s="1451"/>
      <c r="F7" s="123"/>
      <c r="G7" s="123"/>
      <c r="H7" s="123"/>
      <c r="L7" s="112"/>
      <c r="M7" s="110"/>
    </row>
    <row r="8" spans="2:13" ht="15.6">
      <c r="B8" s="107"/>
      <c r="C8" s="1450"/>
      <c r="D8" s="1451"/>
      <c r="F8" s="1454" t="s">
        <v>2</v>
      </c>
      <c r="G8" s="1454"/>
      <c r="H8" s="1454"/>
      <c r="I8" s="1454"/>
      <c r="K8" s="522"/>
      <c r="L8" s="112"/>
      <c r="M8" s="110"/>
    </row>
    <row r="9" spans="2:13">
      <c r="B9" s="107"/>
      <c r="C9" s="1450"/>
      <c r="D9" s="1451"/>
      <c r="L9" s="112"/>
      <c r="M9" s="110"/>
    </row>
    <row r="10" spans="2:13">
      <c r="B10" s="107"/>
      <c r="C10" s="1450"/>
      <c r="D10" s="1451"/>
      <c r="L10" s="112"/>
      <c r="M10" s="110"/>
    </row>
    <row r="11" spans="2:13">
      <c r="B11" s="107"/>
      <c r="C11" s="1450"/>
      <c r="D11" s="1451"/>
      <c r="J11" s="103" t="s">
        <v>0</v>
      </c>
      <c r="L11" s="112"/>
      <c r="M11" s="110"/>
    </row>
    <row r="12" spans="2:13">
      <c r="B12" s="107"/>
      <c r="C12" s="1450"/>
      <c r="D12" s="1451"/>
      <c r="L12" s="112"/>
      <c r="M12" s="110"/>
    </row>
    <row r="13" spans="2:13">
      <c r="B13" s="107"/>
      <c r="C13" s="1450"/>
      <c r="D13" s="1451"/>
      <c r="L13" s="112"/>
      <c r="M13" s="110"/>
    </row>
    <row r="14" spans="2:13">
      <c r="B14" s="107"/>
      <c r="C14" s="1450"/>
      <c r="D14" s="1451"/>
      <c r="L14" s="112"/>
      <c r="M14" s="110"/>
    </row>
    <row r="15" spans="2:13">
      <c r="B15" s="107"/>
      <c r="C15" s="1450"/>
      <c r="D15" s="1451"/>
      <c r="L15" s="112"/>
      <c r="M15" s="110"/>
    </row>
    <row r="16" spans="2:13">
      <c r="B16" s="107"/>
      <c r="C16" s="1450"/>
      <c r="D16" s="1451"/>
      <c r="L16" s="112"/>
      <c r="M16" s="110"/>
    </row>
    <row r="17" spans="2:13">
      <c r="B17" s="107"/>
      <c r="C17" s="1450"/>
      <c r="D17" s="1451"/>
      <c r="L17" s="112"/>
      <c r="M17" s="110"/>
    </row>
    <row r="18" spans="2:13">
      <c r="B18" s="107"/>
      <c r="C18" s="1450"/>
      <c r="D18" s="1451"/>
      <c r="L18" s="112"/>
      <c r="M18" s="110"/>
    </row>
    <row r="19" spans="2:13">
      <c r="B19" s="107"/>
      <c r="C19" s="111"/>
      <c r="L19" s="112"/>
      <c r="M19" s="110"/>
    </row>
    <row r="20" spans="2:13">
      <c r="B20" s="107"/>
      <c r="C20" s="111"/>
      <c r="L20" s="112"/>
      <c r="M20" s="110"/>
    </row>
    <row r="21" spans="2:13">
      <c r="B21" s="107"/>
      <c r="C21" s="111"/>
      <c r="L21" s="112"/>
      <c r="M21" s="110"/>
    </row>
    <row r="22" spans="2:13">
      <c r="B22" s="107"/>
      <c r="C22" s="111"/>
      <c r="L22" s="112"/>
      <c r="M22" s="110"/>
    </row>
    <row r="23" spans="2:13">
      <c r="B23" s="107"/>
      <c r="C23" s="111"/>
      <c r="L23" s="112"/>
      <c r="M23" s="110"/>
    </row>
    <row r="24" spans="2:13">
      <c r="B24" s="107"/>
      <c r="C24" s="111"/>
      <c r="L24" s="112"/>
      <c r="M24" s="110"/>
    </row>
    <row r="25" spans="2:13">
      <c r="B25" s="107"/>
      <c r="C25" s="111"/>
      <c r="L25" s="112"/>
      <c r="M25" s="110"/>
    </row>
    <row r="26" spans="2:13">
      <c r="B26" s="107"/>
      <c r="C26" s="111"/>
      <c r="E26" s="1446"/>
      <c r="F26" s="1447"/>
      <c r="G26" s="1447"/>
      <c r="H26" s="1447"/>
      <c r="I26" s="1447"/>
      <c r="J26" s="1447"/>
      <c r="L26" s="112"/>
      <c r="M26" s="110"/>
    </row>
    <row r="27" spans="2:13">
      <c r="B27" s="107"/>
      <c r="C27" s="111"/>
      <c r="E27" s="1447"/>
      <c r="F27" s="1447"/>
      <c r="G27" s="1447"/>
      <c r="H27" s="1447"/>
      <c r="I27" s="1447"/>
      <c r="J27" s="1447"/>
      <c r="L27" s="112"/>
      <c r="M27" s="110"/>
    </row>
    <row r="28" spans="2:13">
      <c r="B28" s="107"/>
      <c r="C28" s="111"/>
      <c r="E28" s="1447"/>
      <c r="F28" s="1447"/>
      <c r="G28" s="1447"/>
      <c r="H28" s="1447"/>
      <c r="I28" s="1447"/>
      <c r="J28" s="1447"/>
      <c r="L28" s="112"/>
      <c r="M28" s="110"/>
    </row>
    <row r="29" spans="2:13">
      <c r="B29" s="107"/>
      <c r="C29" s="111"/>
      <c r="E29" s="1447"/>
      <c r="F29" s="1447"/>
      <c r="G29" s="1447"/>
      <c r="H29" s="1447"/>
      <c r="I29" s="1447"/>
      <c r="J29" s="1447"/>
      <c r="L29" s="112"/>
      <c r="M29" s="110"/>
    </row>
    <row r="30" spans="2:13">
      <c r="B30" s="107"/>
      <c r="C30" s="111"/>
      <c r="L30" s="112"/>
      <c r="M30" s="110"/>
    </row>
    <row r="31" spans="2:13" ht="26.1">
      <c r="B31" s="107"/>
      <c r="C31" s="111"/>
      <c r="E31" s="1448" t="s">
        <v>3</v>
      </c>
      <c r="F31" s="1449"/>
      <c r="G31" s="1449"/>
      <c r="H31" s="1449"/>
      <c r="I31" s="1449"/>
      <c r="J31" s="1449"/>
      <c r="L31" s="112"/>
      <c r="M31" s="110"/>
    </row>
    <row r="32" spans="2:13">
      <c r="B32" s="107"/>
      <c r="C32" s="525"/>
      <c r="D32" s="526"/>
      <c r="L32" s="112"/>
      <c r="M32" s="110"/>
    </row>
    <row r="33" spans="2:13">
      <c r="B33" s="107"/>
      <c r="C33" s="527"/>
      <c r="D33" s="126"/>
      <c r="L33" s="112"/>
      <c r="M33" s="110"/>
    </row>
    <row r="34" spans="2:13">
      <c r="B34" s="107"/>
      <c r="C34" s="528"/>
      <c r="D34" s="529"/>
      <c r="L34" s="112"/>
      <c r="M34" s="110"/>
    </row>
    <row r="35" spans="2:13">
      <c r="B35" s="107"/>
      <c r="C35" s="528"/>
      <c r="D35" s="529"/>
      <c r="L35" s="112"/>
      <c r="M35" s="110"/>
    </row>
    <row r="36" spans="2:13">
      <c r="B36" s="107"/>
      <c r="C36" s="528"/>
      <c r="D36" s="529"/>
      <c r="L36" s="112"/>
      <c r="M36" s="110"/>
    </row>
    <row r="37" spans="2:13">
      <c r="B37" s="107"/>
      <c r="C37" s="528"/>
      <c r="D37" s="529"/>
      <c r="L37" s="112"/>
      <c r="M37" s="110"/>
    </row>
    <row r="38" spans="2:13">
      <c r="B38" s="107"/>
      <c r="C38" s="528"/>
      <c r="D38" s="529"/>
      <c r="L38" s="112"/>
      <c r="M38" s="110"/>
    </row>
    <row r="39" spans="2:13">
      <c r="B39" s="107"/>
      <c r="C39" s="528"/>
      <c r="D39" s="529"/>
      <c r="L39" s="112"/>
      <c r="M39" s="110"/>
    </row>
    <row r="40" spans="2:13">
      <c r="B40" s="107"/>
      <c r="C40" s="528"/>
      <c r="D40" s="529"/>
      <c r="L40" s="112"/>
      <c r="M40" s="110"/>
    </row>
    <row r="41" spans="2:13">
      <c r="B41" s="107"/>
      <c r="C41" s="528"/>
      <c r="D41" s="529"/>
      <c r="L41" s="112"/>
      <c r="M41" s="110"/>
    </row>
    <row r="42" spans="2:13">
      <c r="B42" s="107"/>
      <c r="C42" s="528"/>
      <c r="D42" s="529"/>
      <c r="L42" s="112"/>
      <c r="M42" s="110"/>
    </row>
    <row r="43" spans="2:13">
      <c r="B43" s="107"/>
      <c r="C43" s="528"/>
      <c r="D43" s="529"/>
      <c r="L43" s="112"/>
      <c r="M43" s="110"/>
    </row>
    <row r="44" spans="2:13">
      <c r="B44" s="107"/>
      <c r="C44" s="528"/>
      <c r="D44" s="529"/>
      <c r="L44" s="112"/>
      <c r="M44" s="110"/>
    </row>
    <row r="45" spans="2:13">
      <c r="B45" s="107"/>
      <c r="C45" s="528"/>
      <c r="D45" s="529"/>
      <c r="L45" s="112"/>
      <c r="M45" s="110"/>
    </row>
    <row r="46" spans="2:13">
      <c r="B46" s="107"/>
      <c r="C46" s="528"/>
      <c r="D46" s="529"/>
      <c r="L46" s="112"/>
      <c r="M46" s="110"/>
    </row>
    <row r="47" spans="2:13">
      <c r="B47" s="107"/>
      <c r="C47" s="528"/>
      <c r="D47" s="529"/>
      <c r="L47" s="112"/>
      <c r="M47" s="110"/>
    </row>
    <row r="48" spans="2:13">
      <c r="B48" s="107"/>
      <c r="C48" s="528"/>
      <c r="D48" s="529"/>
      <c r="L48" s="112"/>
      <c r="M48" s="110"/>
    </row>
    <row r="49" spans="2:13">
      <c r="B49" s="107"/>
      <c r="C49" s="528"/>
      <c r="D49" s="529"/>
      <c r="L49" s="112"/>
      <c r="M49" s="110"/>
    </row>
    <row r="50" spans="2:13">
      <c r="B50" s="107"/>
      <c r="C50" s="528"/>
      <c r="D50" s="529"/>
      <c r="L50" s="112"/>
      <c r="M50" s="110"/>
    </row>
    <row r="51" spans="2:13">
      <c r="B51" s="107"/>
      <c r="C51" s="528"/>
      <c r="D51" s="529"/>
      <c r="L51" s="112"/>
      <c r="M51" s="110"/>
    </row>
    <row r="52" spans="2:13">
      <c r="B52" s="107"/>
      <c r="C52" s="530"/>
      <c r="D52" s="531"/>
      <c r="E52" s="113"/>
      <c r="F52" s="113"/>
      <c r="G52" s="113"/>
      <c r="H52" s="113"/>
      <c r="I52" s="113"/>
      <c r="J52" s="113"/>
      <c r="K52" s="113"/>
      <c r="L52" s="114"/>
      <c r="M52" s="110"/>
    </row>
    <row r="53" spans="2:13" ht="5.25" customHeight="1" thickBot="1">
      <c r="B53" s="115"/>
      <c r="C53" s="116"/>
      <c r="D53" s="116"/>
      <c r="E53" s="116"/>
      <c r="F53" s="116"/>
      <c r="G53" s="116"/>
      <c r="H53" s="116"/>
      <c r="I53" s="116"/>
      <c r="J53" s="116"/>
      <c r="K53" s="116"/>
      <c r="L53" s="116"/>
      <c r="M53" s="117"/>
    </row>
  </sheetData>
  <sheetProtection algorithmName="SHA-512" hashValue="6OEuJmxZxU4LfKaq9dxxsIcndzAULulZqRvl1IHrGLQ+5BEYjjFAW45QQsU4AJ3pNqOQC8OBdOkljajhURAQQA==" saltValue="XQRxTz7tTgCM7ZfMtadnqA==" spinCount="100000" sheet="1" objects="1" scenarios="1" selectLockedCells="1"/>
  <mergeCells count="20">
    <mergeCell ref="C12:D12"/>
    <mergeCell ref="C3:D3"/>
    <mergeCell ref="C4:D4"/>
    <mergeCell ref="F4:I4"/>
    <mergeCell ref="C5:D5"/>
    <mergeCell ref="C6:D6"/>
    <mergeCell ref="C7:D7"/>
    <mergeCell ref="C8:D8"/>
    <mergeCell ref="F8:I8"/>
    <mergeCell ref="C9:D9"/>
    <mergeCell ref="C10:D10"/>
    <mergeCell ref="C11:D11"/>
    <mergeCell ref="E26:J29"/>
    <mergeCell ref="E31:J31"/>
    <mergeCell ref="C13:D13"/>
    <mergeCell ref="C14:D14"/>
    <mergeCell ref="C15:D15"/>
    <mergeCell ref="C16:D16"/>
    <mergeCell ref="C17:D17"/>
    <mergeCell ref="C18:D18"/>
  </mergeCells>
  <printOptions horizontalCentered="1" verticalCentered="1"/>
  <pageMargins left="0.51180550000000002" right="0.51180550000000002" top="0.3541667" bottom="0.3541667" header="0.3152778" footer="0.3152778"/>
  <pageSetup paperSize="9" scale="9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D440C-A7AD-4120-A745-D660DB490BA7}">
  <sheetPr codeName="Feuil3">
    <tabColor theme="0" tint="-0.499984740745262"/>
    <pageSetUpPr fitToPage="1"/>
  </sheetPr>
  <dimension ref="A1:L48"/>
  <sheetViews>
    <sheetView showGridLines="0" showRowColHeaders="0" zoomScaleNormal="100" zoomScalePageLayoutView="38" workbookViewId="0">
      <selection activeCell="F44" sqref="F44"/>
    </sheetView>
  </sheetViews>
  <sheetFormatPr baseColWidth="10" defaultColWidth="11.41796875" defaultRowHeight="14.4"/>
  <cols>
    <col min="1" max="1" width="1" style="17" customWidth="1"/>
    <col min="2" max="2" width="19.89453125" style="17" customWidth="1"/>
    <col min="3" max="3" width="11.3125" style="17" customWidth="1"/>
    <col min="4" max="4" width="11" style="17" customWidth="1"/>
    <col min="5" max="5" width="3.1015625" style="17" customWidth="1"/>
    <col min="6" max="7" width="5.1015625" style="17" customWidth="1"/>
    <col min="8" max="8" width="3.1015625" style="17" customWidth="1"/>
    <col min="9" max="9" width="11" style="17" customWidth="1"/>
    <col min="10" max="10" width="11.3125" style="17" customWidth="1"/>
    <col min="11" max="11" width="19.89453125" style="17" customWidth="1"/>
    <col min="12" max="12" width="1" style="17" customWidth="1"/>
    <col min="13" max="16384" width="11.41796875" style="17"/>
  </cols>
  <sheetData>
    <row r="1" spans="1:12">
      <c r="A1" s="74"/>
      <c r="B1" s="75"/>
      <c r="C1" s="75"/>
      <c r="D1" s="75"/>
      <c r="E1" s="75"/>
      <c r="F1" s="75"/>
      <c r="G1" s="75"/>
      <c r="H1" s="75"/>
      <c r="I1" s="75"/>
      <c r="J1" s="75"/>
      <c r="K1" s="75"/>
      <c r="L1" s="76"/>
    </row>
    <row r="2" spans="1:12" ht="19.5" customHeight="1">
      <c r="A2" s="77"/>
      <c r="B2" s="1471" t="s">
        <v>4</v>
      </c>
      <c r="C2" s="1471"/>
      <c r="D2" s="1471"/>
      <c r="E2" s="1471"/>
      <c r="F2" s="1471"/>
      <c r="G2" s="1471"/>
      <c r="H2" s="1471"/>
      <c r="I2" s="1471"/>
      <c r="J2" s="1471"/>
      <c r="K2" s="1471"/>
      <c r="L2" s="78"/>
    </row>
    <row r="3" spans="1:12" ht="19.5" customHeight="1">
      <c r="A3" s="77"/>
      <c r="B3" s="1471" t="s">
        <v>5</v>
      </c>
      <c r="C3" s="1471"/>
      <c r="D3" s="1471"/>
      <c r="E3" s="1471"/>
      <c r="F3" s="1471"/>
      <c r="G3" s="1471"/>
      <c r="H3" s="1471"/>
      <c r="I3" s="1471"/>
      <c r="J3" s="1471"/>
      <c r="K3" s="1471"/>
      <c r="L3" s="78"/>
    </row>
    <row r="4" spans="1:12" ht="19.5" customHeight="1">
      <c r="A4" s="77"/>
      <c r="B4" s="1472" t="s">
        <v>6</v>
      </c>
      <c r="C4" s="1472"/>
      <c r="D4" s="1472"/>
      <c r="E4" s="1472"/>
      <c r="F4" s="1472"/>
      <c r="G4" s="1472"/>
      <c r="H4" s="1472"/>
      <c r="I4" s="1472"/>
      <c r="J4" s="1472"/>
      <c r="K4" s="1472"/>
      <c r="L4" s="78"/>
    </row>
    <row r="5" spans="1:12" ht="18" customHeight="1">
      <c r="A5" s="77"/>
      <c r="L5" s="78"/>
    </row>
    <row r="6" spans="1:12" ht="18" customHeight="1">
      <c r="A6" s="77"/>
      <c r="L6" s="78"/>
    </row>
    <row r="7" spans="1:12" ht="18" customHeight="1">
      <c r="A7" s="77"/>
      <c r="L7" s="78"/>
    </row>
    <row r="8" spans="1:12">
      <c r="A8" s="77"/>
      <c r="C8" s="1359" t="s">
        <v>7</v>
      </c>
      <c r="D8" s="1359"/>
      <c r="E8" s="1359"/>
      <c r="F8" s="1359"/>
      <c r="G8" s="1359"/>
      <c r="H8" s="1359"/>
      <c r="I8" s="1359"/>
      <c r="J8" s="1359"/>
      <c r="L8" s="78"/>
    </row>
    <row r="9" spans="1:12">
      <c r="A9" s="77"/>
      <c r="D9" s="1473">
        <f>Sommaire!H47</f>
        <v>0</v>
      </c>
      <c r="E9" s="1474"/>
      <c r="F9" s="1474"/>
      <c r="G9" s="1474"/>
      <c r="H9" s="1474"/>
      <c r="I9" s="1474"/>
      <c r="L9" s="78"/>
    </row>
    <row r="10" spans="1:12">
      <c r="A10" s="77"/>
      <c r="L10" s="78"/>
    </row>
    <row r="11" spans="1:12">
      <c r="A11" s="77"/>
      <c r="L11" s="78"/>
    </row>
    <row r="12" spans="1:12" ht="18.75" customHeight="1">
      <c r="A12" s="77"/>
      <c r="C12" s="1475" t="s">
        <v>8</v>
      </c>
      <c r="D12" s="1475"/>
      <c r="E12" s="1475"/>
      <c r="F12" s="1475"/>
      <c r="G12" s="1475"/>
      <c r="H12" s="1475"/>
      <c r="I12" s="1475"/>
      <c r="J12" s="1475"/>
      <c r="L12" s="78"/>
    </row>
    <row r="13" spans="1:12" ht="18.75" customHeight="1">
      <c r="A13" s="77"/>
      <c r="C13" s="1475"/>
      <c r="D13" s="1475"/>
      <c r="E13" s="1475"/>
      <c r="F13" s="1475"/>
      <c r="G13" s="1475"/>
      <c r="H13" s="1475"/>
      <c r="I13" s="1475"/>
      <c r="J13" s="1475"/>
      <c r="L13" s="78"/>
    </row>
    <row r="14" spans="1:12" ht="18.75" customHeight="1">
      <c r="A14" s="77"/>
      <c r="C14" s="1475"/>
      <c r="D14" s="1475"/>
      <c r="E14" s="1475"/>
      <c r="F14" s="1475"/>
      <c r="G14" s="1475"/>
      <c r="H14" s="1475"/>
      <c r="I14" s="1475"/>
      <c r="J14" s="1475"/>
      <c r="L14" s="78"/>
    </row>
    <row r="15" spans="1:12">
      <c r="A15" s="77"/>
      <c r="L15" s="78"/>
    </row>
    <row r="16" spans="1:12">
      <c r="A16" s="77"/>
      <c r="E16" s="1476" t="s">
        <v>9</v>
      </c>
      <c r="F16" s="1476"/>
      <c r="G16" s="1476"/>
      <c r="H16" s="1476"/>
      <c r="L16" s="78"/>
    </row>
    <row r="17" spans="1:12">
      <c r="A17" s="77"/>
      <c r="E17" s="1477">
        <f>Sommaire!Q35</f>
        <v>0</v>
      </c>
      <c r="F17" s="1474"/>
      <c r="G17" s="1474"/>
      <c r="H17" s="1474"/>
      <c r="L17" s="78"/>
    </row>
    <row r="18" spans="1:12" ht="20.25" customHeight="1">
      <c r="A18" s="77"/>
      <c r="L18" s="78"/>
    </row>
    <row r="19" spans="1:12" ht="20.25" customHeight="1">
      <c r="A19" s="77"/>
      <c r="L19" s="78"/>
    </row>
    <row r="20" spans="1:12" ht="15.6">
      <c r="A20" s="1074"/>
      <c r="B20" s="1075"/>
      <c r="C20" s="1075"/>
      <c r="D20" s="1478" t="s">
        <v>10</v>
      </c>
      <c r="E20" s="1478"/>
      <c r="F20" s="1478"/>
      <c r="G20" s="1478"/>
      <c r="H20" s="1478"/>
      <c r="I20" s="1478"/>
      <c r="J20" s="1076"/>
      <c r="K20" s="1075"/>
      <c r="L20" s="1077"/>
    </row>
    <row r="21" spans="1:12">
      <c r="A21" s="77"/>
      <c r="L21" s="78"/>
    </row>
    <row r="22" spans="1:12" s="81" customFormat="1">
      <c r="A22" s="79"/>
      <c r="B22" s="1078" t="s">
        <v>11</v>
      </c>
      <c r="C22" s="1079"/>
      <c r="D22" s="1467" t="str">
        <f>IF(Sommaire!D27="","",Sommaire!D27)</f>
        <v>OHADA</v>
      </c>
      <c r="E22" s="1467"/>
      <c r="F22" s="1467"/>
      <c r="G22" s="1467"/>
      <c r="H22" s="1467"/>
      <c r="I22" s="1467"/>
      <c r="J22" s="1467"/>
      <c r="K22" s="1467"/>
      <c r="L22" s="1080"/>
    </row>
    <row r="23" spans="1:12" ht="12.75" customHeight="1">
      <c r="A23" s="77"/>
      <c r="B23" s="1081" t="s">
        <v>12</v>
      </c>
      <c r="C23" s="1081"/>
      <c r="D23" s="1081"/>
      <c r="L23" s="78"/>
    </row>
    <row r="24" spans="1:12">
      <c r="A24" s="77"/>
      <c r="B24" s="1467"/>
      <c r="C24" s="1467"/>
      <c r="D24" s="1467"/>
      <c r="E24" s="1467"/>
      <c r="F24" s="1467"/>
      <c r="G24" s="1467"/>
      <c r="H24" s="1467"/>
      <c r="I24" s="1467"/>
      <c r="J24" s="1467"/>
      <c r="K24" s="1467"/>
      <c r="L24" s="78"/>
    </row>
    <row r="25" spans="1:12" ht="9" customHeight="1">
      <c r="A25" s="77"/>
      <c r="L25" s="78"/>
    </row>
    <row r="26" spans="1:12" s="81" customFormat="1">
      <c r="A26" s="79"/>
      <c r="B26" s="1078" t="s">
        <v>13</v>
      </c>
      <c r="C26" s="1467" t="str">
        <f>IF(Sommaire!D29="","",Sommaire!D29)</f>
        <v/>
      </c>
      <c r="D26" s="1467"/>
      <c r="E26" s="1467"/>
      <c r="F26" s="1467"/>
      <c r="G26" s="1467"/>
      <c r="H26" s="1467"/>
      <c r="I26" s="1467"/>
      <c r="J26" s="1467"/>
      <c r="K26" s="1467"/>
      <c r="L26" s="1080"/>
    </row>
    <row r="27" spans="1:12" ht="9" customHeight="1">
      <c r="A27" s="77"/>
      <c r="L27" s="78"/>
    </row>
    <row r="28" spans="1:12" s="81" customFormat="1">
      <c r="A28" s="79"/>
      <c r="B28" s="1078" t="s">
        <v>14</v>
      </c>
      <c r="C28" s="1467" t="str">
        <f>IF(Sommaire!D41="","",Sommaire!D41&amp;" "&amp;Sommaire!H41)</f>
        <v/>
      </c>
      <c r="D28" s="1467"/>
      <c r="E28" s="1467"/>
      <c r="F28" s="1467"/>
      <c r="G28" s="1467"/>
      <c r="H28" s="1467"/>
      <c r="I28" s="1467"/>
      <c r="J28" s="1467"/>
      <c r="K28" s="1467"/>
      <c r="L28" s="1080"/>
    </row>
    <row r="29" spans="1:12" ht="9" customHeight="1">
      <c r="A29" s="77"/>
      <c r="L29" s="78"/>
    </row>
    <row r="30" spans="1:12" s="81" customFormat="1">
      <c r="A30" s="79"/>
      <c r="B30" s="1078" t="s">
        <v>15</v>
      </c>
      <c r="C30" s="1082"/>
      <c r="D30" s="1467" t="str">
        <f>IF(Sommaire!D45="","",Sommaire!D45)</f>
        <v/>
      </c>
      <c r="E30" s="1467"/>
      <c r="F30" s="1467"/>
      <c r="G30" s="1467"/>
      <c r="H30" s="1467"/>
      <c r="I30" s="1467"/>
      <c r="J30" s="1467"/>
      <c r="K30" s="1467"/>
      <c r="L30" s="1080"/>
    </row>
    <row r="31" spans="1:12" ht="17.25" customHeight="1">
      <c r="A31" s="77"/>
      <c r="B31" s="1083" t="s">
        <v>16</v>
      </c>
      <c r="C31" s="1084"/>
      <c r="D31" s="1468" t="str">
        <f>IF(Sommaire!H45="","",Sommaire!H45)</f>
        <v/>
      </c>
      <c r="E31" s="1468"/>
      <c r="F31" s="1468"/>
      <c r="G31" s="1468"/>
      <c r="H31" s="1468"/>
      <c r="I31" s="1468"/>
      <c r="J31" s="1468"/>
      <c r="K31" s="1468"/>
      <c r="L31" s="78"/>
    </row>
    <row r="32" spans="1:12" ht="30" customHeight="1">
      <c r="A32" s="77"/>
      <c r="B32" s="1469" t="s">
        <v>17</v>
      </c>
      <c r="C32" s="1469"/>
      <c r="D32" s="1469"/>
      <c r="E32" s="1469"/>
      <c r="F32" s="1469"/>
      <c r="G32" s="1469"/>
      <c r="H32" s="1469"/>
      <c r="I32" s="1469"/>
      <c r="J32" s="1469"/>
      <c r="K32" s="1469"/>
      <c r="L32" s="78"/>
    </row>
    <row r="33" spans="1:12">
      <c r="A33" s="77"/>
      <c r="B33" s="1470" t="s">
        <v>18</v>
      </c>
      <c r="C33" s="1470"/>
      <c r="D33" s="1470"/>
      <c r="E33" s="1470"/>
      <c r="F33" s="1470"/>
      <c r="G33" s="1085"/>
      <c r="H33" s="1470" t="s">
        <v>19</v>
      </c>
      <c r="I33" s="1470"/>
      <c r="J33" s="1470"/>
      <c r="K33" s="1470"/>
      <c r="L33" s="78"/>
    </row>
    <row r="34" spans="1:12">
      <c r="A34" s="77"/>
      <c r="H34" s="80"/>
      <c r="I34" s="80"/>
      <c r="J34" s="80"/>
      <c r="K34" s="80"/>
      <c r="L34" s="78"/>
    </row>
    <row r="35" spans="1:12" s="81" customFormat="1" ht="17.25" customHeight="1">
      <c r="A35" s="79"/>
      <c r="B35" s="1086" t="s">
        <v>20</v>
      </c>
      <c r="C35" s="1087"/>
      <c r="D35" s="1087"/>
      <c r="E35" s="1087"/>
      <c r="F35" s="1088" t="s">
        <v>21</v>
      </c>
      <c r="H35" s="1455" t="s">
        <v>22</v>
      </c>
      <c r="I35" s="1456"/>
      <c r="J35" s="1456"/>
      <c r="K35" s="1457"/>
      <c r="L35" s="1080"/>
    </row>
    <row r="36" spans="1:12" s="81" customFormat="1" ht="17.25" customHeight="1">
      <c r="A36" s="79"/>
      <c r="B36" s="1086" t="s">
        <v>23</v>
      </c>
      <c r="C36" s="1087"/>
      <c r="D36" s="1087"/>
      <c r="E36" s="1087"/>
      <c r="F36" s="1088" t="s">
        <v>21</v>
      </c>
      <c r="H36" s="1458"/>
      <c r="I36" s="1459"/>
      <c r="J36" s="1459"/>
      <c r="K36" s="1460"/>
      <c r="L36" s="1080"/>
    </row>
    <row r="37" spans="1:12" s="81" customFormat="1" ht="17.25" customHeight="1">
      <c r="A37" s="79"/>
      <c r="B37" s="1086" t="s">
        <v>24</v>
      </c>
      <c r="C37" s="1087"/>
      <c r="D37" s="1087"/>
      <c r="E37" s="1087"/>
      <c r="F37" s="1088" t="s">
        <v>21</v>
      </c>
      <c r="H37" s="1458"/>
      <c r="I37" s="1459"/>
      <c r="J37" s="1459"/>
      <c r="K37" s="1460"/>
      <c r="L37" s="1080"/>
    </row>
    <row r="38" spans="1:12" s="81" customFormat="1" ht="17.25" customHeight="1">
      <c r="A38" s="79"/>
      <c r="B38" s="1086" t="s">
        <v>25</v>
      </c>
      <c r="C38" s="1087"/>
      <c r="D38" s="1087"/>
      <c r="E38" s="1087"/>
      <c r="F38" s="1088" t="s">
        <v>21</v>
      </c>
      <c r="H38" s="1461"/>
      <c r="I38" s="1462"/>
      <c r="J38" s="1462"/>
      <c r="K38" s="1463"/>
      <c r="L38" s="1080"/>
    </row>
    <row r="39" spans="1:12" s="81" customFormat="1" ht="17.25" customHeight="1">
      <c r="A39" s="79"/>
      <c r="B39" s="1086" t="s">
        <v>26</v>
      </c>
      <c r="C39" s="1087"/>
      <c r="D39" s="1087"/>
      <c r="E39" s="1087"/>
      <c r="F39" s="1088" t="s">
        <v>21</v>
      </c>
      <c r="H39" s="1464" t="s">
        <v>27</v>
      </c>
      <c r="I39" s="1465"/>
      <c r="J39" s="1465"/>
      <c r="K39" s="1466"/>
      <c r="L39" s="1080"/>
    </row>
    <row r="40" spans="1:12" s="81" customFormat="1" ht="17.25" customHeight="1">
      <c r="A40" s="79"/>
      <c r="B40" s="1086" t="s">
        <v>28</v>
      </c>
      <c r="C40" s="1087"/>
      <c r="D40" s="1087"/>
      <c r="E40" s="1087"/>
      <c r="F40" s="1088" t="s">
        <v>21</v>
      </c>
      <c r="H40" s="1458"/>
      <c r="I40" s="1459"/>
      <c r="J40" s="1459"/>
      <c r="K40" s="1460"/>
      <c r="L40" s="1080"/>
    </row>
    <row r="41" spans="1:12">
      <c r="A41" s="77"/>
      <c r="B41" s="1089"/>
      <c r="F41" s="1090"/>
      <c r="H41" s="1458"/>
      <c r="I41" s="1459"/>
      <c r="J41" s="1459"/>
      <c r="K41" s="1460"/>
      <c r="L41" s="78"/>
    </row>
    <row r="42" spans="1:12">
      <c r="A42" s="77"/>
      <c r="B42" s="1089"/>
      <c r="F42" s="1090"/>
      <c r="H42" s="1458"/>
      <c r="I42" s="1459"/>
      <c r="J42" s="1459"/>
      <c r="K42" s="1460"/>
      <c r="L42" s="78"/>
    </row>
    <row r="43" spans="1:12">
      <c r="A43" s="77"/>
      <c r="B43" s="1089"/>
      <c r="F43" s="1090"/>
      <c r="H43" s="1461"/>
      <c r="I43" s="1462"/>
      <c r="J43" s="1462"/>
      <c r="K43" s="1463"/>
      <c r="L43" s="78"/>
    </row>
    <row r="44" spans="1:12">
      <c r="A44" s="77"/>
      <c r="B44" s="1086" t="s">
        <v>29</v>
      </c>
      <c r="C44" s="1075"/>
      <c r="D44" s="1075"/>
      <c r="E44" s="1075"/>
      <c r="F44" s="1091">
        <f>Code!K78</f>
        <v>55</v>
      </c>
      <c r="H44" s="1455" t="s">
        <v>30</v>
      </c>
      <c r="I44" s="1456"/>
      <c r="J44" s="1456"/>
      <c r="K44" s="1457"/>
      <c r="L44" s="78"/>
    </row>
    <row r="45" spans="1:12">
      <c r="A45" s="77"/>
      <c r="B45" s="1092" t="s">
        <v>31</v>
      </c>
      <c r="C45" s="75"/>
      <c r="D45" s="75"/>
      <c r="E45" s="75"/>
      <c r="F45" s="1093">
        <v>6</v>
      </c>
      <c r="H45" s="77"/>
      <c r="K45" s="78"/>
      <c r="L45" s="78"/>
    </row>
    <row r="46" spans="1:12">
      <c r="A46" s="77"/>
      <c r="B46" s="1074"/>
      <c r="C46" s="1075"/>
      <c r="D46" s="1075"/>
      <c r="E46" s="1075"/>
      <c r="F46" s="1077"/>
      <c r="H46" s="1094"/>
      <c r="I46" s="82"/>
      <c r="J46" s="82"/>
      <c r="K46" s="83"/>
      <c r="L46" s="78"/>
    </row>
    <row r="47" spans="1:12" ht="7.5" customHeight="1">
      <c r="A47" s="77"/>
      <c r="L47" s="78"/>
    </row>
    <row r="48" spans="1:12" ht="9" customHeight="1">
      <c r="A48" s="1094"/>
      <c r="B48" s="82"/>
      <c r="C48" s="82"/>
      <c r="D48" s="82"/>
      <c r="E48" s="82"/>
      <c r="F48" s="82"/>
      <c r="G48" s="82"/>
      <c r="H48" s="82"/>
      <c r="I48" s="82"/>
      <c r="J48" s="82"/>
      <c r="K48" s="82"/>
      <c r="L48" s="83"/>
    </row>
  </sheetData>
  <sheetProtection algorithmName="SHA-512" hashValue="PlIxoUkPKGOIXeLssYRgS0R/SozDGcpue1Ac/uxMlmew881fSLXYwJ+p+4ykajFvA/95eJSBiIwNfAorqc4H7g==" saltValue="afTjw5udBxfnWmjtNJrrsQ==" spinCount="100000" sheet="1" objects="1" scenarios="1" selectLockedCells="1"/>
  <mergeCells count="23">
    <mergeCell ref="C26:K26"/>
    <mergeCell ref="B2:K2"/>
    <mergeCell ref="B3:K3"/>
    <mergeCell ref="B4:K4"/>
    <mergeCell ref="C8:J8"/>
    <mergeCell ref="D9:I9"/>
    <mergeCell ref="C12:J14"/>
    <mergeCell ref="E16:H16"/>
    <mergeCell ref="E17:H17"/>
    <mergeCell ref="D20:I20"/>
    <mergeCell ref="D22:K22"/>
    <mergeCell ref="B24:K24"/>
    <mergeCell ref="C28:K28"/>
    <mergeCell ref="D30:K30"/>
    <mergeCell ref="D31:K31"/>
    <mergeCell ref="B32:K32"/>
    <mergeCell ref="B33:F33"/>
    <mergeCell ref="H33:K33"/>
    <mergeCell ref="H35:K35"/>
    <mergeCell ref="H36:K38"/>
    <mergeCell ref="H39:K39"/>
    <mergeCell ref="H40:K43"/>
    <mergeCell ref="H44:K44"/>
  </mergeCells>
  <conditionalFormatting sqref="D9:I9">
    <cfRule type="cellIs" dxfId="218" priority="1" operator="equal">
      <formula>0</formula>
    </cfRule>
  </conditionalFormatting>
  <printOptions horizontalCentered="1" verticalCentered="1"/>
  <pageMargins left="0.31496062992125984" right="0.31496062992125984" top="0.35433070866141736" bottom="0.35433070866141736" header="0.31496062992125984" footer="0.31496062992125984"/>
  <pageSetup paperSize="9" scale="94" orientation="portrait" r:id="rId1"/>
  <ignoredErrors>
    <ignoredError sqref="D9 B22:K26" unlocked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62A40-FD28-4D46-B3E8-4BD986583FEE}">
  <sheetPr codeName="Feuil4">
    <tabColor theme="0" tint="-0.499984740745262"/>
  </sheetPr>
  <dimension ref="A1:B47"/>
  <sheetViews>
    <sheetView showGridLines="0" showRowColHeaders="0" zoomScaleNormal="100" zoomScalePageLayoutView="43" workbookViewId="0">
      <selection activeCell="D9" sqref="D9"/>
    </sheetView>
  </sheetViews>
  <sheetFormatPr baseColWidth="10" defaultColWidth="11.41796875" defaultRowHeight="14.4"/>
  <cols>
    <col min="1" max="1" width="7" style="103" customWidth="1"/>
    <col min="2" max="2" width="85.68359375" style="103" customWidth="1"/>
    <col min="3" max="3" width="7" style="103" customWidth="1"/>
    <col min="4" max="16384" width="11.41796875" style="103"/>
  </cols>
  <sheetData>
    <row r="1" spans="1:2">
      <c r="A1" s="1479" t="str">
        <f>"- "&amp;Code!K3&amp;" -"</f>
        <v>- 2 -</v>
      </c>
      <c r="B1" s="1479"/>
    </row>
    <row r="3" spans="1:2">
      <c r="B3" s="118"/>
    </row>
    <row r="4" spans="1:2">
      <c r="B4" s="118"/>
    </row>
    <row r="5" spans="1:2" ht="15">
      <c r="B5" s="127" t="s">
        <v>32</v>
      </c>
    </row>
    <row r="6" spans="1:2">
      <c r="B6" s="118"/>
    </row>
    <row r="7" spans="1:2">
      <c r="B7" s="118"/>
    </row>
    <row r="8" spans="1:2">
      <c r="B8" s="118"/>
    </row>
    <row r="9" spans="1:2" ht="15.3">
      <c r="B9" s="1072" t="s">
        <v>33</v>
      </c>
    </row>
    <row r="10" spans="1:2" ht="15" customHeight="1">
      <c r="B10" s="118"/>
    </row>
    <row r="11" spans="1:2" ht="15" customHeight="1">
      <c r="B11" s="118"/>
    </row>
    <row r="12" spans="1:2">
      <c r="B12" s="118" t="s">
        <v>34</v>
      </c>
    </row>
    <row r="13" spans="1:2">
      <c r="B13" s="118"/>
    </row>
    <row r="14" spans="1:2">
      <c r="B14" s="118" t="s">
        <v>35</v>
      </c>
    </row>
    <row r="15" spans="1:2">
      <c r="B15" s="118"/>
    </row>
    <row r="16" spans="1:2">
      <c r="B16" s="118" t="s">
        <v>36</v>
      </c>
    </row>
    <row r="17" spans="2:2">
      <c r="B17" s="118"/>
    </row>
    <row r="18" spans="2:2">
      <c r="B18" s="118" t="s">
        <v>37</v>
      </c>
    </row>
    <row r="19" spans="2:2">
      <c r="B19" s="118"/>
    </row>
    <row r="20" spans="2:2">
      <c r="B20" s="118" t="s">
        <v>38</v>
      </c>
    </row>
    <row r="21" spans="2:2">
      <c r="B21" s="118"/>
    </row>
    <row r="22" spans="2:2">
      <c r="B22" s="118" t="s">
        <v>39</v>
      </c>
    </row>
    <row r="23" spans="2:2">
      <c r="B23" s="118"/>
    </row>
    <row r="24" spans="2:2">
      <c r="B24" s="118"/>
    </row>
    <row r="25" spans="2:2" ht="15.3">
      <c r="B25" s="1072" t="s">
        <v>40</v>
      </c>
    </row>
    <row r="26" spans="2:2">
      <c r="B26" s="118"/>
    </row>
    <row r="27" spans="2:2">
      <c r="B27" s="118"/>
    </row>
    <row r="28" spans="2:2">
      <c r="B28" s="118" t="s">
        <v>41</v>
      </c>
    </row>
    <row r="29" spans="2:2">
      <c r="B29" s="118"/>
    </row>
    <row r="30" spans="2:2" ht="32.25" customHeight="1">
      <c r="B30" s="1073" t="s">
        <v>42</v>
      </c>
    </row>
    <row r="31" spans="2:2">
      <c r="B31" s="118"/>
    </row>
    <row r="32" spans="2:2">
      <c r="B32" s="118" t="s">
        <v>36</v>
      </c>
    </row>
    <row r="33" spans="2:2">
      <c r="B33" s="118"/>
    </row>
    <row r="34" spans="2:2">
      <c r="B34" s="118" t="s">
        <v>38</v>
      </c>
    </row>
    <row r="35" spans="2:2">
      <c r="B35" s="118"/>
    </row>
    <row r="36" spans="2:2">
      <c r="B36" s="118" t="s">
        <v>39</v>
      </c>
    </row>
    <row r="37" spans="2:2">
      <c r="B37" s="118"/>
    </row>
    <row r="38" spans="2:2">
      <c r="B38" s="118"/>
    </row>
    <row r="39" spans="2:2" ht="15.3">
      <c r="B39" s="1072" t="s">
        <v>43</v>
      </c>
    </row>
    <row r="40" spans="2:2">
      <c r="B40" s="118"/>
    </row>
    <row r="41" spans="2:2" ht="28.2">
      <c r="B41" s="120" t="s">
        <v>44</v>
      </c>
    </row>
    <row r="42" spans="2:2">
      <c r="B42" s="118"/>
    </row>
    <row r="43" spans="2:2">
      <c r="B43" s="118" t="s">
        <v>45</v>
      </c>
    </row>
    <row r="44" spans="2:2">
      <c r="B44" s="118" t="s">
        <v>46</v>
      </c>
    </row>
    <row r="46" spans="2:2">
      <c r="B46" s="118" t="s">
        <v>47</v>
      </c>
    </row>
    <row r="47" spans="2:2">
      <c r="B47" s="118" t="s">
        <v>48</v>
      </c>
    </row>
  </sheetData>
  <sheetProtection algorithmName="SHA-512" hashValue="V2n4vJue0Y4iPelWFTRahlDyyjJMgWCQjJHF/0GJ5PrploPJtipxNyY9HDNsh9Mb9ak69R5qzJIt73yjsZYVuQ==" saltValue="KnhKTgEI5D0O7ompp40aOQ==" spinCount="100000" sheet="1" objects="1" scenarios="1" selectLockedCells="1"/>
  <mergeCells count="1">
    <mergeCell ref="A1:B1"/>
  </mergeCells>
  <printOptions horizontalCentered="1"/>
  <pageMargins left="0.3152778" right="0.3152778" top="0.3541667" bottom="0.3541667" header="0.1180556" footer="0.3152778"/>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CAB-485C-4BFD-BC54-2E997E101FF6}">
  <sheetPr codeName="Feuil5">
    <tabColor rgb="FFC00000"/>
  </sheetPr>
  <dimension ref="A1:J46"/>
  <sheetViews>
    <sheetView showGridLines="0" showRowColHeaders="0" zoomScaleNormal="100" workbookViewId="0">
      <selection activeCell="W46" sqref="W46"/>
    </sheetView>
  </sheetViews>
  <sheetFormatPr baseColWidth="10" defaultColWidth="11.41796875" defaultRowHeight="14.4"/>
  <cols>
    <col min="1" max="1" width="11.41796875" style="103"/>
    <col min="2" max="2" width="17.41796875" style="103" customWidth="1"/>
    <col min="3" max="3" width="11.1015625" style="103" customWidth="1"/>
    <col min="4" max="5" width="4.41796875" style="103" customWidth="1"/>
    <col min="6" max="6" width="11.41796875" style="103"/>
    <col min="7" max="7" width="12.41796875" style="103" customWidth="1"/>
    <col min="8" max="8" width="15" style="103" customWidth="1"/>
    <col min="9" max="10" width="4.41796875" style="103" customWidth="1"/>
    <col min="11" max="16384" width="11.41796875" style="103"/>
  </cols>
  <sheetData>
    <row r="1" spans="1:10" ht="15" customHeight="1">
      <c r="A1" s="1276" t="str">
        <f>"- "&amp;Code!K4&amp;" -"</f>
        <v>- 3 -</v>
      </c>
      <c r="B1" s="1276"/>
      <c r="C1" s="1276"/>
      <c r="D1" s="1276"/>
      <c r="E1" s="1276"/>
      <c r="F1" s="1276"/>
      <c r="G1" s="1276"/>
      <c r="H1" s="1276"/>
      <c r="I1" s="1276"/>
      <c r="J1" s="1276"/>
    </row>
    <row r="2" spans="1:10" ht="24.9" customHeight="1">
      <c r="A2" s="576"/>
      <c r="B2" s="576"/>
      <c r="C2" s="576"/>
      <c r="D2" s="576"/>
      <c r="E2" s="576"/>
      <c r="F2" s="576"/>
      <c r="H2" s="1483" t="s">
        <v>49</v>
      </c>
      <c r="I2" s="1484"/>
      <c r="J2" s="1485"/>
    </row>
    <row r="3" spans="1:10">
      <c r="A3" s="317" t="s">
        <v>50</v>
      </c>
      <c r="B3" s="317"/>
      <c r="C3" s="1280" t="str">
        <f>IF(GARDE!D22&lt;&gt;"",GARDE!D22,"")</f>
        <v>OHADA</v>
      </c>
      <c r="D3" s="1280"/>
      <c r="E3" s="1280"/>
      <c r="F3" s="1280"/>
      <c r="G3" s="1280"/>
      <c r="H3" s="1280"/>
      <c r="I3" s="1280"/>
      <c r="J3" s="1280"/>
    </row>
    <row r="4" spans="1:10">
      <c r="A4" s="317" t="s">
        <v>51</v>
      </c>
      <c r="B4" s="1280" t="str">
        <f>IF(GARDE!C28&lt;&gt;"",GARDE!C28,"")</f>
        <v/>
      </c>
      <c r="C4" s="1280"/>
      <c r="D4" s="1280"/>
      <c r="E4" s="1280"/>
      <c r="F4" s="1280"/>
      <c r="G4" s="1280"/>
      <c r="H4" s="803" t="s">
        <v>52</v>
      </c>
      <c r="I4" s="1486" t="str">
        <f>IF(GARDE!C26&lt;&gt;"",GARDE!C26,"")</f>
        <v/>
      </c>
      <c r="J4" s="1486"/>
    </row>
    <row r="5" spans="1:10">
      <c r="A5" s="1487" t="s">
        <v>53</v>
      </c>
      <c r="B5" s="1487"/>
      <c r="C5" s="1281" t="str">
        <f>IF(GARDE!D30&lt;&gt;"",GARDE!D30,"")</f>
        <v/>
      </c>
      <c r="D5" s="1281"/>
      <c r="E5" s="1488" t="s">
        <v>54</v>
      </c>
      <c r="F5" s="1488"/>
      <c r="G5" s="647">
        <f>IF(GARDE!E17&lt;&gt;"",GARDE!E17,"")</f>
        <v>0</v>
      </c>
      <c r="H5" s="317" t="s">
        <v>55</v>
      </c>
      <c r="I5" s="1489">
        <f>'FICHE R1'!U5</f>
        <v>1</v>
      </c>
      <c r="J5" s="1489"/>
    </row>
    <row r="6" spans="1:10">
      <c r="A6" s="748" t="s">
        <v>56</v>
      </c>
      <c r="B6" s="748"/>
      <c r="C6" s="1480" t="str">
        <f>IF(GARDE!D31&lt;&gt;"",GARDE!D31,"")</f>
        <v/>
      </c>
      <c r="D6" s="1480"/>
      <c r="E6" s="1480"/>
      <c r="F6" s="1047"/>
      <c r="G6" s="869"/>
      <c r="H6" s="869"/>
      <c r="I6" s="1039"/>
      <c r="J6" s="630"/>
    </row>
    <row r="7" spans="1:10" ht="38.25" customHeight="1">
      <c r="A7" s="1481" t="s">
        <v>57</v>
      </c>
      <c r="B7" s="1273"/>
      <c r="C7" s="1273"/>
      <c r="D7" s="1273"/>
      <c r="E7" s="1273"/>
      <c r="F7" s="1273"/>
      <c r="G7" s="1273"/>
      <c r="H7" s="1273"/>
      <c r="I7" s="1273"/>
      <c r="J7" s="1273"/>
    </row>
    <row r="8" spans="1:10" ht="3" customHeight="1">
      <c r="A8" s="1048"/>
      <c r="B8" s="1049"/>
      <c r="C8" s="1049"/>
      <c r="D8" s="1049"/>
      <c r="E8" s="1049"/>
      <c r="F8" s="1049"/>
      <c r="G8" s="1049"/>
      <c r="H8" s="1049"/>
      <c r="I8" s="1049"/>
      <c r="J8" s="1049"/>
    </row>
    <row r="9" spans="1:10" s="1050" customFormat="1" ht="22.5" customHeight="1">
      <c r="A9" s="1482" t="s">
        <v>58</v>
      </c>
      <c r="B9" s="1482"/>
      <c r="C9" s="1482"/>
      <c r="D9" s="1482"/>
      <c r="E9" s="1482"/>
      <c r="F9" s="1482" t="s">
        <v>59</v>
      </c>
      <c r="G9" s="1482"/>
      <c r="H9" s="1482"/>
      <c r="I9" s="1482"/>
      <c r="J9" s="1482"/>
    </row>
    <row r="10" spans="1:10">
      <c r="A10" s="536"/>
      <c r="D10" s="1051"/>
      <c r="E10" s="1051"/>
      <c r="I10" s="1051"/>
      <c r="J10" s="1051"/>
    </row>
    <row r="11" spans="1:10">
      <c r="A11" s="1052" t="s">
        <v>60</v>
      </c>
      <c r="D11" s="1053" t="s">
        <v>61</v>
      </c>
      <c r="E11" s="1053" t="s">
        <v>61</v>
      </c>
      <c r="I11" s="1054"/>
      <c r="J11" s="1054"/>
    </row>
    <row r="12" spans="1:10">
      <c r="A12" s="1052"/>
      <c r="D12" s="1055"/>
      <c r="E12" s="1053"/>
      <c r="F12" s="1056" t="s">
        <v>62</v>
      </c>
      <c r="I12" s="1057"/>
      <c r="J12" s="1057"/>
    </row>
    <row r="13" spans="1:10">
      <c r="A13" s="1052" t="s">
        <v>63</v>
      </c>
      <c r="D13" s="1053" t="s">
        <v>61</v>
      </c>
      <c r="E13" s="1053" t="s">
        <v>64</v>
      </c>
      <c r="F13" s="1056"/>
      <c r="I13" s="1055"/>
      <c r="J13" s="1055"/>
    </row>
    <row r="14" spans="1:10">
      <c r="A14" s="1052"/>
      <c r="D14" s="1055"/>
      <c r="E14" s="1053"/>
      <c r="F14" s="1056" t="s">
        <v>65</v>
      </c>
      <c r="I14" s="1053"/>
      <c r="J14" s="1053"/>
    </row>
    <row r="15" spans="1:10">
      <c r="A15" s="1052" t="s">
        <v>66</v>
      </c>
      <c r="D15" s="1053" t="s">
        <v>61</v>
      </c>
      <c r="E15" s="1053" t="s">
        <v>67</v>
      </c>
      <c r="F15" s="1056"/>
      <c r="I15" s="1055"/>
      <c r="J15" s="1055"/>
    </row>
    <row r="16" spans="1:10">
      <c r="A16" s="1052"/>
      <c r="D16" s="1055"/>
      <c r="E16" s="1053"/>
      <c r="F16" s="1056" t="s">
        <v>68</v>
      </c>
      <c r="I16" s="1055"/>
      <c r="J16" s="1053"/>
    </row>
    <row r="17" spans="1:10">
      <c r="A17" s="1052" t="s">
        <v>69</v>
      </c>
      <c r="D17" s="1053" t="s">
        <v>61</v>
      </c>
      <c r="E17" s="1053" t="s">
        <v>70</v>
      </c>
      <c r="F17" s="1058" t="s">
        <v>71</v>
      </c>
      <c r="I17" s="1059" t="s">
        <v>67</v>
      </c>
      <c r="J17" s="1059" t="s">
        <v>61</v>
      </c>
    </row>
    <row r="18" spans="1:10">
      <c r="A18" s="1052"/>
      <c r="D18" s="1055"/>
      <c r="E18" s="1053"/>
      <c r="F18" s="1058" t="s">
        <v>72</v>
      </c>
      <c r="I18" s="1053" t="s">
        <v>67</v>
      </c>
      <c r="J18" s="1053" t="s">
        <v>64</v>
      </c>
    </row>
    <row r="19" spans="1:10">
      <c r="A19" s="1052" t="s">
        <v>73</v>
      </c>
      <c r="D19" s="1053" t="s">
        <v>61</v>
      </c>
      <c r="E19" s="1053" t="s">
        <v>74</v>
      </c>
      <c r="F19" s="1060"/>
      <c r="I19" s="1055"/>
      <c r="J19" s="1053"/>
    </row>
    <row r="20" spans="1:10">
      <c r="A20" s="1052"/>
      <c r="D20" s="1055"/>
      <c r="E20" s="1053"/>
      <c r="F20" s="1058" t="s">
        <v>75</v>
      </c>
      <c r="I20" s="1053" t="s">
        <v>67</v>
      </c>
      <c r="J20" s="1053" t="s">
        <v>67</v>
      </c>
    </row>
    <row r="21" spans="1:10">
      <c r="A21" s="1052" t="s">
        <v>76</v>
      </c>
      <c r="D21" s="1053" t="s">
        <v>61</v>
      </c>
      <c r="E21" s="1053" t="s">
        <v>77</v>
      </c>
      <c r="F21" s="1058"/>
      <c r="I21" s="1061"/>
      <c r="J21" s="1061"/>
    </row>
    <row r="22" spans="1:10">
      <c r="A22" s="1052"/>
      <c r="D22" s="1055"/>
      <c r="E22" s="1053"/>
      <c r="F22" s="1058" t="s">
        <v>78</v>
      </c>
      <c r="I22" s="1053" t="s">
        <v>67</v>
      </c>
      <c r="J22" s="1053" t="s">
        <v>70</v>
      </c>
    </row>
    <row r="23" spans="1:10">
      <c r="A23" s="1052" t="s">
        <v>79</v>
      </c>
      <c r="D23" s="1053" t="s">
        <v>61</v>
      </c>
      <c r="E23" s="1053" t="s">
        <v>80</v>
      </c>
      <c r="F23" s="1058"/>
      <c r="I23" s="1053"/>
      <c r="J23" s="1053"/>
    </row>
    <row r="24" spans="1:10">
      <c r="A24" s="1052"/>
      <c r="D24" s="1055"/>
      <c r="E24" s="1053"/>
      <c r="F24" s="1058" t="s">
        <v>81</v>
      </c>
      <c r="I24" s="1053" t="s">
        <v>70</v>
      </c>
      <c r="J24" s="1053" t="s">
        <v>82</v>
      </c>
    </row>
    <row r="25" spans="1:10">
      <c r="A25" s="1052" t="s">
        <v>83</v>
      </c>
      <c r="D25" s="1053" t="s">
        <v>61</v>
      </c>
      <c r="E25" s="1053" t="s">
        <v>84</v>
      </c>
      <c r="F25" s="1060"/>
      <c r="I25" s="1055"/>
      <c r="J25" s="1053"/>
    </row>
    <row r="26" spans="1:10">
      <c r="A26" s="1052"/>
      <c r="D26" s="1055"/>
      <c r="E26" s="1053"/>
      <c r="F26" s="1056" t="s">
        <v>85</v>
      </c>
      <c r="I26" s="1053" t="s">
        <v>74</v>
      </c>
      <c r="J26" s="1053" t="s">
        <v>61</v>
      </c>
    </row>
    <row r="27" spans="1:10">
      <c r="A27" s="1052" t="s">
        <v>86</v>
      </c>
      <c r="D27" s="1053" t="s">
        <v>61</v>
      </c>
      <c r="E27" s="1053" t="s">
        <v>87</v>
      </c>
      <c r="F27" s="1056"/>
      <c r="I27" s="1055"/>
      <c r="J27" s="1053"/>
    </row>
    <row r="28" spans="1:10">
      <c r="A28" s="1052"/>
      <c r="D28" s="1055"/>
      <c r="E28" s="1053"/>
      <c r="F28" s="1056" t="s">
        <v>88</v>
      </c>
      <c r="I28" s="1053" t="s">
        <v>74</v>
      </c>
      <c r="J28" s="1053" t="s">
        <v>64</v>
      </c>
    </row>
    <row r="29" spans="1:10">
      <c r="A29" s="1052" t="s">
        <v>89</v>
      </c>
      <c r="D29" s="1053" t="s">
        <v>61</v>
      </c>
      <c r="E29" s="1053" t="s">
        <v>82</v>
      </c>
      <c r="F29" s="1056" t="s">
        <v>90</v>
      </c>
      <c r="I29" s="1059" t="s">
        <v>74</v>
      </c>
      <c r="J29" s="1059" t="s">
        <v>70</v>
      </c>
    </row>
    <row r="30" spans="1:10">
      <c r="A30" s="1052"/>
      <c r="D30" s="1053"/>
      <c r="E30" s="1053"/>
      <c r="F30" s="1058" t="s">
        <v>91</v>
      </c>
      <c r="I30" s="1053" t="s">
        <v>74</v>
      </c>
      <c r="J30" s="1053" t="s">
        <v>82</v>
      </c>
    </row>
    <row r="31" spans="1:10">
      <c r="A31" s="1062" t="s">
        <v>92</v>
      </c>
      <c r="D31" s="1053"/>
      <c r="E31" s="1053"/>
      <c r="F31" s="1058"/>
      <c r="I31" s="1053"/>
      <c r="J31" s="1053"/>
    </row>
    <row r="32" spans="1:10">
      <c r="A32" s="1052"/>
      <c r="D32" s="1053"/>
      <c r="E32" s="1053"/>
      <c r="F32" s="1056" t="s">
        <v>93</v>
      </c>
      <c r="I32" s="1053" t="s">
        <v>77</v>
      </c>
      <c r="J32" s="1053" t="s">
        <v>61</v>
      </c>
    </row>
    <row r="33" spans="1:10">
      <c r="A33" s="1052" t="s">
        <v>94</v>
      </c>
      <c r="D33" s="1053"/>
      <c r="E33" s="1053" t="s">
        <v>64</v>
      </c>
      <c r="F33" s="1058" t="s">
        <v>95</v>
      </c>
      <c r="I33" s="1053" t="s">
        <v>77</v>
      </c>
      <c r="J33" s="1053" t="s">
        <v>67</v>
      </c>
    </row>
    <row r="34" spans="1:10">
      <c r="A34" s="1052"/>
      <c r="D34" s="1053"/>
      <c r="E34" s="1053"/>
      <c r="F34" s="1056" t="s">
        <v>96</v>
      </c>
      <c r="I34" s="1059" t="s">
        <v>77</v>
      </c>
      <c r="J34" s="1059" t="s">
        <v>70</v>
      </c>
    </row>
    <row r="35" spans="1:10">
      <c r="A35" s="1052" t="s">
        <v>97</v>
      </c>
      <c r="D35" s="1053"/>
      <c r="E35" s="1053" t="s">
        <v>67</v>
      </c>
      <c r="F35" s="1056" t="s">
        <v>98</v>
      </c>
      <c r="I35" s="1053" t="s">
        <v>77</v>
      </c>
      <c r="J35" s="1059" t="s">
        <v>82</v>
      </c>
    </row>
    <row r="36" spans="1:10">
      <c r="A36" s="1052"/>
      <c r="D36" s="1053"/>
      <c r="E36" s="1053"/>
      <c r="F36" s="1056" t="s">
        <v>99</v>
      </c>
      <c r="I36" s="1059" t="s">
        <v>80</v>
      </c>
      <c r="J36" s="1059" t="s">
        <v>61</v>
      </c>
    </row>
    <row r="37" spans="1:10">
      <c r="A37" s="1052" t="s">
        <v>100</v>
      </c>
      <c r="D37" s="1053"/>
      <c r="E37" s="1053" t="s">
        <v>70</v>
      </c>
      <c r="F37" s="1060"/>
      <c r="I37" s="1055"/>
      <c r="J37" s="1055"/>
    </row>
    <row r="38" spans="1:10">
      <c r="A38" s="1052"/>
      <c r="D38" s="1053"/>
      <c r="E38" s="1053"/>
      <c r="F38" s="1056" t="s">
        <v>101</v>
      </c>
      <c r="I38" s="1053" t="s">
        <v>82</v>
      </c>
      <c r="J38" s="1053" t="s">
        <v>82</v>
      </c>
    </row>
    <row r="39" spans="1:10">
      <c r="A39" s="1052" t="s">
        <v>102</v>
      </c>
      <c r="D39" s="1053"/>
      <c r="E39" s="1053" t="s">
        <v>74</v>
      </c>
      <c r="F39" s="1056"/>
      <c r="I39" s="1053"/>
      <c r="J39" s="1053"/>
    </row>
    <row r="40" spans="1:10">
      <c r="A40" s="1063"/>
      <c r="B40" s="538"/>
      <c r="C40" s="538"/>
      <c r="D40" s="1064"/>
      <c r="E40" s="1064"/>
      <c r="F40" s="1065" t="s">
        <v>103</v>
      </c>
      <c r="G40" s="1066"/>
      <c r="H40" s="539"/>
      <c r="I40" s="1064"/>
      <c r="J40" s="1064"/>
    </row>
    <row r="41" spans="1:10">
      <c r="A41" s="536"/>
      <c r="J41" s="537"/>
    </row>
    <row r="42" spans="1:10">
      <c r="A42" s="1067" t="s">
        <v>104</v>
      </c>
      <c r="B42" s="1060"/>
      <c r="C42" s="1060"/>
      <c r="D42" s="1060"/>
      <c r="E42" s="1060"/>
      <c r="F42" s="1060"/>
      <c r="G42" s="1060"/>
      <c r="H42" s="1060"/>
      <c r="I42" s="1060"/>
      <c r="J42" s="1068"/>
    </row>
    <row r="43" spans="1:10">
      <c r="A43" s="1067" t="s">
        <v>105</v>
      </c>
      <c r="B43" s="1060"/>
      <c r="C43" s="1060"/>
      <c r="D43" s="1060"/>
      <c r="E43" s="1060"/>
      <c r="F43" s="1060"/>
      <c r="G43" s="1060"/>
      <c r="H43" s="1060"/>
      <c r="I43" s="1060"/>
      <c r="J43" s="1068"/>
    </row>
    <row r="44" spans="1:10">
      <c r="A44" s="1067" t="s">
        <v>106</v>
      </c>
      <c r="B44" s="1060"/>
      <c r="C44" s="1060"/>
      <c r="D44" s="1060"/>
      <c r="E44" s="1060"/>
      <c r="F44" s="1060"/>
      <c r="G44" s="1060"/>
      <c r="H44" s="1060"/>
      <c r="I44" s="1060"/>
      <c r="J44" s="1068"/>
    </row>
    <row r="45" spans="1:10">
      <c r="A45" s="1067" t="s">
        <v>107</v>
      </c>
      <c r="B45" s="1060"/>
      <c r="C45" s="1060"/>
      <c r="D45" s="1060"/>
      <c r="E45" s="1060"/>
      <c r="F45" s="1060"/>
      <c r="G45" s="1060"/>
      <c r="H45" s="1060"/>
      <c r="I45" s="1060"/>
      <c r="J45" s="1068"/>
    </row>
    <row r="46" spans="1:10">
      <c r="A46" s="1069"/>
      <c r="B46" s="1070"/>
      <c r="C46" s="1070"/>
      <c r="D46" s="1070"/>
      <c r="E46" s="1070"/>
      <c r="F46" s="1070"/>
      <c r="G46" s="1070"/>
      <c r="H46" s="1070"/>
      <c r="I46" s="1070"/>
      <c r="J46" s="1071"/>
    </row>
  </sheetData>
  <sheetProtection algorithmName="SHA-512" hashValue="WTJl9s99OW1JBOI3IhELbifSzkWEpTTgc/qpT6Isusi+x82eiYYaUpVySUWB3Ye5z9Fi2I7eUsb2YzJBOkOBwg==" saltValue="fJCUUbFXG55WgPEX9D5bKA==" spinCount="100000" sheet="1" objects="1" scenarios="1" selectLockedCells="1"/>
  <mergeCells count="13">
    <mergeCell ref="C6:E6"/>
    <mergeCell ref="A7:J7"/>
    <mergeCell ref="A9:E9"/>
    <mergeCell ref="F9:J9"/>
    <mergeCell ref="A1:J1"/>
    <mergeCell ref="H2:J2"/>
    <mergeCell ref="C3:J3"/>
    <mergeCell ref="B4:G4"/>
    <mergeCell ref="I4:J4"/>
    <mergeCell ref="A5:B5"/>
    <mergeCell ref="C5:D5"/>
    <mergeCell ref="E5:F5"/>
    <mergeCell ref="I5:J5"/>
  </mergeCells>
  <printOptions horizontalCentered="1"/>
  <pageMargins left="0.31496062992125984" right="0.31496062992125984" top="0.35433070866141736" bottom="0.35433070866141736" header="0.31496062992125984" footer="0.31496062992125984"/>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FF61-C3AD-41DE-84C8-6A0BC12E78D3}">
  <sheetPr codeName="Feuil6">
    <tabColor rgb="FFC00000"/>
  </sheetPr>
  <dimension ref="A1:J239"/>
  <sheetViews>
    <sheetView showGridLines="0" showRowColHeaders="0" topLeftCell="G12" zoomScaleNormal="100" zoomScalePageLayoutView="70" workbookViewId="0">
      <selection activeCell="W46" sqref="W46"/>
    </sheetView>
  </sheetViews>
  <sheetFormatPr baseColWidth="10" defaultColWidth="11.41796875" defaultRowHeight="14.4"/>
  <cols>
    <col min="1" max="1" width="9.1015625" style="103" customWidth="1"/>
    <col min="2" max="2" width="20.1015625" style="103" customWidth="1"/>
    <col min="3" max="3" width="11.1015625" style="103" customWidth="1"/>
    <col min="4" max="4" width="10.89453125" style="103" customWidth="1"/>
    <col min="5" max="5" width="9.1015625" style="103" customWidth="1"/>
    <col min="6" max="6" width="7.1015625" style="103" customWidth="1"/>
    <col min="7" max="7" width="14" style="103" customWidth="1"/>
    <col min="8" max="8" width="16.41796875" style="103" customWidth="1"/>
    <col min="9" max="9" width="6.3125" style="103" customWidth="1"/>
    <col min="10" max="10" width="12.41796875" style="103" customWidth="1"/>
    <col min="11" max="16384" width="11.41796875" style="103"/>
  </cols>
  <sheetData>
    <row r="1" spans="1:10">
      <c r="A1" s="1276" t="str">
        <f>"- "&amp;Code!K5&amp;" -"</f>
        <v>- 4 -</v>
      </c>
      <c r="B1" s="1276"/>
      <c r="C1" s="1276"/>
      <c r="D1" s="1276"/>
      <c r="E1" s="1276"/>
      <c r="F1" s="1276"/>
      <c r="G1" s="1276"/>
      <c r="H1" s="1276"/>
      <c r="I1" s="1276"/>
      <c r="J1" s="1276"/>
    </row>
    <row r="2" spans="1:10" ht="24.9" customHeight="1">
      <c r="A2" s="576"/>
      <c r="B2" s="576"/>
      <c r="C2" s="576"/>
      <c r="D2" s="576"/>
      <c r="E2" s="576"/>
      <c r="F2" s="576"/>
      <c r="H2" s="1483" t="s">
        <v>108</v>
      </c>
      <c r="I2" s="1484"/>
      <c r="J2" s="1485"/>
    </row>
    <row r="3" spans="1:10" ht="15" customHeight="1">
      <c r="A3" s="317" t="s">
        <v>50</v>
      </c>
      <c r="B3" s="317"/>
      <c r="C3" s="1280" t="str">
        <f>IF(GARDE!D22&lt;&gt;"",GARDE!D22,"")</f>
        <v>OHADA</v>
      </c>
      <c r="D3" s="1280"/>
      <c r="E3" s="1280"/>
      <c r="F3" s="1280"/>
      <c r="G3" s="1280"/>
      <c r="H3" s="1280"/>
      <c r="I3" s="1280"/>
      <c r="J3" s="1280"/>
    </row>
    <row r="4" spans="1:10" ht="15" customHeight="1">
      <c r="A4" s="317" t="s">
        <v>51</v>
      </c>
      <c r="B4" s="1280" t="str">
        <f>IF(GARDE!C28&lt;&gt;"",GARDE!C28,"")</f>
        <v/>
      </c>
      <c r="C4" s="1280"/>
      <c r="D4" s="1280"/>
      <c r="E4" s="1280"/>
      <c r="F4" s="1280"/>
      <c r="G4" s="1280"/>
      <c r="H4" s="627" t="s">
        <v>52</v>
      </c>
      <c r="I4" s="1486" t="str">
        <f>IF(GARDE!C26&lt;&gt;"",GARDE!C26,"")</f>
        <v/>
      </c>
      <c r="J4" s="1486"/>
    </row>
    <row r="5" spans="1:10" ht="15" customHeight="1">
      <c r="A5" s="1487" t="s">
        <v>53</v>
      </c>
      <c r="B5" s="1487"/>
      <c r="C5" s="1281" t="str">
        <f>IF(GARDE!D30&lt;&gt;"",GARDE!D30,"")</f>
        <v/>
      </c>
      <c r="D5" s="1281"/>
      <c r="E5" s="651" t="s">
        <v>54</v>
      </c>
      <c r="F5" s="651"/>
      <c r="G5" s="647">
        <f>IF(GARDE!E17&lt;&gt;"",GARDE!E17,"")</f>
        <v>0</v>
      </c>
      <c r="H5" s="627" t="s">
        <v>55</v>
      </c>
      <c r="I5" s="1486">
        <f>'FICHE R1'!U5</f>
        <v>1</v>
      </c>
      <c r="J5" s="1486"/>
    </row>
    <row r="6" spans="1:10" ht="15" customHeight="1">
      <c r="A6" s="748" t="s">
        <v>56</v>
      </c>
      <c r="B6" s="748"/>
      <c r="C6" s="1480" t="str">
        <f>IF(GARDE!D31&lt;&gt;"",GARDE!D31,"")</f>
        <v/>
      </c>
      <c r="D6" s="1480"/>
      <c r="E6" s="1480"/>
      <c r="F6" s="1480"/>
      <c r="G6" s="1480"/>
      <c r="H6" s="869"/>
      <c r="I6" s="1039"/>
      <c r="J6" s="630"/>
    </row>
    <row r="7" spans="1:10" s="593" customFormat="1" ht="46.5" customHeight="1">
      <c r="A7" s="1481" t="s">
        <v>109</v>
      </c>
      <c r="B7" s="1481"/>
      <c r="C7" s="1481"/>
      <c r="D7" s="1481"/>
      <c r="E7" s="1481"/>
      <c r="F7" s="1481"/>
      <c r="G7" s="1481"/>
      <c r="H7" s="1481"/>
      <c r="I7" s="1481"/>
      <c r="J7" s="1481"/>
    </row>
    <row r="8" spans="1:10" s="125" customFormat="1" ht="25.5" customHeight="1">
      <c r="A8" s="1496" t="s">
        <v>110</v>
      </c>
      <c r="B8" s="1496"/>
      <c r="C8" s="1496"/>
      <c r="D8" s="1496"/>
      <c r="E8" s="1496"/>
      <c r="F8" s="1496"/>
      <c r="G8" s="1496"/>
      <c r="H8" s="1496"/>
      <c r="I8" s="1496"/>
      <c r="J8" s="1496"/>
    </row>
    <row r="9" spans="1:10" s="125" customFormat="1" ht="21" customHeight="1">
      <c r="A9" s="1497" t="s">
        <v>111</v>
      </c>
      <c r="B9" s="1497"/>
      <c r="C9" s="1497"/>
      <c r="D9" s="1497"/>
      <c r="E9" s="1497"/>
      <c r="F9" s="1497"/>
      <c r="G9" s="1497"/>
      <c r="H9" s="1497"/>
      <c r="I9" s="1497"/>
      <c r="J9" s="1497"/>
    </row>
    <row r="10" spans="1:10" s="125" customFormat="1" ht="27" customHeight="1">
      <c r="A10" s="1498" t="s">
        <v>112</v>
      </c>
      <c r="B10" s="1498"/>
      <c r="C10" s="1498"/>
      <c r="D10" s="1498"/>
      <c r="E10" s="1498"/>
      <c r="F10" s="1498"/>
      <c r="G10" s="1498"/>
      <c r="H10" s="1498"/>
      <c r="I10" s="1498"/>
      <c r="J10" s="1498"/>
    </row>
    <row r="11" spans="1:10" ht="18.75" customHeight="1">
      <c r="A11" s="1040" t="s">
        <v>113</v>
      </c>
      <c r="B11" s="1499" t="s">
        <v>114</v>
      </c>
      <c r="C11" s="1499"/>
      <c r="D11" s="1499"/>
      <c r="E11" s="1040" t="s">
        <v>113</v>
      </c>
      <c r="F11" s="1499" t="s">
        <v>114</v>
      </c>
      <c r="G11" s="1499"/>
      <c r="H11" s="1499"/>
      <c r="I11" s="1499"/>
      <c r="J11" s="1499"/>
    </row>
    <row r="12" spans="1:10" ht="12.9" customHeight="1">
      <c r="A12" s="1041" t="s">
        <v>115</v>
      </c>
      <c r="B12" s="1491" t="s">
        <v>116</v>
      </c>
      <c r="C12" s="1491"/>
      <c r="D12" s="1491"/>
      <c r="E12" s="1041" t="s">
        <v>117</v>
      </c>
      <c r="F12" s="1491" t="s">
        <v>118</v>
      </c>
      <c r="G12" s="1491"/>
      <c r="H12" s="1491"/>
      <c r="I12" s="1491"/>
      <c r="J12" s="1491"/>
    </row>
    <row r="13" spans="1:10" ht="12.9" customHeight="1">
      <c r="A13" s="1042" t="s">
        <v>119</v>
      </c>
      <c r="B13" s="1490" t="s">
        <v>120</v>
      </c>
      <c r="C13" s="1490"/>
      <c r="D13" s="1490"/>
      <c r="E13" s="1042" t="s">
        <v>121</v>
      </c>
      <c r="F13" s="1490" t="s">
        <v>122</v>
      </c>
      <c r="G13" s="1490"/>
      <c r="H13" s="1490"/>
      <c r="I13" s="1490"/>
      <c r="J13" s="1490"/>
    </row>
    <row r="14" spans="1:10" ht="12.9" customHeight="1">
      <c r="A14" s="1042" t="s">
        <v>123</v>
      </c>
      <c r="B14" s="1490" t="s">
        <v>124</v>
      </c>
      <c r="C14" s="1490"/>
      <c r="D14" s="1490"/>
      <c r="E14" s="1042" t="s">
        <v>125</v>
      </c>
      <c r="F14" s="1490" t="s">
        <v>126</v>
      </c>
      <c r="G14" s="1490"/>
      <c r="H14" s="1490"/>
      <c r="I14" s="1490"/>
      <c r="J14" s="1490"/>
    </row>
    <row r="15" spans="1:10" ht="12.9" customHeight="1">
      <c r="A15" s="1042" t="s">
        <v>127</v>
      </c>
      <c r="B15" s="1490" t="s">
        <v>128</v>
      </c>
      <c r="C15" s="1490"/>
      <c r="D15" s="1490"/>
      <c r="E15" s="1042" t="s">
        <v>129</v>
      </c>
      <c r="F15" s="1490" t="s">
        <v>130</v>
      </c>
      <c r="G15" s="1490"/>
      <c r="H15" s="1490"/>
      <c r="I15" s="1490"/>
      <c r="J15" s="1490"/>
    </row>
    <row r="16" spans="1:10" ht="12.9" customHeight="1">
      <c r="A16" s="1042" t="s">
        <v>131</v>
      </c>
      <c r="B16" s="1490" t="s">
        <v>132</v>
      </c>
      <c r="C16" s="1490"/>
      <c r="D16" s="1490"/>
      <c r="E16" s="1042" t="s">
        <v>133</v>
      </c>
      <c r="F16" s="1490" t="s">
        <v>134</v>
      </c>
      <c r="G16" s="1490"/>
      <c r="H16" s="1490"/>
      <c r="I16" s="1490"/>
      <c r="J16" s="1490"/>
    </row>
    <row r="17" spans="1:10" ht="12.9" customHeight="1">
      <c r="A17" s="1041" t="s">
        <v>135</v>
      </c>
      <c r="B17" s="1491" t="s">
        <v>136</v>
      </c>
      <c r="C17" s="1491"/>
      <c r="D17" s="1491"/>
      <c r="E17" s="1041" t="s">
        <v>137</v>
      </c>
      <c r="F17" s="1491" t="s">
        <v>138</v>
      </c>
      <c r="G17" s="1491"/>
      <c r="H17" s="1491"/>
      <c r="I17" s="1491"/>
      <c r="J17" s="1491"/>
    </row>
    <row r="18" spans="1:10" ht="12.9" customHeight="1">
      <c r="A18" s="1042" t="s">
        <v>139</v>
      </c>
      <c r="B18" s="1490" t="s">
        <v>140</v>
      </c>
      <c r="C18" s="1490"/>
      <c r="D18" s="1490"/>
      <c r="E18" s="1042" t="s">
        <v>141</v>
      </c>
      <c r="F18" s="1490" t="s">
        <v>142</v>
      </c>
      <c r="G18" s="1490"/>
      <c r="H18" s="1490"/>
      <c r="I18" s="1490"/>
      <c r="J18" s="1490"/>
    </row>
    <row r="19" spans="1:10" ht="12.9" customHeight="1">
      <c r="A19" s="1042" t="s">
        <v>143</v>
      </c>
      <c r="B19" s="1490" t="s">
        <v>144</v>
      </c>
      <c r="C19" s="1490"/>
      <c r="D19" s="1490"/>
      <c r="E19" s="1041" t="s">
        <v>145</v>
      </c>
      <c r="F19" s="1491" t="s">
        <v>146</v>
      </c>
      <c r="G19" s="1491"/>
      <c r="H19" s="1491"/>
      <c r="I19" s="1491"/>
      <c r="J19" s="1491"/>
    </row>
    <row r="20" spans="1:10" ht="12.9" customHeight="1">
      <c r="A20" s="1042" t="s">
        <v>147</v>
      </c>
      <c r="B20" s="1490" t="s">
        <v>148</v>
      </c>
      <c r="C20" s="1490"/>
      <c r="D20" s="1490"/>
      <c r="E20" s="1042" t="s">
        <v>149</v>
      </c>
      <c r="F20" s="1490" t="s">
        <v>150</v>
      </c>
      <c r="G20" s="1490"/>
      <c r="H20" s="1490"/>
      <c r="I20" s="1490"/>
      <c r="J20" s="1490"/>
    </row>
    <row r="21" spans="1:10" ht="12.9" customHeight="1">
      <c r="A21" s="1042" t="s">
        <v>151</v>
      </c>
      <c r="B21" s="1490" t="s">
        <v>152</v>
      </c>
      <c r="C21" s="1490"/>
      <c r="D21" s="1490"/>
      <c r="E21" s="1041" t="s">
        <v>153</v>
      </c>
      <c r="F21" s="1491" t="s">
        <v>154</v>
      </c>
      <c r="G21" s="1491"/>
      <c r="H21" s="1491"/>
      <c r="I21" s="1491"/>
      <c r="J21" s="1491"/>
    </row>
    <row r="22" spans="1:10" ht="12.9" customHeight="1">
      <c r="A22" s="1042" t="s">
        <v>155</v>
      </c>
      <c r="B22" s="1490" t="s">
        <v>156</v>
      </c>
      <c r="C22" s="1490"/>
      <c r="D22" s="1490"/>
      <c r="E22" s="1042" t="s">
        <v>157</v>
      </c>
      <c r="F22" s="1490" t="s">
        <v>158</v>
      </c>
      <c r="G22" s="1490"/>
      <c r="H22" s="1490"/>
      <c r="I22" s="1490"/>
      <c r="J22" s="1490"/>
    </row>
    <row r="23" spans="1:10" ht="12.9" customHeight="1">
      <c r="A23" s="1042" t="s">
        <v>159</v>
      </c>
      <c r="B23" s="1490" t="s">
        <v>160</v>
      </c>
      <c r="C23" s="1490"/>
      <c r="D23" s="1490"/>
      <c r="E23" s="1041" t="s">
        <v>161</v>
      </c>
      <c r="F23" s="1491" t="s">
        <v>162</v>
      </c>
      <c r="G23" s="1491"/>
      <c r="H23" s="1491"/>
      <c r="I23" s="1491"/>
      <c r="J23" s="1491"/>
    </row>
    <row r="24" spans="1:10" ht="12.9" customHeight="1">
      <c r="A24" s="1042" t="s">
        <v>163</v>
      </c>
      <c r="B24" s="1490" t="s">
        <v>164</v>
      </c>
      <c r="C24" s="1490"/>
      <c r="D24" s="1490"/>
      <c r="E24" s="1042" t="s">
        <v>165</v>
      </c>
      <c r="F24" s="1490" t="s">
        <v>166</v>
      </c>
      <c r="G24" s="1490"/>
      <c r="H24" s="1490"/>
      <c r="I24" s="1490"/>
      <c r="J24" s="1490"/>
    </row>
    <row r="25" spans="1:10" ht="12.9" customHeight="1">
      <c r="A25" s="1042" t="s">
        <v>167</v>
      </c>
      <c r="B25" s="1490" t="s">
        <v>168</v>
      </c>
      <c r="C25" s="1490"/>
      <c r="D25" s="1490"/>
      <c r="E25" s="1041" t="s">
        <v>169</v>
      </c>
      <c r="F25" s="1491" t="s">
        <v>170</v>
      </c>
      <c r="G25" s="1491"/>
      <c r="H25" s="1491"/>
      <c r="I25" s="1491"/>
      <c r="J25" s="1491"/>
    </row>
    <row r="26" spans="1:10" ht="12.9" customHeight="1">
      <c r="A26" s="1042" t="s">
        <v>171</v>
      </c>
      <c r="B26" s="1490" t="s">
        <v>172</v>
      </c>
      <c r="C26" s="1490"/>
      <c r="D26" s="1490"/>
      <c r="E26" s="1042" t="s">
        <v>173</v>
      </c>
      <c r="F26" s="1490" t="s">
        <v>174</v>
      </c>
      <c r="G26" s="1490"/>
      <c r="H26" s="1490"/>
      <c r="I26" s="1490"/>
      <c r="J26" s="1490"/>
    </row>
    <row r="27" spans="1:10" ht="21.75" customHeight="1">
      <c r="A27" s="1042" t="s">
        <v>175</v>
      </c>
      <c r="B27" s="1490" t="s">
        <v>176</v>
      </c>
      <c r="C27" s="1490"/>
      <c r="D27" s="1490"/>
      <c r="E27" s="1041" t="s">
        <v>177</v>
      </c>
      <c r="F27" s="1491" t="s">
        <v>178</v>
      </c>
      <c r="G27" s="1491"/>
      <c r="H27" s="1491"/>
      <c r="I27" s="1491"/>
      <c r="J27" s="1491"/>
    </row>
    <row r="28" spans="1:10" ht="12.9" customHeight="1">
      <c r="A28" s="1041" t="s">
        <v>179</v>
      </c>
      <c r="B28" s="1491" t="s">
        <v>180</v>
      </c>
      <c r="C28" s="1491"/>
      <c r="D28" s="1491"/>
      <c r="E28" s="1042" t="s">
        <v>181</v>
      </c>
      <c r="F28" s="1490" t="s">
        <v>182</v>
      </c>
      <c r="G28" s="1490"/>
      <c r="H28" s="1490"/>
      <c r="I28" s="1490"/>
      <c r="J28" s="1490"/>
    </row>
    <row r="29" spans="1:10" ht="12.9" customHeight="1">
      <c r="A29" s="1042" t="s">
        <v>183</v>
      </c>
      <c r="B29" s="1490" t="s">
        <v>184</v>
      </c>
      <c r="C29" s="1490"/>
      <c r="D29" s="1490"/>
      <c r="E29" s="1042" t="s">
        <v>185</v>
      </c>
      <c r="F29" s="1490" t="s">
        <v>186</v>
      </c>
      <c r="G29" s="1490"/>
      <c r="H29" s="1490"/>
      <c r="I29" s="1490"/>
      <c r="J29" s="1490"/>
    </row>
    <row r="30" spans="1:10" ht="12.9" customHeight="1">
      <c r="A30" s="1042" t="s">
        <v>187</v>
      </c>
      <c r="B30" s="1490" t="s">
        <v>188</v>
      </c>
      <c r="C30" s="1490"/>
      <c r="D30" s="1490"/>
      <c r="E30" s="1042" t="s">
        <v>189</v>
      </c>
      <c r="F30" s="1490" t="s">
        <v>190</v>
      </c>
      <c r="G30" s="1490"/>
      <c r="H30" s="1490"/>
      <c r="I30" s="1490"/>
      <c r="J30" s="1490"/>
    </row>
    <row r="31" spans="1:10" ht="18.75" customHeight="1">
      <c r="A31" s="1041" t="s">
        <v>191</v>
      </c>
      <c r="B31" s="1491" t="s">
        <v>192</v>
      </c>
      <c r="C31" s="1491"/>
      <c r="D31" s="1491"/>
      <c r="E31" s="1041" t="s">
        <v>193</v>
      </c>
      <c r="F31" s="1491" t="s">
        <v>194</v>
      </c>
      <c r="G31" s="1491"/>
      <c r="H31" s="1491"/>
      <c r="I31" s="1491"/>
      <c r="J31" s="1491"/>
    </row>
    <row r="32" spans="1:10" ht="12.9" customHeight="1">
      <c r="A32" s="1042" t="s">
        <v>195</v>
      </c>
      <c r="B32" s="1490" t="s">
        <v>196</v>
      </c>
      <c r="C32" s="1490"/>
      <c r="D32" s="1490"/>
      <c r="E32" s="1042" t="s">
        <v>197</v>
      </c>
      <c r="F32" s="1490" t="s">
        <v>198</v>
      </c>
      <c r="G32" s="1490"/>
      <c r="H32" s="1490"/>
      <c r="I32" s="1490"/>
      <c r="J32" s="1490"/>
    </row>
    <row r="33" spans="1:10" ht="12.9" customHeight="1">
      <c r="A33" s="1042" t="s">
        <v>199</v>
      </c>
      <c r="B33" s="1490" t="s">
        <v>200</v>
      </c>
      <c r="C33" s="1490"/>
      <c r="D33" s="1490"/>
      <c r="E33" s="1042" t="s">
        <v>201</v>
      </c>
      <c r="F33" s="1490" t="s">
        <v>202</v>
      </c>
      <c r="G33" s="1490"/>
      <c r="H33" s="1490"/>
      <c r="I33" s="1490"/>
      <c r="J33" s="1490"/>
    </row>
    <row r="34" spans="1:10" ht="12.9" customHeight="1">
      <c r="A34" s="1042" t="s">
        <v>203</v>
      </c>
      <c r="B34" s="1490" t="s">
        <v>204</v>
      </c>
      <c r="C34" s="1490"/>
      <c r="D34" s="1490"/>
      <c r="E34" s="1042" t="s">
        <v>205</v>
      </c>
      <c r="F34" s="1490" t="s">
        <v>206</v>
      </c>
      <c r="G34" s="1490"/>
      <c r="H34" s="1490"/>
      <c r="I34" s="1490"/>
      <c r="J34" s="1490"/>
    </row>
    <row r="35" spans="1:10" ht="12.9" customHeight="1">
      <c r="A35" s="1041" t="s">
        <v>207</v>
      </c>
      <c r="B35" s="1491" t="s">
        <v>208</v>
      </c>
      <c r="C35" s="1491"/>
      <c r="D35" s="1491"/>
      <c r="E35" s="1041" t="s">
        <v>209</v>
      </c>
      <c r="F35" s="1491" t="s">
        <v>210</v>
      </c>
      <c r="G35" s="1491"/>
      <c r="H35" s="1491"/>
      <c r="I35" s="1491"/>
      <c r="J35" s="1491"/>
    </row>
    <row r="36" spans="1:10" ht="12.9" customHeight="1">
      <c r="A36" s="1042" t="s">
        <v>211</v>
      </c>
      <c r="B36" s="1490" t="s">
        <v>212</v>
      </c>
      <c r="C36" s="1490"/>
      <c r="D36" s="1490"/>
      <c r="E36" s="1042" t="s">
        <v>213</v>
      </c>
      <c r="F36" s="1490" t="s">
        <v>214</v>
      </c>
      <c r="G36" s="1490"/>
      <c r="H36" s="1490"/>
      <c r="I36" s="1490"/>
      <c r="J36" s="1490"/>
    </row>
    <row r="37" spans="1:10" ht="12.9" customHeight="1">
      <c r="A37" s="1042" t="s">
        <v>215</v>
      </c>
      <c r="B37" s="1490" t="s">
        <v>216</v>
      </c>
      <c r="C37" s="1490"/>
      <c r="D37" s="1490"/>
      <c r="E37" s="1042" t="s">
        <v>217</v>
      </c>
      <c r="F37" s="1490" t="s">
        <v>218</v>
      </c>
      <c r="G37" s="1490"/>
      <c r="H37" s="1490"/>
      <c r="I37" s="1490"/>
      <c r="J37" s="1490"/>
    </row>
    <row r="38" spans="1:10" ht="12.9" customHeight="1">
      <c r="A38" s="1042" t="s">
        <v>219</v>
      </c>
      <c r="B38" s="1490" t="s">
        <v>220</v>
      </c>
      <c r="C38" s="1490"/>
      <c r="D38" s="1490"/>
      <c r="E38" s="1042" t="s">
        <v>221</v>
      </c>
      <c r="F38" s="1490" t="s">
        <v>222</v>
      </c>
      <c r="G38" s="1490"/>
      <c r="H38" s="1490"/>
      <c r="I38" s="1490"/>
      <c r="J38" s="1490"/>
    </row>
    <row r="39" spans="1:10" ht="12.9" customHeight="1">
      <c r="A39" s="1042" t="s">
        <v>223</v>
      </c>
      <c r="B39" s="1490" t="s">
        <v>224</v>
      </c>
      <c r="C39" s="1490"/>
      <c r="D39" s="1490"/>
      <c r="E39" s="1042" t="s">
        <v>225</v>
      </c>
      <c r="F39" s="1490" t="s">
        <v>226</v>
      </c>
      <c r="G39" s="1490"/>
      <c r="H39" s="1490"/>
      <c r="I39" s="1490"/>
      <c r="J39" s="1490"/>
    </row>
    <row r="40" spans="1:10" ht="22.5" customHeight="1">
      <c r="A40" s="1041" t="s">
        <v>227</v>
      </c>
      <c r="B40" s="1491" t="s">
        <v>228</v>
      </c>
      <c r="C40" s="1491"/>
      <c r="D40" s="1491"/>
      <c r="E40" s="1041" t="s">
        <v>229</v>
      </c>
      <c r="F40" s="1491" t="s">
        <v>230</v>
      </c>
      <c r="G40" s="1491"/>
      <c r="H40" s="1491"/>
      <c r="I40" s="1491"/>
      <c r="J40" s="1491"/>
    </row>
    <row r="41" spans="1:10" ht="12.9" customHeight="1">
      <c r="A41" s="1042" t="s">
        <v>231</v>
      </c>
      <c r="B41" s="1490" t="s">
        <v>232</v>
      </c>
      <c r="C41" s="1490"/>
      <c r="D41" s="1490"/>
      <c r="E41" s="1042" t="s">
        <v>233</v>
      </c>
      <c r="F41" s="1490" t="s">
        <v>234</v>
      </c>
      <c r="G41" s="1490"/>
      <c r="H41" s="1490"/>
      <c r="I41" s="1490"/>
      <c r="J41" s="1490"/>
    </row>
    <row r="42" spans="1:10" ht="12.9" customHeight="1">
      <c r="A42" s="1041" t="s">
        <v>235</v>
      </c>
      <c r="B42" s="1491" t="s">
        <v>236</v>
      </c>
      <c r="C42" s="1491"/>
      <c r="D42" s="1491"/>
      <c r="E42" s="1042" t="s">
        <v>237</v>
      </c>
      <c r="F42" s="1490" t="s">
        <v>238</v>
      </c>
      <c r="G42" s="1490"/>
      <c r="H42" s="1490"/>
      <c r="I42" s="1490"/>
      <c r="J42" s="1490"/>
    </row>
    <row r="43" spans="1:10" ht="12.9" customHeight="1">
      <c r="A43" s="1042" t="s">
        <v>239</v>
      </c>
      <c r="B43" s="1490" t="s">
        <v>240</v>
      </c>
      <c r="C43" s="1490"/>
      <c r="D43" s="1490"/>
      <c r="E43" s="1041" t="s">
        <v>241</v>
      </c>
      <c r="F43" s="1491" t="s">
        <v>242</v>
      </c>
      <c r="G43" s="1491"/>
      <c r="H43" s="1491"/>
      <c r="I43" s="1491"/>
      <c r="J43" s="1491"/>
    </row>
    <row r="44" spans="1:10" ht="12.9" customHeight="1">
      <c r="A44" s="1042" t="s">
        <v>243</v>
      </c>
      <c r="B44" s="1490" t="s">
        <v>244</v>
      </c>
      <c r="C44" s="1490"/>
      <c r="D44" s="1490"/>
      <c r="E44" s="1042" t="s">
        <v>245</v>
      </c>
      <c r="F44" s="1490" t="s">
        <v>246</v>
      </c>
      <c r="G44" s="1490"/>
      <c r="H44" s="1490"/>
      <c r="I44" s="1490"/>
      <c r="J44" s="1490"/>
    </row>
    <row r="45" spans="1:10" ht="12.9" customHeight="1">
      <c r="A45" s="1041" t="s">
        <v>247</v>
      </c>
      <c r="B45" s="1491" t="s">
        <v>248</v>
      </c>
      <c r="C45" s="1491"/>
      <c r="D45" s="1491"/>
      <c r="E45" s="1041" t="s">
        <v>249</v>
      </c>
      <c r="F45" s="1491" t="s">
        <v>250</v>
      </c>
      <c r="G45" s="1491"/>
      <c r="H45" s="1491"/>
      <c r="I45" s="1491"/>
      <c r="J45" s="1491"/>
    </row>
    <row r="46" spans="1:10" ht="12.9" customHeight="1">
      <c r="A46" s="1042" t="s">
        <v>251</v>
      </c>
      <c r="B46" s="1490" t="s">
        <v>252</v>
      </c>
      <c r="C46" s="1490"/>
      <c r="D46" s="1490"/>
      <c r="E46" s="1042" t="s">
        <v>253</v>
      </c>
      <c r="F46" s="1490" t="s">
        <v>254</v>
      </c>
      <c r="G46" s="1490"/>
      <c r="H46" s="1490"/>
      <c r="I46" s="1490"/>
      <c r="J46" s="1490"/>
    </row>
    <row r="47" spans="1:10" ht="12.9" customHeight="1">
      <c r="A47" s="1042" t="s">
        <v>255</v>
      </c>
      <c r="B47" s="1490" t="s">
        <v>256</v>
      </c>
      <c r="C47" s="1490"/>
      <c r="D47" s="1490"/>
      <c r="E47" s="1041" t="s">
        <v>257</v>
      </c>
      <c r="F47" s="1491" t="s">
        <v>258</v>
      </c>
      <c r="G47" s="1491"/>
      <c r="H47" s="1491"/>
      <c r="I47" s="1491"/>
      <c r="J47" s="1491"/>
    </row>
    <row r="48" spans="1:10" ht="21.75" customHeight="1">
      <c r="A48" s="1041" t="s">
        <v>259</v>
      </c>
      <c r="B48" s="1491" t="s">
        <v>260</v>
      </c>
      <c r="C48" s="1491"/>
      <c r="D48" s="1491"/>
      <c r="E48" s="1042" t="s">
        <v>261</v>
      </c>
      <c r="F48" s="1490" t="s">
        <v>262</v>
      </c>
      <c r="G48" s="1490"/>
      <c r="H48" s="1490"/>
      <c r="I48" s="1490"/>
      <c r="J48" s="1490"/>
    </row>
    <row r="49" spans="1:10" ht="21.75" customHeight="1">
      <c r="A49" s="1042" t="s">
        <v>263</v>
      </c>
      <c r="B49" s="1490" t="s">
        <v>264</v>
      </c>
      <c r="C49" s="1490"/>
      <c r="D49" s="1490"/>
      <c r="E49" s="1042" t="s">
        <v>265</v>
      </c>
      <c r="F49" s="1490" t="s">
        <v>266</v>
      </c>
      <c r="G49" s="1490"/>
      <c r="H49" s="1490"/>
      <c r="I49" s="1490"/>
      <c r="J49" s="1490"/>
    </row>
    <row r="50" spans="1:10" ht="21.75" customHeight="1">
      <c r="A50" s="1042" t="s">
        <v>267</v>
      </c>
      <c r="B50" s="1490" t="s">
        <v>268</v>
      </c>
      <c r="C50" s="1490"/>
      <c r="D50" s="1490"/>
      <c r="E50" s="1042" t="s">
        <v>269</v>
      </c>
      <c r="F50" s="1490" t="s">
        <v>270</v>
      </c>
      <c r="G50" s="1490"/>
      <c r="H50" s="1490"/>
      <c r="I50" s="1490"/>
      <c r="J50" s="1490"/>
    </row>
    <row r="51" spans="1:10" ht="21.75" customHeight="1">
      <c r="A51" s="1041" t="s">
        <v>271</v>
      </c>
      <c r="B51" s="1491" t="s">
        <v>268</v>
      </c>
      <c r="C51" s="1491"/>
      <c r="D51" s="1491"/>
      <c r="E51" s="1042" t="s">
        <v>272</v>
      </c>
      <c r="F51" s="1490" t="s">
        <v>273</v>
      </c>
      <c r="G51" s="1490"/>
      <c r="H51" s="1490"/>
      <c r="I51" s="1490"/>
      <c r="J51" s="1490"/>
    </row>
    <row r="52" spans="1:10" ht="21.75" customHeight="1">
      <c r="A52" s="1042" t="s">
        <v>274</v>
      </c>
      <c r="B52" s="1490" t="s">
        <v>275</v>
      </c>
      <c r="C52" s="1490"/>
      <c r="D52" s="1490"/>
      <c r="E52" s="1042" t="s">
        <v>276</v>
      </c>
      <c r="F52" s="1490" t="s">
        <v>277</v>
      </c>
      <c r="G52" s="1490"/>
      <c r="H52" s="1490"/>
      <c r="I52" s="1490"/>
      <c r="J52" s="1490"/>
    </row>
    <row r="53" spans="1:10" ht="21.75" customHeight="1">
      <c r="A53" s="1042" t="s">
        <v>278</v>
      </c>
      <c r="B53" s="1490" t="s">
        <v>279</v>
      </c>
      <c r="C53" s="1490"/>
      <c r="D53" s="1490"/>
      <c r="E53" s="1042" t="s">
        <v>280</v>
      </c>
      <c r="F53" s="1490" t="s">
        <v>281</v>
      </c>
      <c r="G53" s="1490"/>
      <c r="H53" s="1490"/>
      <c r="I53" s="1490"/>
      <c r="J53" s="1490"/>
    </row>
    <row r="54" spans="1:10" ht="21.75" customHeight="1">
      <c r="A54" s="1042" t="s">
        <v>282</v>
      </c>
      <c r="B54" s="1490" t="s">
        <v>283</v>
      </c>
      <c r="C54" s="1490"/>
      <c r="D54" s="1490"/>
      <c r="E54" s="1042" t="s">
        <v>284</v>
      </c>
      <c r="F54" s="1490" t="s">
        <v>285</v>
      </c>
      <c r="G54" s="1490"/>
      <c r="H54" s="1490"/>
      <c r="I54" s="1490"/>
      <c r="J54" s="1490"/>
    </row>
    <row r="55" spans="1:10" ht="12.9" customHeight="1">
      <c r="A55" s="1041" t="s">
        <v>286</v>
      </c>
      <c r="B55" s="1491" t="s">
        <v>287</v>
      </c>
      <c r="C55" s="1491"/>
      <c r="D55" s="1491"/>
      <c r="E55" s="1042" t="s">
        <v>288</v>
      </c>
      <c r="F55" s="1490" t="s">
        <v>289</v>
      </c>
      <c r="G55" s="1490"/>
      <c r="H55" s="1490"/>
      <c r="I55" s="1490"/>
      <c r="J55" s="1490"/>
    </row>
    <row r="56" spans="1:10" ht="12.9" customHeight="1">
      <c r="A56" s="1042" t="s">
        <v>290</v>
      </c>
      <c r="B56" s="1490" t="s">
        <v>291</v>
      </c>
      <c r="C56" s="1490"/>
      <c r="D56" s="1490"/>
      <c r="E56" s="1042" t="s">
        <v>292</v>
      </c>
      <c r="F56" s="1490" t="s">
        <v>293</v>
      </c>
      <c r="G56" s="1490"/>
      <c r="H56" s="1490"/>
      <c r="I56" s="1490"/>
      <c r="J56" s="1490"/>
    </row>
    <row r="57" spans="1:10" ht="12.9" customHeight="1">
      <c r="A57" s="1041" t="s">
        <v>294</v>
      </c>
      <c r="B57" s="1491" t="s">
        <v>295</v>
      </c>
      <c r="C57" s="1491"/>
      <c r="D57" s="1491"/>
      <c r="E57" s="1041" t="s">
        <v>296</v>
      </c>
      <c r="F57" s="1491" t="s">
        <v>297</v>
      </c>
      <c r="G57" s="1491"/>
      <c r="H57" s="1491"/>
      <c r="I57" s="1491"/>
      <c r="J57" s="1491"/>
    </row>
    <row r="58" spans="1:10" ht="12.9" customHeight="1">
      <c r="A58" s="1042" t="s">
        <v>298</v>
      </c>
      <c r="B58" s="1490" t="s">
        <v>299</v>
      </c>
      <c r="C58" s="1490"/>
      <c r="D58" s="1490"/>
      <c r="E58" s="1042" t="s">
        <v>300</v>
      </c>
      <c r="F58" s="1490" t="s">
        <v>301</v>
      </c>
      <c r="G58" s="1490"/>
      <c r="H58" s="1490"/>
      <c r="I58" s="1490"/>
      <c r="J58" s="1490"/>
    </row>
    <row r="59" spans="1:10" ht="12.9" customHeight="1">
      <c r="A59" s="1042" t="s">
        <v>302</v>
      </c>
      <c r="B59" s="1490" t="s">
        <v>303</v>
      </c>
      <c r="C59" s="1490"/>
      <c r="D59" s="1490"/>
      <c r="E59" s="1042" t="s">
        <v>304</v>
      </c>
      <c r="F59" s="1490" t="s">
        <v>305</v>
      </c>
      <c r="G59" s="1490"/>
      <c r="H59" s="1490"/>
      <c r="I59" s="1490"/>
      <c r="J59" s="1490"/>
    </row>
    <row r="60" spans="1:10" ht="21.75" customHeight="1">
      <c r="A60" s="1041" t="s">
        <v>306</v>
      </c>
      <c r="B60" s="1491" t="s">
        <v>307</v>
      </c>
      <c r="C60" s="1491"/>
      <c r="D60" s="1491"/>
      <c r="E60" s="1042" t="s">
        <v>308</v>
      </c>
      <c r="F60" s="1490" t="s">
        <v>309</v>
      </c>
      <c r="G60" s="1490"/>
      <c r="H60" s="1490"/>
      <c r="I60" s="1490"/>
      <c r="J60" s="1490"/>
    </row>
    <row r="61" spans="1:10" ht="21.75" customHeight="1">
      <c r="A61" s="1042" t="s">
        <v>310</v>
      </c>
      <c r="B61" s="1490" t="s">
        <v>311</v>
      </c>
      <c r="C61" s="1490"/>
      <c r="D61" s="1490"/>
      <c r="E61" s="1042" t="s">
        <v>312</v>
      </c>
      <c r="F61" s="1490" t="s">
        <v>313</v>
      </c>
      <c r="G61" s="1490"/>
      <c r="H61" s="1490"/>
      <c r="I61" s="1490"/>
      <c r="J61" s="1490"/>
    </row>
    <row r="62" spans="1:10" ht="12.9" customHeight="1">
      <c r="A62" s="1041" t="s">
        <v>314</v>
      </c>
      <c r="B62" s="1491" t="s">
        <v>315</v>
      </c>
      <c r="C62" s="1491"/>
      <c r="D62" s="1491"/>
      <c r="E62" s="1042" t="s">
        <v>316</v>
      </c>
      <c r="F62" s="1490" t="s">
        <v>317</v>
      </c>
      <c r="G62" s="1490"/>
      <c r="H62" s="1490"/>
      <c r="I62" s="1490"/>
      <c r="J62" s="1490"/>
    </row>
    <row r="63" spans="1:10" ht="12.9" customHeight="1">
      <c r="A63" s="1042" t="s">
        <v>318</v>
      </c>
      <c r="B63" s="1490" t="s">
        <v>319</v>
      </c>
      <c r="C63" s="1490"/>
      <c r="D63" s="1490"/>
      <c r="E63" s="1042" t="s">
        <v>320</v>
      </c>
      <c r="F63" s="1490" t="s">
        <v>321</v>
      </c>
      <c r="G63" s="1490"/>
      <c r="H63" s="1490"/>
      <c r="I63" s="1490"/>
      <c r="J63" s="1490"/>
    </row>
    <row r="64" spans="1:10" ht="12.9" customHeight="1">
      <c r="A64" s="1042" t="s">
        <v>322</v>
      </c>
      <c r="B64" s="1490" t="s">
        <v>323</v>
      </c>
      <c r="C64" s="1490"/>
      <c r="D64" s="1490"/>
      <c r="E64" s="1041" t="s">
        <v>324</v>
      </c>
      <c r="F64" s="1491" t="s">
        <v>325</v>
      </c>
      <c r="G64" s="1491"/>
      <c r="H64" s="1491"/>
      <c r="I64" s="1491"/>
      <c r="J64" s="1491"/>
    </row>
    <row r="65" spans="1:10" ht="12.9" customHeight="1">
      <c r="A65" s="1042" t="s">
        <v>326</v>
      </c>
      <c r="B65" s="1490" t="s">
        <v>327</v>
      </c>
      <c r="C65" s="1490"/>
      <c r="D65" s="1490"/>
      <c r="E65" s="1042" t="s">
        <v>328</v>
      </c>
      <c r="F65" s="1490" t="s">
        <v>329</v>
      </c>
      <c r="G65" s="1490"/>
      <c r="H65" s="1490"/>
      <c r="I65" s="1490"/>
      <c r="J65" s="1490"/>
    </row>
    <row r="66" spans="1:10" ht="12.9" customHeight="1">
      <c r="A66" s="1042" t="s">
        <v>330</v>
      </c>
      <c r="B66" s="1490" t="s">
        <v>331</v>
      </c>
      <c r="C66" s="1490"/>
      <c r="D66" s="1490"/>
      <c r="E66" s="1041" t="s">
        <v>332</v>
      </c>
      <c r="F66" s="1491" t="s">
        <v>333</v>
      </c>
      <c r="G66" s="1491"/>
      <c r="H66" s="1491"/>
      <c r="I66" s="1491"/>
      <c r="J66" s="1491"/>
    </row>
    <row r="67" spans="1:10" ht="12.9" customHeight="1">
      <c r="A67" s="1042" t="s">
        <v>334</v>
      </c>
      <c r="B67" s="1490" t="s">
        <v>335</v>
      </c>
      <c r="C67" s="1490"/>
      <c r="D67" s="1490"/>
      <c r="E67" s="1042" t="s">
        <v>336</v>
      </c>
      <c r="F67" s="1490" t="s">
        <v>337</v>
      </c>
      <c r="G67" s="1490"/>
      <c r="H67" s="1490"/>
      <c r="I67" s="1490"/>
      <c r="J67" s="1490"/>
    </row>
    <row r="68" spans="1:10" ht="12.9" customHeight="1">
      <c r="A68" s="1041" t="s">
        <v>338</v>
      </c>
      <c r="B68" s="1491" t="s">
        <v>339</v>
      </c>
      <c r="C68" s="1491"/>
      <c r="D68" s="1491"/>
      <c r="E68" s="1042" t="s">
        <v>340</v>
      </c>
      <c r="F68" s="1490" t="s">
        <v>341</v>
      </c>
      <c r="G68" s="1490"/>
      <c r="H68" s="1490"/>
      <c r="I68" s="1490"/>
      <c r="J68" s="1490"/>
    </row>
    <row r="69" spans="1:10" ht="12.9" customHeight="1">
      <c r="A69" s="1042" t="s">
        <v>342</v>
      </c>
      <c r="B69" s="1490" t="s">
        <v>343</v>
      </c>
      <c r="C69" s="1490"/>
      <c r="D69" s="1490"/>
      <c r="E69" s="1041" t="s">
        <v>344</v>
      </c>
      <c r="F69" s="1491" t="s">
        <v>345</v>
      </c>
      <c r="G69" s="1491"/>
      <c r="H69" s="1491"/>
      <c r="I69" s="1491"/>
      <c r="J69" s="1491"/>
    </row>
    <row r="70" spans="1:10" ht="12.9" customHeight="1">
      <c r="A70" s="1041" t="s">
        <v>346</v>
      </c>
      <c r="B70" s="1491" t="s">
        <v>347</v>
      </c>
      <c r="C70" s="1491"/>
      <c r="D70" s="1491"/>
      <c r="E70" s="1042" t="s">
        <v>348</v>
      </c>
      <c r="F70" s="1490" t="s">
        <v>349</v>
      </c>
      <c r="G70" s="1490"/>
      <c r="H70" s="1490"/>
      <c r="I70" s="1490"/>
      <c r="J70" s="1490"/>
    </row>
    <row r="71" spans="1:10" ht="12.9" customHeight="1">
      <c r="A71" s="1042" t="s">
        <v>350</v>
      </c>
      <c r="B71" s="1490" t="s">
        <v>351</v>
      </c>
      <c r="C71" s="1490"/>
      <c r="D71" s="1490"/>
      <c r="E71" s="1042" t="s">
        <v>352</v>
      </c>
      <c r="F71" s="1490" t="s">
        <v>353</v>
      </c>
      <c r="G71" s="1490"/>
      <c r="H71" s="1490"/>
      <c r="I71" s="1490"/>
      <c r="J71" s="1490"/>
    </row>
    <row r="72" spans="1:10" ht="21.75" customHeight="1">
      <c r="A72" s="1041" t="s">
        <v>354</v>
      </c>
      <c r="B72" s="1491" t="s">
        <v>355</v>
      </c>
      <c r="C72" s="1491"/>
      <c r="D72" s="1491"/>
      <c r="E72" s="1041" t="s">
        <v>356</v>
      </c>
      <c r="F72" s="1491" t="s">
        <v>357</v>
      </c>
      <c r="G72" s="1491"/>
      <c r="H72" s="1491"/>
      <c r="I72" s="1491"/>
      <c r="J72" s="1491"/>
    </row>
    <row r="73" spans="1:10" ht="12.9" customHeight="1">
      <c r="A73" s="1042" t="s">
        <v>358</v>
      </c>
      <c r="B73" s="1490" t="s">
        <v>359</v>
      </c>
      <c r="C73" s="1490"/>
      <c r="D73" s="1490"/>
      <c r="E73" s="1042" t="s">
        <v>360</v>
      </c>
      <c r="F73" s="1490" t="s">
        <v>361</v>
      </c>
      <c r="G73" s="1490"/>
      <c r="H73" s="1490"/>
      <c r="I73" s="1490"/>
      <c r="J73" s="1490"/>
    </row>
    <row r="74" spans="1:10" ht="12.9" customHeight="1">
      <c r="A74" s="1042" t="s">
        <v>362</v>
      </c>
      <c r="B74" s="1490" t="s">
        <v>363</v>
      </c>
      <c r="C74" s="1490"/>
      <c r="D74" s="1490"/>
      <c r="E74" s="1041" t="s">
        <v>364</v>
      </c>
      <c r="F74" s="1491" t="s">
        <v>365</v>
      </c>
      <c r="G74" s="1491"/>
      <c r="H74" s="1491"/>
      <c r="I74" s="1491"/>
      <c r="J74" s="1491"/>
    </row>
    <row r="75" spans="1:10" ht="21.75" customHeight="1">
      <c r="A75" s="1041" t="s">
        <v>366</v>
      </c>
      <c r="B75" s="1491" t="s">
        <v>367</v>
      </c>
      <c r="C75" s="1491"/>
      <c r="D75" s="1491"/>
      <c r="E75" s="1042" t="s">
        <v>368</v>
      </c>
      <c r="F75" s="1490" t="s">
        <v>369</v>
      </c>
      <c r="G75" s="1490"/>
      <c r="H75" s="1490"/>
      <c r="I75" s="1490"/>
      <c r="J75" s="1490"/>
    </row>
    <row r="76" spans="1:10" ht="12.9" customHeight="1">
      <c r="A76" s="1042" t="s">
        <v>370</v>
      </c>
      <c r="B76" s="1490" t="s">
        <v>371</v>
      </c>
      <c r="C76" s="1490"/>
      <c r="D76" s="1490"/>
      <c r="E76" s="1042" t="s">
        <v>372</v>
      </c>
      <c r="F76" s="1490" t="s">
        <v>373</v>
      </c>
      <c r="G76" s="1490"/>
      <c r="H76" s="1490"/>
      <c r="I76" s="1490"/>
      <c r="J76" s="1490"/>
    </row>
    <row r="77" spans="1:10" ht="12.9" customHeight="1">
      <c r="A77" s="1042" t="s">
        <v>374</v>
      </c>
      <c r="B77" s="1490" t="s">
        <v>375</v>
      </c>
      <c r="C77" s="1490"/>
      <c r="D77" s="1490"/>
      <c r="E77" s="1041" t="s">
        <v>376</v>
      </c>
      <c r="F77" s="1491" t="s">
        <v>373</v>
      </c>
      <c r="G77" s="1491"/>
      <c r="H77" s="1491"/>
      <c r="I77" s="1491"/>
      <c r="J77" s="1491"/>
    </row>
    <row r="78" spans="1:10" ht="12.9" customHeight="1">
      <c r="A78" s="1042" t="s">
        <v>377</v>
      </c>
      <c r="B78" s="1490" t="s">
        <v>378</v>
      </c>
      <c r="C78" s="1490"/>
      <c r="D78" s="1490"/>
      <c r="E78" s="1042" t="s">
        <v>379</v>
      </c>
      <c r="F78" s="1490" t="s">
        <v>380</v>
      </c>
      <c r="G78" s="1490"/>
      <c r="H78" s="1490"/>
      <c r="I78" s="1490"/>
      <c r="J78" s="1490"/>
    </row>
    <row r="79" spans="1:10" ht="12.9" customHeight="1">
      <c r="A79" s="1041" t="s">
        <v>381</v>
      </c>
      <c r="B79" s="1491" t="s">
        <v>382</v>
      </c>
      <c r="C79" s="1491"/>
      <c r="D79" s="1491"/>
      <c r="E79" s="1042" t="s">
        <v>383</v>
      </c>
      <c r="F79" s="1490" t="s">
        <v>384</v>
      </c>
      <c r="G79" s="1490"/>
      <c r="H79" s="1490"/>
      <c r="I79" s="1490"/>
      <c r="J79" s="1490"/>
    </row>
    <row r="80" spans="1:10" ht="12.9" customHeight="1">
      <c r="A80" s="1042" t="s">
        <v>385</v>
      </c>
      <c r="B80" s="1490" t="s">
        <v>386</v>
      </c>
      <c r="C80" s="1490"/>
      <c r="D80" s="1490"/>
      <c r="E80" s="1041" t="s">
        <v>387</v>
      </c>
      <c r="F80" s="1491" t="s">
        <v>388</v>
      </c>
      <c r="G80" s="1491"/>
      <c r="H80" s="1491"/>
      <c r="I80" s="1491"/>
      <c r="J80" s="1491"/>
    </row>
    <row r="81" spans="1:10" ht="12.9" customHeight="1">
      <c r="A81" s="1041" t="s">
        <v>389</v>
      </c>
      <c r="B81" s="1491" t="s">
        <v>390</v>
      </c>
      <c r="C81" s="1491"/>
      <c r="D81" s="1491"/>
      <c r="E81" s="1042" t="s">
        <v>391</v>
      </c>
      <c r="F81" s="1490" t="s">
        <v>392</v>
      </c>
      <c r="G81" s="1490"/>
      <c r="H81" s="1490"/>
      <c r="I81" s="1490"/>
      <c r="J81" s="1490"/>
    </row>
    <row r="82" spans="1:10" ht="12.9" customHeight="1">
      <c r="A82" s="1042" t="s">
        <v>393</v>
      </c>
      <c r="B82" s="1490" t="s">
        <v>394</v>
      </c>
      <c r="C82" s="1490"/>
      <c r="D82" s="1490"/>
      <c r="E82" s="1041" t="s">
        <v>395</v>
      </c>
      <c r="F82" s="1491" t="s">
        <v>396</v>
      </c>
      <c r="G82" s="1491"/>
      <c r="H82" s="1491"/>
      <c r="I82" s="1491"/>
      <c r="J82" s="1491"/>
    </row>
    <row r="83" spans="1:10" ht="12.9" customHeight="1">
      <c r="A83" s="1041" t="s">
        <v>397</v>
      </c>
      <c r="B83" s="1491" t="s">
        <v>398</v>
      </c>
      <c r="C83" s="1491"/>
      <c r="D83" s="1491"/>
      <c r="E83" s="1042" t="s">
        <v>399</v>
      </c>
      <c r="F83" s="1490" t="s">
        <v>400</v>
      </c>
      <c r="G83" s="1490"/>
      <c r="H83" s="1490"/>
      <c r="I83" s="1490"/>
      <c r="J83" s="1490"/>
    </row>
    <row r="84" spans="1:10" ht="12.9" customHeight="1">
      <c r="A84" s="1042" t="s">
        <v>401</v>
      </c>
      <c r="B84" s="1490" t="s">
        <v>402</v>
      </c>
      <c r="C84" s="1490"/>
      <c r="D84" s="1490"/>
      <c r="E84" s="1042" t="s">
        <v>403</v>
      </c>
      <c r="F84" s="1490" t="s">
        <v>404</v>
      </c>
      <c r="G84" s="1490"/>
      <c r="H84" s="1490"/>
      <c r="I84" s="1490"/>
      <c r="J84" s="1490"/>
    </row>
    <row r="85" spans="1:10" ht="12.9" customHeight="1">
      <c r="A85" s="1042" t="s">
        <v>405</v>
      </c>
      <c r="B85" s="1490" t="s">
        <v>406</v>
      </c>
      <c r="C85" s="1490"/>
      <c r="D85" s="1490"/>
      <c r="E85" s="1042" t="s">
        <v>407</v>
      </c>
      <c r="F85" s="1490" t="s">
        <v>408</v>
      </c>
      <c r="G85" s="1490"/>
      <c r="H85" s="1490"/>
      <c r="I85" s="1490"/>
      <c r="J85" s="1490"/>
    </row>
    <row r="86" spans="1:10" ht="12.9" customHeight="1">
      <c r="A86" s="1041" t="s">
        <v>409</v>
      </c>
      <c r="B86" s="1491" t="s">
        <v>410</v>
      </c>
      <c r="C86" s="1491"/>
      <c r="D86" s="1491"/>
      <c r="E86" s="1041" t="s">
        <v>411</v>
      </c>
      <c r="F86" s="1491" t="s">
        <v>412</v>
      </c>
      <c r="G86" s="1491"/>
      <c r="H86" s="1491"/>
      <c r="I86" s="1491"/>
      <c r="J86" s="1491"/>
    </row>
    <row r="87" spans="1:10" ht="12.9" customHeight="1">
      <c r="A87" s="1042" t="s">
        <v>413</v>
      </c>
      <c r="B87" s="1490" t="s">
        <v>414</v>
      </c>
      <c r="C87" s="1490"/>
      <c r="D87" s="1490"/>
      <c r="E87" s="1042" t="s">
        <v>415</v>
      </c>
      <c r="F87" s="1490" t="s">
        <v>416</v>
      </c>
      <c r="G87" s="1490"/>
      <c r="H87" s="1490"/>
      <c r="I87" s="1490"/>
      <c r="J87" s="1490"/>
    </row>
    <row r="88" spans="1:10" ht="12.9" customHeight="1">
      <c r="A88" s="1042" t="s">
        <v>417</v>
      </c>
      <c r="B88" s="1490" t="s">
        <v>418</v>
      </c>
      <c r="C88" s="1490"/>
      <c r="D88" s="1490"/>
      <c r="E88" s="1042" t="s">
        <v>419</v>
      </c>
      <c r="F88" s="1490" t="s">
        <v>420</v>
      </c>
      <c r="G88" s="1490"/>
      <c r="H88" s="1490"/>
      <c r="I88" s="1490"/>
      <c r="J88" s="1490"/>
    </row>
    <row r="89" spans="1:10" ht="20.25" customHeight="1">
      <c r="A89" s="1042" t="s">
        <v>421</v>
      </c>
      <c r="B89" s="1490" t="s">
        <v>422</v>
      </c>
      <c r="C89" s="1490"/>
      <c r="D89" s="1490"/>
      <c r="E89" s="1041" t="s">
        <v>423</v>
      </c>
      <c r="F89" s="1491" t="s">
        <v>424</v>
      </c>
      <c r="G89" s="1491"/>
      <c r="H89" s="1491"/>
      <c r="I89" s="1491"/>
      <c r="J89" s="1491"/>
    </row>
    <row r="90" spans="1:10" ht="12.9" customHeight="1">
      <c r="A90" s="1041" t="s">
        <v>425</v>
      </c>
      <c r="B90" s="1491" t="s">
        <v>426</v>
      </c>
      <c r="C90" s="1491"/>
      <c r="D90" s="1491"/>
      <c r="E90" s="1042" t="s">
        <v>427</v>
      </c>
      <c r="F90" s="1490" t="s">
        <v>428</v>
      </c>
      <c r="G90" s="1490"/>
      <c r="H90" s="1490"/>
      <c r="I90" s="1490"/>
      <c r="J90" s="1490"/>
    </row>
    <row r="91" spans="1:10" ht="12.9" customHeight="1">
      <c r="A91" s="1042" t="s">
        <v>429</v>
      </c>
      <c r="B91" s="1490" t="s">
        <v>430</v>
      </c>
      <c r="C91" s="1490"/>
      <c r="D91" s="1490"/>
      <c r="E91" s="1041" t="s">
        <v>431</v>
      </c>
      <c r="F91" s="1491" t="s">
        <v>432</v>
      </c>
      <c r="G91" s="1491"/>
      <c r="H91" s="1491"/>
      <c r="I91" s="1491"/>
      <c r="J91" s="1491"/>
    </row>
    <row r="92" spans="1:10" ht="12.9" customHeight="1">
      <c r="A92" s="1042" t="s">
        <v>433</v>
      </c>
      <c r="B92" s="1490" t="s">
        <v>434</v>
      </c>
      <c r="C92" s="1490"/>
      <c r="D92" s="1490"/>
      <c r="E92" s="1042" t="s">
        <v>435</v>
      </c>
      <c r="F92" s="1490" t="s">
        <v>436</v>
      </c>
      <c r="G92" s="1490"/>
      <c r="H92" s="1490"/>
      <c r="I92" s="1490"/>
      <c r="J92" s="1490"/>
    </row>
    <row r="93" spans="1:10" ht="12.9" customHeight="1">
      <c r="A93" s="1041" t="s">
        <v>437</v>
      </c>
      <c r="B93" s="1491" t="s">
        <v>438</v>
      </c>
      <c r="C93" s="1491"/>
      <c r="D93" s="1491"/>
      <c r="E93" s="1041" t="s">
        <v>439</v>
      </c>
      <c r="F93" s="1491" t="s">
        <v>440</v>
      </c>
      <c r="G93" s="1491"/>
      <c r="H93" s="1491"/>
      <c r="I93" s="1491"/>
      <c r="J93" s="1491"/>
    </row>
    <row r="94" spans="1:10" ht="12.9" customHeight="1">
      <c r="A94" s="1042" t="s">
        <v>441</v>
      </c>
      <c r="B94" s="1490" t="s">
        <v>442</v>
      </c>
      <c r="C94" s="1490"/>
      <c r="D94" s="1490"/>
      <c r="E94" s="1042" t="s">
        <v>443</v>
      </c>
      <c r="F94" s="1490" t="s">
        <v>444</v>
      </c>
      <c r="G94" s="1490"/>
      <c r="H94" s="1490"/>
      <c r="I94" s="1490"/>
      <c r="J94" s="1490"/>
    </row>
    <row r="95" spans="1:10" ht="12.9" customHeight="1">
      <c r="A95" s="1042" t="s">
        <v>445</v>
      </c>
      <c r="B95" s="1490" t="s">
        <v>446</v>
      </c>
      <c r="C95" s="1490"/>
      <c r="D95" s="1490"/>
      <c r="E95" s="1041" t="s">
        <v>447</v>
      </c>
      <c r="F95" s="1491" t="s">
        <v>448</v>
      </c>
      <c r="G95" s="1491"/>
      <c r="H95" s="1491"/>
      <c r="I95" s="1491"/>
      <c r="J95" s="1491"/>
    </row>
    <row r="96" spans="1:10" ht="12.9" customHeight="1">
      <c r="A96" s="1042" t="s">
        <v>449</v>
      </c>
      <c r="B96" s="1490" t="s">
        <v>450</v>
      </c>
      <c r="C96" s="1490"/>
      <c r="D96" s="1490"/>
      <c r="E96" s="1042" t="s">
        <v>451</v>
      </c>
      <c r="F96" s="1490" t="s">
        <v>452</v>
      </c>
      <c r="G96" s="1490"/>
      <c r="H96" s="1490"/>
      <c r="I96" s="1490"/>
      <c r="J96" s="1490"/>
    </row>
    <row r="97" spans="1:10" ht="12.9" customHeight="1">
      <c r="A97" s="1042" t="s">
        <v>453</v>
      </c>
      <c r="B97" s="1490" t="s">
        <v>454</v>
      </c>
      <c r="C97" s="1490"/>
      <c r="D97" s="1490"/>
      <c r="E97" s="1041" t="s">
        <v>455</v>
      </c>
      <c r="F97" s="1491" t="s">
        <v>456</v>
      </c>
      <c r="G97" s="1491"/>
      <c r="H97" s="1491"/>
      <c r="I97" s="1491"/>
      <c r="J97" s="1491"/>
    </row>
    <row r="98" spans="1:10" ht="12.9" customHeight="1">
      <c r="A98" s="1042" t="s">
        <v>457</v>
      </c>
      <c r="B98" s="1490" t="s">
        <v>458</v>
      </c>
      <c r="C98" s="1490"/>
      <c r="D98" s="1490"/>
      <c r="E98" s="1042" t="s">
        <v>459</v>
      </c>
      <c r="F98" s="1490" t="s">
        <v>460</v>
      </c>
      <c r="G98" s="1490"/>
      <c r="H98" s="1490"/>
      <c r="I98" s="1490"/>
      <c r="J98" s="1490"/>
    </row>
    <row r="99" spans="1:10" ht="12.9" customHeight="1">
      <c r="A99" s="1042" t="s">
        <v>461</v>
      </c>
      <c r="B99" s="1490" t="s">
        <v>462</v>
      </c>
      <c r="C99" s="1490"/>
      <c r="D99" s="1490"/>
      <c r="E99" s="1041" t="s">
        <v>463</v>
      </c>
      <c r="F99" s="1491" t="s">
        <v>464</v>
      </c>
      <c r="G99" s="1491"/>
      <c r="H99" s="1491"/>
      <c r="I99" s="1491"/>
      <c r="J99" s="1491"/>
    </row>
    <row r="100" spans="1:10" ht="12.9" customHeight="1">
      <c r="A100" s="1041" t="s">
        <v>465</v>
      </c>
      <c r="B100" s="1491" t="s">
        <v>466</v>
      </c>
      <c r="C100" s="1491"/>
      <c r="D100" s="1491"/>
      <c r="E100" s="1042" t="s">
        <v>467</v>
      </c>
      <c r="F100" s="1490" t="s">
        <v>468</v>
      </c>
      <c r="G100" s="1490"/>
      <c r="H100" s="1490"/>
      <c r="I100" s="1490"/>
      <c r="J100" s="1490"/>
    </row>
    <row r="101" spans="1:10" ht="12.9" customHeight="1">
      <c r="A101" s="1042" t="s">
        <v>469</v>
      </c>
      <c r="B101" s="1490" t="s">
        <v>470</v>
      </c>
      <c r="C101" s="1490"/>
      <c r="D101" s="1490"/>
      <c r="E101" s="1041" t="s">
        <v>471</v>
      </c>
      <c r="F101" s="1491" t="s">
        <v>472</v>
      </c>
      <c r="G101" s="1491"/>
      <c r="H101" s="1491"/>
      <c r="I101" s="1491"/>
      <c r="J101" s="1491"/>
    </row>
    <row r="102" spans="1:10" ht="12.9" customHeight="1">
      <c r="A102" s="1042" t="s">
        <v>473</v>
      </c>
      <c r="B102" s="1490" t="s">
        <v>474</v>
      </c>
      <c r="C102" s="1490"/>
      <c r="D102" s="1490"/>
      <c r="E102" s="1042" t="s">
        <v>475</v>
      </c>
      <c r="F102" s="1490" t="s">
        <v>476</v>
      </c>
      <c r="G102" s="1490"/>
      <c r="H102" s="1490"/>
      <c r="I102" s="1490"/>
      <c r="J102" s="1490"/>
    </row>
    <row r="103" spans="1:10" ht="12.9" customHeight="1">
      <c r="A103" s="1041" t="s">
        <v>477</v>
      </c>
      <c r="B103" s="1491" t="s">
        <v>478</v>
      </c>
      <c r="C103" s="1491"/>
      <c r="D103" s="1491"/>
      <c r="E103" s="1041" t="s">
        <v>479</v>
      </c>
      <c r="F103" s="1491" t="s">
        <v>480</v>
      </c>
      <c r="G103" s="1491"/>
      <c r="H103" s="1491"/>
      <c r="I103" s="1491"/>
      <c r="J103" s="1491"/>
    </row>
    <row r="104" spans="1:10" ht="12.9" customHeight="1">
      <c r="A104" s="1042" t="s">
        <v>481</v>
      </c>
      <c r="B104" s="1490" t="s">
        <v>482</v>
      </c>
      <c r="C104" s="1490"/>
      <c r="D104" s="1490"/>
      <c r="E104" s="1042" t="s">
        <v>483</v>
      </c>
      <c r="F104" s="1495" t="s">
        <v>484</v>
      </c>
      <c r="G104" s="1495"/>
      <c r="H104" s="1495"/>
      <c r="I104" s="1495"/>
      <c r="J104" s="1495"/>
    </row>
    <row r="105" spans="1:10" ht="12.9" customHeight="1">
      <c r="A105" s="1041" t="s">
        <v>485</v>
      </c>
      <c r="B105" s="1491" t="s">
        <v>486</v>
      </c>
      <c r="C105" s="1491"/>
      <c r="D105" s="1491"/>
      <c r="E105" s="1042" t="s">
        <v>487</v>
      </c>
      <c r="F105" s="1490" t="s">
        <v>488</v>
      </c>
      <c r="G105" s="1490"/>
      <c r="H105" s="1490"/>
      <c r="I105" s="1490"/>
      <c r="J105" s="1490"/>
    </row>
    <row r="106" spans="1:10" ht="12.9" customHeight="1">
      <c r="A106" s="1042" t="s">
        <v>489</v>
      </c>
      <c r="B106" s="1490" t="s">
        <v>490</v>
      </c>
      <c r="C106" s="1490"/>
      <c r="D106" s="1490"/>
      <c r="E106" s="1041" t="s">
        <v>491</v>
      </c>
      <c r="F106" s="1491" t="s">
        <v>492</v>
      </c>
      <c r="G106" s="1491"/>
      <c r="H106" s="1491"/>
      <c r="I106" s="1491"/>
      <c r="J106" s="1491"/>
    </row>
    <row r="107" spans="1:10" ht="12.9" customHeight="1">
      <c r="A107" s="1041" t="s">
        <v>493</v>
      </c>
      <c r="B107" s="1491" t="s">
        <v>494</v>
      </c>
      <c r="C107" s="1491"/>
      <c r="D107" s="1491"/>
      <c r="E107" s="1042" t="s">
        <v>495</v>
      </c>
      <c r="F107" s="1490" t="s">
        <v>496</v>
      </c>
      <c r="G107" s="1490"/>
      <c r="H107" s="1490"/>
      <c r="I107" s="1490"/>
      <c r="J107" s="1490"/>
    </row>
    <row r="108" spans="1:10" ht="12.9" customHeight="1">
      <c r="A108" s="1042" t="s">
        <v>497</v>
      </c>
      <c r="B108" s="1490" t="s">
        <v>498</v>
      </c>
      <c r="C108" s="1490"/>
      <c r="D108" s="1490"/>
      <c r="E108" s="1041" t="s">
        <v>499</v>
      </c>
      <c r="F108" s="1491" t="s">
        <v>500</v>
      </c>
      <c r="G108" s="1491"/>
      <c r="H108" s="1491"/>
      <c r="I108" s="1491"/>
      <c r="J108" s="1491"/>
    </row>
    <row r="109" spans="1:10" ht="12.9" customHeight="1">
      <c r="A109" s="1042" t="s">
        <v>501</v>
      </c>
      <c r="B109" s="1490" t="s">
        <v>502</v>
      </c>
      <c r="C109" s="1490"/>
      <c r="D109" s="1490"/>
      <c r="E109" s="1042" t="s">
        <v>503</v>
      </c>
      <c r="F109" s="1490" t="s">
        <v>504</v>
      </c>
      <c r="G109" s="1490"/>
      <c r="H109" s="1490"/>
      <c r="I109" s="1490"/>
      <c r="J109" s="1490"/>
    </row>
    <row r="110" spans="1:10" ht="12.9" customHeight="1">
      <c r="A110" s="1042" t="s">
        <v>505</v>
      </c>
      <c r="B110" s="1490" t="s">
        <v>506</v>
      </c>
      <c r="C110" s="1490"/>
      <c r="D110" s="1490"/>
      <c r="E110" s="1042" t="s">
        <v>507</v>
      </c>
      <c r="F110" s="1490" t="s">
        <v>508</v>
      </c>
      <c r="G110" s="1490"/>
      <c r="H110" s="1490"/>
      <c r="I110" s="1490"/>
      <c r="J110" s="1490"/>
    </row>
    <row r="111" spans="1:10" ht="12.9" customHeight="1">
      <c r="A111" s="1041" t="s">
        <v>509</v>
      </c>
      <c r="B111" s="1491" t="s">
        <v>510</v>
      </c>
      <c r="C111" s="1491"/>
      <c r="D111" s="1491"/>
      <c r="E111" s="1041" t="s">
        <v>511</v>
      </c>
      <c r="F111" s="1491" t="s">
        <v>512</v>
      </c>
      <c r="G111" s="1491"/>
      <c r="H111" s="1491"/>
      <c r="I111" s="1491"/>
      <c r="J111" s="1491"/>
    </row>
    <row r="112" spans="1:10" ht="21.75" customHeight="1">
      <c r="A112" s="1042" t="s">
        <v>513</v>
      </c>
      <c r="B112" s="1490" t="s">
        <v>514</v>
      </c>
      <c r="C112" s="1490"/>
      <c r="D112" s="1490"/>
      <c r="E112" s="1042" t="s">
        <v>515</v>
      </c>
      <c r="F112" s="1490" t="s">
        <v>516</v>
      </c>
      <c r="G112" s="1490"/>
      <c r="H112" s="1490"/>
      <c r="I112" s="1490"/>
      <c r="J112" s="1490"/>
    </row>
    <row r="113" spans="1:10" ht="12.9" customHeight="1">
      <c r="A113" s="1042" t="s">
        <v>517</v>
      </c>
      <c r="B113" s="1490" t="s">
        <v>518</v>
      </c>
      <c r="C113" s="1490"/>
      <c r="D113" s="1490"/>
      <c r="E113" s="1042" t="s">
        <v>519</v>
      </c>
      <c r="F113" s="1490" t="s">
        <v>520</v>
      </c>
      <c r="G113" s="1490"/>
      <c r="H113" s="1490"/>
      <c r="I113" s="1490"/>
      <c r="J113" s="1490"/>
    </row>
    <row r="114" spans="1:10" ht="12.9" customHeight="1">
      <c r="A114" s="1041" t="s">
        <v>521</v>
      </c>
      <c r="B114" s="1491" t="s">
        <v>522</v>
      </c>
      <c r="C114" s="1491"/>
      <c r="D114" s="1491"/>
      <c r="E114" s="1041" t="s">
        <v>523</v>
      </c>
      <c r="F114" s="1491" t="s">
        <v>524</v>
      </c>
      <c r="G114" s="1491"/>
      <c r="H114" s="1491"/>
      <c r="I114" s="1491"/>
      <c r="J114" s="1491"/>
    </row>
    <row r="115" spans="1:10" ht="12.9" customHeight="1">
      <c r="A115" s="1042" t="s">
        <v>525</v>
      </c>
      <c r="B115" s="1490" t="s">
        <v>526</v>
      </c>
      <c r="C115" s="1490"/>
      <c r="D115" s="1490"/>
      <c r="E115" s="1042" t="s">
        <v>527</v>
      </c>
      <c r="F115" s="1490" t="s">
        <v>528</v>
      </c>
      <c r="G115" s="1490"/>
      <c r="H115" s="1490"/>
      <c r="I115" s="1490"/>
      <c r="J115" s="1490"/>
    </row>
    <row r="116" spans="1:10" ht="12.9" customHeight="1">
      <c r="A116" s="1041" t="s">
        <v>529</v>
      </c>
      <c r="B116" s="1491" t="s">
        <v>530</v>
      </c>
      <c r="C116" s="1491"/>
      <c r="D116" s="1491"/>
      <c r="E116" s="1042" t="s">
        <v>531</v>
      </c>
      <c r="F116" s="1490" t="s">
        <v>532</v>
      </c>
      <c r="G116" s="1490"/>
      <c r="H116" s="1490"/>
      <c r="I116" s="1490"/>
      <c r="J116" s="1490"/>
    </row>
    <row r="117" spans="1:10" ht="12.9" customHeight="1">
      <c r="A117" s="1042" t="s">
        <v>533</v>
      </c>
      <c r="B117" s="1490" t="s">
        <v>534</v>
      </c>
      <c r="C117" s="1490"/>
      <c r="D117" s="1490"/>
      <c r="E117" s="1041" t="s">
        <v>535</v>
      </c>
      <c r="F117" s="1491" t="s">
        <v>536</v>
      </c>
      <c r="G117" s="1491"/>
      <c r="H117" s="1491"/>
      <c r="I117" s="1491"/>
      <c r="J117" s="1491"/>
    </row>
    <row r="118" spans="1:10" ht="12.9" customHeight="1">
      <c r="A118" s="1041" t="s">
        <v>537</v>
      </c>
      <c r="B118" s="1491" t="s">
        <v>538</v>
      </c>
      <c r="C118" s="1491"/>
      <c r="D118" s="1491"/>
      <c r="E118" s="1042" t="s">
        <v>539</v>
      </c>
      <c r="F118" s="1490" t="s">
        <v>540</v>
      </c>
      <c r="G118" s="1490"/>
      <c r="H118" s="1490"/>
      <c r="I118" s="1490"/>
      <c r="J118" s="1490"/>
    </row>
    <row r="119" spans="1:10" ht="12.9" customHeight="1">
      <c r="A119" s="1042" t="s">
        <v>541</v>
      </c>
      <c r="B119" s="1490" t="s">
        <v>542</v>
      </c>
      <c r="C119" s="1490"/>
      <c r="D119" s="1490"/>
      <c r="E119" s="1041" t="s">
        <v>543</v>
      </c>
      <c r="F119" s="1491" t="s">
        <v>544</v>
      </c>
      <c r="G119" s="1491"/>
      <c r="H119" s="1491"/>
      <c r="I119" s="1491"/>
      <c r="J119" s="1491"/>
    </row>
    <row r="120" spans="1:10" ht="12.9" customHeight="1">
      <c r="A120" s="1042" t="s">
        <v>545</v>
      </c>
      <c r="B120" s="1490" t="s">
        <v>546</v>
      </c>
      <c r="C120" s="1490"/>
      <c r="D120" s="1490"/>
      <c r="E120" s="1042" t="s">
        <v>547</v>
      </c>
      <c r="F120" s="1490" t="s">
        <v>548</v>
      </c>
      <c r="G120" s="1490"/>
      <c r="H120" s="1490"/>
      <c r="I120" s="1490"/>
      <c r="J120" s="1490"/>
    </row>
    <row r="121" spans="1:10" ht="12.9" customHeight="1">
      <c r="A121" s="1041" t="s">
        <v>549</v>
      </c>
      <c r="B121" s="1491" t="s">
        <v>550</v>
      </c>
      <c r="C121" s="1491"/>
      <c r="D121" s="1491"/>
      <c r="E121" s="1042" t="s">
        <v>551</v>
      </c>
      <c r="F121" s="1490" t="s">
        <v>552</v>
      </c>
      <c r="G121" s="1490"/>
      <c r="H121" s="1490"/>
      <c r="I121" s="1490"/>
      <c r="J121" s="1490"/>
    </row>
    <row r="122" spans="1:10" ht="12.9" customHeight="1">
      <c r="A122" s="1042" t="s">
        <v>553</v>
      </c>
      <c r="B122" s="1490" t="s">
        <v>554</v>
      </c>
      <c r="C122" s="1490"/>
      <c r="D122" s="1490"/>
      <c r="E122" s="1041" t="s">
        <v>555</v>
      </c>
      <c r="F122" s="1491" t="s">
        <v>556</v>
      </c>
      <c r="G122" s="1491"/>
      <c r="H122" s="1491"/>
      <c r="I122" s="1491"/>
      <c r="J122" s="1491"/>
    </row>
    <row r="123" spans="1:10" ht="12.9" customHeight="1">
      <c r="A123" s="1041" t="s">
        <v>557</v>
      </c>
      <c r="B123" s="1491" t="s">
        <v>558</v>
      </c>
      <c r="C123" s="1491"/>
      <c r="D123" s="1491"/>
      <c r="E123" s="1042" t="s">
        <v>559</v>
      </c>
      <c r="F123" s="1490" t="s">
        <v>560</v>
      </c>
      <c r="G123" s="1490"/>
      <c r="H123" s="1490"/>
      <c r="I123" s="1490"/>
      <c r="J123" s="1490"/>
    </row>
    <row r="124" spans="1:10" ht="12.9" customHeight="1">
      <c r="A124" s="1042" t="s">
        <v>561</v>
      </c>
      <c r="B124" s="1490" t="s">
        <v>562</v>
      </c>
      <c r="C124" s="1490"/>
      <c r="D124" s="1490"/>
      <c r="E124" s="1042" t="s">
        <v>563</v>
      </c>
      <c r="F124" s="1490" t="s">
        <v>564</v>
      </c>
      <c r="G124" s="1490"/>
      <c r="H124" s="1490"/>
      <c r="I124" s="1490"/>
      <c r="J124" s="1490"/>
    </row>
    <row r="125" spans="1:10" ht="12.9" customHeight="1">
      <c r="A125" s="1041" t="s">
        <v>565</v>
      </c>
      <c r="B125" s="1491" t="s">
        <v>566</v>
      </c>
      <c r="C125" s="1491"/>
      <c r="D125" s="1491"/>
      <c r="E125" s="1042" t="s">
        <v>567</v>
      </c>
      <c r="F125" s="1490" t="s">
        <v>568</v>
      </c>
      <c r="G125" s="1490"/>
      <c r="H125" s="1490"/>
      <c r="I125" s="1490"/>
      <c r="J125" s="1490"/>
    </row>
    <row r="126" spans="1:10" ht="12.9" customHeight="1">
      <c r="A126" s="1042" t="s">
        <v>569</v>
      </c>
      <c r="B126" s="1490" t="s">
        <v>570</v>
      </c>
      <c r="C126" s="1490"/>
      <c r="D126" s="1490"/>
      <c r="E126" s="1041" t="s">
        <v>571</v>
      </c>
      <c r="F126" s="1491" t="s">
        <v>568</v>
      </c>
      <c r="G126" s="1491"/>
      <c r="H126" s="1491"/>
      <c r="I126" s="1491"/>
      <c r="J126" s="1491"/>
    </row>
    <row r="127" spans="1:10" ht="12.9" customHeight="1">
      <c r="A127" s="1042" t="s">
        <v>572</v>
      </c>
      <c r="B127" s="1490" t="s">
        <v>573</v>
      </c>
      <c r="C127" s="1490"/>
      <c r="D127" s="1490"/>
      <c r="E127" s="1042" t="s">
        <v>574</v>
      </c>
      <c r="F127" s="1490" t="s">
        <v>575</v>
      </c>
      <c r="G127" s="1490"/>
      <c r="H127" s="1490"/>
      <c r="I127" s="1490"/>
      <c r="J127" s="1490"/>
    </row>
    <row r="128" spans="1:10" ht="12.9" customHeight="1">
      <c r="A128" s="1042" t="s">
        <v>576</v>
      </c>
      <c r="B128" s="1490" t="s">
        <v>577</v>
      </c>
      <c r="C128" s="1490"/>
      <c r="D128" s="1490"/>
      <c r="E128" s="1042" t="s">
        <v>578</v>
      </c>
      <c r="F128" s="1490" t="s">
        <v>579</v>
      </c>
      <c r="G128" s="1490"/>
      <c r="H128" s="1490"/>
      <c r="I128" s="1490"/>
      <c r="J128" s="1490"/>
    </row>
    <row r="129" spans="1:10" ht="21.75" customHeight="1">
      <c r="A129" s="1042" t="s">
        <v>580</v>
      </c>
      <c r="B129" s="1490" t="s">
        <v>581</v>
      </c>
      <c r="C129" s="1490"/>
      <c r="D129" s="1490"/>
      <c r="E129" s="1042" t="s">
        <v>582</v>
      </c>
      <c r="F129" s="1490" t="s">
        <v>583</v>
      </c>
      <c r="G129" s="1490"/>
      <c r="H129" s="1490"/>
      <c r="I129" s="1490"/>
      <c r="J129" s="1490"/>
    </row>
    <row r="130" spans="1:10" ht="21" customHeight="1">
      <c r="A130" s="1041" t="s">
        <v>584</v>
      </c>
      <c r="B130" s="1491" t="s">
        <v>581</v>
      </c>
      <c r="C130" s="1491"/>
      <c r="D130" s="1491"/>
      <c r="E130" s="1041" t="s">
        <v>585</v>
      </c>
      <c r="F130" s="1491" t="s">
        <v>586</v>
      </c>
      <c r="G130" s="1491"/>
      <c r="H130" s="1491"/>
      <c r="I130" s="1491"/>
      <c r="J130" s="1491"/>
    </row>
    <row r="131" spans="1:10" ht="12.9" customHeight="1">
      <c r="A131" s="1042" t="s">
        <v>587</v>
      </c>
      <c r="B131" s="1490" t="s">
        <v>588</v>
      </c>
      <c r="C131" s="1490"/>
      <c r="D131" s="1490"/>
      <c r="E131" s="1042" t="s">
        <v>589</v>
      </c>
      <c r="F131" s="1490" t="s">
        <v>590</v>
      </c>
      <c r="G131" s="1490"/>
      <c r="H131" s="1490"/>
      <c r="I131" s="1490"/>
      <c r="J131" s="1490"/>
    </row>
    <row r="132" spans="1:10" ht="12.9" customHeight="1">
      <c r="A132" s="1042" t="s">
        <v>591</v>
      </c>
      <c r="B132" s="1490" t="s">
        <v>592</v>
      </c>
      <c r="C132" s="1490"/>
      <c r="D132" s="1490"/>
      <c r="E132" s="1041" t="s">
        <v>593</v>
      </c>
      <c r="F132" s="1491" t="s">
        <v>594</v>
      </c>
      <c r="G132" s="1491"/>
      <c r="H132" s="1491"/>
      <c r="I132" s="1491"/>
      <c r="J132" s="1491"/>
    </row>
    <row r="133" spans="1:10" ht="12.9" customHeight="1">
      <c r="A133" s="1042" t="s">
        <v>595</v>
      </c>
      <c r="B133" s="1490" t="s">
        <v>596</v>
      </c>
      <c r="C133" s="1490"/>
      <c r="D133" s="1490"/>
      <c r="E133" s="1042" t="s">
        <v>597</v>
      </c>
      <c r="F133" s="1490" t="s">
        <v>598</v>
      </c>
      <c r="G133" s="1490"/>
      <c r="H133" s="1490"/>
      <c r="I133" s="1490"/>
      <c r="J133" s="1490"/>
    </row>
    <row r="134" spans="1:10" ht="12.9" customHeight="1">
      <c r="A134" s="1041" t="s">
        <v>599</v>
      </c>
      <c r="B134" s="1491" t="s">
        <v>600</v>
      </c>
      <c r="C134" s="1491"/>
      <c r="D134" s="1491"/>
      <c r="E134" s="1041" t="s">
        <v>601</v>
      </c>
      <c r="F134" s="1491" t="s">
        <v>602</v>
      </c>
      <c r="G134" s="1491"/>
      <c r="H134" s="1491"/>
      <c r="I134" s="1491"/>
      <c r="J134" s="1491"/>
    </row>
    <row r="135" spans="1:10" ht="12.9" customHeight="1">
      <c r="A135" s="1042" t="s">
        <v>603</v>
      </c>
      <c r="B135" s="1490" t="s">
        <v>604</v>
      </c>
      <c r="C135" s="1490"/>
      <c r="D135" s="1490"/>
      <c r="E135" s="1042" t="s">
        <v>605</v>
      </c>
      <c r="F135" s="1490" t="s">
        <v>606</v>
      </c>
      <c r="G135" s="1490"/>
      <c r="H135" s="1490"/>
      <c r="I135" s="1490"/>
      <c r="J135" s="1490"/>
    </row>
    <row r="136" spans="1:10" ht="12.9" customHeight="1">
      <c r="A136" s="1041" t="s">
        <v>607</v>
      </c>
      <c r="B136" s="1491" t="s">
        <v>608</v>
      </c>
      <c r="C136" s="1491"/>
      <c r="D136" s="1491"/>
      <c r="E136" s="1041" t="s">
        <v>609</v>
      </c>
      <c r="F136" s="1491" t="s">
        <v>610</v>
      </c>
      <c r="G136" s="1491"/>
      <c r="H136" s="1491"/>
      <c r="I136" s="1491"/>
      <c r="J136" s="1491"/>
    </row>
    <row r="137" spans="1:10" ht="12.9" customHeight="1">
      <c r="A137" s="1042" t="s">
        <v>611</v>
      </c>
      <c r="B137" s="1490" t="s">
        <v>612</v>
      </c>
      <c r="C137" s="1490"/>
      <c r="D137" s="1490"/>
      <c r="E137" s="1042" t="s">
        <v>613</v>
      </c>
      <c r="F137" s="1490" t="s">
        <v>614</v>
      </c>
      <c r="G137" s="1490"/>
      <c r="H137" s="1490"/>
      <c r="I137" s="1490"/>
      <c r="J137" s="1490"/>
    </row>
    <row r="138" spans="1:10" ht="12.9" customHeight="1">
      <c r="A138" s="1041" t="s">
        <v>615</v>
      </c>
      <c r="B138" s="1491" t="s">
        <v>616</v>
      </c>
      <c r="C138" s="1491"/>
      <c r="D138" s="1491"/>
      <c r="E138" s="1041" t="s">
        <v>617</v>
      </c>
      <c r="F138" s="1491" t="s">
        <v>618</v>
      </c>
      <c r="G138" s="1491"/>
      <c r="H138" s="1491"/>
      <c r="I138" s="1491"/>
      <c r="J138" s="1491"/>
    </row>
    <row r="139" spans="1:10" ht="12.9" customHeight="1">
      <c r="A139" s="1042" t="s">
        <v>619</v>
      </c>
      <c r="B139" s="1490" t="s">
        <v>620</v>
      </c>
      <c r="C139" s="1490"/>
      <c r="D139" s="1490"/>
      <c r="E139" s="1042" t="s">
        <v>621</v>
      </c>
      <c r="F139" s="1490" t="s">
        <v>622</v>
      </c>
      <c r="G139" s="1490"/>
      <c r="H139" s="1490"/>
      <c r="I139" s="1490"/>
      <c r="J139" s="1490"/>
    </row>
    <row r="140" spans="1:10" ht="12.9" customHeight="1">
      <c r="A140" s="1041" t="s">
        <v>623</v>
      </c>
      <c r="B140" s="1491" t="s">
        <v>624</v>
      </c>
      <c r="C140" s="1491"/>
      <c r="D140" s="1491"/>
      <c r="E140" s="1042" t="s">
        <v>625</v>
      </c>
      <c r="F140" s="1490" t="s">
        <v>626</v>
      </c>
      <c r="G140" s="1490"/>
      <c r="H140" s="1490"/>
      <c r="I140" s="1490"/>
      <c r="J140" s="1490"/>
    </row>
    <row r="141" spans="1:10" ht="12.9" customHeight="1">
      <c r="A141" s="1042" t="s">
        <v>627</v>
      </c>
      <c r="B141" s="1490" t="s">
        <v>628</v>
      </c>
      <c r="C141" s="1490"/>
      <c r="D141" s="1490"/>
      <c r="E141" s="1041" t="s">
        <v>629</v>
      </c>
      <c r="F141" s="1491" t="s">
        <v>630</v>
      </c>
      <c r="G141" s="1491"/>
      <c r="H141" s="1491"/>
      <c r="I141" s="1491"/>
      <c r="J141" s="1491"/>
    </row>
    <row r="142" spans="1:10" ht="12.9" customHeight="1">
      <c r="A142" s="1041" t="s">
        <v>631</v>
      </c>
      <c r="B142" s="1491" t="s">
        <v>632</v>
      </c>
      <c r="C142" s="1491"/>
      <c r="D142" s="1491"/>
      <c r="E142" s="1042" t="s">
        <v>633</v>
      </c>
      <c r="F142" s="1490" t="s">
        <v>634</v>
      </c>
      <c r="G142" s="1490"/>
      <c r="H142" s="1490"/>
      <c r="I142" s="1490"/>
      <c r="J142" s="1490"/>
    </row>
    <row r="143" spans="1:10" ht="12.9" customHeight="1">
      <c r="A143" s="1042" t="s">
        <v>635</v>
      </c>
      <c r="B143" s="1490" t="s">
        <v>636</v>
      </c>
      <c r="C143" s="1490"/>
      <c r="D143" s="1490"/>
      <c r="E143" s="1042" t="s">
        <v>637</v>
      </c>
      <c r="F143" s="1490" t="s">
        <v>638</v>
      </c>
      <c r="G143" s="1490"/>
      <c r="H143" s="1490"/>
      <c r="I143" s="1490"/>
      <c r="J143" s="1490"/>
    </row>
    <row r="144" spans="1:10" ht="12.9" customHeight="1">
      <c r="A144" s="1042" t="s">
        <v>639</v>
      </c>
      <c r="B144" s="1490" t="s">
        <v>640</v>
      </c>
      <c r="C144" s="1490"/>
      <c r="D144" s="1490"/>
      <c r="E144" s="1041" t="s">
        <v>641</v>
      </c>
      <c r="F144" s="1491" t="s">
        <v>642</v>
      </c>
      <c r="G144" s="1491"/>
      <c r="H144" s="1491"/>
      <c r="I144" s="1491"/>
      <c r="J144" s="1491"/>
    </row>
    <row r="145" spans="1:10" ht="12.9" customHeight="1">
      <c r="A145" s="1041" t="s">
        <v>643</v>
      </c>
      <c r="B145" s="1491" t="s">
        <v>644</v>
      </c>
      <c r="C145" s="1491"/>
      <c r="D145" s="1491"/>
      <c r="E145" s="1042" t="s">
        <v>645</v>
      </c>
      <c r="F145" s="1490" t="s">
        <v>646</v>
      </c>
      <c r="G145" s="1490"/>
      <c r="H145" s="1490"/>
      <c r="I145" s="1490"/>
      <c r="J145" s="1490"/>
    </row>
    <row r="146" spans="1:10" ht="12.9" customHeight="1">
      <c r="A146" s="1042" t="s">
        <v>647</v>
      </c>
      <c r="B146" s="1490" t="s">
        <v>648</v>
      </c>
      <c r="C146" s="1490"/>
      <c r="D146" s="1490"/>
      <c r="E146" s="1041" t="s">
        <v>649</v>
      </c>
      <c r="F146" s="1491" t="s">
        <v>650</v>
      </c>
      <c r="G146" s="1491"/>
      <c r="H146" s="1491"/>
      <c r="I146" s="1491"/>
      <c r="J146" s="1491"/>
    </row>
    <row r="147" spans="1:10" ht="12.9" customHeight="1">
      <c r="A147" s="1042" t="s">
        <v>651</v>
      </c>
      <c r="B147" s="1490" t="s">
        <v>652</v>
      </c>
      <c r="C147" s="1490"/>
      <c r="D147" s="1490"/>
      <c r="E147" s="1042" t="s">
        <v>653</v>
      </c>
      <c r="F147" s="1490" t="s">
        <v>654</v>
      </c>
      <c r="G147" s="1490"/>
      <c r="H147" s="1490"/>
      <c r="I147" s="1490"/>
      <c r="J147" s="1490"/>
    </row>
    <row r="148" spans="1:10" ht="12.9" customHeight="1">
      <c r="A148" s="1042" t="s">
        <v>655</v>
      </c>
      <c r="B148" s="1490" t="s">
        <v>656</v>
      </c>
      <c r="C148" s="1490"/>
      <c r="D148" s="1490"/>
      <c r="E148" s="1041" t="s">
        <v>657</v>
      </c>
      <c r="F148" s="1491" t="s">
        <v>658</v>
      </c>
      <c r="G148" s="1491"/>
      <c r="H148" s="1491"/>
      <c r="I148" s="1491"/>
      <c r="J148" s="1491"/>
    </row>
    <row r="149" spans="1:10" ht="12.9" customHeight="1">
      <c r="A149" s="1042" t="s">
        <v>659</v>
      </c>
      <c r="B149" s="1490" t="s">
        <v>660</v>
      </c>
      <c r="C149" s="1490"/>
      <c r="D149" s="1490"/>
      <c r="E149" s="1042" t="s">
        <v>661</v>
      </c>
      <c r="F149" s="1490" t="s">
        <v>662</v>
      </c>
      <c r="G149" s="1490"/>
      <c r="H149" s="1490"/>
      <c r="I149" s="1490"/>
      <c r="J149" s="1490"/>
    </row>
    <row r="150" spans="1:10" ht="12.9" customHeight="1">
      <c r="A150" s="1042" t="s">
        <v>663</v>
      </c>
      <c r="B150" s="1490" t="s">
        <v>664</v>
      </c>
      <c r="C150" s="1490"/>
      <c r="D150" s="1490"/>
      <c r="E150" s="1042" t="s">
        <v>665</v>
      </c>
      <c r="F150" s="1490" t="s">
        <v>666</v>
      </c>
      <c r="G150" s="1490"/>
      <c r="H150" s="1490"/>
      <c r="I150" s="1490"/>
      <c r="J150" s="1490"/>
    </row>
    <row r="151" spans="1:10" ht="12.9" customHeight="1">
      <c r="A151" s="1042" t="s">
        <v>667</v>
      </c>
      <c r="B151" s="1490" t="s">
        <v>668</v>
      </c>
      <c r="C151" s="1490"/>
      <c r="D151" s="1490"/>
      <c r="E151" s="1042" t="s">
        <v>669</v>
      </c>
      <c r="F151" s="1490" t="s">
        <v>670</v>
      </c>
      <c r="G151" s="1490"/>
      <c r="H151" s="1490"/>
      <c r="I151" s="1490"/>
      <c r="J151" s="1490"/>
    </row>
    <row r="152" spans="1:10" ht="12.9" customHeight="1">
      <c r="A152" s="1041" t="s">
        <v>671</v>
      </c>
      <c r="B152" s="1491" t="s">
        <v>672</v>
      </c>
      <c r="C152" s="1491"/>
      <c r="D152" s="1491"/>
      <c r="E152" s="1041" t="s">
        <v>673</v>
      </c>
      <c r="F152" s="1491" t="s">
        <v>674</v>
      </c>
      <c r="G152" s="1491"/>
      <c r="H152" s="1491"/>
      <c r="I152" s="1491"/>
      <c r="J152" s="1491"/>
    </row>
    <row r="153" spans="1:10" ht="12.9" customHeight="1">
      <c r="A153" s="1042" t="s">
        <v>675</v>
      </c>
      <c r="B153" s="1490" t="s">
        <v>676</v>
      </c>
      <c r="C153" s="1490"/>
      <c r="D153" s="1490"/>
      <c r="E153" s="1042" t="s">
        <v>677</v>
      </c>
      <c r="F153" s="1490" t="s">
        <v>678</v>
      </c>
      <c r="G153" s="1490"/>
      <c r="H153" s="1490"/>
      <c r="I153" s="1490"/>
      <c r="J153" s="1490"/>
    </row>
    <row r="154" spans="1:10" ht="12.9" customHeight="1">
      <c r="A154" s="1042" t="s">
        <v>679</v>
      </c>
      <c r="B154" s="1490" t="s">
        <v>680</v>
      </c>
      <c r="C154" s="1490"/>
      <c r="D154" s="1490"/>
      <c r="E154" s="1042" t="s">
        <v>681</v>
      </c>
      <c r="F154" s="1490" t="s">
        <v>682</v>
      </c>
      <c r="G154" s="1490"/>
      <c r="H154" s="1490"/>
      <c r="I154" s="1490"/>
      <c r="J154" s="1490"/>
    </row>
    <row r="155" spans="1:10" ht="12.9" customHeight="1">
      <c r="A155" s="1041" t="s">
        <v>683</v>
      </c>
      <c r="B155" s="1491" t="s">
        <v>684</v>
      </c>
      <c r="C155" s="1491"/>
      <c r="D155" s="1491"/>
      <c r="E155" s="1042" t="s">
        <v>685</v>
      </c>
      <c r="F155" s="1490" t="s">
        <v>686</v>
      </c>
      <c r="G155" s="1490"/>
      <c r="H155" s="1490"/>
      <c r="I155" s="1490"/>
      <c r="J155" s="1490"/>
    </row>
    <row r="156" spans="1:10" ht="12.9" customHeight="1">
      <c r="A156" s="1042" t="s">
        <v>687</v>
      </c>
      <c r="B156" s="1490" t="s">
        <v>688</v>
      </c>
      <c r="C156" s="1490"/>
      <c r="D156" s="1490"/>
      <c r="E156" s="1042" t="s">
        <v>689</v>
      </c>
      <c r="F156" s="1490" t="s">
        <v>690</v>
      </c>
      <c r="G156" s="1490"/>
      <c r="H156" s="1490"/>
      <c r="I156" s="1490"/>
      <c r="J156" s="1490"/>
    </row>
    <row r="157" spans="1:10" ht="12.9" customHeight="1">
      <c r="A157" s="1042" t="s">
        <v>691</v>
      </c>
      <c r="B157" s="1490" t="s">
        <v>692</v>
      </c>
      <c r="C157" s="1490"/>
      <c r="D157" s="1490"/>
      <c r="E157" s="1041" t="s">
        <v>693</v>
      </c>
      <c r="F157" s="1491" t="s">
        <v>690</v>
      </c>
      <c r="G157" s="1491"/>
      <c r="H157" s="1491"/>
      <c r="I157" s="1491"/>
      <c r="J157" s="1491"/>
    </row>
    <row r="158" spans="1:10" ht="12.9" customHeight="1">
      <c r="A158" s="1041" t="s">
        <v>694</v>
      </c>
      <c r="B158" s="1491" t="s">
        <v>695</v>
      </c>
      <c r="C158" s="1491"/>
      <c r="D158" s="1491"/>
      <c r="E158" s="1042" t="s">
        <v>696</v>
      </c>
      <c r="F158" s="1490" t="s">
        <v>697</v>
      </c>
      <c r="G158" s="1490"/>
      <c r="H158" s="1490"/>
      <c r="I158" s="1490"/>
      <c r="J158" s="1490"/>
    </row>
    <row r="159" spans="1:10" ht="12.9" customHeight="1">
      <c r="A159" s="1042" t="s">
        <v>698</v>
      </c>
      <c r="B159" s="1490" t="s">
        <v>699</v>
      </c>
      <c r="C159" s="1490"/>
      <c r="D159" s="1490"/>
      <c r="E159" s="1041" t="s">
        <v>700</v>
      </c>
      <c r="F159" s="1491" t="s">
        <v>701</v>
      </c>
      <c r="G159" s="1491"/>
      <c r="H159" s="1491"/>
      <c r="I159" s="1491"/>
      <c r="J159" s="1491"/>
    </row>
    <row r="160" spans="1:10" ht="12.9" customHeight="1">
      <c r="A160" s="1041" t="s">
        <v>702</v>
      </c>
      <c r="B160" s="1491" t="s">
        <v>703</v>
      </c>
      <c r="C160" s="1491"/>
      <c r="D160" s="1491"/>
      <c r="E160" s="1042" t="s">
        <v>704</v>
      </c>
      <c r="F160" s="1490" t="s">
        <v>705</v>
      </c>
      <c r="G160" s="1490"/>
      <c r="H160" s="1490"/>
      <c r="I160" s="1490"/>
      <c r="J160" s="1490"/>
    </row>
    <row r="161" spans="1:10" ht="12.9" customHeight="1">
      <c r="A161" s="1042" t="s">
        <v>706</v>
      </c>
      <c r="B161" s="1490" t="s">
        <v>707</v>
      </c>
      <c r="C161" s="1490"/>
      <c r="D161" s="1490"/>
      <c r="E161" s="1042" t="s">
        <v>708</v>
      </c>
      <c r="F161" s="1490" t="s">
        <v>709</v>
      </c>
      <c r="G161" s="1490"/>
      <c r="H161" s="1490"/>
      <c r="I161" s="1490"/>
      <c r="J161" s="1490"/>
    </row>
    <row r="162" spans="1:10" ht="12.9" customHeight="1">
      <c r="A162" s="1041" t="s">
        <v>710</v>
      </c>
      <c r="B162" s="1491" t="s">
        <v>711</v>
      </c>
      <c r="C162" s="1491"/>
      <c r="D162" s="1491"/>
      <c r="E162" s="1042" t="s">
        <v>712</v>
      </c>
      <c r="F162" s="1490" t="s">
        <v>713</v>
      </c>
      <c r="G162" s="1490"/>
      <c r="H162" s="1490"/>
      <c r="I162" s="1490"/>
      <c r="J162" s="1490"/>
    </row>
    <row r="163" spans="1:10" ht="12.9" customHeight="1">
      <c r="A163" s="1042" t="s">
        <v>714</v>
      </c>
      <c r="B163" s="1490" t="s">
        <v>715</v>
      </c>
      <c r="C163" s="1490"/>
      <c r="D163" s="1490"/>
      <c r="E163" s="1042" t="s">
        <v>716</v>
      </c>
      <c r="F163" s="1490" t="s">
        <v>717</v>
      </c>
      <c r="G163" s="1490"/>
      <c r="H163" s="1490"/>
      <c r="I163" s="1490"/>
      <c r="J163" s="1490"/>
    </row>
    <row r="164" spans="1:10" ht="12.9" customHeight="1">
      <c r="A164" s="1042" t="s">
        <v>718</v>
      </c>
      <c r="B164" s="1490" t="s">
        <v>719</v>
      </c>
      <c r="C164" s="1490"/>
      <c r="D164" s="1490"/>
      <c r="E164" s="1041" t="s">
        <v>720</v>
      </c>
      <c r="F164" s="1491" t="s">
        <v>721</v>
      </c>
      <c r="G164" s="1491"/>
      <c r="H164" s="1491"/>
      <c r="I164" s="1491"/>
      <c r="J164" s="1491"/>
    </row>
    <row r="165" spans="1:10" ht="12.9" customHeight="1">
      <c r="A165" s="1042" t="s">
        <v>722</v>
      </c>
      <c r="B165" s="1490" t="s">
        <v>723</v>
      </c>
      <c r="C165" s="1490"/>
      <c r="D165" s="1490"/>
      <c r="E165" s="1042" t="s">
        <v>724</v>
      </c>
      <c r="F165" s="1490" t="s">
        <v>725</v>
      </c>
      <c r="G165" s="1490"/>
      <c r="H165" s="1490"/>
      <c r="I165" s="1490"/>
      <c r="J165" s="1490"/>
    </row>
    <row r="166" spans="1:10" ht="12.9" customHeight="1">
      <c r="A166" s="1041" t="s">
        <v>726</v>
      </c>
      <c r="B166" s="1491" t="s">
        <v>727</v>
      </c>
      <c r="C166" s="1491"/>
      <c r="D166" s="1491"/>
      <c r="E166" s="1041" t="s">
        <v>728</v>
      </c>
      <c r="F166" s="1491" t="s">
        <v>729</v>
      </c>
      <c r="G166" s="1491"/>
      <c r="H166" s="1491"/>
      <c r="I166" s="1491"/>
      <c r="J166" s="1491"/>
    </row>
    <row r="167" spans="1:10" ht="12.9" customHeight="1">
      <c r="A167" s="1042" t="s">
        <v>730</v>
      </c>
      <c r="B167" s="1490" t="s">
        <v>731</v>
      </c>
      <c r="C167" s="1490"/>
      <c r="D167" s="1490"/>
      <c r="E167" s="1042" t="s">
        <v>732</v>
      </c>
      <c r="F167" s="1490" t="s">
        <v>733</v>
      </c>
      <c r="G167" s="1490"/>
      <c r="H167" s="1490"/>
      <c r="I167" s="1490"/>
      <c r="J167" s="1490"/>
    </row>
    <row r="168" spans="1:10" ht="21" customHeight="1">
      <c r="A168" s="1042" t="s">
        <v>734</v>
      </c>
      <c r="B168" s="1490" t="s">
        <v>735</v>
      </c>
      <c r="C168" s="1490"/>
      <c r="D168" s="1490"/>
      <c r="E168" s="1041" t="s">
        <v>736</v>
      </c>
      <c r="F168" s="1491" t="s">
        <v>737</v>
      </c>
      <c r="G168" s="1491"/>
      <c r="H168" s="1491"/>
      <c r="I168" s="1491"/>
      <c r="J168" s="1491"/>
    </row>
    <row r="169" spans="1:10" ht="12.9" customHeight="1">
      <c r="A169" s="1042" t="s">
        <v>738</v>
      </c>
      <c r="B169" s="1490" t="s">
        <v>739</v>
      </c>
      <c r="C169" s="1490"/>
      <c r="D169" s="1490"/>
      <c r="E169" s="1042" t="s">
        <v>740</v>
      </c>
      <c r="F169" s="1490" t="s">
        <v>741</v>
      </c>
      <c r="G169" s="1490"/>
      <c r="H169" s="1490"/>
      <c r="I169" s="1490"/>
      <c r="J169" s="1490"/>
    </row>
    <row r="170" spans="1:10" ht="12.9" customHeight="1">
      <c r="A170" s="1041" t="s">
        <v>742</v>
      </c>
      <c r="B170" s="1491" t="s">
        <v>743</v>
      </c>
      <c r="C170" s="1491"/>
      <c r="D170" s="1491"/>
      <c r="E170" s="1041" t="s">
        <v>744</v>
      </c>
      <c r="F170" s="1491" t="s">
        <v>745</v>
      </c>
      <c r="G170" s="1491"/>
      <c r="H170" s="1491"/>
      <c r="I170" s="1491"/>
      <c r="J170" s="1491"/>
    </row>
    <row r="171" spans="1:10" ht="12.9" customHeight="1">
      <c r="A171" s="1042" t="s">
        <v>746</v>
      </c>
      <c r="B171" s="1490" t="s">
        <v>747</v>
      </c>
      <c r="C171" s="1490"/>
      <c r="D171" s="1490"/>
      <c r="E171" s="1042" t="s">
        <v>748</v>
      </c>
      <c r="F171" s="1490" t="s">
        <v>749</v>
      </c>
      <c r="G171" s="1490"/>
      <c r="H171" s="1490"/>
      <c r="I171" s="1490"/>
      <c r="J171" s="1490"/>
    </row>
    <row r="172" spans="1:10" ht="12.9" customHeight="1">
      <c r="A172" s="1041" t="s">
        <v>750</v>
      </c>
      <c r="B172" s="1491" t="s">
        <v>751</v>
      </c>
      <c r="C172" s="1491"/>
      <c r="D172" s="1491"/>
      <c r="E172" s="1042" t="s">
        <v>752</v>
      </c>
      <c r="F172" s="1490" t="s">
        <v>753</v>
      </c>
      <c r="G172" s="1490"/>
      <c r="H172" s="1490"/>
      <c r="I172" s="1490"/>
      <c r="J172" s="1490"/>
    </row>
    <row r="173" spans="1:10" ht="12.9" customHeight="1">
      <c r="A173" s="1042" t="s">
        <v>754</v>
      </c>
      <c r="B173" s="1490" t="s">
        <v>755</v>
      </c>
      <c r="C173" s="1490"/>
      <c r="D173" s="1490"/>
      <c r="E173" s="1042" t="s">
        <v>756</v>
      </c>
      <c r="F173" s="1490" t="s">
        <v>757</v>
      </c>
      <c r="G173" s="1490"/>
      <c r="H173" s="1490"/>
      <c r="I173" s="1490"/>
      <c r="J173" s="1490"/>
    </row>
    <row r="174" spans="1:10" ht="12.9" customHeight="1">
      <c r="A174" s="1041" t="s">
        <v>758</v>
      </c>
      <c r="B174" s="1491" t="s">
        <v>759</v>
      </c>
      <c r="C174" s="1491"/>
      <c r="D174" s="1491"/>
      <c r="E174" s="1041" t="s">
        <v>760</v>
      </c>
      <c r="F174" s="1491" t="s">
        <v>761</v>
      </c>
      <c r="G174" s="1491"/>
      <c r="H174" s="1491"/>
      <c r="I174" s="1491"/>
      <c r="J174" s="1491"/>
    </row>
    <row r="175" spans="1:10" ht="12.9" customHeight="1">
      <c r="A175" s="1042" t="s">
        <v>762</v>
      </c>
      <c r="B175" s="1490" t="s">
        <v>763</v>
      </c>
      <c r="C175" s="1490"/>
      <c r="D175" s="1490"/>
      <c r="E175" s="1042" t="s">
        <v>764</v>
      </c>
      <c r="F175" s="1490" t="s">
        <v>765</v>
      </c>
      <c r="G175" s="1490"/>
      <c r="H175" s="1490"/>
      <c r="I175" s="1490"/>
      <c r="J175" s="1490"/>
    </row>
    <row r="176" spans="1:10" ht="22.5" customHeight="1">
      <c r="A176" s="1041" t="s">
        <v>766</v>
      </c>
      <c r="B176" s="1491" t="s">
        <v>767</v>
      </c>
      <c r="C176" s="1491"/>
      <c r="D176" s="1491"/>
      <c r="E176" s="1042" t="s">
        <v>768</v>
      </c>
      <c r="F176" s="1490" t="s">
        <v>769</v>
      </c>
      <c r="G176" s="1490"/>
      <c r="H176" s="1490"/>
      <c r="I176" s="1490"/>
      <c r="J176" s="1490"/>
    </row>
    <row r="177" spans="1:10" ht="12.9" customHeight="1">
      <c r="A177" s="1042" t="s">
        <v>770</v>
      </c>
      <c r="B177" s="1490" t="s">
        <v>771</v>
      </c>
      <c r="C177" s="1490"/>
      <c r="D177" s="1490"/>
      <c r="E177" s="1042" t="s">
        <v>772</v>
      </c>
      <c r="F177" s="1490" t="s">
        <v>773</v>
      </c>
      <c r="G177" s="1490"/>
      <c r="H177" s="1490"/>
      <c r="I177" s="1490"/>
      <c r="J177" s="1490"/>
    </row>
    <row r="178" spans="1:10" ht="12.9" customHeight="1">
      <c r="A178" s="1041" t="s">
        <v>774</v>
      </c>
      <c r="B178" s="1491" t="s">
        <v>775</v>
      </c>
      <c r="C178" s="1491"/>
      <c r="D178" s="1491"/>
      <c r="E178" s="1041" t="s">
        <v>776</v>
      </c>
      <c r="F178" s="1491" t="s">
        <v>777</v>
      </c>
      <c r="G178" s="1491"/>
      <c r="H178" s="1491"/>
      <c r="I178" s="1491"/>
      <c r="J178" s="1491"/>
    </row>
    <row r="179" spans="1:10" ht="12.9" customHeight="1">
      <c r="A179" s="1042" t="s">
        <v>778</v>
      </c>
      <c r="B179" s="1490" t="s">
        <v>779</v>
      </c>
      <c r="C179" s="1490"/>
      <c r="D179" s="1490"/>
      <c r="E179" s="1042" t="s">
        <v>780</v>
      </c>
      <c r="F179" s="1490" t="s">
        <v>781</v>
      </c>
      <c r="G179" s="1490"/>
      <c r="H179" s="1490"/>
      <c r="I179" s="1490"/>
      <c r="J179" s="1490"/>
    </row>
    <row r="180" spans="1:10" ht="21" customHeight="1">
      <c r="A180" s="1041" t="s">
        <v>782</v>
      </c>
      <c r="B180" s="1491" t="s">
        <v>783</v>
      </c>
      <c r="C180" s="1491"/>
      <c r="D180" s="1491"/>
      <c r="E180" s="1041" t="s">
        <v>784</v>
      </c>
      <c r="F180" s="1491" t="s">
        <v>785</v>
      </c>
      <c r="G180" s="1491"/>
      <c r="H180" s="1491"/>
      <c r="I180" s="1491"/>
      <c r="J180" s="1491"/>
    </row>
    <row r="181" spans="1:10" ht="12.9" customHeight="1">
      <c r="A181" s="1042" t="s">
        <v>786</v>
      </c>
      <c r="B181" s="1490" t="s">
        <v>787</v>
      </c>
      <c r="C181" s="1490"/>
      <c r="D181" s="1490"/>
      <c r="E181" s="1042" t="s">
        <v>788</v>
      </c>
      <c r="F181" s="1490" t="s">
        <v>789</v>
      </c>
      <c r="G181" s="1490"/>
      <c r="H181" s="1490"/>
      <c r="I181" s="1490"/>
      <c r="J181" s="1490"/>
    </row>
    <row r="182" spans="1:10" ht="12.9" customHeight="1">
      <c r="A182" s="1042" t="s">
        <v>790</v>
      </c>
      <c r="B182" s="1490" t="s">
        <v>791</v>
      </c>
      <c r="C182" s="1490"/>
      <c r="D182" s="1490"/>
      <c r="E182" s="1041" t="s">
        <v>792</v>
      </c>
      <c r="F182" s="1491" t="s">
        <v>793</v>
      </c>
      <c r="G182" s="1491"/>
      <c r="H182" s="1491"/>
      <c r="I182" s="1491"/>
      <c r="J182" s="1491"/>
    </row>
    <row r="183" spans="1:10" ht="21" customHeight="1">
      <c r="A183" s="1041" t="s">
        <v>794</v>
      </c>
      <c r="B183" s="1491" t="s">
        <v>795</v>
      </c>
      <c r="C183" s="1491"/>
      <c r="D183" s="1491"/>
      <c r="E183" s="1042" t="s">
        <v>796</v>
      </c>
      <c r="F183" s="1490" t="s">
        <v>797</v>
      </c>
      <c r="G183" s="1490"/>
      <c r="H183" s="1490"/>
      <c r="I183" s="1490"/>
      <c r="J183" s="1490"/>
    </row>
    <row r="184" spans="1:10" ht="12.9" customHeight="1">
      <c r="A184" s="1042" t="s">
        <v>798</v>
      </c>
      <c r="B184" s="1490" t="s">
        <v>799</v>
      </c>
      <c r="C184" s="1490"/>
      <c r="D184" s="1490"/>
      <c r="E184" s="1041" t="s">
        <v>800</v>
      </c>
      <c r="F184" s="1491" t="s">
        <v>801</v>
      </c>
      <c r="G184" s="1491"/>
      <c r="H184" s="1491"/>
      <c r="I184" s="1491"/>
      <c r="J184" s="1491"/>
    </row>
    <row r="185" spans="1:10" ht="12.9" customHeight="1">
      <c r="A185" s="1042" t="s">
        <v>802</v>
      </c>
      <c r="B185" s="1490" t="s">
        <v>803</v>
      </c>
      <c r="C185" s="1490"/>
      <c r="D185" s="1490"/>
      <c r="E185" s="1042" t="s">
        <v>804</v>
      </c>
      <c r="F185" s="1490" t="s">
        <v>805</v>
      </c>
      <c r="G185" s="1490"/>
      <c r="H185" s="1490"/>
      <c r="I185" s="1490"/>
      <c r="J185" s="1490"/>
    </row>
    <row r="186" spans="1:10" ht="21" customHeight="1">
      <c r="A186" s="1041" t="s">
        <v>806</v>
      </c>
      <c r="B186" s="1491" t="s">
        <v>807</v>
      </c>
      <c r="C186" s="1491"/>
      <c r="D186" s="1491"/>
      <c r="E186" s="1041" t="s">
        <v>808</v>
      </c>
      <c r="F186" s="1491" t="s">
        <v>809</v>
      </c>
      <c r="G186" s="1491"/>
      <c r="H186" s="1491"/>
      <c r="I186" s="1491"/>
      <c r="J186" s="1491"/>
    </row>
    <row r="187" spans="1:10" ht="22.5" customHeight="1">
      <c r="A187" s="1042" t="s">
        <v>810</v>
      </c>
      <c r="B187" s="1490" t="s">
        <v>811</v>
      </c>
      <c r="C187" s="1490"/>
      <c r="D187" s="1490"/>
      <c r="E187" s="1042" t="s">
        <v>812</v>
      </c>
      <c r="F187" s="1490" t="s">
        <v>813</v>
      </c>
      <c r="G187" s="1490"/>
      <c r="H187" s="1490"/>
      <c r="I187" s="1490"/>
      <c r="J187" s="1490"/>
    </row>
    <row r="188" spans="1:10" ht="12.9" customHeight="1">
      <c r="A188" s="1041" t="s">
        <v>814</v>
      </c>
      <c r="B188" s="1491" t="s">
        <v>815</v>
      </c>
      <c r="C188" s="1491"/>
      <c r="D188" s="1491"/>
      <c r="E188" s="1042" t="s">
        <v>816</v>
      </c>
      <c r="F188" s="1490" t="s">
        <v>817</v>
      </c>
      <c r="G188" s="1490"/>
      <c r="H188" s="1490"/>
      <c r="I188" s="1490"/>
      <c r="J188" s="1490"/>
    </row>
    <row r="189" spans="1:10" ht="12.9" customHeight="1">
      <c r="A189" s="1042" t="s">
        <v>818</v>
      </c>
      <c r="B189" s="1490" t="s">
        <v>819</v>
      </c>
      <c r="C189" s="1490"/>
      <c r="D189" s="1490"/>
      <c r="E189" s="1041" t="s">
        <v>820</v>
      </c>
      <c r="F189" s="1491" t="s">
        <v>821</v>
      </c>
      <c r="G189" s="1491"/>
      <c r="H189" s="1491"/>
      <c r="I189" s="1491"/>
      <c r="J189" s="1491"/>
    </row>
    <row r="190" spans="1:10" ht="12.9" customHeight="1">
      <c r="A190" s="1041" t="s">
        <v>822</v>
      </c>
      <c r="B190" s="1491" t="s">
        <v>823</v>
      </c>
      <c r="C190" s="1491"/>
      <c r="D190" s="1491"/>
      <c r="E190" s="1042" t="s">
        <v>824</v>
      </c>
      <c r="F190" s="1490" t="s">
        <v>825</v>
      </c>
      <c r="G190" s="1490"/>
      <c r="H190" s="1490"/>
      <c r="I190" s="1490"/>
      <c r="J190" s="1490"/>
    </row>
    <row r="191" spans="1:10" ht="12.9" customHeight="1">
      <c r="A191" s="1042" t="s">
        <v>826</v>
      </c>
      <c r="B191" s="1490" t="s">
        <v>827</v>
      </c>
      <c r="C191" s="1490"/>
      <c r="D191" s="1490"/>
      <c r="E191" s="1042" t="s">
        <v>828</v>
      </c>
      <c r="F191" s="1490" t="s">
        <v>829</v>
      </c>
      <c r="G191" s="1490"/>
      <c r="H191" s="1490"/>
      <c r="I191" s="1490"/>
      <c r="J191" s="1490"/>
    </row>
    <row r="192" spans="1:10" ht="12.9" customHeight="1">
      <c r="A192" s="1041" t="s">
        <v>830</v>
      </c>
      <c r="B192" s="1491" t="s">
        <v>831</v>
      </c>
      <c r="C192" s="1491"/>
      <c r="D192" s="1491"/>
      <c r="E192" s="1041" t="s">
        <v>832</v>
      </c>
      <c r="F192" s="1491" t="s">
        <v>833</v>
      </c>
      <c r="G192" s="1491"/>
      <c r="H192" s="1491"/>
      <c r="I192" s="1491"/>
      <c r="J192" s="1491"/>
    </row>
    <row r="193" spans="1:10" ht="12.9" customHeight="1">
      <c r="A193" s="1042" t="s">
        <v>834</v>
      </c>
      <c r="B193" s="1490" t="s">
        <v>835</v>
      </c>
      <c r="C193" s="1490"/>
      <c r="D193" s="1490"/>
      <c r="E193" s="1042" t="s">
        <v>836</v>
      </c>
      <c r="F193" s="1490" t="s">
        <v>837</v>
      </c>
      <c r="G193" s="1490"/>
      <c r="H193" s="1490"/>
      <c r="I193" s="1490"/>
      <c r="J193" s="1490"/>
    </row>
    <row r="194" spans="1:10" ht="12.9" customHeight="1">
      <c r="A194" s="1041" t="s">
        <v>838</v>
      </c>
      <c r="B194" s="1491" t="s">
        <v>839</v>
      </c>
      <c r="C194" s="1491"/>
      <c r="D194" s="1491"/>
      <c r="E194" s="1041" t="s">
        <v>840</v>
      </c>
      <c r="F194" s="1491" t="s">
        <v>841</v>
      </c>
      <c r="G194" s="1491"/>
      <c r="H194" s="1491"/>
      <c r="I194" s="1491"/>
      <c r="J194" s="1491"/>
    </row>
    <row r="195" spans="1:10" ht="12.9" customHeight="1">
      <c r="A195" s="1042" t="s">
        <v>842</v>
      </c>
      <c r="B195" s="1490" t="s">
        <v>843</v>
      </c>
      <c r="C195" s="1490"/>
      <c r="D195" s="1490"/>
      <c r="E195" s="1042" t="s">
        <v>844</v>
      </c>
      <c r="F195" s="1490" t="s">
        <v>845</v>
      </c>
      <c r="G195" s="1490"/>
      <c r="H195" s="1490"/>
      <c r="I195" s="1490"/>
      <c r="J195" s="1490"/>
    </row>
    <row r="196" spans="1:10" ht="12.9" customHeight="1">
      <c r="A196" s="1041" t="s">
        <v>846</v>
      </c>
      <c r="B196" s="1491" t="s">
        <v>847</v>
      </c>
      <c r="C196" s="1491"/>
      <c r="D196" s="1491"/>
      <c r="E196" s="1041" t="s">
        <v>848</v>
      </c>
      <c r="F196" s="1491" t="s">
        <v>849</v>
      </c>
      <c r="G196" s="1491"/>
      <c r="H196" s="1491"/>
      <c r="I196" s="1491"/>
      <c r="J196" s="1491"/>
    </row>
    <row r="197" spans="1:10" ht="12.9" customHeight="1">
      <c r="A197" s="1042" t="s">
        <v>850</v>
      </c>
      <c r="B197" s="1490" t="s">
        <v>851</v>
      </c>
      <c r="C197" s="1490"/>
      <c r="D197" s="1490"/>
      <c r="E197" s="1042" t="s">
        <v>852</v>
      </c>
      <c r="F197" s="1490" t="s">
        <v>853</v>
      </c>
      <c r="G197" s="1490"/>
      <c r="H197" s="1490"/>
      <c r="I197" s="1490"/>
      <c r="J197" s="1490"/>
    </row>
    <row r="198" spans="1:10" ht="12.9" customHeight="1">
      <c r="A198" s="1041" t="s">
        <v>854</v>
      </c>
      <c r="B198" s="1491" t="s">
        <v>855</v>
      </c>
      <c r="C198" s="1491"/>
      <c r="D198" s="1491"/>
      <c r="E198" s="1041" t="s">
        <v>856</v>
      </c>
      <c r="F198" s="1491" t="s">
        <v>857</v>
      </c>
      <c r="G198" s="1491"/>
      <c r="H198" s="1491"/>
      <c r="I198" s="1491"/>
      <c r="J198" s="1491"/>
    </row>
    <row r="199" spans="1:10" ht="12.9" customHeight="1">
      <c r="A199" s="1042" t="s">
        <v>858</v>
      </c>
      <c r="B199" s="1490" t="s">
        <v>859</v>
      </c>
      <c r="C199" s="1490"/>
      <c r="D199" s="1490"/>
      <c r="E199" s="1042" t="s">
        <v>860</v>
      </c>
      <c r="F199" s="1490" t="s">
        <v>861</v>
      </c>
      <c r="G199" s="1490"/>
      <c r="H199" s="1490"/>
      <c r="I199" s="1490"/>
      <c r="J199" s="1490"/>
    </row>
    <row r="200" spans="1:10" ht="12.9" customHeight="1">
      <c r="A200" s="1041" t="s">
        <v>862</v>
      </c>
      <c r="B200" s="1491" t="s">
        <v>863</v>
      </c>
      <c r="C200" s="1491"/>
      <c r="D200" s="1491"/>
      <c r="E200" s="1042" t="s">
        <v>864</v>
      </c>
      <c r="F200" s="1490" t="s">
        <v>865</v>
      </c>
      <c r="G200" s="1490"/>
      <c r="H200" s="1490"/>
      <c r="I200" s="1490"/>
      <c r="J200" s="1490"/>
    </row>
    <row r="201" spans="1:10" ht="12.9" customHeight="1">
      <c r="A201" s="1042" t="s">
        <v>866</v>
      </c>
      <c r="B201" s="1490" t="s">
        <v>867</v>
      </c>
      <c r="C201" s="1490"/>
      <c r="D201" s="1490"/>
      <c r="E201" s="1041" t="s">
        <v>868</v>
      </c>
      <c r="F201" s="1491" t="s">
        <v>869</v>
      </c>
      <c r="G201" s="1491"/>
      <c r="H201" s="1491"/>
      <c r="I201" s="1491"/>
      <c r="J201" s="1491"/>
    </row>
    <row r="202" spans="1:10" ht="12.9" customHeight="1">
      <c r="A202" s="1042" t="s">
        <v>870</v>
      </c>
      <c r="B202" s="1490" t="s">
        <v>871</v>
      </c>
      <c r="C202" s="1490"/>
      <c r="D202" s="1490"/>
      <c r="E202" s="1042" t="s">
        <v>872</v>
      </c>
      <c r="F202" s="1490" t="s">
        <v>873</v>
      </c>
      <c r="G202" s="1490"/>
      <c r="H202" s="1490"/>
      <c r="I202" s="1490"/>
      <c r="J202" s="1490"/>
    </row>
    <row r="203" spans="1:10" ht="12.9" customHeight="1">
      <c r="A203" s="1042" t="s">
        <v>874</v>
      </c>
      <c r="B203" s="1490" t="s">
        <v>875</v>
      </c>
      <c r="C203" s="1490"/>
      <c r="D203" s="1490"/>
      <c r="E203" s="1041" t="s">
        <v>876</v>
      </c>
      <c r="F203" s="1491" t="s">
        <v>877</v>
      </c>
      <c r="G203" s="1491"/>
      <c r="H203" s="1491"/>
      <c r="I203" s="1491"/>
      <c r="J203" s="1491"/>
    </row>
    <row r="204" spans="1:10" ht="12.9" customHeight="1">
      <c r="A204" s="1042" t="s">
        <v>878</v>
      </c>
      <c r="B204" s="1490" t="s">
        <v>879</v>
      </c>
      <c r="C204" s="1490"/>
      <c r="D204" s="1490"/>
      <c r="E204" s="1042" t="s">
        <v>880</v>
      </c>
      <c r="F204" s="1490" t="s">
        <v>881</v>
      </c>
      <c r="G204" s="1490"/>
      <c r="H204" s="1490"/>
      <c r="I204" s="1490"/>
      <c r="J204" s="1490"/>
    </row>
    <row r="205" spans="1:10" ht="12.9" customHeight="1">
      <c r="A205" s="1041" t="s">
        <v>882</v>
      </c>
      <c r="B205" s="1491" t="s">
        <v>883</v>
      </c>
      <c r="C205" s="1491"/>
      <c r="D205" s="1491"/>
      <c r="E205" s="1041" t="s">
        <v>884</v>
      </c>
      <c r="F205" s="1491" t="s">
        <v>885</v>
      </c>
      <c r="G205" s="1491"/>
      <c r="H205" s="1491"/>
      <c r="I205" s="1491"/>
      <c r="J205" s="1491"/>
    </row>
    <row r="206" spans="1:10" ht="12.9" customHeight="1">
      <c r="A206" s="1042" t="s">
        <v>886</v>
      </c>
      <c r="B206" s="1490" t="s">
        <v>887</v>
      </c>
      <c r="C206" s="1490"/>
      <c r="D206" s="1490"/>
      <c r="E206" s="1042" t="s">
        <v>888</v>
      </c>
      <c r="F206" s="1490" t="s">
        <v>889</v>
      </c>
      <c r="G206" s="1490"/>
      <c r="H206" s="1490"/>
      <c r="I206" s="1490"/>
      <c r="J206" s="1490"/>
    </row>
    <row r="207" spans="1:10" ht="12.9" customHeight="1">
      <c r="A207" s="1041" t="s">
        <v>890</v>
      </c>
      <c r="B207" s="1491" t="s">
        <v>891</v>
      </c>
      <c r="C207" s="1491"/>
      <c r="D207" s="1491"/>
      <c r="E207" s="1041" t="s">
        <v>892</v>
      </c>
      <c r="F207" s="1491" t="s">
        <v>893</v>
      </c>
      <c r="G207" s="1491"/>
      <c r="H207" s="1491"/>
      <c r="I207" s="1491"/>
      <c r="J207" s="1491"/>
    </row>
    <row r="208" spans="1:10" ht="12.9" customHeight="1">
      <c r="A208" s="1042" t="s">
        <v>894</v>
      </c>
      <c r="B208" s="1490" t="s">
        <v>895</v>
      </c>
      <c r="C208" s="1490"/>
      <c r="D208" s="1490"/>
      <c r="E208" s="1042" t="s">
        <v>896</v>
      </c>
      <c r="F208" s="1490" t="s">
        <v>897</v>
      </c>
      <c r="G208" s="1490"/>
      <c r="H208" s="1490"/>
      <c r="I208" s="1490"/>
      <c r="J208" s="1490"/>
    </row>
    <row r="209" spans="1:10" ht="12.9" customHeight="1">
      <c r="A209" s="1042" t="s">
        <v>898</v>
      </c>
      <c r="B209" s="1490" t="s">
        <v>899</v>
      </c>
      <c r="C209" s="1490"/>
      <c r="D209" s="1490"/>
      <c r="E209" s="1041" t="s">
        <v>900</v>
      </c>
      <c r="F209" s="1491" t="s">
        <v>901</v>
      </c>
      <c r="G209" s="1491"/>
      <c r="H209" s="1491"/>
      <c r="I209" s="1491"/>
      <c r="J209" s="1491"/>
    </row>
    <row r="210" spans="1:10" ht="12.9" customHeight="1">
      <c r="A210" s="1041" t="s">
        <v>902</v>
      </c>
      <c r="B210" s="1491" t="s">
        <v>903</v>
      </c>
      <c r="C210" s="1491"/>
      <c r="D210" s="1491"/>
      <c r="E210" s="1042" t="s">
        <v>904</v>
      </c>
      <c r="F210" s="1490" t="s">
        <v>905</v>
      </c>
      <c r="G210" s="1490"/>
      <c r="H210" s="1490"/>
      <c r="I210" s="1490"/>
      <c r="J210" s="1490"/>
    </row>
    <row r="211" spans="1:10" ht="12.9" customHeight="1">
      <c r="A211" s="1042" t="s">
        <v>906</v>
      </c>
      <c r="B211" s="1490" t="s">
        <v>907</v>
      </c>
      <c r="C211" s="1490"/>
      <c r="D211" s="1490"/>
      <c r="E211" s="1041" t="s">
        <v>908</v>
      </c>
      <c r="F211" s="1491" t="s">
        <v>909</v>
      </c>
      <c r="G211" s="1491"/>
      <c r="H211" s="1491"/>
      <c r="I211" s="1491"/>
      <c r="J211" s="1491"/>
    </row>
    <row r="212" spans="1:10" ht="12.9" customHeight="1">
      <c r="A212" s="1042" t="s">
        <v>910</v>
      </c>
      <c r="B212" s="1490" t="s">
        <v>911</v>
      </c>
      <c r="C212" s="1490"/>
      <c r="D212" s="1490"/>
      <c r="E212" s="1042" t="s">
        <v>912</v>
      </c>
      <c r="F212" s="1490" t="s">
        <v>913</v>
      </c>
      <c r="G212" s="1490"/>
      <c r="H212" s="1490"/>
      <c r="I212" s="1490"/>
      <c r="J212" s="1490"/>
    </row>
    <row r="213" spans="1:10" ht="12.9" customHeight="1">
      <c r="A213" s="1042" t="s">
        <v>914</v>
      </c>
      <c r="B213" s="1490" t="s">
        <v>915</v>
      </c>
      <c r="C213" s="1490"/>
      <c r="D213" s="1490"/>
      <c r="E213" s="1041" t="s">
        <v>916</v>
      </c>
      <c r="F213" s="1491" t="s">
        <v>917</v>
      </c>
      <c r="G213" s="1491"/>
      <c r="H213" s="1491"/>
      <c r="I213" s="1491"/>
      <c r="J213" s="1491"/>
    </row>
    <row r="214" spans="1:10" ht="12.9" customHeight="1">
      <c r="A214" s="1041" t="s">
        <v>918</v>
      </c>
      <c r="B214" s="1491" t="s">
        <v>919</v>
      </c>
      <c r="C214" s="1491"/>
      <c r="D214" s="1491"/>
      <c r="E214" s="1042" t="s">
        <v>920</v>
      </c>
      <c r="F214" s="1490" t="s">
        <v>921</v>
      </c>
      <c r="G214" s="1490"/>
      <c r="H214" s="1490"/>
      <c r="I214" s="1490"/>
      <c r="J214" s="1490"/>
    </row>
    <row r="215" spans="1:10" ht="22.5" customHeight="1">
      <c r="A215" s="1042" t="s">
        <v>922</v>
      </c>
      <c r="B215" s="1490" t="s">
        <v>923</v>
      </c>
      <c r="C215" s="1490"/>
      <c r="D215" s="1490"/>
      <c r="E215" s="1041" t="s">
        <v>924</v>
      </c>
      <c r="F215" s="1491" t="s">
        <v>925</v>
      </c>
      <c r="G215" s="1491"/>
      <c r="H215" s="1491"/>
      <c r="I215" s="1491"/>
      <c r="J215" s="1491"/>
    </row>
    <row r="216" spans="1:10" ht="12.9" customHeight="1">
      <c r="A216" s="1041" t="s">
        <v>926</v>
      </c>
      <c r="B216" s="1491" t="s">
        <v>927</v>
      </c>
      <c r="C216" s="1491"/>
      <c r="D216" s="1491"/>
      <c r="E216" s="1042" t="s">
        <v>928</v>
      </c>
      <c r="F216" s="1490" t="s">
        <v>929</v>
      </c>
      <c r="G216" s="1490"/>
      <c r="H216" s="1490"/>
      <c r="I216" s="1490"/>
      <c r="J216" s="1490"/>
    </row>
    <row r="217" spans="1:10" ht="12.9" customHeight="1">
      <c r="A217" s="1042" t="s">
        <v>930</v>
      </c>
      <c r="B217" s="1490" t="s">
        <v>931</v>
      </c>
      <c r="C217" s="1490"/>
      <c r="D217" s="1490"/>
      <c r="E217" s="1041" t="s">
        <v>932</v>
      </c>
      <c r="F217" s="1491" t="s">
        <v>933</v>
      </c>
      <c r="G217" s="1491"/>
      <c r="H217" s="1491"/>
      <c r="I217" s="1491"/>
      <c r="J217" s="1491"/>
    </row>
    <row r="218" spans="1:10" ht="12.9" customHeight="1">
      <c r="A218" s="1041" t="s">
        <v>934</v>
      </c>
      <c r="B218" s="1491" t="s">
        <v>935</v>
      </c>
      <c r="C218" s="1491"/>
      <c r="D218" s="1491"/>
      <c r="E218" s="1042" t="s">
        <v>936</v>
      </c>
      <c r="F218" s="1490" t="s">
        <v>937</v>
      </c>
      <c r="G218" s="1490"/>
      <c r="H218" s="1490"/>
      <c r="I218" s="1490"/>
      <c r="J218" s="1490"/>
    </row>
    <row r="219" spans="1:10" ht="12.9" customHeight="1">
      <c r="A219" s="1042" t="s">
        <v>938</v>
      </c>
      <c r="B219" s="1490" t="s">
        <v>939</v>
      </c>
      <c r="C219" s="1490"/>
      <c r="D219" s="1490"/>
      <c r="E219" s="1041" t="s">
        <v>940</v>
      </c>
      <c r="F219" s="1491" t="s">
        <v>941</v>
      </c>
      <c r="G219" s="1491"/>
      <c r="H219" s="1491"/>
      <c r="I219" s="1491"/>
      <c r="J219" s="1491"/>
    </row>
    <row r="220" spans="1:10" ht="27.75" customHeight="1">
      <c r="A220" s="1041" t="s">
        <v>942</v>
      </c>
      <c r="B220" s="1491" t="s">
        <v>943</v>
      </c>
      <c r="C220" s="1491"/>
      <c r="D220" s="1491"/>
      <c r="E220" s="1042" t="s">
        <v>944</v>
      </c>
      <c r="F220" s="1490" t="s">
        <v>945</v>
      </c>
      <c r="G220" s="1490"/>
      <c r="H220" s="1490"/>
      <c r="I220" s="1490"/>
      <c r="J220" s="1490"/>
    </row>
    <row r="221" spans="1:10" ht="12.9" customHeight="1">
      <c r="A221" s="1042" t="s">
        <v>946</v>
      </c>
      <c r="B221" s="1490" t="s">
        <v>947</v>
      </c>
      <c r="C221" s="1490"/>
      <c r="D221" s="1490"/>
      <c r="E221" s="1042" t="s">
        <v>948</v>
      </c>
      <c r="F221" s="1490" t="s">
        <v>949</v>
      </c>
      <c r="G221" s="1490"/>
      <c r="H221" s="1490"/>
      <c r="I221" s="1490"/>
      <c r="J221" s="1490"/>
    </row>
    <row r="222" spans="1:10" ht="12.9" customHeight="1">
      <c r="A222" s="1041" t="s">
        <v>950</v>
      </c>
      <c r="B222" s="1491" t="s">
        <v>951</v>
      </c>
      <c r="C222" s="1491"/>
      <c r="D222" s="1491"/>
      <c r="E222" s="1042" t="s">
        <v>952</v>
      </c>
      <c r="F222" s="1490" t="s">
        <v>953</v>
      </c>
      <c r="G222" s="1490"/>
      <c r="H222" s="1490"/>
      <c r="I222" s="1490"/>
      <c r="J222" s="1490"/>
    </row>
    <row r="223" spans="1:10" ht="12.9" customHeight="1">
      <c r="A223" s="1042" t="s">
        <v>954</v>
      </c>
      <c r="B223" s="1490" t="s">
        <v>955</v>
      </c>
      <c r="C223" s="1490"/>
      <c r="D223" s="1490"/>
      <c r="E223" s="1041" t="s">
        <v>956</v>
      </c>
      <c r="F223" s="1491" t="s">
        <v>957</v>
      </c>
      <c r="G223" s="1491"/>
      <c r="H223" s="1491"/>
      <c r="I223" s="1491"/>
      <c r="J223" s="1491"/>
    </row>
    <row r="224" spans="1:10" ht="12.9" customHeight="1">
      <c r="A224" s="1041" t="s">
        <v>958</v>
      </c>
      <c r="B224" s="1491" t="s">
        <v>959</v>
      </c>
      <c r="C224" s="1491"/>
      <c r="D224" s="1491"/>
      <c r="E224" s="1042" t="s">
        <v>960</v>
      </c>
      <c r="F224" s="1490" t="s">
        <v>961</v>
      </c>
      <c r="G224" s="1490"/>
      <c r="H224" s="1490"/>
      <c r="I224" s="1490"/>
      <c r="J224" s="1490"/>
    </row>
    <row r="225" spans="1:10" ht="12.9" customHeight="1">
      <c r="A225" s="1042" t="s">
        <v>962</v>
      </c>
      <c r="B225" s="1490" t="s">
        <v>963</v>
      </c>
      <c r="C225" s="1490"/>
      <c r="D225" s="1490"/>
      <c r="E225" s="1042" t="s">
        <v>964</v>
      </c>
      <c r="F225" s="1490" t="s">
        <v>965</v>
      </c>
      <c r="G225" s="1490"/>
      <c r="H225" s="1490"/>
      <c r="I225" s="1490"/>
      <c r="J225" s="1490"/>
    </row>
    <row r="226" spans="1:10" ht="12.9" customHeight="1">
      <c r="A226" s="1041" t="s">
        <v>966</v>
      </c>
      <c r="B226" s="1491" t="s">
        <v>967</v>
      </c>
      <c r="C226" s="1491"/>
      <c r="D226" s="1491"/>
      <c r="E226" s="1041" t="s">
        <v>968</v>
      </c>
      <c r="F226" s="1491" t="s">
        <v>969</v>
      </c>
      <c r="G226" s="1491"/>
      <c r="H226" s="1491"/>
      <c r="I226" s="1491"/>
      <c r="J226" s="1491"/>
    </row>
    <row r="227" spans="1:10" ht="12.9" customHeight="1">
      <c r="A227" s="1042" t="s">
        <v>970</v>
      </c>
      <c r="B227" s="1490" t="s">
        <v>971</v>
      </c>
      <c r="C227" s="1490"/>
      <c r="D227" s="1490"/>
      <c r="E227" s="1042" t="s">
        <v>972</v>
      </c>
      <c r="F227" s="1490" t="s">
        <v>973</v>
      </c>
      <c r="G227" s="1490"/>
      <c r="H227" s="1490"/>
      <c r="I227" s="1490"/>
      <c r="J227" s="1490"/>
    </row>
    <row r="228" spans="1:10" ht="12.9" customHeight="1">
      <c r="A228" s="1042" t="s">
        <v>974</v>
      </c>
      <c r="B228" s="1490" t="s">
        <v>975</v>
      </c>
      <c r="C228" s="1490"/>
      <c r="D228" s="1490"/>
      <c r="E228" s="1041" t="s">
        <v>976</v>
      </c>
      <c r="F228" s="1491" t="s">
        <v>977</v>
      </c>
      <c r="G228" s="1491"/>
      <c r="H228" s="1491"/>
      <c r="I228" s="1491"/>
      <c r="J228" s="1491"/>
    </row>
    <row r="229" spans="1:10" ht="12.9" customHeight="1">
      <c r="A229" s="1041" t="s">
        <v>978</v>
      </c>
      <c r="B229" s="1491" t="s">
        <v>979</v>
      </c>
      <c r="C229" s="1491"/>
      <c r="D229" s="1491"/>
      <c r="E229" s="1042" t="s">
        <v>980</v>
      </c>
      <c r="F229" s="1490" t="s">
        <v>981</v>
      </c>
      <c r="G229" s="1490"/>
      <c r="H229" s="1490"/>
      <c r="I229" s="1490"/>
      <c r="J229" s="1490"/>
    </row>
    <row r="230" spans="1:10" ht="12.9" customHeight="1">
      <c r="A230" s="1042" t="s">
        <v>982</v>
      </c>
      <c r="B230" s="1490" t="s">
        <v>983</v>
      </c>
      <c r="C230" s="1490"/>
      <c r="D230" s="1490"/>
      <c r="E230" s="1042" t="s">
        <v>984</v>
      </c>
      <c r="F230" s="1490" t="s">
        <v>985</v>
      </c>
      <c r="G230" s="1490"/>
      <c r="H230" s="1490"/>
      <c r="I230" s="1490"/>
      <c r="J230" s="1490"/>
    </row>
    <row r="231" spans="1:10" ht="12.9" customHeight="1">
      <c r="A231" s="1041" t="s">
        <v>986</v>
      </c>
      <c r="B231" s="1491" t="s">
        <v>987</v>
      </c>
      <c r="C231" s="1491"/>
      <c r="D231" s="1491"/>
      <c r="E231" s="1042" t="s">
        <v>988</v>
      </c>
      <c r="F231" s="1490" t="s">
        <v>989</v>
      </c>
      <c r="G231" s="1490"/>
      <c r="H231" s="1490"/>
      <c r="I231" s="1490"/>
      <c r="J231" s="1490"/>
    </row>
    <row r="232" spans="1:10" ht="12.9" customHeight="1">
      <c r="A232" s="1042" t="s">
        <v>990</v>
      </c>
      <c r="B232" s="1490" t="s">
        <v>991</v>
      </c>
      <c r="C232" s="1490"/>
      <c r="D232" s="1490"/>
      <c r="E232" s="1042" t="s">
        <v>992</v>
      </c>
      <c r="F232" s="1490" t="s">
        <v>993</v>
      </c>
      <c r="G232" s="1490"/>
      <c r="H232" s="1490"/>
      <c r="I232" s="1490"/>
      <c r="J232" s="1490"/>
    </row>
    <row r="233" spans="1:10" ht="21.75" customHeight="1">
      <c r="A233" s="1041" t="s">
        <v>994</v>
      </c>
      <c r="B233" s="1491" t="s">
        <v>995</v>
      </c>
      <c r="C233" s="1491"/>
      <c r="D233" s="1491"/>
      <c r="E233" s="1041" t="s">
        <v>996</v>
      </c>
      <c r="F233" s="1491" t="s">
        <v>997</v>
      </c>
      <c r="G233" s="1491"/>
      <c r="H233" s="1491"/>
      <c r="I233" s="1491"/>
      <c r="J233" s="1491"/>
    </row>
    <row r="234" spans="1:10" ht="12.9" customHeight="1">
      <c r="A234" s="1042" t="s">
        <v>998</v>
      </c>
      <c r="B234" s="1490" t="s">
        <v>999</v>
      </c>
      <c r="C234" s="1490"/>
      <c r="D234" s="1490"/>
      <c r="E234" s="1042" t="s">
        <v>1000</v>
      </c>
      <c r="F234" s="1490" t="s">
        <v>1001</v>
      </c>
      <c r="G234" s="1490"/>
      <c r="H234" s="1490"/>
      <c r="I234" s="1490"/>
      <c r="J234" s="1490"/>
    </row>
    <row r="235" spans="1:10" ht="12.9" customHeight="1">
      <c r="A235" s="1041" t="s">
        <v>1002</v>
      </c>
      <c r="B235" s="1491" t="s">
        <v>1003</v>
      </c>
      <c r="C235" s="1491"/>
      <c r="D235" s="1491"/>
      <c r="E235" s="1041" t="s">
        <v>1004</v>
      </c>
      <c r="F235" s="1491" t="s">
        <v>1005</v>
      </c>
      <c r="G235" s="1491"/>
      <c r="H235" s="1491"/>
      <c r="I235" s="1491"/>
      <c r="J235" s="1491"/>
    </row>
    <row r="236" spans="1:10" ht="21.75" customHeight="1">
      <c r="A236" s="1042" t="s">
        <v>1006</v>
      </c>
      <c r="B236" s="1490" t="s">
        <v>1007</v>
      </c>
      <c r="C236" s="1490"/>
      <c r="D236" s="1490"/>
      <c r="E236" s="1042" t="s">
        <v>1008</v>
      </c>
      <c r="F236" s="1490" t="s">
        <v>1009</v>
      </c>
      <c r="G236" s="1490"/>
      <c r="H236" s="1490"/>
      <c r="I236" s="1490"/>
      <c r="J236" s="1490"/>
    </row>
    <row r="237" spans="1:10" ht="21.75" customHeight="1">
      <c r="A237" s="1042" t="s">
        <v>1010</v>
      </c>
      <c r="B237" s="1490" t="s">
        <v>1011</v>
      </c>
      <c r="C237" s="1490"/>
      <c r="D237" s="1490"/>
      <c r="E237" s="1042" t="s">
        <v>1012</v>
      </c>
      <c r="F237" s="1490" t="s">
        <v>1013</v>
      </c>
      <c r="G237" s="1490"/>
      <c r="H237" s="1490"/>
      <c r="I237" s="1490"/>
      <c r="J237" s="1490"/>
    </row>
    <row r="238" spans="1:10" ht="12.9" customHeight="1">
      <c r="A238" s="1042" t="s">
        <v>1014</v>
      </c>
      <c r="B238" s="1490" t="s">
        <v>1015</v>
      </c>
      <c r="C238" s="1490"/>
      <c r="D238" s="1490"/>
      <c r="E238" s="1041" t="s">
        <v>1016</v>
      </c>
      <c r="F238" s="1491" t="s">
        <v>1017</v>
      </c>
      <c r="G238" s="1491"/>
      <c r="H238" s="1491"/>
      <c r="I238" s="1491"/>
      <c r="J238" s="1491"/>
    </row>
    <row r="239" spans="1:10" ht="12.9" customHeight="1">
      <c r="A239" s="1043"/>
      <c r="B239" s="1044"/>
      <c r="C239" s="1044"/>
      <c r="D239" s="1045"/>
      <c r="E239" s="1046" t="s">
        <v>1018</v>
      </c>
      <c r="F239" s="1492" t="s">
        <v>1019</v>
      </c>
      <c r="G239" s="1493"/>
      <c r="H239" s="1493"/>
      <c r="I239" s="1493"/>
      <c r="J239" s="1494"/>
    </row>
  </sheetData>
  <sheetProtection algorithmName="SHA-512" hashValue="vLTXxiSRqOVlbI0OJlVhy8xVM9GngNyccXqt4oBi6mV7rLe7iTw/TYEopdCD72oIxFJNo5yl9AZprLvIzttcOw==" saltValue="DCb5c016UFxrlLOmsaEnmw==" spinCount="100000" sheet="1" objects="1" scenarios="1" selectLockedCells="1"/>
  <mergeCells count="471">
    <mergeCell ref="A7:J7"/>
    <mergeCell ref="A8:J8"/>
    <mergeCell ref="A9:J9"/>
    <mergeCell ref="A10:J10"/>
    <mergeCell ref="B11:D11"/>
    <mergeCell ref="F11:J11"/>
    <mergeCell ref="A1:J1"/>
    <mergeCell ref="H2:J2"/>
    <mergeCell ref="C3:J3"/>
    <mergeCell ref="B4:G4"/>
    <mergeCell ref="I4:J4"/>
    <mergeCell ref="A5:B5"/>
    <mergeCell ref="C5:D5"/>
    <mergeCell ref="I5:J5"/>
    <mergeCell ref="C6:E6"/>
    <mergeCell ref="F6:G6"/>
    <mergeCell ref="B15:D15"/>
    <mergeCell ref="F15:J15"/>
    <mergeCell ref="B16:D16"/>
    <mergeCell ref="F16:J16"/>
    <mergeCell ref="B17:D17"/>
    <mergeCell ref="F17:J17"/>
    <mergeCell ref="B12:D12"/>
    <mergeCell ref="F12:J12"/>
    <mergeCell ref="B13:D13"/>
    <mergeCell ref="F13:J13"/>
    <mergeCell ref="B14:D14"/>
    <mergeCell ref="F14:J14"/>
    <mergeCell ref="B21:D21"/>
    <mergeCell ref="F21:J21"/>
    <mergeCell ref="B22:D22"/>
    <mergeCell ref="F22:J22"/>
    <mergeCell ref="B23:D23"/>
    <mergeCell ref="F23:J23"/>
    <mergeCell ref="B18:D18"/>
    <mergeCell ref="F18:J18"/>
    <mergeCell ref="B19:D19"/>
    <mergeCell ref="F19:J19"/>
    <mergeCell ref="B20:D20"/>
    <mergeCell ref="F20:J20"/>
    <mergeCell ref="B27:D27"/>
    <mergeCell ref="F27:J27"/>
    <mergeCell ref="B28:D28"/>
    <mergeCell ref="F28:J28"/>
    <mergeCell ref="B29:D29"/>
    <mergeCell ref="F29:J29"/>
    <mergeCell ref="B24:D24"/>
    <mergeCell ref="F24:J24"/>
    <mergeCell ref="B25:D25"/>
    <mergeCell ref="F25:J25"/>
    <mergeCell ref="B26:D26"/>
    <mergeCell ref="F26:J26"/>
    <mergeCell ref="B33:D33"/>
    <mergeCell ref="F33:J33"/>
    <mergeCell ref="B34:D34"/>
    <mergeCell ref="F34:J34"/>
    <mergeCell ref="B35:D35"/>
    <mergeCell ref="F35:J35"/>
    <mergeCell ref="B30:D30"/>
    <mergeCell ref="F30:J30"/>
    <mergeCell ref="B31:D31"/>
    <mergeCell ref="F31:J31"/>
    <mergeCell ref="B32:D32"/>
    <mergeCell ref="F32:J32"/>
    <mergeCell ref="B39:D39"/>
    <mergeCell ref="F39:J39"/>
    <mergeCell ref="B40:D40"/>
    <mergeCell ref="F40:J40"/>
    <mergeCell ref="B41:D41"/>
    <mergeCell ref="F41:J41"/>
    <mergeCell ref="B36:D36"/>
    <mergeCell ref="F36:J36"/>
    <mergeCell ref="B37:D37"/>
    <mergeCell ref="F37:J37"/>
    <mergeCell ref="B38:D38"/>
    <mergeCell ref="F38:J38"/>
    <mergeCell ref="B45:D45"/>
    <mergeCell ref="F45:J45"/>
    <mergeCell ref="B46:D46"/>
    <mergeCell ref="F46:J46"/>
    <mergeCell ref="B47:D47"/>
    <mergeCell ref="F47:J47"/>
    <mergeCell ref="B42:D42"/>
    <mergeCell ref="F42:J42"/>
    <mergeCell ref="B43:D43"/>
    <mergeCell ref="F43:J43"/>
    <mergeCell ref="B44:D44"/>
    <mergeCell ref="F44:J44"/>
    <mergeCell ref="B51:D51"/>
    <mergeCell ref="F51:J51"/>
    <mergeCell ref="B52:D52"/>
    <mergeCell ref="F52:J52"/>
    <mergeCell ref="B53:D53"/>
    <mergeCell ref="F53:J53"/>
    <mergeCell ref="B48:D48"/>
    <mergeCell ref="F48:J48"/>
    <mergeCell ref="B49:D49"/>
    <mergeCell ref="F49:J49"/>
    <mergeCell ref="B50:D50"/>
    <mergeCell ref="F50:J50"/>
    <mergeCell ref="B57:D57"/>
    <mergeCell ref="F57:J57"/>
    <mergeCell ref="B58:D58"/>
    <mergeCell ref="F58:J58"/>
    <mergeCell ref="B59:D59"/>
    <mergeCell ref="F59:J59"/>
    <mergeCell ref="B54:D54"/>
    <mergeCell ref="F54:J54"/>
    <mergeCell ref="B55:D55"/>
    <mergeCell ref="F55:J55"/>
    <mergeCell ref="B56:D56"/>
    <mergeCell ref="F56:J56"/>
    <mergeCell ref="B63:D63"/>
    <mergeCell ref="F63:J63"/>
    <mergeCell ref="B64:D64"/>
    <mergeCell ref="F64:J64"/>
    <mergeCell ref="B65:D65"/>
    <mergeCell ref="F65:J65"/>
    <mergeCell ref="B60:D60"/>
    <mergeCell ref="F60:J60"/>
    <mergeCell ref="B61:D61"/>
    <mergeCell ref="F61:J61"/>
    <mergeCell ref="B62:D62"/>
    <mergeCell ref="F62:J62"/>
    <mergeCell ref="B69:D69"/>
    <mergeCell ref="F69:J69"/>
    <mergeCell ref="B70:D70"/>
    <mergeCell ref="F70:J70"/>
    <mergeCell ref="B71:D71"/>
    <mergeCell ref="F71:J71"/>
    <mergeCell ref="B66:D66"/>
    <mergeCell ref="F66:J66"/>
    <mergeCell ref="B67:D67"/>
    <mergeCell ref="F67:J67"/>
    <mergeCell ref="B68:D68"/>
    <mergeCell ref="F68:J68"/>
    <mergeCell ref="B75:D75"/>
    <mergeCell ref="F75:J75"/>
    <mergeCell ref="B76:D76"/>
    <mergeCell ref="F76:J76"/>
    <mergeCell ref="B77:D77"/>
    <mergeCell ref="F77:J77"/>
    <mergeCell ref="B72:D72"/>
    <mergeCell ref="F72:J72"/>
    <mergeCell ref="B73:D73"/>
    <mergeCell ref="F73:J73"/>
    <mergeCell ref="B74:D74"/>
    <mergeCell ref="F74:J74"/>
    <mergeCell ref="B81:D81"/>
    <mergeCell ref="F81:J81"/>
    <mergeCell ref="B82:D82"/>
    <mergeCell ref="F82:J82"/>
    <mergeCell ref="B83:D83"/>
    <mergeCell ref="F83:J83"/>
    <mergeCell ref="B78:D78"/>
    <mergeCell ref="F78:J78"/>
    <mergeCell ref="B79:D79"/>
    <mergeCell ref="F79:J79"/>
    <mergeCell ref="B80:D80"/>
    <mergeCell ref="F80:J80"/>
    <mergeCell ref="B87:D87"/>
    <mergeCell ref="F87:J87"/>
    <mergeCell ref="B88:D88"/>
    <mergeCell ref="F88:J88"/>
    <mergeCell ref="B89:D89"/>
    <mergeCell ref="F89:J89"/>
    <mergeCell ref="B84:D84"/>
    <mergeCell ref="F84:J84"/>
    <mergeCell ref="B85:D85"/>
    <mergeCell ref="F85:J85"/>
    <mergeCell ref="B86:D86"/>
    <mergeCell ref="F86:J86"/>
    <mergeCell ref="B93:D93"/>
    <mergeCell ref="F93:J93"/>
    <mergeCell ref="B94:D94"/>
    <mergeCell ref="F94:J94"/>
    <mergeCell ref="B95:D95"/>
    <mergeCell ref="F95:J95"/>
    <mergeCell ref="B90:D90"/>
    <mergeCell ref="F90:J90"/>
    <mergeCell ref="B91:D91"/>
    <mergeCell ref="F91:J91"/>
    <mergeCell ref="B92:D92"/>
    <mergeCell ref="F92:J92"/>
    <mergeCell ref="B99:D99"/>
    <mergeCell ref="F99:J99"/>
    <mergeCell ref="B100:D100"/>
    <mergeCell ref="F100:J100"/>
    <mergeCell ref="B101:D101"/>
    <mergeCell ref="F101:J101"/>
    <mergeCell ref="B96:D96"/>
    <mergeCell ref="F96:J96"/>
    <mergeCell ref="B97:D97"/>
    <mergeCell ref="F97:J97"/>
    <mergeCell ref="B98:D98"/>
    <mergeCell ref="F98:J98"/>
    <mergeCell ref="B105:D105"/>
    <mergeCell ref="F105:J105"/>
    <mergeCell ref="B106:D106"/>
    <mergeCell ref="F106:J106"/>
    <mergeCell ref="B107:D107"/>
    <mergeCell ref="F107:J107"/>
    <mergeCell ref="B102:D102"/>
    <mergeCell ref="F102:J102"/>
    <mergeCell ref="B103:D103"/>
    <mergeCell ref="F103:J103"/>
    <mergeCell ref="B104:D104"/>
    <mergeCell ref="F104:J104"/>
    <mergeCell ref="B111:D111"/>
    <mergeCell ref="F111:J111"/>
    <mergeCell ref="B112:D112"/>
    <mergeCell ref="F112:J112"/>
    <mergeCell ref="B113:D113"/>
    <mergeCell ref="F113:J113"/>
    <mergeCell ref="B108:D108"/>
    <mergeCell ref="F108:J108"/>
    <mergeCell ref="B109:D109"/>
    <mergeCell ref="F109:J109"/>
    <mergeCell ref="B110:D110"/>
    <mergeCell ref="F110:J110"/>
    <mergeCell ref="B117:D117"/>
    <mergeCell ref="F117:J117"/>
    <mergeCell ref="B118:D118"/>
    <mergeCell ref="F118:J118"/>
    <mergeCell ref="B119:D119"/>
    <mergeCell ref="F119:J119"/>
    <mergeCell ref="B114:D114"/>
    <mergeCell ref="F114:J114"/>
    <mergeCell ref="B115:D115"/>
    <mergeCell ref="F115:J115"/>
    <mergeCell ref="B116:D116"/>
    <mergeCell ref="F116:J116"/>
    <mergeCell ref="B123:D123"/>
    <mergeCell ref="F123:J123"/>
    <mergeCell ref="B124:D124"/>
    <mergeCell ref="F124:J124"/>
    <mergeCell ref="B125:D125"/>
    <mergeCell ref="F125:J125"/>
    <mergeCell ref="B120:D120"/>
    <mergeCell ref="F120:J120"/>
    <mergeCell ref="B121:D121"/>
    <mergeCell ref="F121:J121"/>
    <mergeCell ref="B122:D122"/>
    <mergeCell ref="F122:J122"/>
    <mergeCell ref="B129:D129"/>
    <mergeCell ref="F129:J129"/>
    <mergeCell ref="B130:D130"/>
    <mergeCell ref="F130:J130"/>
    <mergeCell ref="B131:D131"/>
    <mergeCell ref="F131:J131"/>
    <mergeCell ref="B126:D126"/>
    <mergeCell ref="F126:J126"/>
    <mergeCell ref="B127:D127"/>
    <mergeCell ref="F127:J127"/>
    <mergeCell ref="B128:D128"/>
    <mergeCell ref="F128:J128"/>
    <mergeCell ref="B135:D135"/>
    <mergeCell ref="F135:J135"/>
    <mergeCell ref="B136:D136"/>
    <mergeCell ref="F136:J136"/>
    <mergeCell ref="B137:D137"/>
    <mergeCell ref="F137:J137"/>
    <mergeCell ref="B132:D132"/>
    <mergeCell ref="F132:J132"/>
    <mergeCell ref="B133:D133"/>
    <mergeCell ref="F133:J133"/>
    <mergeCell ref="B134:D134"/>
    <mergeCell ref="F134:J134"/>
    <mergeCell ref="B141:D141"/>
    <mergeCell ref="F141:J141"/>
    <mergeCell ref="B142:D142"/>
    <mergeCell ref="F142:J142"/>
    <mergeCell ref="B143:D143"/>
    <mergeCell ref="F143:J143"/>
    <mergeCell ref="B138:D138"/>
    <mergeCell ref="F138:J138"/>
    <mergeCell ref="B139:D139"/>
    <mergeCell ref="F139:J139"/>
    <mergeCell ref="B140:D140"/>
    <mergeCell ref="F140:J140"/>
    <mergeCell ref="B147:D147"/>
    <mergeCell ref="F147:J147"/>
    <mergeCell ref="B148:D148"/>
    <mergeCell ref="F148:J148"/>
    <mergeCell ref="B149:D149"/>
    <mergeCell ref="F149:J149"/>
    <mergeCell ref="B144:D144"/>
    <mergeCell ref="F144:J144"/>
    <mergeCell ref="B145:D145"/>
    <mergeCell ref="F145:J145"/>
    <mergeCell ref="B146:D146"/>
    <mergeCell ref="F146:J146"/>
    <mergeCell ref="B153:D153"/>
    <mergeCell ref="F153:J153"/>
    <mergeCell ref="B154:D154"/>
    <mergeCell ref="F154:J154"/>
    <mergeCell ref="B155:D155"/>
    <mergeCell ref="F155:J155"/>
    <mergeCell ref="B150:D150"/>
    <mergeCell ref="F150:J150"/>
    <mergeCell ref="B151:D151"/>
    <mergeCell ref="F151:J151"/>
    <mergeCell ref="B152:D152"/>
    <mergeCell ref="F152:J152"/>
    <mergeCell ref="B159:D159"/>
    <mergeCell ref="F159:J159"/>
    <mergeCell ref="B160:D160"/>
    <mergeCell ref="F160:J160"/>
    <mergeCell ref="B161:D161"/>
    <mergeCell ref="F161:J161"/>
    <mergeCell ref="B156:D156"/>
    <mergeCell ref="F156:J156"/>
    <mergeCell ref="B157:D157"/>
    <mergeCell ref="F157:J157"/>
    <mergeCell ref="B158:D158"/>
    <mergeCell ref="F158:J158"/>
    <mergeCell ref="B165:D165"/>
    <mergeCell ref="F165:J165"/>
    <mergeCell ref="B166:D166"/>
    <mergeCell ref="F166:J166"/>
    <mergeCell ref="B167:D167"/>
    <mergeCell ref="F167:J167"/>
    <mergeCell ref="B162:D162"/>
    <mergeCell ref="F162:J162"/>
    <mergeCell ref="B163:D163"/>
    <mergeCell ref="F163:J163"/>
    <mergeCell ref="B164:D164"/>
    <mergeCell ref="F164:J164"/>
    <mergeCell ref="B171:D171"/>
    <mergeCell ref="F171:J171"/>
    <mergeCell ref="B172:D172"/>
    <mergeCell ref="F172:J172"/>
    <mergeCell ref="B173:D173"/>
    <mergeCell ref="F173:J173"/>
    <mergeCell ref="B168:D168"/>
    <mergeCell ref="F168:J168"/>
    <mergeCell ref="B169:D169"/>
    <mergeCell ref="F169:J169"/>
    <mergeCell ref="B170:D170"/>
    <mergeCell ref="F170:J170"/>
    <mergeCell ref="B177:D177"/>
    <mergeCell ref="F177:J177"/>
    <mergeCell ref="B178:D178"/>
    <mergeCell ref="F178:J178"/>
    <mergeCell ref="B179:D179"/>
    <mergeCell ref="F179:J179"/>
    <mergeCell ref="B174:D174"/>
    <mergeCell ref="F174:J174"/>
    <mergeCell ref="B175:D175"/>
    <mergeCell ref="F175:J175"/>
    <mergeCell ref="B176:D176"/>
    <mergeCell ref="F176:J176"/>
    <mergeCell ref="B183:D183"/>
    <mergeCell ref="F183:J183"/>
    <mergeCell ref="B184:D184"/>
    <mergeCell ref="F184:J184"/>
    <mergeCell ref="B185:D185"/>
    <mergeCell ref="F185:J185"/>
    <mergeCell ref="B180:D180"/>
    <mergeCell ref="F180:J180"/>
    <mergeCell ref="B181:D181"/>
    <mergeCell ref="F181:J181"/>
    <mergeCell ref="B182:D182"/>
    <mergeCell ref="F182:J182"/>
    <mergeCell ref="B189:D189"/>
    <mergeCell ref="F189:J189"/>
    <mergeCell ref="B190:D190"/>
    <mergeCell ref="F190:J190"/>
    <mergeCell ref="B191:D191"/>
    <mergeCell ref="F191:J191"/>
    <mergeCell ref="B186:D186"/>
    <mergeCell ref="F186:J186"/>
    <mergeCell ref="B187:D187"/>
    <mergeCell ref="F187:J187"/>
    <mergeCell ref="B188:D188"/>
    <mergeCell ref="F188:J188"/>
    <mergeCell ref="B195:D195"/>
    <mergeCell ref="F195:J195"/>
    <mergeCell ref="B196:D196"/>
    <mergeCell ref="F196:J196"/>
    <mergeCell ref="B197:D197"/>
    <mergeCell ref="F197:J197"/>
    <mergeCell ref="B192:D192"/>
    <mergeCell ref="F192:J192"/>
    <mergeCell ref="B193:D193"/>
    <mergeCell ref="F193:J193"/>
    <mergeCell ref="B194:D194"/>
    <mergeCell ref="F194:J194"/>
    <mergeCell ref="B201:D201"/>
    <mergeCell ref="F201:J201"/>
    <mergeCell ref="B202:D202"/>
    <mergeCell ref="F202:J202"/>
    <mergeCell ref="B203:D203"/>
    <mergeCell ref="F203:J203"/>
    <mergeCell ref="B198:D198"/>
    <mergeCell ref="F198:J198"/>
    <mergeCell ref="B199:D199"/>
    <mergeCell ref="F199:J199"/>
    <mergeCell ref="B200:D200"/>
    <mergeCell ref="F200:J200"/>
    <mergeCell ref="B207:D207"/>
    <mergeCell ref="F207:J207"/>
    <mergeCell ref="B208:D208"/>
    <mergeCell ref="F208:J208"/>
    <mergeCell ref="B209:D209"/>
    <mergeCell ref="F209:J209"/>
    <mergeCell ref="B204:D204"/>
    <mergeCell ref="F204:J204"/>
    <mergeCell ref="B205:D205"/>
    <mergeCell ref="F205:J205"/>
    <mergeCell ref="B206:D206"/>
    <mergeCell ref="F206:J206"/>
    <mergeCell ref="B213:D213"/>
    <mergeCell ref="F213:J213"/>
    <mergeCell ref="B214:D214"/>
    <mergeCell ref="F214:J214"/>
    <mergeCell ref="B215:D215"/>
    <mergeCell ref="F215:J215"/>
    <mergeCell ref="B210:D210"/>
    <mergeCell ref="F210:J210"/>
    <mergeCell ref="B211:D211"/>
    <mergeCell ref="F211:J211"/>
    <mergeCell ref="B212:D212"/>
    <mergeCell ref="F212:J212"/>
    <mergeCell ref="B219:D219"/>
    <mergeCell ref="F219:J219"/>
    <mergeCell ref="B220:D220"/>
    <mergeCell ref="F220:J220"/>
    <mergeCell ref="B221:D221"/>
    <mergeCell ref="F221:J221"/>
    <mergeCell ref="B216:D216"/>
    <mergeCell ref="F216:J216"/>
    <mergeCell ref="B217:D217"/>
    <mergeCell ref="F217:J217"/>
    <mergeCell ref="B218:D218"/>
    <mergeCell ref="F218:J218"/>
    <mergeCell ref="B225:D225"/>
    <mergeCell ref="F225:J225"/>
    <mergeCell ref="B226:D226"/>
    <mergeCell ref="F226:J226"/>
    <mergeCell ref="B227:D227"/>
    <mergeCell ref="F227:J227"/>
    <mergeCell ref="B222:D222"/>
    <mergeCell ref="F222:J222"/>
    <mergeCell ref="B223:D223"/>
    <mergeCell ref="F223:J223"/>
    <mergeCell ref="B224:D224"/>
    <mergeCell ref="F224:J224"/>
    <mergeCell ref="B231:D231"/>
    <mergeCell ref="F231:J231"/>
    <mergeCell ref="B232:D232"/>
    <mergeCell ref="F232:J232"/>
    <mergeCell ref="B233:D233"/>
    <mergeCell ref="F233:J233"/>
    <mergeCell ref="B228:D228"/>
    <mergeCell ref="F228:J228"/>
    <mergeCell ref="B229:D229"/>
    <mergeCell ref="F229:J229"/>
    <mergeCell ref="B230:D230"/>
    <mergeCell ref="F230:J230"/>
    <mergeCell ref="B237:D237"/>
    <mergeCell ref="F237:J237"/>
    <mergeCell ref="B238:D238"/>
    <mergeCell ref="F238:J238"/>
    <mergeCell ref="F239:J239"/>
    <mergeCell ref="B234:D234"/>
    <mergeCell ref="F234:J234"/>
    <mergeCell ref="B235:D235"/>
    <mergeCell ref="F235:J235"/>
    <mergeCell ref="B236:D236"/>
    <mergeCell ref="F236:J236"/>
  </mergeCells>
  <printOptions horizontalCentered="1"/>
  <pageMargins left="0.31496062992125984" right="0.31496062992125984" top="0.35433070866141736" bottom="0.35433070866141736" header="0.31496062992125984" footer="0.31496062992125984"/>
  <pageSetup paperSize="9" scale="75"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A0556-1D23-487A-9712-914D52909F4D}">
  <sheetPr codeName="Feuil7">
    <tabColor theme="0"/>
    <pageSetUpPr fitToPage="1"/>
  </sheetPr>
  <dimension ref="A1:V66"/>
  <sheetViews>
    <sheetView showGridLines="0" showRowColHeaders="0" zoomScaleNormal="100" zoomScalePageLayoutView="30" workbookViewId="0">
      <selection activeCell="C29" sqref="C29:O29"/>
    </sheetView>
  </sheetViews>
  <sheetFormatPr baseColWidth="10" defaultColWidth="11.41796875" defaultRowHeight="13.8"/>
  <cols>
    <col min="1" max="1" width="3.68359375" style="118" customWidth="1"/>
    <col min="2" max="2" width="1.1015625" style="118" customWidth="1"/>
    <col min="3" max="3" width="7" style="118" customWidth="1"/>
    <col min="4" max="4" width="18.68359375" style="118" customWidth="1"/>
    <col min="5" max="5" width="4.1015625" style="118" customWidth="1"/>
    <col min="6" max="6" width="5.41796875" style="118" customWidth="1"/>
    <col min="7" max="7" width="8.68359375" style="118" customWidth="1"/>
    <col min="8" max="8" width="8.89453125" style="118" customWidth="1"/>
    <col min="9" max="9" width="5.89453125" style="118" customWidth="1"/>
    <col min="10" max="10" width="3.1015625" style="118" customWidth="1"/>
    <col min="11" max="11" width="1.3125" style="118" customWidth="1"/>
    <col min="12" max="12" width="1.1015625" style="118" customWidth="1"/>
    <col min="13" max="13" width="5.3125" style="118" customWidth="1"/>
    <col min="14" max="14" width="2.89453125" style="118" customWidth="1"/>
    <col min="15" max="18" width="3.41796875" style="118" customWidth="1"/>
    <col min="19" max="19" width="3.3125" style="118" customWidth="1"/>
    <col min="20" max="20" width="4.1015625" style="118" customWidth="1"/>
    <col min="21" max="21" width="3.41796875" style="118" customWidth="1"/>
    <col min="22" max="22" width="4.41796875" style="118" customWidth="1"/>
    <col min="23" max="16384" width="11.41796875" style="118"/>
  </cols>
  <sheetData>
    <row r="1" spans="1:22" ht="15" customHeight="1">
      <c r="A1" s="1276" t="str">
        <f>"- "&amp;Code!K6&amp;" -"</f>
        <v>- 8 -</v>
      </c>
      <c r="B1" s="1276"/>
      <c r="C1" s="1276"/>
      <c r="D1" s="1276"/>
      <c r="E1" s="1276"/>
      <c r="F1" s="1276"/>
      <c r="G1" s="1276"/>
      <c r="H1" s="1276"/>
      <c r="I1" s="1276"/>
      <c r="J1" s="1276"/>
      <c r="K1" s="1277"/>
      <c r="L1" s="1277"/>
      <c r="M1" s="1277"/>
      <c r="N1" s="1277"/>
      <c r="O1" s="1277"/>
      <c r="P1" s="1277"/>
      <c r="Q1" s="1277"/>
      <c r="R1" s="1277"/>
      <c r="S1" s="1277"/>
      <c r="T1" s="1277"/>
      <c r="U1" s="1277"/>
      <c r="V1" s="1277"/>
    </row>
    <row r="2" spans="1:22" ht="20.25" customHeight="1">
      <c r="A2" s="299"/>
      <c r="B2" s="299"/>
      <c r="C2" s="300"/>
      <c r="D2" s="125"/>
      <c r="E2" s="301"/>
      <c r="F2" s="301"/>
      <c r="G2" s="301"/>
      <c r="H2" s="301"/>
      <c r="I2" s="301"/>
      <c r="J2" s="301"/>
      <c r="K2" s="301"/>
      <c r="L2" s="301"/>
      <c r="M2" s="302"/>
      <c r="O2" s="303"/>
      <c r="P2" s="303"/>
      <c r="R2" s="1544" t="s">
        <v>1020</v>
      </c>
      <c r="S2" s="1545"/>
      <c r="T2" s="1545"/>
      <c r="U2" s="1545"/>
      <c r="V2" s="1546"/>
    </row>
    <row r="3" spans="1:22" s="125" customFormat="1" ht="15" customHeight="1">
      <c r="A3" s="125" t="s">
        <v>50</v>
      </c>
      <c r="D3" s="304"/>
      <c r="E3" s="1547" t="str">
        <f>IF(GARDE!D22&lt;&gt;"",GARDE!D22,"")</f>
        <v>OHADA</v>
      </c>
      <c r="F3" s="1547"/>
      <c r="G3" s="1547"/>
      <c r="H3" s="1547"/>
      <c r="I3" s="1547"/>
      <c r="J3" s="1547"/>
      <c r="K3" s="1547"/>
      <c r="L3" s="1547"/>
      <c r="M3" s="1547"/>
      <c r="N3" s="1547"/>
      <c r="O3" s="1547"/>
      <c r="P3" s="1547"/>
      <c r="Q3" s="1547"/>
      <c r="R3" s="1547"/>
      <c r="S3" s="1547"/>
      <c r="T3" s="1547"/>
      <c r="U3" s="1547"/>
      <c r="V3" s="1547"/>
    </row>
    <row r="4" spans="1:22" s="125" customFormat="1" ht="15" customHeight="1">
      <c r="A4" s="125" t="s">
        <v>51</v>
      </c>
      <c r="D4" s="1547" t="str">
        <f>IF(GARDE!C28&lt;&gt;"",GARDE!C28,"")</f>
        <v/>
      </c>
      <c r="E4" s="1547"/>
      <c r="F4" s="1547"/>
      <c r="G4" s="1547"/>
      <c r="H4" s="1547"/>
      <c r="I4" s="1547"/>
      <c r="J4" s="1547"/>
      <c r="K4" s="1547"/>
      <c r="L4" s="1547"/>
      <c r="M4" s="1547"/>
      <c r="N4" s="1547"/>
      <c r="O4" s="1547"/>
      <c r="P4" s="305" t="s">
        <v>1021</v>
      </c>
      <c r="Q4" s="306"/>
      <c r="R4" s="306"/>
      <c r="S4" s="1543" t="str">
        <f>IF(GARDE!C26&lt;&gt;"",GARDE!C26,"")</f>
        <v/>
      </c>
      <c r="T4" s="1543"/>
      <c r="U4" s="1543"/>
      <c r="V4" s="1543"/>
    </row>
    <row r="5" spans="1:22" s="125" customFormat="1" ht="15" customHeight="1">
      <c r="A5" s="125" t="s">
        <v>53</v>
      </c>
      <c r="D5" s="307"/>
      <c r="E5" s="1541" t="str">
        <f>IF(GARDE!D30&lt;&gt;"",GARDE!D30,"")</f>
        <v/>
      </c>
      <c r="F5" s="1541"/>
      <c r="G5" s="1541"/>
      <c r="H5" s="304" t="s">
        <v>54</v>
      </c>
      <c r="J5" s="1542">
        <f>IF(GARDE!E17&lt;&gt;"",GARDE!E17,"")</f>
        <v>0</v>
      </c>
      <c r="K5" s="1542"/>
      <c r="L5" s="1542"/>
      <c r="M5" s="1542"/>
      <c r="N5" s="1542"/>
      <c r="O5" s="1542"/>
      <c r="P5" s="1542"/>
      <c r="Q5" s="304" t="s">
        <v>55</v>
      </c>
      <c r="S5" s="307"/>
      <c r="U5" s="1543">
        <f>MONTH(Sommaire!Q35)-MONTH(Sommaire!M35)+1</f>
        <v>1</v>
      </c>
      <c r="V5" s="1543"/>
    </row>
    <row r="6" spans="1:22" s="125" customFormat="1" ht="15" customHeight="1">
      <c r="A6" s="125" t="s">
        <v>1022</v>
      </c>
      <c r="E6" s="1548" t="str">
        <f>IF(GARDE!D31&lt;&gt;"",GARDE!D31,"")</f>
        <v/>
      </c>
      <c r="F6" s="1548"/>
      <c r="G6" s="1548"/>
      <c r="H6" s="308"/>
      <c r="I6" s="308"/>
      <c r="J6" s="308"/>
      <c r="K6" s="308"/>
      <c r="L6" s="308"/>
      <c r="M6" s="308"/>
      <c r="N6" s="308"/>
      <c r="O6" s="308"/>
      <c r="P6" s="308"/>
      <c r="Q6" s="308"/>
      <c r="R6" s="308"/>
      <c r="S6" s="308"/>
      <c r="T6" s="308"/>
      <c r="U6" s="308"/>
      <c r="V6" s="308"/>
    </row>
    <row r="7" spans="1:22" ht="30" customHeight="1">
      <c r="A7" s="1273" t="s">
        <v>9212</v>
      </c>
      <c r="B7" s="1273"/>
      <c r="C7" s="1273"/>
      <c r="D7" s="1273"/>
      <c r="E7" s="1273"/>
      <c r="F7" s="1273"/>
      <c r="G7" s="1273"/>
      <c r="H7" s="1273"/>
      <c r="I7" s="1273"/>
      <c r="J7" s="1273"/>
      <c r="K7" s="1273"/>
      <c r="L7" s="1273"/>
      <c r="M7" s="1273"/>
      <c r="N7" s="1273"/>
      <c r="O7" s="1273"/>
      <c r="P7" s="1273"/>
      <c r="Q7" s="1273"/>
      <c r="R7" s="1273"/>
      <c r="S7" s="1273"/>
      <c r="T7" s="1273"/>
      <c r="U7" s="1273"/>
      <c r="V7" s="1273"/>
    </row>
    <row r="8" spans="1:22" s="312" customFormat="1" ht="18" customHeight="1">
      <c r="A8" s="309" t="s">
        <v>1023</v>
      </c>
      <c r="B8" s="573"/>
      <c r="C8" s="310" t="s">
        <v>1024</v>
      </c>
      <c r="D8" s="310"/>
      <c r="E8" s="310"/>
      <c r="F8" s="310"/>
      <c r="G8" s="310"/>
      <c r="H8" s="310"/>
      <c r="I8" s="310"/>
      <c r="J8" s="310"/>
      <c r="K8" s="310"/>
      <c r="L8" s="310"/>
      <c r="M8" s="311" t="s">
        <v>1025</v>
      </c>
      <c r="N8" s="1549" t="str">
        <f>IF(Sommaire!M35="","",Sommaire!M35)</f>
        <v/>
      </c>
      <c r="O8" s="1549"/>
      <c r="P8" s="1549"/>
      <c r="Q8" s="1549"/>
      <c r="R8" s="310" t="s">
        <v>1026</v>
      </c>
      <c r="S8" s="1549" t="str">
        <f>IF(Sommaire!Q35="","",Sommaire!Q35)</f>
        <v/>
      </c>
      <c r="T8" s="1549"/>
      <c r="U8" s="1549"/>
      <c r="V8" s="1550"/>
    </row>
    <row r="9" spans="1:22" s="312" customFormat="1" ht="5.25" customHeight="1">
      <c r="A9" s="313"/>
      <c r="V9" s="314"/>
    </row>
    <row r="10" spans="1:22" s="312" customFormat="1" ht="12.75" customHeight="1">
      <c r="A10" s="309" t="s">
        <v>1027</v>
      </c>
      <c r="B10" s="574"/>
      <c r="C10" s="312" t="s">
        <v>1028</v>
      </c>
      <c r="H10" s="1551" t="str">
        <f>IF(Sommaire!M39="","",Sommaire!M39)</f>
        <v/>
      </c>
      <c r="I10" s="1552"/>
      <c r="K10" s="315"/>
      <c r="T10" s="1553" t="s">
        <v>1029</v>
      </c>
      <c r="V10" s="314"/>
    </row>
    <row r="11" spans="1:22" s="312" customFormat="1" ht="5.25" customHeight="1">
      <c r="A11" s="313"/>
      <c r="T11" s="1554"/>
      <c r="V11" s="314"/>
    </row>
    <row r="12" spans="1:22" s="312" customFormat="1" ht="12.75" customHeight="1">
      <c r="A12" s="309" t="s">
        <v>1030</v>
      </c>
      <c r="B12" s="574"/>
      <c r="C12" s="312" t="s">
        <v>1031</v>
      </c>
      <c r="H12" s="1551" t="str">
        <f>IF(Sommaire!Q37="","",Sommaire!Q37)</f>
        <v/>
      </c>
      <c r="I12" s="1552"/>
      <c r="K12" s="312" t="s">
        <v>1032</v>
      </c>
      <c r="U12" s="1524">
        <f>IF(YEAR(Sommaire!M35)=VALUE(Sommaire!M41),"",MONTH(Sommaire!Q37)-MONTH(Sommaire!M37)+1)</f>
        <v>1</v>
      </c>
      <c r="V12" s="1526"/>
    </row>
    <row r="13" spans="1:22" s="312" customFormat="1" ht="5.25" customHeight="1">
      <c r="A13" s="313"/>
      <c r="V13" s="314"/>
    </row>
    <row r="14" spans="1:22" s="312" customFormat="1" ht="12.75" customHeight="1">
      <c r="A14" s="309" t="s">
        <v>1033</v>
      </c>
      <c r="C14" s="316" t="str">
        <f>IF(Sommaire!D43="","",Sommaire!D43)</f>
        <v/>
      </c>
      <c r="D14" s="1524" t="str">
        <f>IF(Sommaire!F43="","",Sommaire!F43)</f>
        <v/>
      </c>
      <c r="E14" s="1526"/>
      <c r="J14" s="309" t="s">
        <v>1034</v>
      </c>
      <c r="K14" s="1524" t="str">
        <f>IF(Sommaire!M29="","",Sommaire!M29)</f>
        <v/>
      </c>
      <c r="L14" s="1525"/>
      <c r="M14" s="1525"/>
      <c r="N14" s="1525"/>
      <c r="O14" s="1525"/>
      <c r="P14" s="1525"/>
      <c r="Q14" s="1525"/>
      <c r="R14" s="1525"/>
      <c r="S14" s="1525"/>
      <c r="T14" s="1526"/>
      <c r="V14" s="314"/>
    </row>
    <row r="15" spans="1:22" s="312" customFormat="1" ht="12.75" customHeight="1">
      <c r="A15" s="313"/>
      <c r="C15" s="574" t="s">
        <v>1035</v>
      </c>
      <c r="D15" s="1506" t="s">
        <v>1036</v>
      </c>
      <c r="E15" s="1506"/>
      <c r="K15" s="1506" t="s">
        <v>1037</v>
      </c>
      <c r="L15" s="1506"/>
      <c r="M15" s="1506"/>
      <c r="N15" s="1506"/>
      <c r="O15" s="1506"/>
      <c r="P15" s="1506"/>
      <c r="Q15" s="1506"/>
      <c r="R15" s="1506"/>
      <c r="S15" s="1506"/>
      <c r="T15" s="1506"/>
      <c r="V15" s="314"/>
    </row>
    <row r="16" spans="1:22" s="312" customFormat="1" ht="5.25" customHeight="1">
      <c r="A16" s="313"/>
      <c r="C16" s="574"/>
      <c r="D16" s="574"/>
      <c r="E16" s="574"/>
      <c r="K16" s="574"/>
      <c r="L16" s="574"/>
      <c r="M16" s="574"/>
      <c r="N16" s="574"/>
      <c r="O16" s="574"/>
      <c r="P16" s="574"/>
      <c r="Q16" s="574"/>
      <c r="R16" s="574"/>
      <c r="S16" s="574"/>
      <c r="T16" s="574"/>
      <c r="V16" s="314"/>
    </row>
    <row r="17" spans="1:22" s="312" customFormat="1" ht="12.75" customHeight="1">
      <c r="A17" s="309" t="s">
        <v>1038</v>
      </c>
      <c r="C17" s="1538" t="str">
        <f>IF(Sommaire!M27="","",Sommaire!M27)</f>
        <v/>
      </c>
      <c r="D17" s="1539"/>
      <c r="E17" s="309" t="s">
        <v>1039</v>
      </c>
      <c r="F17" s="1524" t="str">
        <f>IF(Sommaire!M31="","",Sommaire!M31)</f>
        <v/>
      </c>
      <c r="G17" s="1525"/>
      <c r="H17" s="1525"/>
      <c r="I17" s="1526"/>
      <c r="P17" s="309" t="s">
        <v>1040</v>
      </c>
      <c r="Q17" s="1524" t="str">
        <f>IF(Sommaire!H49="","",Sommaire!H49)</f>
        <v/>
      </c>
      <c r="R17" s="1525"/>
      <c r="S17" s="1525"/>
      <c r="T17" s="1525"/>
      <c r="U17" s="1525"/>
      <c r="V17" s="1526"/>
    </row>
    <row r="18" spans="1:22" s="312" customFormat="1" ht="12.75" customHeight="1">
      <c r="A18" s="313"/>
      <c r="C18" s="1506" t="s">
        <v>1041</v>
      </c>
      <c r="D18" s="1506"/>
      <c r="F18" s="1506" t="s">
        <v>1042</v>
      </c>
      <c r="G18" s="1506"/>
      <c r="H18" s="1506"/>
      <c r="I18" s="1506"/>
      <c r="Q18" s="1506" t="s">
        <v>1043</v>
      </c>
      <c r="R18" s="1506"/>
      <c r="S18" s="1506"/>
      <c r="T18" s="1506"/>
      <c r="U18" s="1506"/>
      <c r="V18" s="1514"/>
    </row>
    <row r="19" spans="1:22" s="312" customFormat="1" ht="5.25" customHeight="1">
      <c r="A19" s="313"/>
      <c r="C19" s="574"/>
      <c r="D19" s="574"/>
      <c r="F19" s="574"/>
      <c r="G19" s="574"/>
      <c r="H19" s="574"/>
      <c r="Q19" s="574"/>
      <c r="R19" s="574"/>
      <c r="S19" s="574"/>
      <c r="T19" s="574"/>
      <c r="U19" s="574"/>
      <c r="V19" s="575"/>
    </row>
    <row r="20" spans="1:22" s="312" customFormat="1" ht="12.75" customHeight="1">
      <c r="A20" s="309" t="s">
        <v>1044</v>
      </c>
      <c r="C20" s="1524" t="str">
        <f>IF(Sommaire!D27="","",Sommaire!D27)</f>
        <v>OHADA</v>
      </c>
      <c r="D20" s="1525"/>
      <c r="E20" s="1525"/>
      <c r="F20" s="1525"/>
      <c r="G20" s="1525"/>
      <c r="H20" s="1525"/>
      <c r="I20" s="1525"/>
      <c r="J20" s="1525"/>
      <c r="K20" s="1525"/>
      <c r="L20" s="1525"/>
      <c r="M20" s="1525"/>
      <c r="N20" s="1525"/>
      <c r="O20" s="1525"/>
      <c r="P20" s="1526"/>
      <c r="Q20" s="1524" t="str">
        <f>IF(Sommaire!D29="","",Sommaire!D29)</f>
        <v/>
      </c>
      <c r="R20" s="1525"/>
      <c r="S20" s="1525"/>
      <c r="T20" s="1525"/>
      <c r="U20" s="1525"/>
      <c r="V20" s="1526"/>
    </row>
    <row r="21" spans="1:22" s="312" customFormat="1" ht="12.75" customHeight="1">
      <c r="A21" s="313"/>
      <c r="C21" s="1506" t="s">
        <v>1045</v>
      </c>
      <c r="D21" s="1506"/>
      <c r="E21" s="1506"/>
      <c r="F21" s="1506"/>
      <c r="G21" s="1506"/>
      <c r="H21" s="1506"/>
      <c r="I21" s="1506"/>
      <c r="J21" s="1506"/>
      <c r="K21" s="1506"/>
      <c r="L21" s="1506"/>
      <c r="M21" s="1506"/>
      <c r="N21" s="1506"/>
      <c r="O21" s="1506"/>
      <c r="P21" s="1506"/>
      <c r="Q21" s="1506" t="s">
        <v>1046</v>
      </c>
      <c r="R21" s="1506"/>
      <c r="S21" s="1506"/>
      <c r="T21" s="1506"/>
      <c r="U21" s="1506"/>
      <c r="V21" s="1514"/>
    </row>
    <row r="22" spans="1:22" s="312" customFormat="1" ht="5.25" customHeight="1">
      <c r="A22" s="313"/>
      <c r="C22" s="574"/>
      <c r="D22" s="574"/>
      <c r="F22" s="574"/>
      <c r="G22" s="574"/>
      <c r="H22" s="574"/>
      <c r="Q22" s="574"/>
      <c r="R22" s="574"/>
      <c r="S22" s="574"/>
      <c r="T22" s="574"/>
      <c r="U22" s="574"/>
      <c r="V22" s="575"/>
    </row>
    <row r="23" spans="1:22" s="312" customFormat="1" ht="12.75" customHeight="1">
      <c r="A23" s="309" t="s">
        <v>1047</v>
      </c>
      <c r="C23" s="1524" t="str">
        <f>IF(Sommaire!M33="","",Sommaire!M33)</f>
        <v/>
      </c>
      <c r="D23" s="1526"/>
      <c r="E23" s="1535" t="str">
        <f>IF(Sommaire!Q33="","",Sommaire!Q33)</f>
        <v/>
      </c>
      <c r="F23" s="1536"/>
      <c r="G23" s="1536"/>
      <c r="H23" s="1536"/>
      <c r="I23" s="1536"/>
      <c r="J23" s="1537"/>
      <c r="K23" s="1524" t="str">
        <f>IF(Sommaire!D39="","",Sommaire!D39)</f>
        <v/>
      </c>
      <c r="L23" s="1525"/>
      <c r="M23" s="1526"/>
      <c r="N23" s="1524" t="str">
        <f>IF(Sommaire!F39="","",Sommaire!F39)</f>
        <v/>
      </c>
      <c r="O23" s="1525"/>
      <c r="P23" s="1526"/>
      <c r="Q23" s="1524" t="str">
        <f>IF(Sommaire!H39="","",Sommaire!H39)</f>
        <v/>
      </c>
      <c r="R23" s="1525"/>
      <c r="S23" s="1525"/>
      <c r="T23" s="1525"/>
      <c r="U23" s="1525"/>
      <c r="V23" s="1526"/>
    </row>
    <row r="24" spans="1:22" s="312" customFormat="1" ht="12.75" customHeight="1">
      <c r="A24" s="313"/>
      <c r="C24" s="1506" t="s">
        <v>1048</v>
      </c>
      <c r="D24" s="1506"/>
      <c r="E24" s="1506" t="s">
        <v>1049</v>
      </c>
      <c r="F24" s="1506"/>
      <c r="G24" s="1506"/>
      <c r="H24" s="1506"/>
      <c r="I24" s="1506"/>
      <c r="J24" s="1506"/>
      <c r="K24" s="1506" t="s">
        <v>1050</v>
      </c>
      <c r="L24" s="1506"/>
      <c r="M24" s="1506"/>
      <c r="N24" s="1506" t="s">
        <v>1051</v>
      </c>
      <c r="O24" s="1506"/>
      <c r="P24" s="1506"/>
      <c r="Q24" s="1506" t="s">
        <v>1052</v>
      </c>
      <c r="R24" s="1506"/>
      <c r="S24" s="1506"/>
      <c r="T24" s="1506"/>
      <c r="U24" s="1506"/>
      <c r="V24" s="1514"/>
    </row>
    <row r="25" spans="1:22" s="312" customFormat="1" ht="5.25" customHeight="1">
      <c r="A25" s="313"/>
      <c r="C25" s="574"/>
      <c r="D25" s="574"/>
      <c r="F25" s="574"/>
      <c r="G25" s="574"/>
      <c r="H25" s="574"/>
      <c r="Q25" s="574"/>
      <c r="R25" s="574"/>
      <c r="S25" s="574"/>
      <c r="T25" s="574"/>
      <c r="U25" s="574"/>
      <c r="V25" s="575"/>
    </row>
    <row r="26" spans="1:22" s="312" customFormat="1" ht="12.75" customHeight="1">
      <c r="A26" s="309" t="s">
        <v>1053</v>
      </c>
      <c r="C26" s="1524" t="str">
        <f>IF(Sommaire!D41="","",Sommaire!D41&amp;" "&amp;Sommaire!H41)</f>
        <v/>
      </c>
      <c r="D26" s="1525"/>
      <c r="E26" s="1525"/>
      <c r="F26" s="1525"/>
      <c r="G26" s="1525"/>
      <c r="H26" s="1525"/>
      <c r="I26" s="1525"/>
      <c r="J26" s="1525"/>
      <c r="K26" s="1525"/>
      <c r="L26" s="1525"/>
      <c r="M26" s="1525"/>
      <c r="N26" s="1525"/>
      <c r="O26" s="1525"/>
      <c r="P26" s="1525"/>
      <c r="Q26" s="1525"/>
      <c r="R26" s="1525"/>
      <c r="S26" s="1525"/>
      <c r="T26" s="1525"/>
      <c r="U26" s="1525"/>
      <c r="V26" s="1526"/>
    </row>
    <row r="27" spans="1:22" s="312" customFormat="1" ht="12.75" customHeight="1">
      <c r="A27" s="313"/>
      <c r="C27" s="1506" t="s">
        <v>1054</v>
      </c>
      <c r="D27" s="1506"/>
      <c r="E27" s="1506"/>
      <c r="F27" s="1506"/>
      <c r="G27" s="1506"/>
      <c r="H27" s="1506"/>
      <c r="I27" s="1506"/>
      <c r="J27" s="1506"/>
      <c r="K27" s="1506"/>
      <c r="L27" s="1506"/>
      <c r="M27" s="1506"/>
      <c r="N27" s="1506"/>
      <c r="O27" s="1506"/>
      <c r="P27" s="1506"/>
      <c r="Q27" s="1506"/>
      <c r="R27" s="1506"/>
      <c r="S27" s="1506"/>
      <c r="T27" s="1506"/>
      <c r="U27" s="1506"/>
      <c r="V27" s="1514"/>
    </row>
    <row r="28" spans="1:22" s="312" customFormat="1" ht="9.75" customHeight="1">
      <c r="A28" s="313"/>
      <c r="C28" s="574"/>
      <c r="D28" s="574"/>
      <c r="F28" s="574"/>
      <c r="G28" s="574"/>
      <c r="H28" s="574"/>
      <c r="P28" s="309" t="s">
        <v>1055</v>
      </c>
      <c r="Q28" s="574"/>
      <c r="R28" s="574"/>
      <c r="S28" s="574"/>
      <c r="T28" s="574"/>
      <c r="U28" s="574"/>
      <c r="V28" s="575"/>
    </row>
    <row r="29" spans="1:22" s="312" customFormat="1" ht="12.75" customHeight="1">
      <c r="A29" s="309" t="s">
        <v>1056</v>
      </c>
      <c r="C29" s="1510"/>
      <c r="D29" s="1511"/>
      <c r="E29" s="1511"/>
      <c r="F29" s="1511"/>
      <c r="G29" s="1511"/>
      <c r="H29" s="1511"/>
      <c r="I29" s="1511"/>
      <c r="J29" s="1511"/>
      <c r="K29" s="1511"/>
      <c r="L29" s="1511"/>
      <c r="M29" s="1511"/>
      <c r="N29" s="1511"/>
      <c r="O29" s="1512"/>
      <c r="P29" s="1527"/>
      <c r="Q29" s="1511"/>
      <c r="R29" s="1511"/>
      <c r="S29" s="1511"/>
      <c r="T29" s="1511"/>
      <c r="U29" s="1511"/>
      <c r="V29" s="1512"/>
    </row>
    <row r="30" spans="1:22" s="312" customFormat="1" ht="12.6" customHeight="1">
      <c r="A30" s="313"/>
      <c r="C30" s="1506" t="s">
        <v>1057</v>
      </c>
      <c r="D30" s="1506"/>
      <c r="E30" s="1506"/>
      <c r="F30" s="1506"/>
      <c r="G30" s="1506"/>
      <c r="H30" s="1506"/>
      <c r="I30" s="1506"/>
      <c r="J30" s="1506"/>
      <c r="K30" s="1506"/>
      <c r="L30" s="1506"/>
      <c r="M30" s="1506"/>
      <c r="N30" s="1506"/>
      <c r="O30" s="1506"/>
      <c r="P30" s="1497" t="s">
        <v>1058</v>
      </c>
      <c r="Q30" s="1497"/>
      <c r="R30" s="1497"/>
      <c r="S30" s="1497"/>
      <c r="T30" s="1497"/>
      <c r="U30" s="1497"/>
      <c r="V30" s="1515"/>
    </row>
    <row r="31" spans="1:22" s="312" customFormat="1" ht="18" customHeight="1">
      <c r="A31" s="313"/>
      <c r="C31" s="1519" t="s">
        <v>9139</v>
      </c>
      <c r="D31" s="1497"/>
      <c r="E31" s="1497"/>
      <c r="F31" s="1497"/>
      <c r="G31" s="1497"/>
      <c r="H31" s="1497"/>
      <c r="I31" s="1497"/>
      <c r="J31" s="1497"/>
      <c r="K31" s="1497"/>
      <c r="L31" s="1497"/>
      <c r="M31" s="1497"/>
      <c r="N31" s="1497"/>
      <c r="O31" s="1497"/>
      <c r="P31" s="1497"/>
      <c r="Q31" s="1497"/>
      <c r="R31" s="1497"/>
      <c r="S31" s="1497"/>
      <c r="T31" s="1497"/>
      <c r="U31" s="1497"/>
      <c r="V31" s="1515"/>
    </row>
    <row r="32" spans="1:22" s="312" customFormat="1" ht="12.75" customHeight="1">
      <c r="A32" s="309" t="s">
        <v>1059</v>
      </c>
      <c r="C32" s="1510"/>
      <c r="D32" s="1512"/>
      <c r="E32" s="1510"/>
      <c r="F32" s="1511"/>
      <c r="G32" s="1511"/>
      <c r="H32" s="1512"/>
      <c r="I32" s="1510"/>
      <c r="J32" s="1512"/>
      <c r="K32" s="1532"/>
      <c r="L32" s="1533"/>
      <c r="M32" s="1533"/>
      <c r="N32" s="1533"/>
      <c r="O32" s="1533"/>
      <c r="P32" s="1533"/>
      <c r="Q32" s="1533"/>
      <c r="R32" s="1534"/>
      <c r="S32" s="1510"/>
      <c r="T32" s="1511"/>
      <c r="U32" s="1511"/>
      <c r="V32" s="1512"/>
    </row>
    <row r="33" spans="1:22" s="312" customFormat="1" ht="12.75" customHeight="1">
      <c r="A33" s="313"/>
      <c r="C33" s="1506" t="s">
        <v>9138</v>
      </c>
      <c r="D33" s="1506"/>
      <c r="E33" s="1506" t="s">
        <v>9137</v>
      </c>
      <c r="F33" s="1506"/>
      <c r="G33" s="1506"/>
      <c r="H33" s="1506"/>
      <c r="I33" s="1506" t="s">
        <v>9136</v>
      </c>
      <c r="J33" s="1506"/>
      <c r="K33" s="1506" t="s">
        <v>9135</v>
      </c>
      <c r="L33" s="1506"/>
      <c r="M33" s="1506"/>
      <c r="N33" s="1506"/>
      <c r="O33" s="1506"/>
      <c r="P33" s="1506"/>
      <c r="Q33" s="1506"/>
      <c r="R33" s="1506"/>
      <c r="S33" s="1506" t="s">
        <v>9134</v>
      </c>
      <c r="T33" s="1506"/>
      <c r="U33" s="1506"/>
      <c r="V33" s="1514"/>
    </row>
    <row r="34" spans="1:22" s="312" customFormat="1" ht="18" customHeight="1">
      <c r="A34" s="313"/>
      <c r="C34" s="1519" t="s">
        <v>9140</v>
      </c>
      <c r="D34" s="1497"/>
      <c r="E34" s="1497"/>
      <c r="F34" s="1497"/>
      <c r="G34" s="1497"/>
      <c r="H34" s="1497"/>
      <c r="I34" s="1497"/>
      <c r="J34" s="1497"/>
      <c r="K34" s="1497"/>
      <c r="L34" s="1497"/>
      <c r="M34" s="1497"/>
      <c r="N34" s="1497"/>
      <c r="O34" s="1497"/>
      <c r="P34" s="1497"/>
      <c r="Q34" s="1497"/>
      <c r="R34" s="1497"/>
      <c r="S34" s="1497"/>
      <c r="T34" s="1497"/>
      <c r="U34" s="1497"/>
      <c r="V34" s="1515"/>
    </row>
    <row r="35" spans="1:22" s="312" customFormat="1" ht="12.75" customHeight="1">
      <c r="A35" s="309" t="s">
        <v>1060</v>
      </c>
      <c r="C35" s="1510"/>
      <c r="D35" s="1512"/>
      <c r="E35" s="1510"/>
      <c r="F35" s="1511"/>
      <c r="G35" s="1511"/>
      <c r="H35" s="1511"/>
      <c r="I35" s="1511"/>
      <c r="J35" s="1512"/>
      <c r="K35" s="1510"/>
      <c r="L35" s="1511"/>
      <c r="M35" s="1511"/>
      <c r="N35" s="1512"/>
      <c r="O35" s="1532"/>
      <c r="P35" s="1533"/>
      <c r="Q35" s="1533"/>
      <c r="R35" s="1533"/>
      <c r="S35" s="1533"/>
      <c r="T35" s="1533"/>
      <c r="U35" s="1533"/>
      <c r="V35" s="1534"/>
    </row>
    <row r="36" spans="1:22" s="312" customFormat="1" ht="12.75" customHeight="1">
      <c r="A36" s="313"/>
      <c r="C36" s="1506" t="s">
        <v>9138</v>
      </c>
      <c r="D36" s="1506"/>
      <c r="E36" s="1506" t="s">
        <v>9137</v>
      </c>
      <c r="F36" s="1506"/>
      <c r="G36" s="1506"/>
      <c r="H36" s="1506"/>
      <c r="I36" s="1506"/>
      <c r="J36" s="1506"/>
      <c r="K36" s="1506" t="s">
        <v>9136</v>
      </c>
      <c r="L36" s="1506"/>
      <c r="M36" s="1506"/>
      <c r="N36" s="1506"/>
      <c r="O36" s="1506" t="s">
        <v>1049</v>
      </c>
      <c r="P36" s="1506"/>
      <c r="Q36" s="1506"/>
      <c r="R36" s="1506"/>
      <c r="S36" s="1506"/>
      <c r="T36" s="1506"/>
      <c r="U36" s="1506"/>
      <c r="V36" s="1514"/>
    </row>
    <row r="37" spans="1:22" s="312" customFormat="1" ht="3.6" customHeight="1">
      <c r="A37" s="313"/>
      <c r="C37" s="1528"/>
      <c r="D37" s="1528"/>
      <c r="E37" s="1528"/>
      <c r="F37" s="1528"/>
      <c r="G37" s="1528"/>
      <c r="H37" s="1528"/>
      <c r="I37" s="1528"/>
      <c r="J37" s="1528"/>
      <c r="K37" s="1528"/>
      <c r="L37" s="1528"/>
      <c r="M37" s="1528"/>
      <c r="N37" s="1528"/>
      <c r="O37" s="1528"/>
      <c r="P37" s="1528"/>
      <c r="Q37" s="1528"/>
      <c r="R37" s="1528"/>
      <c r="S37" s="1528"/>
      <c r="T37" s="1528"/>
      <c r="U37" s="1528"/>
      <c r="V37" s="1529"/>
    </row>
    <row r="38" spans="1:22" s="312" customFormat="1" ht="3.6" customHeight="1">
      <c r="A38" s="313"/>
      <c r="C38" s="1530"/>
      <c r="D38" s="1530"/>
      <c r="E38" s="1530"/>
      <c r="F38" s="1530"/>
      <c r="G38" s="1530"/>
      <c r="H38" s="1530"/>
      <c r="I38" s="1530"/>
      <c r="J38" s="1530"/>
      <c r="K38" s="1530"/>
      <c r="L38" s="1530"/>
      <c r="M38" s="1530"/>
      <c r="N38" s="1530"/>
      <c r="O38" s="1530"/>
      <c r="P38" s="1530"/>
      <c r="Q38" s="1530"/>
      <c r="R38" s="1530"/>
      <c r="S38" s="1530"/>
      <c r="T38" s="1530"/>
      <c r="U38" s="1530"/>
      <c r="V38" s="1531"/>
    </row>
    <row r="39" spans="1:22" s="312" customFormat="1" ht="12.75" customHeight="1">
      <c r="A39" s="309" t="s">
        <v>1061</v>
      </c>
      <c r="C39" s="1510"/>
      <c r="D39" s="1511"/>
      <c r="E39" s="1511"/>
      <c r="F39" s="1511"/>
      <c r="G39" s="1511"/>
      <c r="H39" s="1511"/>
      <c r="I39" s="1511"/>
      <c r="J39" s="1511"/>
      <c r="K39" s="1511"/>
      <c r="L39" s="1511"/>
      <c r="M39" s="1511"/>
      <c r="N39" s="1511"/>
      <c r="O39" s="1511"/>
      <c r="P39" s="1511"/>
      <c r="Q39" s="1511"/>
      <c r="R39" s="1511"/>
      <c r="S39" s="1511"/>
      <c r="T39" s="1511"/>
      <c r="U39" s="1511"/>
      <c r="V39" s="1512"/>
    </row>
    <row r="40" spans="1:22" s="312" customFormat="1" ht="13.5" customHeight="1">
      <c r="A40" s="313"/>
      <c r="C40" s="1506" t="s">
        <v>1062</v>
      </c>
      <c r="D40" s="1506"/>
      <c r="E40" s="1506"/>
      <c r="F40" s="1506"/>
      <c r="G40" s="1506"/>
      <c r="H40" s="1506"/>
      <c r="I40" s="1506"/>
      <c r="J40" s="1506"/>
      <c r="K40" s="1506"/>
      <c r="L40" s="1506"/>
      <c r="M40" s="1506"/>
      <c r="N40" s="1506"/>
      <c r="O40" s="1506"/>
      <c r="P40" s="1506"/>
      <c r="Q40" s="1506"/>
      <c r="R40" s="1506"/>
      <c r="S40" s="1506"/>
      <c r="T40" s="1506"/>
      <c r="U40" s="1506"/>
      <c r="V40" s="1514"/>
    </row>
    <row r="41" spans="1:22" s="312" customFormat="1" ht="11.25" customHeight="1">
      <c r="A41" s="313"/>
      <c r="C41" s="1497" t="s">
        <v>1063</v>
      </c>
      <c r="D41" s="1497"/>
      <c r="E41" s="1497"/>
      <c r="F41" s="1497"/>
      <c r="G41" s="1497"/>
      <c r="H41" s="1497"/>
      <c r="I41" s="1497"/>
      <c r="J41" s="1497"/>
      <c r="K41" s="1497"/>
      <c r="L41" s="1497"/>
      <c r="M41" s="1497"/>
      <c r="N41" s="1497"/>
      <c r="O41" s="1497"/>
      <c r="P41" s="1497"/>
      <c r="Q41" s="1497"/>
      <c r="R41" s="1497"/>
      <c r="S41" s="1497"/>
      <c r="T41" s="1497"/>
      <c r="U41" s="1497"/>
      <c r="V41" s="1515"/>
    </row>
    <row r="42" spans="1:22" s="312" customFormat="1" ht="5.25" customHeight="1">
      <c r="A42" s="313"/>
      <c r="C42" s="574"/>
      <c r="D42" s="574"/>
      <c r="E42" s="574"/>
      <c r="F42" s="574"/>
      <c r="G42" s="574"/>
      <c r="H42" s="574"/>
      <c r="I42" s="574"/>
      <c r="J42" s="574"/>
      <c r="K42" s="574"/>
      <c r="L42" s="574"/>
      <c r="M42" s="574"/>
      <c r="N42" s="574"/>
      <c r="O42" s="574"/>
      <c r="P42" s="574"/>
      <c r="Q42" s="574"/>
      <c r="R42" s="574"/>
      <c r="S42" s="574"/>
      <c r="T42" s="574"/>
      <c r="U42" s="574"/>
      <c r="V42" s="575"/>
    </row>
    <row r="43" spans="1:22" s="312" customFormat="1" ht="12.75" customHeight="1">
      <c r="A43" s="309" t="s">
        <v>1064</v>
      </c>
      <c r="C43" s="1510"/>
      <c r="D43" s="1511"/>
      <c r="E43" s="1511"/>
      <c r="F43" s="1511"/>
      <c r="G43" s="1511"/>
      <c r="H43" s="1511"/>
      <c r="I43" s="1511"/>
      <c r="J43" s="1511"/>
      <c r="K43" s="1511"/>
      <c r="L43" s="1511"/>
      <c r="M43" s="1511"/>
      <c r="N43" s="1511"/>
      <c r="O43" s="1511"/>
      <c r="P43" s="1511"/>
      <c r="Q43" s="1511"/>
      <c r="R43" s="1511"/>
      <c r="S43" s="1511"/>
      <c r="T43" s="1511"/>
      <c r="U43" s="1511"/>
      <c r="V43" s="1512"/>
    </row>
    <row r="44" spans="1:22" s="312" customFormat="1" ht="12.75" customHeight="1">
      <c r="A44" s="313"/>
      <c r="C44" s="1506" t="s">
        <v>1062</v>
      </c>
      <c r="D44" s="1506"/>
      <c r="E44" s="1506"/>
      <c r="F44" s="1506"/>
      <c r="G44" s="1506"/>
      <c r="H44" s="1506"/>
      <c r="I44" s="1506"/>
      <c r="J44" s="1506"/>
      <c r="K44" s="1506"/>
      <c r="L44" s="1506"/>
      <c r="M44" s="1506"/>
      <c r="N44" s="1506"/>
      <c r="O44" s="1506"/>
      <c r="P44" s="1506"/>
      <c r="Q44" s="1506"/>
      <c r="R44" s="1506"/>
      <c r="S44" s="1506"/>
      <c r="T44" s="1506"/>
      <c r="U44" s="1506"/>
      <c r="V44" s="1514"/>
    </row>
    <row r="45" spans="1:22" s="312" customFormat="1" ht="11.25" customHeight="1">
      <c r="A45" s="313"/>
      <c r="C45" s="1497" t="s">
        <v>1065</v>
      </c>
      <c r="D45" s="1497"/>
      <c r="E45" s="1497"/>
      <c r="F45" s="1497"/>
      <c r="G45" s="1497"/>
      <c r="H45" s="1497"/>
      <c r="I45" s="1497"/>
      <c r="J45" s="1497"/>
      <c r="K45" s="1497"/>
      <c r="L45" s="1497"/>
      <c r="M45" s="1497"/>
      <c r="N45" s="1497"/>
      <c r="O45" s="1497"/>
      <c r="P45" s="1497"/>
      <c r="Q45" s="1497"/>
      <c r="R45" s="1497"/>
      <c r="S45" s="1497"/>
      <c r="T45" s="1497"/>
      <c r="U45" s="1497"/>
      <c r="V45" s="1515"/>
    </row>
    <row r="46" spans="1:22" s="312" customFormat="1" ht="16.5" customHeight="1">
      <c r="A46" s="313"/>
      <c r="P46" s="103"/>
      <c r="T46" s="103"/>
      <c r="V46" s="314"/>
    </row>
    <row r="47" spans="1:22" s="312" customFormat="1" ht="15" customHeight="1">
      <c r="A47" s="309" t="s">
        <v>1066</v>
      </c>
      <c r="E47" s="317"/>
      <c r="Q47" s="1516"/>
      <c r="R47" s="1517"/>
      <c r="S47" s="1518"/>
      <c r="T47" s="103"/>
      <c r="U47" s="574"/>
      <c r="V47" s="314"/>
    </row>
    <row r="48" spans="1:22" s="312" customFormat="1" ht="22.5" customHeight="1">
      <c r="A48" s="313"/>
      <c r="N48" s="1519" t="s">
        <v>9028</v>
      </c>
      <c r="O48" s="1519"/>
      <c r="P48" s="1519"/>
      <c r="Q48" s="1519"/>
      <c r="R48" s="1519"/>
      <c r="S48" s="1519"/>
      <c r="T48" s="1519"/>
      <c r="U48" s="1519"/>
      <c r="V48" s="1520"/>
    </row>
    <row r="49" spans="1:22" s="312" customFormat="1" ht="13.5" customHeight="1">
      <c r="A49" s="313"/>
      <c r="J49" s="309" t="s">
        <v>1069</v>
      </c>
      <c r="V49" s="314"/>
    </row>
    <row r="50" spans="1:22" s="312" customFormat="1" ht="15" customHeight="1">
      <c r="A50" s="309" t="s">
        <v>1070</v>
      </c>
      <c r="C50" s="1510"/>
      <c r="D50" s="1511"/>
      <c r="E50" s="1511"/>
      <c r="F50" s="1511"/>
      <c r="G50" s="1511"/>
      <c r="H50" s="1512"/>
      <c r="J50" s="1521" t="s">
        <v>1071</v>
      </c>
      <c r="K50" s="1522"/>
      <c r="L50" s="1522"/>
      <c r="M50" s="1522"/>
      <c r="N50" s="1522"/>
      <c r="O50" s="1522"/>
      <c r="P50" s="1522"/>
      <c r="Q50" s="1522"/>
      <c r="R50" s="1522"/>
      <c r="S50" s="1522"/>
      <c r="T50" s="1522"/>
      <c r="U50" s="1522"/>
      <c r="V50" s="1523"/>
    </row>
    <row r="51" spans="1:22" s="312" customFormat="1" ht="12.75" customHeight="1">
      <c r="A51" s="313"/>
      <c r="C51" s="1506" t="s">
        <v>1072</v>
      </c>
      <c r="D51" s="1506"/>
      <c r="E51" s="1506"/>
      <c r="F51" s="1506"/>
      <c r="G51" s="1506"/>
      <c r="H51" s="1506"/>
      <c r="J51" s="1507" t="s">
        <v>1073</v>
      </c>
      <c r="K51" s="1508"/>
      <c r="L51" s="1508"/>
      <c r="M51" s="1508"/>
      <c r="N51" s="1508"/>
      <c r="O51" s="1508"/>
      <c r="P51" s="1509"/>
      <c r="Q51" s="1507" t="s">
        <v>1074</v>
      </c>
      <c r="R51" s="1508"/>
      <c r="S51" s="1508"/>
      <c r="T51" s="1508"/>
      <c r="U51" s="1508"/>
      <c r="V51" s="1509"/>
    </row>
    <row r="52" spans="1:22" s="312" customFormat="1" ht="12.75" customHeight="1">
      <c r="A52" s="313"/>
      <c r="J52" s="1500"/>
      <c r="K52" s="1501"/>
      <c r="L52" s="1501"/>
      <c r="M52" s="1501"/>
      <c r="N52" s="1501"/>
      <c r="O52" s="1501"/>
      <c r="P52" s="1502"/>
      <c r="Q52" s="1503"/>
      <c r="R52" s="1504"/>
      <c r="S52" s="1504"/>
      <c r="T52" s="1504"/>
      <c r="U52" s="1504"/>
      <c r="V52" s="1505"/>
    </row>
    <row r="53" spans="1:22" s="312" customFormat="1" ht="12" customHeight="1">
      <c r="A53" s="309" t="s">
        <v>1075</v>
      </c>
      <c r="C53" s="1510"/>
      <c r="D53" s="1511"/>
      <c r="E53" s="1511"/>
      <c r="F53" s="1511"/>
      <c r="G53" s="1511"/>
      <c r="H53" s="1512"/>
      <c r="J53" s="1500"/>
      <c r="K53" s="1501"/>
      <c r="L53" s="1501"/>
      <c r="M53" s="1501"/>
      <c r="N53" s="1501"/>
      <c r="O53" s="1501"/>
      <c r="P53" s="1502"/>
      <c r="Q53" s="1503"/>
      <c r="R53" s="1504"/>
      <c r="S53" s="1504"/>
      <c r="T53" s="1504"/>
      <c r="U53" s="1504"/>
      <c r="V53" s="1505"/>
    </row>
    <row r="54" spans="1:22" s="312" customFormat="1" ht="12.75" customHeight="1">
      <c r="A54" s="313"/>
      <c r="C54" s="1506" t="s">
        <v>1076</v>
      </c>
      <c r="D54" s="1506"/>
      <c r="E54" s="1506"/>
      <c r="F54" s="1506"/>
      <c r="G54" s="1506"/>
      <c r="H54" s="1506"/>
      <c r="J54" s="1500"/>
      <c r="K54" s="1501"/>
      <c r="L54" s="1501"/>
      <c r="M54" s="1501"/>
      <c r="N54" s="1501"/>
      <c r="O54" s="1501"/>
      <c r="P54" s="1502"/>
      <c r="Q54" s="1503"/>
      <c r="R54" s="1504"/>
      <c r="S54" s="1504"/>
      <c r="T54" s="1504"/>
      <c r="U54" s="1504"/>
      <c r="V54" s="1505"/>
    </row>
    <row r="55" spans="1:22" s="312" customFormat="1" ht="12.75" customHeight="1">
      <c r="A55" s="313"/>
      <c r="J55" s="1500"/>
      <c r="K55" s="1501"/>
      <c r="L55" s="1501"/>
      <c r="M55" s="1501"/>
      <c r="N55" s="1501"/>
      <c r="O55" s="1501"/>
      <c r="P55" s="1502"/>
      <c r="Q55" s="1503"/>
      <c r="R55" s="1504"/>
      <c r="S55" s="1504"/>
      <c r="T55" s="1504"/>
      <c r="U55" s="1504"/>
      <c r="V55" s="1505"/>
    </row>
    <row r="56" spans="1:22" s="312" customFormat="1" ht="12.75" customHeight="1">
      <c r="A56" s="309" t="s">
        <v>1077</v>
      </c>
      <c r="C56" s="1513"/>
      <c r="D56" s="1511"/>
      <c r="E56" s="1511"/>
      <c r="F56" s="1511"/>
      <c r="G56" s="1511"/>
      <c r="H56" s="1512"/>
      <c r="J56" s="1500"/>
      <c r="K56" s="1501"/>
      <c r="L56" s="1501"/>
      <c r="M56" s="1501"/>
      <c r="N56" s="1501"/>
      <c r="O56" s="1501"/>
      <c r="P56" s="1502"/>
      <c r="Q56" s="1503"/>
      <c r="R56" s="1504"/>
      <c r="S56" s="1504"/>
      <c r="T56" s="1504"/>
      <c r="U56" s="1504"/>
      <c r="V56" s="1505"/>
    </row>
    <row r="57" spans="1:22" s="312" customFormat="1" ht="12.75" customHeight="1">
      <c r="A57" s="313"/>
      <c r="C57" s="1506" t="s">
        <v>1078</v>
      </c>
      <c r="D57" s="1506"/>
      <c r="E57" s="1506"/>
      <c r="F57" s="1506"/>
      <c r="G57" s="1506"/>
      <c r="H57" s="1506"/>
      <c r="J57" s="1500"/>
      <c r="K57" s="1501"/>
      <c r="L57" s="1501"/>
      <c r="M57" s="1501"/>
      <c r="N57" s="1501"/>
      <c r="O57" s="1501"/>
      <c r="P57" s="1502"/>
      <c r="Q57" s="1503"/>
      <c r="R57" s="1504"/>
      <c r="S57" s="1504"/>
      <c r="T57" s="1504"/>
      <c r="U57" s="1504"/>
      <c r="V57" s="1505"/>
    </row>
    <row r="58" spans="1:22" s="312" customFormat="1" ht="12.75" customHeight="1">
      <c r="A58" s="313"/>
      <c r="J58" s="1500"/>
      <c r="K58" s="1501"/>
      <c r="L58" s="1501"/>
      <c r="M58" s="1501"/>
      <c r="N58" s="1501"/>
      <c r="O58" s="1501"/>
      <c r="P58" s="1502"/>
      <c r="Q58" s="1503"/>
      <c r="R58" s="1504"/>
      <c r="S58" s="1504"/>
      <c r="T58" s="1504"/>
      <c r="U58" s="1504"/>
      <c r="V58" s="1505"/>
    </row>
    <row r="59" spans="1:22" s="312" customFormat="1" ht="12.75" customHeight="1">
      <c r="A59" s="313"/>
      <c r="C59" s="318"/>
      <c r="D59" s="310"/>
      <c r="E59" s="310"/>
      <c r="F59" s="310"/>
      <c r="G59" s="310"/>
      <c r="H59" s="319"/>
      <c r="J59" s="1500"/>
      <c r="K59" s="1501"/>
      <c r="L59" s="1501"/>
      <c r="M59" s="1501"/>
      <c r="N59" s="1501"/>
      <c r="O59" s="1501"/>
      <c r="P59" s="1502"/>
      <c r="Q59" s="1503"/>
      <c r="R59" s="1504"/>
      <c r="S59" s="1504"/>
      <c r="T59" s="1504"/>
      <c r="U59" s="1504"/>
      <c r="V59" s="1505"/>
    </row>
    <row r="60" spans="1:22" s="312" customFormat="1" ht="12.75" customHeight="1">
      <c r="A60" s="313"/>
      <c r="C60" s="313"/>
      <c r="H60" s="314"/>
      <c r="J60" s="1500"/>
      <c r="K60" s="1501"/>
      <c r="L60" s="1501"/>
      <c r="M60" s="1501"/>
      <c r="N60" s="1501"/>
      <c r="O60" s="1501"/>
      <c r="P60" s="1502"/>
      <c r="Q60" s="1503"/>
      <c r="R60" s="1504"/>
      <c r="S60" s="1504"/>
      <c r="T60" s="1504"/>
      <c r="U60" s="1504"/>
      <c r="V60" s="1505"/>
    </row>
    <row r="61" spans="1:22" s="312" customFormat="1" ht="12.75" customHeight="1">
      <c r="A61" s="313"/>
      <c r="C61" s="313"/>
      <c r="H61" s="314"/>
      <c r="J61" s="1500"/>
      <c r="K61" s="1501"/>
      <c r="L61" s="1501"/>
      <c r="M61" s="1501"/>
      <c r="N61" s="1501"/>
      <c r="O61" s="1501"/>
      <c r="P61" s="1502"/>
      <c r="Q61" s="1503"/>
      <c r="R61" s="1504"/>
      <c r="S61" s="1504"/>
      <c r="T61" s="1504"/>
      <c r="U61" s="1504"/>
      <c r="V61" s="1505"/>
    </row>
    <row r="62" spans="1:22" s="312" customFormat="1" ht="12.75" customHeight="1">
      <c r="A62" s="313"/>
      <c r="C62" s="320"/>
      <c r="D62" s="321"/>
      <c r="E62" s="321"/>
      <c r="F62" s="321"/>
      <c r="G62" s="321"/>
      <c r="H62" s="322"/>
      <c r="J62" s="1500"/>
      <c r="K62" s="1501"/>
      <c r="L62" s="1501"/>
      <c r="M62" s="1501"/>
      <c r="N62" s="1501"/>
      <c r="O62" s="1501"/>
      <c r="P62" s="1502"/>
      <c r="Q62" s="1503"/>
      <c r="R62" s="1504"/>
      <c r="S62" s="1504"/>
      <c r="T62" s="1504"/>
      <c r="U62" s="1504"/>
      <c r="V62" s="1505"/>
    </row>
    <row r="63" spans="1:22" s="312" customFormat="1" ht="12.75" customHeight="1">
      <c r="A63" s="313"/>
      <c r="C63" s="1506" t="s">
        <v>1079</v>
      </c>
      <c r="D63" s="1506"/>
      <c r="E63" s="1506"/>
      <c r="F63" s="1506"/>
      <c r="G63" s="1506"/>
      <c r="H63" s="1506"/>
      <c r="V63" s="314"/>
    </row>
    <row r="64" spans="1:22" s="312" customFormat="1" ht="3" customHeight="1">
      <c r="A64" s="320"/>
      <c r="B64" s="321"/>
      <c r="C64" s="321"/>
      <c r="D64" s="321"/>
      <c r="E64" s="321"/>
      <c r="F64" s="321"/>
      <c r="G64" s="321"/>
      <c r="H64" s="321"/>
      <c r="I64" s="321"/>
      <c r="J64" s="321"/>
      <c r="K64" s="321"/>
      <c r="L64" s="321"/>
      <c r="M64" s="321"/>
      <c r="N64" s="321"/>
      <c r="O64" s="321"/>
      <c r="P64" s="321"/>
      <c r="Q64" s="321"/>
      <c r="R64" s="321"/>
      <c r="S64" s="321"/>
      <c r="T64" s="321"/>
      <c r="U64" s="321"/>
      <c r="V64" s="322"/>
    </row>
    <row r="66" spans="1:22" ht="33.6" customHeight="1">
      <c r="A66" s="1540" t="s">
        <v>9221</v>
      </c>
      <c r="B66" s="1540"/>
      <c r="C66" s="1540"/>
      <c r="D66" s="1540"/>
      <c r="E66" s="1540"/>
      <c r="F66" s="1540"/>
      <c r="G66" s="1540"/>
      <c r="H66" s="1540"/>
      <c r="I66" s="1540"/>
      <c r="J66" s="1540"/>
      <c r="K66" s="1540"/>
      <c r="L66" s="1540"/>
      <c r="M66" s="1540"/>
      <c r="N66" s="1540"/>
      <c r="O66" s="1540"/>
      <c r="P66" s="1540"/>
      <c r="Q66" s="1540"/>
      <c r="R66" s="1540"/>
      <c r="S66" s="1540"/>
      <c r="T66" s="1540"/>
      <c r="U66" s="1540"/>
      <c r="V66" s="1540"/>
    </row>
  </sheetData>
  <sheetProtection algorithmName="SHA-512" hashValue="eOfwvIag4zqKTM0x0xzVTbEvuhWu857RVkdfcL75OrPg7xTKKCLfcBHfYF4aTSxbBo7L8iLNIcg2XXReiSgMZQ==" saltValue="IoF1lpgCglgB4c3GPK2UDg==" spinCount="100000" sheet="1" objects="1" scenarios="1" selectLockedCells="1"/>
  <mergeCells count="109">
    <mergeCell ref="A66:V66"/>
    <mergeCell ref="C32:D32"/>
    <mergeCell ref="E32:H32"/>
    <mergeCell ref="I32:J32"/>
    <mergeCell ref="K32:R32"/>
    <mergeCell ref="E5:G5"/>
    <mergeCell ref="J5:P5"/>
    <mergeCell ref="U5:V5"/>
    <mergeCell ref="A1:V1"/>
    <mergeCell ref="R2:V2"/>
    <mergeCell ref="E3:V3"/>
    <mergeCell ref="D4:O4"/>
    <mergeCell ref="S4:V4"/>
    <mergeCell ref="E6:G6"/>
    <mergeCell ref="A7:V7"/>
    <mergeCell ref="N8:Q8"/>
    <mergeCell ref="S8:V8"/>
    <mergeCell ref="H10:I10"/>
    <mergeCell ref="T10:T11"/>
    <mergeCell ref="H12:I12"/>
    <mergeCell ref="U12:V12"/>
    <mergeCell ref="D14:E14"/>
    <mergeCell ref="K14:T14"/>
    <mergeCell ref="D15:E15"/>
    <mergeCell ref="K15:T15"/>
    <mergeCell ref="C17:D17"/>
    <mergeCell ref="F17:I17"/>
    <mergeCell ref="Q17:V17"/>
    <mergeCell ref="C18:D18"/>
    <mergeCell ref="F18:I18"/>
    <mergeCell ref="Q18:V18"/>
    <mergeCell ref="C20:P20"/>
    <mergeCell ref="Q20:V20"/>
    <mergeCell ref="C21:P21"/>
    <mergeCell ref="Q21:V21"/>
    <mergeCell ref="C23:D23"/>
    <mergeCell ref="E23:J23"/>
    <mergeCell ref="K23:M23"/>
    <mergeCell ref="N23:P23"/>
    <mergeCell ref="Q23:V23"/>
    <mergeCell ref="C24:D24"/>
    <mergeCell ref="E24:J24"/>
    <mergeCell ref="K24:M24"/>
    <mergeCell ref="N24:P24"/>
    <mergeCell ref="Q24:V24"/>
    <mergeCell ref="C26:V26"/>
    <mergeCell ref="C27:V27"/>
    <mergeCell ref="C29:O29"/>
    <mergeCell ref="P29:V29"/>
    <mergeCell ref="C30:O30"/>
    <mergeCell ref="P30:V30"/>
    <mergeCell ref="C37:V37"/>
    <mergeCell ref="C38:V38"/>
    <mergeCell ref="C35:D35"/>
    <mergeCell ref="S33:V33"/>
    <mergeCell ref="K33:R33"/>
    <mergeCell ref="I33:J33"/>
    <mergeCell ref="E33:H33"/>
    <mergeCell ref="C33:D33"/>
    <mergeCell ref="C34:V34"/>
    <mergeCell ref="C31:V31"/>
    <mergeCell ref="C36:D36"/>
    <mergeCell ref="O35:V35"/>
    <mergeCell ref="K35:N35"/>
    <mergeCell ref="E35:J35"/>
    <mergeCell ref="E36:J36"/>
    <mergeCell ref="K36:N36"/>
    <mergeCell ref="O36:V36"/>
    <mergeCell ref="S32:V32"/>
    <mergeCell ref="C39:V39"/>
    <mergeCell ref="C40:V40"/>
    <mergeCell ref="C41:V41"/>
    <mergeCell ref="C43:V43"/>
    <mergeCell ref="C44:V44"/>
    <mergeCell ref="C45:V45"/>
    <mergeCell ref="Q47:S47"/>
    <mergeCell ref="N48:V48"/>
    <mergeCell ref="C50:H50"/>
    <mergeCell ref="J50:V50"/>
    <mergeCell ref="C51:H51"/>
    <mergeCell ref="J51:P51"/>
    <mergeCell ref="Q51:V51"/>
    <mergeCell ref="C57:H57"/>
    <mergeCell ref="J57:P57"/>
    <mergeCell ref="Q57:V57"/>
    <mergeCell ref="J52:P52"/>
    <mergeCell ref="Q52:V52"/>
    <mergeCell ref="C53:H53"/>
    <mergeCell ref="J53:P53"/>
    <mergeCell ref="Q53:V53"/>
    <mergeCell ref="C54:H54"/>
    <mergeCell ref="J54:P54"/>
    <mergeCell ref="Q54:V54"/>
    <mergeCell ref="J55:P55"/>
    <mergeCell ref="Q55:V55"/>
    <mergeCell ref="C56:H56"/>
    <mergeCell ref="J56:P56"/>
    <mergeCell ref="Q56:V56"/>
    <mergeCell ref="J58:P58"/>
    <mergeCell ref="Q58:V58"/>
    <mergeCell ref="J62:P62"/>
    <mergeCell ref="Q62:V62"/>
    <mergeCell ref="C63:H63"/>
    <mergeCell ref="J59:P59"/>
    <mergeCell ref="Q59:V59"/>
    <mergeCell ref="J60:P60"/>
    <mergeCell ref="Q60:V60"/>
    <mergeCell ref="J61:P61"/>
    <mergeCell ref="Q61:V61"/>
  </mergeCells>
  <dataValidations count="1">
    <dataValidation type="date" allowBlank="1" showInputMessage="1" showErrorMessage="1" error="Veuillez saisir un format de date valide JJ/MM/AAAA" sqref="C56:H56" xr:uid="{C9729408-936D-44B1-A439-B0989442B08A}">
      <formula1>36526</formula1>
      <formula2>117974</formula2>
    </dataValidation>
  </dataValidations>
  <printOptions horizontalCentered="1"/>
  <pageMargins left="0.39370078740157483" right="0.31496062992125984" top="0.35433070866141736" bottom="0.35433070866141736" header="0.11811023622047245" footer="0.11811023622047245"/>
  <pageSetup paperSize="9" scale="9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BF9BCD8-8422-4B82-ACF4-E60C83850DDB}">
          <x14:formula1>
            <xm:f>Referentiels!$B$3:$B$4</xm:f>
          </x14:formula1>
          <xm:sqref>Q47:S47</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D17D-AB57-4A4C-8E7C-5A80383A9E32}">
  <sheetPr codeName="Feuil8">
    <tabColor rgb="FFC00000"/>
    <pageSetUpPr fitToPage="1"/>
  </sheetPr>
  <dimension ref="A1:AL40"/>
  <sheetViews>
    <sheetView showGridLines="0" showRowColHeaders="0" zoomScaleNormal="100" zoomScalePageLayoutView="40" workbookViewId="0">
      <selection activeCell="Q15" sqref="Q15:R15"/>
    </sheetView>
  </sheetViews>
  <sheetFormatPr baseColWidth="10" defaultColWidth="11.5234375" defaultRowHeight="14.4"/>
  <cols>
    <col min="1" max="1" width="3.41796875" style="103" customWidth="1"/>
    <col min="2" max="2" width="0.89453125" style="103" customWidth="1"/>
    <col min="3" max="3" width="1.1015625" style="103" customWidth="1"/>
    <col min="4" max="7" width="2.41796875" style="103" customWidth="1"/>
    <col min="8" max="8" width="13.41796875" style="103" customWidth="1"/>
    <col min="9" max="10" width="2.41796875" style="103" customWidth="1"/>
    <col min="11" max="11" width="1.89453125" style="103" customWidth="1"/>
    <col min="12" max="14" width="2.41796875" style="103" customWidth="1"/>
    <col min="15" max="15" width="2.1015625" style="103" customWidth="1"/>
    <col min="16" max="16" width="1.3125" style="103" customWidth="1"/>
    <col min="17" max="23" width="2.41796875" style="103" customWidth="1"/>
    <col min="24" max="24" width="1.3125" style="103" customWidth="1"/>
    <col min="25" max="25" width="1.41796875" style="103" customWidth="1"/>
    <col min="26" max="26" width="2.3125" style="103" customWidth="1"/>
    <col min="27" max="27" width="4" style="103" customWidth="1"/>
    <col min="28" max="28" width="3.3125" style="103" customWidth="1"/>
    <col min="29" max="29" width="2.68359375" style="103" customWidth="1"/>
    <col min="30" max="30" width="2.89453125" style="103" customWidth="1"/>
    <col min="31" max="31" width="2.68359375" style="103" customWidth="1"/>
    <col min="32" max="32" width="2.3125" style="103" customWidth="1"/>
    <col min="33" max="33" width="2.1015625" style="103" customWidth="1"/>
    <col min="34" max="34" width="1.41796875" style="103" customWidth="1"/>
    <col min="35" max="35" width="2.3125" style="103" customWidth="1"/>
    <col min="36" max="36" width="2.1015625" style="103" customWidth="1"/>
    <col min="37" max="37" width="4" style="103" customWidth="1"/>
    <col min="38" max="38" width="2.1015625" style="103" customWidth="1"/>
    <col min="39" max="16384" width="11.5234375" style="103"/>
  </cols>
  <sheetData>
    <row r="1" spans="1:38" ht="15" customHeight="1">
      <c r="A1" s="1276" t="str">
        <f>"- "&amp;Code!K7&amp;" -"</f>
        <v>- 9 -</v>
      </c>
      <c r="B1" s="1276"/>
      <c r="C1" s="1276"/>
      <c r="D1" s="1276"/>
      <c r="E1" s="1276"/>
      <c r="F1" s="1276"/>
      <c r="G1" s="1276"/>
      <c r="H1" s="1276"/>
      <c r="I1" s="1276"/>
      <c r="J1" s="1276"/>
      <c r="K1" s="1277"/>
      <c r="L1" s="1277"/>
      <c r="M1" s="1277"/>
      <c r="N1" s="1277"/>
      <c r="O1" s="1277"/>
      <c r="P1" s="1277"/>
      <c r="Q1" s="1277"/>
      <c r="R1" s="1277"/>
      <c r="S1" s="1277"/>
      <c r="T1" s="1277"/>
      <c r="U1" s="1277"/>
      <c r="V1" s="1277"/>
      <c r="W1" s="1277"/>
      <c r="X1" s="1277"/>
      <c r="Y1" s="1277"/>
      <c r="Z1" s="1277"/>
      <c r="AA1" s="1277"/>
      <c r="AB1" s="1277"/>
      <c r="AC1" s="1277"/>
      <c r="AD1" s="1277"/>
      <c r="AE1" s="1277"/>
      <c r="AF1" s="1277"/>
      <c r="AG1" s="1277"/>
      <c r="AH1" s="1277"/>
      <c r="AI1" s="1277"/>
      <c r="AJ1" s="1277"/>
      <c r="AK1" s="1277"/>
      <c r="AL1" s="1277"/>
    </row>
    <row r="2" spans="1:38" ht="20.25" customHeight="1">
      <c r="B2" s="993"/>
      <c r="C2" s="993"/>
      <c r="D2" s="993"/>
      <c r="E2" s="993"/>
      <c r="F2" s="993"/>
      <c r="G2" s="993"/>
      <c r="H2" s="993"/>
      <c r="I2" s="993"/>
      <c r="J2" s="993"/>
      <c r="K2" s="993"/>
      <c r="L2" s="993"/>
      <c r="M2" s="993"/>
      <c r="N2" s="993"/>
      <c r="O2" s="993"/>
      <c r="P2" s="993"/>
      <c r="Q2" s="993"/>
      <c r="R2" s="576"/>
      <c r="S2" s="576"/>
      <c r="T2" s="576"/>
      <c r="U2" s="576"/>
      <c r="V2" s="993"/>
      <c r="W2" s="993"/>
      <c r="X2" s="993"/>
      <c r="Y2" s="993"/>
      <c r="Z2" s="993"/>
      <c r="AA2" s="993"/>
      <c r="AB2" s="993"/>
      <c r="AC2" s="993"/>
      <c r="AD2" s="993"/>
      <c r="AE2" s="993"/>
      <c r="AF2" s="993"/>
      <c r="AG2" s="1614" t="s">
        <v>1080</v>
      </c>
      <c r="AH2" s="1615"/>
      <c r="AI2" s="1615"/>
      <c r="AJ2" s="1615"/>
      <c r="AK2" s="1615"/>
      <c r="AL2" s="1616"/>
    </row>
    <row r="3" spans="1:38" s="626" customFormat="1" ht="15" customHeight="1">
      <c r="A3" s="998" t="s">
        <v>50</v>
      </c>
      <c r="B3" s="998"/>
      <c r="C3" s="998"/>
      <c r="D3" s="999"/>
      <c r="E3" s="999"/>
      <c r="F3" s="999"/>
      <c r="G3" s="999"/>
      <c r="H3" s="999"/>
      <c r="I3" s="1617" t="str">
        <f>'FICHE R1'!E3</f>
        <v>OHADA</v>
      </c>
      <c r="J3" s="1617"/>
      <c r="K3" s="1617"/>
      <c r="L3" s="1617"/>
      <c r="M3" s="1617"/>
      <c r="N3" s="1617"/>
      <c r="O3" s="1617"/>
      <c r="P3" s="1617"/>
      <c r="Q3" s="1617"/>
      <c r="R3" s="1617"/>
      <c r="S3" s="1617"/>
      <c r="T3" s="1617"/>
      <c r="U3" s="1617"/>
      <c r="V3" s="1617"/>
      <c r="W3" s="1617"/>
      <c r="X3" s="1617"/>
      <c r="Y3" s="1617"/>
      <c r="Z3" s="1617"/>
      <c r="AA3" s="1617"/>
      <c r="AB3" s="1617"/>
      <c r="AC3" s="1617"/>
      <c r="AD3" s="1617"/>
      <c r="AE3" s="1617"/>
      <c r="AF3" s="1617"/>
      <c r="AG3" s="1617"/>
      <c r="AH3" s="1617"/>
      <c r="AI3" s="1617"/>
      <c r="AJ3" s="1617"/>
      <c r="AK3" s="1617"/>
      <c r="AL3" s="1617"/>
    </row>
    <row r="4" spans="1:38" s="626" customFormat="1" ht="15" customHeight="1">
      <c r="A4" s="999" t="s">
        <v>51</v>
      </c>
      <c r="B4" s="999"/>
      <c r="C4" s="999"/>
      <c r="D4" s="998"/>
      <c r="E4" s="1618" t="str">
        <f>'FICHE R1'!D4</f>
        <v/>
      </c>
      <c r="F4" s="1618"/>
      <c r="G4" s="1618"/>
      <c r="H4" s="1618"/>
      <c r="I4" s="1618"/>
      <c r="J4" s="1618"/>
      <c r="K4" s="1618"/>
      <c r="L4" s="1618"/>
      <c r="M4" s="1618"/>
      <c r="N4" s="1618"/>
      <c r="O4" s="1618"/>
      <c r="P4" s="1618"/>
      <c r="Q4" s="1618"/>
      <c r="R4" s="1618"/>
      <c r="S4" s="1618"/>
      <c r="T4" s="1618"/>
      <c r="U4" s="1618"/>
      <c r="V4" s="1618"/>
      <c r="W4" s="1618"/>
      <c r="X4" s="1618"/>
      <c r="Y4" s="1618"/>
      <c r="Z4" s="1618"/>
      <c r="AA4" s="1618"/>
      <c r="AB4" s="1000"/>
      <c r="AC4" s="1001" t="s">
        <v>1021</v>
      </c>
      <c r="AD4" s="1002"/>
      <c r="AE4" s="1002"/>
      <c r="AF4" s="1003"/>
      <c r="AG4" s="1004"/>
      <c r="AH4" s="1004"/>
      <c r="AI4" s="1619" t="str">
        <f>'FICHE R1'!S4</f>
        <v/>
      </c>
      <c r="AJ4" s="1619"/>
      <c r="AK4" s="1619"/>
      <c r="AL4" s="1619"/>
    </row>
    <row r="5" spans="1:38" s="626" customFormat="1" ht="15" customHeight="1">
      <c r="A5" s="998" t="s">
        <v>53</v>
      </c>
      <c r="B5" s="998"/>
      <c r="C5" s="999"/>
      <c r="D5" s="999"/>
      <c r="E5" s="999"/>
      <c r="F5" s="999"/>
      <c r="G5" s="999"/>
      <c r="H5" s="998"/>
      <c r="I5" s="1618" t="str">
        <f>'FICHE R1'!E5</f>
        <v/>
      </c>
      <c r="J5" s="1618"/>
      <c r="K5" s="1618"/>
      <c r="L5" s="1618"/>
      <c r="M5" s="1618"/>
      <c r="N5" s="1618"/>
      <c r="O5" s="1618"/>
      <c r="P5" s="1618"/>
      <c r="Q5" s="1621" t="s">
        <v>54</v>
      </c>
      <c r="R5" s="1621"/>
      <c r="S5" s="1621"/>
      <c r="T5" s="1621"/>
      <c r="U5" s="1621"/>
      <c r="V5" s="1621"/>
      <c r="W5" s="1622">
        <f>'FICHE R1'!J5</f>
        <v>0</v>
      </c>
      <c r="X5" s="1622"/>
      <c r="Y5" s="1622"/>
      <c r="Z5" s="1622"/>
      <c r="AA5" s="1622"/>
      <c r="AB5" s="1622"/>
      <c r="AC5" s="998" t="s">
        <v>55</v>
      </c>
      <c r="AE5" s="1005"/>
      <c r="AF5" s="1005"/>
      <c r="AG5" s="1005"/>
      <c r="AH5" s="1005"/>
      <c r="AI5" s="1623">
        <f>'FICHE R1'!U5</f>
        <v>1</v>
      </c>
      <c r="AJ5" s="1623"/>
      <c r="AK5" s="1623"/>
      <c r="AL5" s="1623"/>
    </row>
    <row r="6" spans="1:38" s="626" customFormat="1" ht="15" customHeight="1">
      <c r="A6" s="998" t="s">
        <v>1022</v>
      </c>
      <c r="I6" s="1275" t="str">
        <f>'FICHE R1'!E6</f>
        <v/>
      </c>
      <c r="J6" s="1275"/>
      <c r="K6" s="1275"/>
      <c r="L6" s="1275"/>
      <c r="M6" s="1275"/>
      <c r="N6" s="1275"/>
      <c r="O6" s="1275"/>
      <c r="P6" s="1275"/>
      <c r="Q6" s="639"/>
      <c r="R6" s="639"/>
      <c r="S6" s="639"/>
      <c r="T6" s="639"/>
      <c r="U6" s="639"/>
      <c r="V6" s="639"/>
      <c r="W6" s="639"/>
      <c r="X6" s="639"/>
      <c r="Y6" s="639"/>
      <c r="Z6" s="639"/>
      <c r="AA6" s="639"/>
      <c r="AB6" s="639"/>
      <c r="AC6" s="639"/>
      <c r="AD6" s="639"/>
      <c r="AE6" s="639"/>
      <c r="AF6" s="639"/>
      <c r="AG6" s="639"/>
      <c r="AH6" s="639"/>
      <c r="AI6" s="639"/>
      <c r="AJ6" s="639"/>
      <c r="AK6" s="639"/>
      <c r="AL6" s="639"/>
    </row>
    <row r="7" spans="1:38" s="653" customFormat="1" ht="28.5" customHeight="1">
      <c r="A7" s="1625" t="s">
        <v>1081</v>
      </c>
      <c r="B7" s="1625"/>
      <c r="C7" s="1625"/>
      <c r="D7" s="1625"/>
      <c r="E7" s="1625"/>
      <c r="F7" s="1625"/>
      <c r="G7" s="1625"/>
      <c r="H7" s="1625"/>
      <c r="I7" s="1625"/>
      <c r="J7" s="1625"/>
      <c r="K7" s="1625"/>
      <c r="L7" s="1625"/>
      <c r="M7" s="1625"/>
      <c r="N7" s="1625"/>
      <c r="O7" s="1625"/>
      <c r="P7" s="1625"/>
      <c r="Q7" s="1625"/>
      <c r="R7" s="1625"/>
      <c r="S7" s="1625"/>
      <c r="T7" s="1625"/>
      <c r="U7" s="1625"/>
      <c r="V7" s="1625"/>
      <c r="W7" s="1625"/>
      <c r="X7" s="1625"/>
      <c r="Y7" s="1625"/>
      <c r="Z7" s="1625"/>
      <c r="AA7" s="1625"/>
      <c r="AB7" s="1625"/>
      <c r="AC7" s="1625"/>
      <c r="AD7" s="1625"/>
      <c r="AE7" s="1625"/>
      <c r="AF7" s="1625"/>
      <c r="AG7" s="1625"/>
      <c r="AH7" s="1625"/>
      <c r="AI7" s="1625"/>
      <c r="AJ7" s="1625"/>
      <c r="AK7" s="1625"/>
      <c r="AL7" s="1625"/>
    </row>
    <row r="8" spans="1:38" s="653" customFormat="1" ht="16.5" customHeight="1">
      <c r="A8" s="1006"/>
      <c r="B8" s="1007"/>
      <c r="C8" s="1007"/>
      <c r="D8" s="1007"/>
      <c r="E8" s="1007"/>
      <c r="F8" s="1007"/>
      <c r="G8" s="1007"/>
      <c r="H8" s="1007"/>
      <c r="I8" s="1007"/>
      <c r="J8" s="1007"/>
      <c r="K8" s="1007"/>
      <c r="L8" s="1007"/>
      <c r="M8" s="1007"/>
      <c r="N8" s="1007"/>
      <c r="O8" s="1007"/>
      <c r="P8" s="1007"/>
      <c r="Q8" s="1007"/>
      <c r="R8" s="1007"/>
      <c r="S8" s="1008"/>
      <c r="T8" s="1009"/>
      <c r="U8" s="1010"/>
      <c r="V8" s="1626" t="s">
        <v>9029</v>
      </c>
      <c r="W8" s="1627"/>
      <c r="X8" s="1627"/>
      <c r="Y8" s="1627"/>
      <c r="Z8" s="1627"/>
      <c r="AA8" s="1627"/>
      <c r="AB8" s="1627"/>
      <c r="AC8" s="1627"/>
      <c r="AD8" s="1627"/>
      <c r="AE8" s="1627"/>
      <c r="AF8" s="1627"/>
      <c r="AG8" s="1627"/>
      <c r="AH8" s="1627"/>
      <c r="AI8" s="1627"/>
      <c r="AJ8" s="1627"/>
      <c r="AK8" s="1627"/>
      <c r="AL8" s="1628"/>
    </row>
    <row r="9" spans="1:38" s="653" customFormat="1" ht="15.75" customHeight="1">
      <c r="A9" s="1607" t="s">
        <v>1082</v>
      </c>
      <c r="B9" s="1608"/>
      <c r="D9" s="1011" t="s">
        <v>9599</v>
      </c>
      <c r="E9" s="1012"/>
      <c r="F9" s="1012"/>
      <c r="G9" s="1012"/>
      <c r="H9" s="1012"/>
      <c r="I9" s="1012"/>
      <c r="J9" s="1012"/>
      <c r="K9" s="1012"/>
      <c r="L9" s="1012"/>
      <c r="M9" s="328"/>
      <c r="N9" s="324"/>
      <c r="O9" s="324"/>
      <c r="P9" s="324"/>
      <c r="Q9" s="1609" t="e">
        <f>IF(Sommaire!D31="Oui",1,0)&amp;INDEX(FormeJuridique[12],MATCH(Sommaire!D33,FormeJuridique[Forme],0),1)</f>
        <v>#N/A</v>
      </c>
      <c r="R9" s="1610"/>
      <c r="S9" s="323"/>
      <c r="T9" s="324"/>
      <c r="U9" s="1013"/>
      <c r="V9" s="1629" t="s">
        <v>9131</v>
      </c>
      <c r="W9" s="1630"/>
      <c r="X9" s="1630"/>
      <c r="Y9" s="1630"/>
      <c r="Z9" s="1630"/>
      <c r="AA9" s="1630"/>
      <c r="AB9" s="1630"/>
      <c r="AC9" s="1630"/>
      <c r="AD9" s="1630"/>
      <c r="AE9" s="1630"/>
      <c r="AF9" s="1630"/>
      <c r="AG9" s="1630"/>
      <c r="AH9" s="1630"/>
      <c r="AI9" s="1630"/>
      <c r="AJ9" s="1630"/>
      <c r="AK9" s="1630"/>
      <c r="AL9" s="1631"/>
    </row>
    <row r="10" spans="1:38" s="653" customFormat="1" ht="6" customHeight="1">
      <c r="A10" s="1014"/>
      <c r="B10" s="328"/>
      <c r="C10" s="328"/>
      <c r="D10" s="1012"/>
      <c r="E10" s="1012"/>
      <c r="F10" s="1012"/>
      <c r="G10" s="1012"/>
      <c r="H10" s="1012"/>
      <c r="I10" s="1012"/>
      <c r="J10" s="1012"/>
      <c r="K10" s="1012"/>
      <c r="L10" s="1012"/>
      <c r="M10" s="328"/>
      <c r="N10" s="324"/>
      <c r="O10" s="324"/>
      <c r="P10" s="324"/>
      <c r="Q10" s="325"/>
      <c r="R10" s="325"/>
      <c r="S10" s="323"/>
      <c r="T10" s="324"/>
      <c r="U10" s="1013"/>
      <c r="V10" s="536"/>
      <c r="W10" s="103"/>
      <c r="X10" s="103"/>
      <c r="Y10" s="103"/>
      <c r="Z10" s="103"/>
      <c r="AA10" s="103"/>
      <c r="AB10" s="103"/>
      <c r="AC10" s="103"/>
      <c r="AD10" s="103"/>
      <c r="AE10" s="103"/>
      <c r="AF10" s="103"/>
      <c r="AG10" s="103"/>
      <c r="AH10" s="103"/>
      <c r="AI10" s="103"/>
      <c r="AJ10" s="103"/>
      <c r="AK10" s="103"/>
      <c r="AL10" s="537"/>
    </row>
    <row r="11" spans="1:38" s="653" customFormat="1" ht="15.75" customHeight="1">
      <c r="A11" s="1607" t="s">
        <v>1083</v>
      </c>
      <c r="B11" s="1608"/>
      <c r="D11" s="1011" t="s">
        <v>9600</v>
      </c>
      <c r="E11" s="1012"/>
      <c r="F11" s="1012"/>
      <c r="G11" s="1012"/>
      <c r="H11" s="1012"/>
      <c r="I11" s="1012"/>
      <c r="J11" s="1012"/>
      <c r="K11" s="1012"/>
      <c r="L11" s="1012"/>
      <c r="M11" s="328"/>
      <c r="N11" s="324"/>
      <c r="O11" s="324"/>
      <c r="P11" s="324"/>
      <c r="Q11" s="326" t="e">
        <f>INDEX(RegimeFiscal[1],MATCH(Sommaire!D47,RegimeFiscal[Régime],0),1)</f>
        <v>#N/A</v>
      </c>
      <c r="R11" s="327"/>
      <c r="S11" s="323"/>
      <c r="T11" s="324"/>
      <c r="U11" s="1013"/>
      <c r="V11" s="536"/>
      <c r="W11" s="1624"/>
      <c r="X11" s="1624"/>
      <c r="Y11" s="1624"/>
      <c r="Z11" s="1624"/>
      <c r="AA11" s="1624"/>
      <c r="AB11" s="1624"/>
      <c r="AC11" s="1624"/>
      <c r="AD11" s="1624"/>
      <c r="AE11" s="1624"/>
      <c r="AF11" s="1624"/>
      <c r="AG11" s="1624"/>
      <c r="AH11" s="1624"/>
      <c r="AI11" s="1624"/>
      <c r="AJ11" s="1624"/>
      <c r="AK11" s="1624"/>
      <c r="AL11" s="537"/>
    </row>
    <row r="12" spans="1:38" s="653" customFormat="1" ht="6" customHeight="1">
      <c r="A12" s="1014"/>
      <c r="B12" s="328"/>
      <c r="C12" s="328"/>
      <c r="D12" s="1012"/>
      <c r="E12" s="1012"/>
      <c r="F12" s="1012"/>
      <c r="G12" s="1012"/>
      <c r="H12" s="1012"/>
      <c r="I12" s="1012"/>
      <c r="J12" s="1012"/>
      <c r="K12" s="1012"/>
      <c r="L12" s="1012"/>
      <c r="M12" s="328"/>
      <c r="N12" s="324"/>
      <c r="O12" s="324"/>
      <c r="P12" s="324"/>
      <c r="Q12" s="325"/>
      <c r="R12" s="325"/>
      <c r="S12" s="323"/>
      <c r="T12" s="324"/>
      <c r="U12" s="1013"/>
      <c r="V12" s="536"/>
      <c r="W12" s="103"/>
      <c r="X12" s="103"/>
      <c r="Y12" s="103"/>
      <c r="Z12" s="103"/>
      <c r="AA12" s="103"/>
      <c r="AB12" s="103"/>
      <c r="AC12" s="103"/>
      <c r="AD12" s="103"/>
      <c r="AE12" s="103"/>
      <c r="AF12" s="103"/>
      <c r="AG12" s="103"/>
      <c r="AH12" s="103"/>
      <c r="AI12" s="103"/>
      <c r="AJ12" s="103"/>
      <c r="AK12" s="103"/>
      <c r="AL12" s="537"/>
    </row>
    <row r="13" spans="1:38" s="653" customFormat="1" ht="15.75" customHeight="1">
      <c r="A13" s="1607" t="s">
        <v>1084</v>
      </c>
      <c r="B13" s="1608"/>
      <c r="D13" s="1011" t="s">
        <v>9601</v>
      </c>
      <c r="E13" s="1012"/>
      <c r="F13" s="1012"/>
      <c r="G13" s="1012"/>
      <c r="H13" s="1012"/>
      <c r="I13" s="1012"/>
      <c r="J13" s="1012"/>
      <c r="K13" s="1012"/>
      <c r="L13" s="1012"/>
      <c r="M13" s="328"/>
      <c r="N13" s="324"/>
      <c r="O13" s="324"/>
      <c r="P13" s="324"/>
      <c r="Q13" s="1609" t="e">
        <f>INDEX(PaysSiege[[1]:[2]],MATCH(Sommaire!D49,PaysSiege[Siège],0),1)&amp;INDEX(PaysSiege[[1]:[2]],MATCH(Sommaire!D49,PaysSiege[Siège],0),2)</f>
        <v>#N/A</v>
      </c>
      <c r="R13" s="1610"/>
      <c r="S13" s="323"/>
      <c r="T13" s="324"/>
      <c r="U13" s="1013"/>
      <c r="V13" s="536"/>
      <c r="W13" s="103"/>
      <c r="X13" s="103"/>
      <c r="Y13" s="1620"/>
      <c r="Z13" s="1620"/>
      <c r="AA13" s="1620"/>
      <c r="AB13" s="1620"/>
      <c r="AC13" s="1620"/>
      <c r="AD13" s="1620"/>
      <c r="AE13" s="1620"/>
      <c r="AF13" s="1620"/>
      <c r="AG13" s="1620"/>
      <c r="AH13" s="1620"/>
      <c r="AI13" s="1620"/>
      <c r="AJ13" s="1620"/>
      <c r="AK13" s="1620"/>
      <c r="AL13" s="537"/>
    </row>
    <row r="14" spans="1:38" s="653" customFormat="1" ht="6" customHeight="1">
      <c r="A14" s="1014"/>
      <c r="B14" s="328"/>
      <c r="C14" s="328"/>
      <c r="D14" s="1012"/>
      <c r="E14" s="1012"/>
      <c r="F14" s="1012"/>
      <c r="G14" s="1012"/>
      <c r="H14" s="1012"/>
      <c r="I14" s="1012"/>
      <c r="J14" s="1012"/>
      <c r="K14" s="1012"/>
      <c r="L14" s="1012"/>
      <c r="M14" s="328"/>
      <c r="N14" s="324"/>
      <c r="O14" s="324"/>
      <c r="P14" s="324"/>
      <c r="Q14" s="325"/>
      <c r="R14" s="325"/>
      <c r="S14" s="323"/>
      <c r="T14" s="324"/>
      <c r="U14" s="1013"/>
      <c r="V14" s="536"/>
      <c r="W14" s="103"/>
      <c r="X14" s="103"/>
      <c r="Y14" s="1620"/>
      <c r="Z14" s="1620"/>
      <c r="AA14" s="1620"/>
      <c r="AB14" s="1620"/>
      <c r="AC14" s="1620"/>
      <c r="AD14" s="1620"/>
      <c r="AE14" s="1620"/>
      <c r="AF14" s="1620"/>
      <c r="AG14" s="1620"/>
      <c r="AH14" s="1620"/>
      <c r="AI14" s="1620"/>
      <c r="AJ14" s="1620"/>
      <c r="AK14" s="1620"/>
      <c r="AL14" s="537"/>
    </row>
    <row r="15" spans="1:38" s="653" customFormat="1" ht="15.75" customHeight="1">
      <c r="A15" s="1607" t="s">
        <v>1085</v>
      </c>
      <c r="B15" s="1608"/>
      <c r="D15" s="1011" t="s">
        <v>1086</v>
      </c>
      <c r="E15" s="1012"/>
      <c r="F15" s="1012"/>
      <c r="G15" s="1012"/>
      <c r="H15" s="1012"/>
      <c r="I15" s="1012"/>
      <c r="J15" s="1012"/>
      <c r="K15" s="1012"/>
      <c r="L15" s="1012"/>
      <c r="M15" s="328"/>
      <c r="N15" s="324"/>
      <c r="O15" s="324"/>
      <c r="P15" s="324"/>
      <c r="Q15" s="1611"/>
      <c r="R15" s="1612"/>
      <c r="S15" s="323"/>
      <c r="T15" s="324"/>
      <c r="U15" s="1013"/>
      <c r="V15" s="536"/>
      <c r="W15" s="103"/>
      <c r="X15" s="103"/>
      <c r="Y15" s="1620"/>
      <c r="Z15" s="1620"/>
      <c r="AA15" s="1620"/>
      <c r="AB15" s="1620"/>
      <c r="AC15" s="1620"/>
      <c r="AD15" s="1620"/>
      <c r="AE15" s="1620"/>
      <c r="AF15" s="1620"/>
      <c r="AG15" s="1620"/>
      <c r="AH15" s="1620"/>
      <c r="AI15" s="1620"/>
      <c r="AJ15" s="1620"/>
      <c r="AK15" s="1620"/>
      <c r="AL15" s="537"/>
    </row>
    <row r="16" spans="1:38" s="653" customFormat="1" ht="6" customHeight="1">
      <c r="A16" s="1014"/>
      <c r="B16" s="328"/>
      <c r="C16" s="328"/>
      <c r="D16" s="1012"/>
      <c r="E16" s="1012"/>
      <c r="F16" s="1012"/>
      <c r="G16" s="1012"/>
      <c r="H16" s="1012"/>
      <c r="I16" s="1012"/>
      <c r="J16" s="1012"/>
      <c r="K16" s="1012"/>
      <c r="L16" s="1012"/>
      <c r="M16" s="328"/>
      <c r="N16" s="324"/>
      <c r="O16" s="324"/>
      <c r="P16" s="324"/>
      <c r="Q16" s="325"/>
      <c r="R16" s="325"/>
      <c r="S16" s="323"/>
      <c r="T16" s="324"/>
      <c r="U16" s="1013"/>
      <c r="V16" s="536"/>
      <c r="W16" s="103"/>
      <c r="X16" s="103"/>
      <c r="Y16" s="1620"/>
      <c r="Z16" s="1620"/>
      <c r="AA16" s="1620"/>
      <c r="AB16" s="1620"/>
      <c r="AC16" s="1620"/>
      <c r="AD16" s="1620"/>
      <c r="AE16" s="1620"/>
      <c r="AF16" s="1620"/>
      <c r="AG16" s="1620"/>
      <c r="AH16" s="1620"/>
      <c r="AI16" s="1620"/>
      <c r="AJ16" s="1620"/>
      <c r="AK16" s="1620"/>
      <c r="AL16" s="537"/>
    </row>
    <row r="17" spans="1:38" s="653" customFormat="1" ht="15.75" customHeight="1">
      <c r="A17" s="1607" t="s">
        <v>1087</v>
      </c>
      <c r="B17" s="1608"/>
      <c r="D17" s="1011" t="s">
        <v>1088</v>
      </c>
      <c r="E17" s="1012"/>
      <c r="F17" s="1012"/>
      <c r="G17" s="1012"/>
      <c r="H17" s="1012"/>
      <c r="I17" s="1012"/>
      <c r="J17" s="1012"/>
      <c r="K17" s="1012"/>
      <c r="L17" s="1012"/>
      <c r="M17" s="328"/>
      <c r="N17" s="324"/>
      <c r="O17" s="324"/>
      <c r="P17" s="324"/>
      <c r="Q17" s="1611"/>
      <c r="R17" s="1612"/>
      <c r="S17" s="323"/>
      <c r="T17" s="324"/>
      <c r="U17" s="1013"/>
      <c r="V17" s="536"/>
      <c r="W17" s="103"/>
      <c r="X17" s="103"/>
      <c r="Y17" s="1620"/>
      <c r="Z17" s="1620"/>
      <c r="AA17" s="1620"/>
      <c r="AB17" s="1620"/>
      <c r="AC17" s="1620"/>
      <c r="AD17" s="1620"/>
      <c r="AE17" s="1620"/>
      <c r="AF17" s="1620"/>
      <c r="AG17" s="1620"/>
      <c r="AH17" s="1620"/>
      <c r="AI17" s="1620"/>
      <c r="AJ17" s="1620"/>
      <c r="AK17" s="1620"/>
      <c r="AL17" s="537"/>
    </row>
    <row r="18" spans="1:38" s="653" customFormat="1" ht="12" customHeight="1">
      <c r="A18" s="1015"/>
      <c r="B18" s="328"/>
      <c r="D18" s="1011" t="s">
        <v>1089</v>
      </c>
      <c r="E18" s="1012"/>
      <c r="F18" s="1012"/>
      <c r="G18" s="1012"/>
      <c r="H18" s="1012"/>
      <c r="I18" s="1012"/>
      <c r="J18" s="1012"/>
      <c r="K18" s="1012"/>
      <c r="L18" s="1012"/>
      <c r="M18" s="328"/>
      <c r="N18" s="324"/>
      <c r="O18" s="324"/>
      <c r="P18" s="324"/>
      <c r="Q18" s="328"/>
      <c r="R18" s="328"/>
      <c r="S18" s="324"/>
      <c r="T18" s="324"/>
      <c r="U18" s="1013"/>
      <c r="V18" s="536"/>
      <c r="W18" s="103"/>
      <c r="X18" s="103"/>
      <c r="Y18" s="1620"/>
      <c r="Z18" s="1620"/>
      <c r="AA18" s="1620"/>
      <c r="AB18" s="1620"/>
      <c r="AC18" s="1620"/>
      <c r="AD18" s="1620"/>
      <c r="AE18" s="1620"/>
      <c r="AF18" s="1620"/>
      <c r="AG18" s="1620"/>
      <c r="AH18" s="1620"/>
      <c r="AI18" s="1620"/>
      <c r="AJ18" s="1620"/>
      <c r="AK18" s="1620"/>
      <c r="AL18" s="537"/>
    </row>
    <row r="19" spans="1:38" s="653" customFormat="1" ht="6" customHeight="1">
      <c r="A19" s="1014"/>
      <c r="B19" s="328"/>
      <c r="C19" s="328"/>
      <c r="D19" s="1012"/>
      <c r="E19" s="1012"/>
      <c r="F19" s="1012"/>
      <c r="G19" s="1012"/>
      <c r="H19" s="1012"/>
      <c r="I19" s="1012"/>
      <c r="J19" s="1012"/>
      <c r="K19" s="1012"/>
      <c r="L19" s="1012"/>
      <c r="M19" s="328"/>
      <c r="N19" s="324"/>
      <c r="O19" s="324"/>
      <c r="P19" s="324"/>
      <c r="Q19" s="328"/>
      <c r="R19" s="328"/>
      <c r="S19" s="324"/>
      <c r="T19" s="324"/>
      <c r="U19" s="1013"/>
      <c r="V19" s="536"/>
      <c r="W19" s="103"/>
      <c r="X19" s="103"/>
      <c r="Y19" s="103"/>
      <c r="Z19" s="103"/>
      <c r="AA19" s="103"/>
      <c r="AB19" s="103"/>
      <c r="AC19" s="103"/>
      <c r="AD19" s="103"/>
      <c r="AE19" s="103"/>
      <c r="AF19" s="103"/>
      <c r="AG19" s="103"/>
      <c r="AH19" s="103"/>
      <c r="AI19" s="103"/>
      <c r="AJ19" s="103"/>
      <c r="AK19" s="103"/>
      <c r="AL19" s="537"/>
    </row>
    <row r="20" spans="1:38" s="653" customFormat="1" ht="15.75" customHeight="1">
      <c r="A20" s="1607" t="s">
        <v>1090</v>
      </c>
      <c r="B20" s="1608"/>
      <c r="D20" s="1011" t="s">
        <v>1091</v>
      </c>
      <c r="E20" s="1012"/>
      <c r="F20" s="1012"/>
      <c r="G20" s="1012"/>
      <c r="H20" s="1012"/>
      <c r="I20" s="1012"/>
      <c r="J20" s="1012"/>
      <c r="K20" s="1012"/>
      <c r="L20" s="1012"/>
      <c r="M20" s="328"/>
      <c r="N20" s="324"/>
      <c r="O20" s="324"/>
      <c r="P20" s="324"/>
      <c r="Q20" s="1609">
        <f>Sommaire!M41</f>
        <v>0</v>
      </c>
      <c r="R20" s="1613"/>
      <c r="S20" s="1613"/>
      <c r="T20" s="1610"/>
      <c r="U20" s="1013"/>
      <c r="V20" s="536"/>
      <c r="W20" s="103"/>
      <c r="X20" s="103"/>
      <c r="Y20" s="103"/>
      <c r="Z20" s="103"/>
      <c r="AA20" s="103"/>
      <c r="AB20" s="103"/>
      <c r="AC20" s="103"/>
      <c r="AD20" s="103"/>
      <c r="AE20" s="103"/>
      <c r="AF20" s="103"/>
      <c r="AG20" s="103"/>
      <c r="AH20" s="103"/>
      <c r="AI20" s="103"/>
      <c r="AJ20" s="103"/>
      <c r="AK20" s="103"/>
      <c r="AL20" s="537"/>
    </row>
    <row r="21" spans="1:38" s="653" customFormat="1" ht="10.199999999999999" customHeight="1">
      <c r="A21" s="1016"/>
      <c r="B21" s="1017"/>
      <c r="C21" s="1017"/>
      <c r="D21" s="1017"/>
      <c r="E21" s="1017"/>
      <c r="F21" s="1017"/>
      <c r="G21" s="1017"/>
      <c r="H21" s="1017"/>
      <c r="I21" s="1017"/>
      <c r="J21" s="1017"/>
      <c r="K21" s="1017"/>
      <c r="L21" s="1017"/>
      <c r="M21" s="1017"/>
      <c r="N21" s="1018"/>
      <c r="O21" s="1018"/>
      <c r="P21" s="1018"/>
      <c r="Q21" s="1018"/>
      <c r="R21" s="1018"/>
      <c r="S21" s="1018"/>
      <c r="T21" s="1018"/>
      <c r="U21" s="1019"/>
      <c r="V21" s="1020"/>
      <c r="W21" s="538"/>
      <c r="X21" s="538"/>
      <c r="Y21" s="538"/>
      <c r="Z21" s="538"/>
      <c r="AA21" s="538"/>
      <c r="AB21" s="538"/>
      <c r="AC21" s="538"/>
      <c r="AD21" s="538"/>
      <c r="AE21" s="538"/>
      <c r="AF21" s="538"/>
      <c r="AG21" s="538"/>
      <c r="AH21" s="538"/>
      <c r="AI21" s="538"/>
      <c r="AJ21" s="538"/>
      <c r="AK21" s="538"/>
      <c r="AL21" s="539"/>
    </row>
    <row r="22" spans="1:38" s="653" customFormat="1" ht="5.25" customHeight="1">
      <c r="A22" s="1021"/>
      <c r="B22" s="1021"/>
      <c r="C22" s="1021"/>
      <c r="D22" s="1021"/>
      <c r="E22" s="1021"/>
      <c r="F22" s="1021"/>
      <c r="G22" s="1021"/>
      <c r="H22" s="1021"/>
      <c r="I22" s="1021"/>
      <c r="J22" s="1022"/>
      <c r="K22" s="1022"/>
      <c r="L22" s="1022"/>
      <c r="M22" s="1022"/>
      <c r="N22" s="1022"/>
      <c r="O22" s="1022"/>
      <c r="P22" s="1022"/>
      <c r="Q22" s="1022"/>
      <c r="R22" s="1022"/>
      <c r="S22" s="1022"/>
      <c r="T22" s="1022"/>
      <c r="U22" s="1022"/>
      <c r="V22" s="1022"/>
      <c r="W22" s="1022"/>
      <c r="X22" s="1022"/>
      <c r="Y22" s="1022"/>
      <c r="Z22" s="1022"/>
      <c r="AA22" s="1022"/>
      <c r="AB22" s="1022"/>
      <c r="AC22" s="1022"/>
      <c r="AD22" s="1022"/>
      <c r="AE22" s="1022"/>
      <c r="AF22" s="1022"/>
      <c r="AG22" s="1022"/>
      <c r="AH22" s="1022"/>
      <c r="AI22" s="1022"/>
      <c r="AJ22" s="1022"/>
      <c r="AK22" s="1022"/>
      <c r="AL22" s="1022"/>
    </row>
    <row r="23" spans="1:38" s="653" customFormat="1" ht="12.3">
      <c r="A23" s="1606" t="s">
        <v>9604</v>
      </c>
      <c r="B23" s="1606"/>
      <c r="C23" s="1606"/>
      <c r="D23" s="1606"/>
      <c r="E23" s="1606"/>
      <c r="F23" s="1606"/>
      <c r="G23" s="1606"/>
      <c r="H23" s="1606"/>
      <c r="I23" s="1606"/>
      <c r="J23" s="1606"/>
      <c r="K23" s="1606"/>
      <c r="L23" s="1606"/>
      <c r="M23" s="1606"/>
      <c r="N23" s="1606"/>
      <c r="O23" s="1606"/>
      <c r="P23" s="1606"/>
      <c r="Q23" s="1606"/>
      <c r="R23" s="1606"/>
      <c r="S23" s="1606"/>
      <c r="T23" s="1606"/>
      <c r="U23" s="1606"/>
      <c r="V23" s="1606"/>
      <c r="W23" s="1606"/>
      <c r="X23" s="1606"/>
      <c r="Y23" s="1606"/>
      <c r="Z23" s="1606"/>
      <c r="AA23" s="1606"/>
      <c r="AB23" s="1606"/>
      <c r="AC23" s="1606"/>
      <c r="AD23" s="1606"/>
      <c r="AE23" s="1606"/>
      <c r="AF23" s="1606"/>
      <c r="AG23" s="1606"/>
      <c r="AH23" s="1606"/>
      <c r="AI23" s="1606"/>
      <c r="AJ23" s="1606"/>
      <c r="AK23" s="1606"/>
      <c r="AL23" s="1606"/>
    </row>
    <row r="24" spans="1:38" s="653" customFormat="1" ht="5.25" customHeight="1">
      <c r="A24" s="1023"/>
      <c r="B24" s="1023"/>
      <c r="C24" s="1023"/>
      <c r="D24" s="1023"/>
      <c r="E24" s="1023"/>
      <c r="F24" s="1023"/>
      <c r="G24" s="1023"/>
      <c r="H24" s="1023"/>
      <c r="I24" s="1023"/>
      <c r="J24" s="1023"/>
      <c r="K24" s="1023"/>
      <c r="L24" s="1023"/>
      <c r="M24" s="1023"/>
      <c r="N24" s="1023"/>
      <c r="O24" s="1023"/>
      <c r="P24" s="1023"/>
      <c r="Q24" s="1023"/>
      <c r="R24" s="1023"/>
      <c r="S24" s="1023"/>
      <c r="T24" s="1023"/>
      <c r="U24" s="1023"/>
      <c r="V24" s="1023"/>
      <c r="W24" s="1023"/>
      <c r="X24" s="1023"/>
      <c r="Y24" s="1023"/>
      <c r="Z24" s="1023"/>
      <c r="AA24" s="1023"/>
      <c r="AB24" s="1023"/>
      <c r="AC24" s="1023"/>
      <c r="AD24" s="1023"/>
      <c r="AE24" s="1023"/>
      <c r="AF24" s="1023"/>
      <c r="AG24" s="1023"/>
      <c r="AH24" s="1023"/>
      <c r="AI24" s="1023"/>
      <c r="AJ24" s="1023"/>
      <c r="AK24" s="1023"/>
      <c r="AL24" s="1023"/>
    </row>
    <row r="25" spans="1:38" s="653" customFormat="1" ht="11.25" customHeight="1">
      <c r="A25" s="1585" t="s">
        <v>9608</v>
      </c>
      <c r="B25" s="1585"/>
      <c r="C25" s="1585"/>
      <c r="D25" s="1585"/>
      <c r="E25" s="1585"/>
      <c r="F25" s="1585"/>
      <c r="G25" s="1585"/>
      <c r="H25" s="1585"/>
      <c r="I25" s="1585"/>
      <c r="J25" s="1585"/>
      <c r="K25" s="1585"/>
      <c r="L25" s="1585"/>
      <c r="M25" s="1585"/>
      <c r="N25" s="1585"/>
      <c r="O25" s="1585"/>
      <c r="P25" s="1588" t="s">
        <v>9607</v>
      </c>
      <c r="Q25" s="1589"/>
      <c r="R25" s="1589"/>
      <c r="S25" s="1589"/>
      <c r="T25" s="1589"/>
      <c r="U25" s="1589"/>
      <c r="V25" s="1589"/>
      <c r="W25" s="1589"/>
      <c r="X25" s="1590"/>
      <c r="Y25" s="1597"/>
      <c r="Z25" s="1597"/>
      <c r="AA25" s="1597"/>
      <c r="AB25" s="1597"/>
      <c r="AC25" s="1597"/>
      <c r="AD25" s="1597"/>
      <c r="AE25" s="1597"/>
      <c r="AF25" s="1597"/>
      <c r="AG25" s="1597"/>
      <c r="AH25" s="1024"/>
      <c r="AI25" s="1600" t="s">
        <v>1092</v>
      </c>
      <c r="AJ25" s="1601"/>
      <c r="AK25" s="1601"/>
      <c r="AL25" s="1601"/>
    </row>
    <row r="26" spans="1:38" s="653" customFormat="1" ht="11.4">
      <c r="A26" s="1586"/>
      <c r="B26" s="1586"/>
      <c r="C26" s="1586"/>
      <c r="D26" s="1586"/>
      <c r="E26" s="1586"/>
      <c r="F26" s="1586"/>
      <c r="G26" s="1586"/>
      <c r="H26" s="1586"/>
      <c r="I26" s="1586"/>
      <c r="J26" s="1586"/>
      <c r="K26" s="1586"/>
      <c r="L26" s="1586"/>
      <c r="M26" s="1586"/>
      <c r="N26" s="1586"/>
      <c r="O26" s="1586"/>
      <c r="P26" s="1591"/>
      <c r="Q26" s="1592"/>
      <c r="R26" s="1592"/>
      <c r="S26" s="1592"/>
      <c r="T26" s="1592"/>
      <c r="U26" s="1592"/>
      <c r="V26" s="1592"/>
      <c r="W26" s="1592"/>
      <c r="X26" s="1593"/>
      <c r="Y26" s="1598"/>
      <c r="Z26" s="1598"/>
      <c r="AA26" s="1598"/>
      <c r="AB26" s="1598"/>
      <c r="AC26" s="1598"/>
      <c r="AD26" s="1598"/>
      <c r="AE26" s="1598"/>
      <c r="AF26" s="1598"/>
      <c r="AG26" s="1598"/>
      <c r="AH26" s="1025"/>
      <c r="AI26" s="1602"/>
      <c r="AJ26" s="1603"/>
      <c r="AK26" s="1603"/>
      <c r="AL26" s="1603"/>
    </row>
    <row r="27" spans="1:38" s="653" customFormat="1" ht="20.25" customHeight="1">
      <c r="A27" s="1587"/>
      <c r="B27" s="1587"/>
      <c r="C27" s="1587"/>
      <c r="D27" s="1587"/>
      <c r="E27" s="1587"/>
      <c r="F27" s="1587"/>
      <c r="G27" s="1587"/>
      <c r="H27" s="1587"/>
      <c r="I27" s="1587"/>
      <c r="J27" s="1587"/>
      <c r="K27" s="1587"/>
      <c r="L27" s="1587"/>
      <c r="M27" s="1587"/>
      <c r="N27" s="1587"/>
      <c r="O27" s="1587"/>
      <c r="P27" s="1594"/>
      <c r="Q27" s="1595"/>
      <c r="R27" s="1595"/>
      <c r="S27" s="1595"/>
      <c r="T27" s="1595"/>
      <c r="U27" s="1595"/>
      <c r="V27" s="1595"/>
      <c r="W27" s="1595"/>
      <c r="X27" s="1596"/>
      <c r="Y27" s="1599"/>
      <c r="Z27" s="1599"/>
      <c r="AA27" s="1599"/>
      <c r="AB27" s="1599"/>
      <c r="AC27" s="1599"/>
      <c r="AD27" s="1599"/>
      <c r="AE27" s="1599"/>
      <c r="AF27" s="1599"/>
      <c r="AG27" s="1599"/>
      <c r="AH27" s="1026"/>
      <c r="AI27" s="1604"/>
      <c r="AJ27" s="1605"/>
      <c r="AK27" s="1605"/>
      <c r="AL27" s="1605"/>
    </row>
    <row r="28" spans="1:38" s="1027" customFormat="1" ht="27.6" customHeight="1">
      <c r="A28" s="1559"/>
      <c r="B28" s="1560"/>
      <c r="C28" s="1560"/>
      <c r="D28" s="1560"/>
      <c r="E28" s="1560"/>
      <c r="F28" s="1560"/>
      <c r="G28" s="1560"/>
      <c r="H28" s="1560"/>
      <c r="I28" s="1560"/>
      <c r="J28" s="1560"/>
      <c r="K28" s="1560"/>
      <c r="L28" s="1560"/>
      <c r="M28" s="1560"/>
      <c r="N28" s="1560"/>
      <c r="O28" s="1561"/>
      <c r="P28" s="1556"/>
      <c r="Q28" s="1557"/>
      <c r="R28" s="1557"/>
      <c r="S28" s="1557"/>
      <c r="T28" s="1557"/>
      <c r="U28" s="1557"/>
      <c r="V28" s="1557"/>
      <c r="W28" s="1557"/>
      <c r="X28" s="1558"/>
      <c r="Y28" s="1562"/>
      <c r="Z28" s="1563"/>
      <c r="AA28" s="1563"/>
      <c r="AB28" s="1563"/>
      <c r="AC28" s="1563"/>
      <c r="AD28" s="1563"/>
      <c r="AE28" s="1563"/>
      <c r="AF28" s="1563"/>
      <c r="AG28" s="1564"/>
      <c r="AH28" s="1565" t="str">
        <f ca="1">IFERROR(Y28/$Y$30,"")</f>
        <v/>
      </c>
      <c r="AI28" s="1566"/>
      <c r="AJ28" s="1566"/>
      <c r="AK28" s="1566"/>
      <c r="AL28" s="1567"/>
    </row>
    <row r="29" spans="1:38" ht="27.6" customHeight="1">
      <c r="A29" s="1568" t="s">
        <v>9181</v>
      </c>
      <c r="B29" s="1569"/>
      <c r="C29" s="1569"/>
      <c r="D29" s="1569"/>
      <c r="E29" s="1569"/>
      <c r="F29" s="1569"/>
      <c r="G29" s="1569"/>
      <c r="H29" s="1569"/>
      <c r="I29" s="1569"/>
      <c r="J29" s="1569"/>
      <c r="K29" s="1569"/>
      <c r="L29" s="1569"/>
      <c r="M29" s="1569"/>
      <c r="N29" s="1569"/>
      <c r="O29" s="1570"/>
      <c r="P29" s="1580"/>
      <c r="Q29" s="1581"/>
      <c r="R29" s="1581"/>
      <c r="S29" s="1581"/>
      <c r="T29" s="1581"/>
      <c r="U29" s="1581"/>
      <c r="V29" s="1581"/>
      <c r="W29" s="1581"/>
      <c r="X29" s="1582"/>
      <c r="Y29" s="1562"/>
      <c r="Z29" s="1563"/>
      <c r="AA29" s="1563"/>
      <c r="AB29" s="1563"/>
      <c r="AC29" s="1563"/>
      <c r="AD29" s="1563"/>
      <c r="AE29" s="1563"/>
      <c r="AF29" s="1563"/>
      <c r="AG29" s="1564"/>
      <c r="AH29" s="1565"/>
      <c r="AI29" s="1566"/>
      <c r="AJ29" s="1566"/>
      <c r="AK29" s="1566"/>
      <c r="AL29" s="1567"/>
    </row>
    <row r="30" spans="1:38">
      <c r="A30" s="1028"/>
      <c r="B30" s="1029"/>
      <c r="C30" s="1030"/>
      <c r="D30" s="1030"/>
      <c r="E30" s="1030"/>
      <c r="F30" s="1030"/>
      <c r="G30" s="1030"/>
      <c r="H30" s="1030"/>
      <c r="I30" s="1030"/>
      <c r="J30" s="1030"/>
      <c r="K30" s="1030"/>
      <c r="L30" s="1030"/>
      <c r="M30" s="1030"/>
      <c r="N30" s="1030"/>
      <c r="O30" s="1031"/>
      <c r="P30" s="1583" t="s">
        <v>1093</v>
      </c>
      <c r="Q30" s="1583"/>
      <c r="R30" s="1583"/>
      <c r="S30" s="1583"/>
      <c r="T30" s="1583"/>
      <c r="U30" s="1583"/>
      <c r="V30" s="1583"/>
      <c r="W30" s="1583"/>
      <c r="X30" s="1583"/>
      <c r="Y30" s="1571">
        <f ca="1">SUM(INDIRECT(SUBSTITUTE(ADDRESS(1,COLUMN(Y28)),1,"")&amp;ROW(Y28)):INDIRECT(SUBSTITUTE(ADDRESS(1,COLUMN()),1,"")&amp;ROW()-1))</f>
        <v>0</v>
      </c>
      <c r="Z30" s="1572"/>
      <c r="AA30" s="1572"/>
      <c r="AB30" s="1572"/>
      <c r="AC30" s="1572"/>
      <c r="AD30" s="1572"/>
      <c r="AE30" s="1572"/>
      <c r="AF30" s="1572"/>
      <c r="AG30" s="1573"/>
      <c r="AH30" s="1565">
        <f ca="1">SUM(INDIRECT(SUBSTITUTE(ADDRESS(1,COLUMN(AH28)),1,"")&amp;ROW(AH28)):INDIRECT(SUBSTITUTE(ADDRESS(1,COLUMN()),1,"")&amp;ROW()-1))</f>
        <v>0</v>
      </c>
      <c r="AI30" s="1566"/>
      <c r="AJ30" s="1566"/>
      <c r="AK30" s="1566"/>
      <c r="AL30" s="1567"/>
    </row>
    <row r="31" spans="1:38">
      <c r="A31" s="1032"/>
      <c r="B31" s="1032"/>
      <c r="C31" s="1032"/>
      <c r="D31" s="1032"/>
      <c r="E31" s="1032"/>
      <c r="F31" s="1032"/>
      <c r="G31" s="1032"/>
      <c r="H31" s="1032"/>
      <c r="I31" s="1032"/>
      <c r="J31" s="1032"/>
      <c r="K31" s="1032"/>
      <c r="L31" s="1032"/>
      <c r="M31" s="1032"/>
      <c r="N31" s="1032"/>
      <c r="O31" s="1033"/>
      <c r="P31" s="1584"/>
      <c r="Q31" s="1584"/>
      <c r="R31" s="1584"/>
      <c r="S31" s="1584"/>
      <c r="T31" s="1584"/>
      <c r="U31" s="1584"/>
      <c r="V31" s="1584"/>
      <c r="W31" s="1584"/>
      <c r="X31" s="1584"/>
      <c r="Y31" s="1574"/>
      <c r="Z31" s="1575"/>
      <c r="AA31" s="1575"/>
      <c r="AB31" s="1575"/>
      <c r="AC31" s="1575"/>
      <c r="AD31" s="1575"/>
      <c r="AE31" s="1575"/>
      <c r="AF31" s="1575"/>
      <c r="AG31" s="1576"/>
      <c r="AH31" s="1577"/>
      <c r="AI31" s="1578"/>
      <c r="AJ31" s="1578"/>
      <c r="AK31" s="1578"/>
      <c r="AL31" s="1579"/>
    </row>
    <row r="32" spans="1:38">
      <c r="A32" s="1555" t="s">
        <v>9602</v>
      </c>
      <c r="B32" s="1555"/>
      <c r="C32" s="1555"/>
      <c r="D32" s="1555"/>
      <c r="E32" s="1555"/>
      <c r="F32" s="1555"/>
      <c r="G32" s="1555"/>
      <c r="H32" s="1555"/>
      <c r="I32" s="1555"/>
      <c r="J32" s="1555"/>
      <c r="K32" s="1555"/>
      <c r="L32" s="1555"/>
      <c r="M32" s="1555"/>
      <c r="N32" s="1555"/>
      <c r="O32" s="1555"/>
      <c r="P32" s="1555"/>
      <c r="Q32" s="1555"/>
      <c r="R32" s="1555"/>
      <c r="S32" s="1555"/>
      <c r="T32" s="1555"/>
      <c r="U32" s="1555"/>
      <c r="V32" s="1555"/>
      <c r="W32" s="1555"/>
      <c r="X32" s="1555"/>
      <c r="Y32" s="1555"/>
      <c r="Z32" s="1555"/>
      <c r="AA32" s="1555"/>
      <c r="AB32" s="1555"/>
      <c r="AC32" s="1555"/>
      <c r="AD32" s="1555"/>
      <c r="AE32" s="1555"/>
      <c r="AF32" s="1555"/>
      <c r="AG32" s="1555"/>
      <c r="AH32" s="1555"/>
      <c r="AI32" s="1555"/>
      <c r="AJ32" s="1555"/>
      <c r="AK32" s="1555"/>
      <c r="AL32" s="1555"/>
    </row>
    <row r="33" spans="1:38">
      <c r="A33" s="1555" t="s">
        <v>9603</v>
      </c>
      <c r="B33" s="1555"/>
      <c r="C33" s="1555"/>
      <c r="D33" s="1555"/>
      <c r="E33" s="1555"/>
      <c r="F33" s="1555"/>
      <c r="G33" s="1555"/>
      <c r="H33" s="1555"/>
      <c r="I33" s="1555"/>
      <c r="J33" s="1555"/>
      <c r="K33" s="1555"/>
      <c r="L33" s="1555"/>
      <c r="M33" s="1555"/>
      <c r="N33" s="1555"/>
      <c r="O33" s="1555"/>
      <c r="P33" s="1555"/>
      <c r="Q33" s="1555"/>
      <c r="R33" s="1555"/>
      <c r="S33" s="1555"/>
      <c r="T33" s="1555"/>
      <c r="U33" s="1555"/>
      <c r="V33" s="1555"/>
      <c r="W33" s="1555"/>
      <c r="X33" s="1555"/>
      <c r="Y33" s="1555"/>
      <c r="Z33" s="1555"/>
      <c r="AA33" s="1555"/>
      <c r="AB33" s="1555"/>
      <c r="AC33" s="1555"/>
      <c r="AD33" s="1555"/>
      <c r="AE33" s="1555"/>
      <c r="AF33" s="1555"/>
      <c r="AG33" s="1555"/>
      <c r="AH33" s="1555"/>
      <c r="AI33" s="1555"/>
      <c r="AJ33" s="1555"/>
      <c r="AK33" s="1555"/>
      <c r="AL33" s="1555"/>
    </row>
    <row r="34" spans="1:38">
      <c r="A34" s="1555" t="s">
        <v>9605</v>
      </c>
      <c r="B34" s="1555"/>
      <c r="C34" s="1555"/>
      <c r="D34" s="1555"/>
      <c r="E34" s="1555"/>
      <c r="F34" s="1555"/>
      <c r="G34" s="1555"/>
      <c r="H34" s="1555"/>
      <c r="I34" s="1555"/>
      <c r="J34" s="1555"/>
      <c r="K34" s="1555"/>
      <c r="L34" s="1555"/>
      <c r="M34" s="1555"/>
      <c r="N34" s="1555"/>
      <c r="O34" s="1555"/>
      <c r="P34" s="1555"/>
      <c r="Q34" s="1555"/>
      <c r="R34" s="1555"/>
      <c r="S34" s="1555"/>
      <c r="T34" s="1555"/>
      <c r="U34" s="1555"/>
      <c r="V34" s="1555"/>
      <c r="W34" s="1555"/>
      <c r="X34" s="1555"/>
      <c r="Y34" s="1555"/>
      <c r="Z34" s="1555"/>
      <c r="AA34" s="1555"/>
      <c r="AB34" s="1555"/>
      <c r="AC34" s="1555"/>
      <c r="AD34" s="1555"/>
      <c r="AE34" s="1555"/>
      <c r="AF34" s="1555"/>
      <c r="AG34" s="1555"/>
      <c r="AH34" s="1555"/>
      <c r="AI34" s="1555"/>
      <c r="AJ34" s="1555"/>
      <c r="AK34" s="1555"/>
      <c r="AL34" s="1555"/>
    </row>
    <row r="35" spans="1:38">
      <c r="A35" s="1555" t="s">
        <v>1094</v>
      </c>
      <c r="B35" s="1555"/>
      <c r="C35" s="1555"/>
      <c r="D35" s="1555"/>
      <c r="E35" s="1555"/>
      <c r="F35" s="1555"/>
      <c r="G35" s="1555"/>
      <c r="H35" s="1555"/>
      <c r="I35" s="1555"/>
      <c r="J35" s="1555"/>
      <c r="K35" s="1555"/>
      <c r="L35" s="1555"/>
      <c r="M35" s="1555"/>
      <c r="N35" s="1555"/>
      <c r="O35" s="1555"/>
      <c r="P35" s="1555"/>
      <c r="Q35" s="1555"/>
      <c r="R35" s="1555"/>
      <c r="S35" s="1555"/>
      <c r="T35" s="1555"/>
      <c r="U35" s="1555"/>
      <c r="V35" s="1555"/>
      <c r="W35" s="1555"/>
      <c r="X35" s="1555"/>
      <c r="Y35" s="1555"/>
      <c r="Z35" s="1555"/>
      <c r="AA35" s="1555"/>
      <c r="AB35" s="1555"/>
      <c r="AC35" s="1555"/>
      <c r="AD35" s="1555"/>
      <c r="AE35" s="1555"/>
      <c r="AF35" s="1555"/>
      <c r="AG35" s="1555"/>
      <c r="AH35" s="1555"/>
      <c r="AI35" s="1555"/>
      <c r="AJ35" s="1555"/>
      <c r="AK35" s="1555"/>
      <c r="AL35" s="1555"/>
    </row>
    <row r="36" spans="1:38">
      <c r="A36" s="1555" t="s">
        <v>9606</v>
      </c>
      <c r="B36" s="1555"/>
      <c r="C36" s="1555"/>
      <c r="D36" s="1555"/>
      <c r="E36" s="1555"/>
      <c r="F36" s="1555"/>
      <c r="G36" s="1555"/>
      <c r="H36" s="1555"/>
      <c r="I36" s="1555"/>
      <c r="J36" s="1555"/>
      <c r="K36" s="1555"/>
      <c r="L36" s="1555"/>
      <c r="M36" s="1555"/>
      <c r="N36" s="1555"/>
      <c r="O36" s="1555"/>
      <c r="P36" s="1555"/>
      <c r="Q36" s="1555"/>
      <c r="R36" s="1555"/>
      <c r="S36" s="1555"/>
      <c r="T36" s="1555"/>
      <c r="U36" s="1555"/>
      <c r="V36" s="1555"/>
      <c r="W36" s="1555"/>
      <c r="X36" s="1555"/>
      <c r="Y36" s="1555"/>
      <c r="Z36" s="1555"/>
      <c r="AA36" s="1555"/>
      <c r="AB36" s="1555"/>
      <c r="AC36" s="1555"/>
      <c r="AD36" s="1555"/>
      <c r="AE36" s="1555"/>
      <c r="AF36" s="1555"/>
      <c r="AG36" s="1555"/>
      <c r="AH36" s="1555"/>
      <c r="AI36" s="1555"/>
      <c r="AJ36" s="1555"/>
      <c r="AK36" s="1555"/>
      <c r="AL36" s="1555"/>
    </row>
    <row r="40" spans="1:38">
      <c r="B40" s="1034"/>
      <c r="C40" s="1034"/>
      <c r="D40" s="1034"/>
      <c r="E40" s="1034"/>
      <c r="F40" s="1034"/>
      <c r="G40" s="1034"/>
      <c r="H40" s="1034"/>
      <c r="I40" s="1034"/>
      <c r="J40" s="1034"/>
      <c r="K40" s="1034"/>
      <c r="L40" s="1034"/>
      <c r="M40" s="1034"/>
      <c r="N40" s="1034"/>
      <c r="O40" s="1034"/>
      <c r="P40" s="1034"/>
      <c r="Q40" s="1034"/>
      <c r="R40" s="1034"/>
      <c r="S40" s="1022"/>
      <c r="T40" s="1035"/>
      <c r="U40" s="1035"/>
      <c r="V40" s="1036"/>
      <c r="W40" s="1036"/>
      <c r="X40" s="1035"/>
      <c r="Y40" s="1035"/>
      <c r="Z40" s="1037"/>
      <c r="AA40" s="1035"/>
      <c r="AB40" s="1035"/>
      <c r="AC40" s="1035"/>
      <c r="AD40" s="1035"/>
      <c r="AE40" s="1035"/>
      <c r="AF40" s="1035"/>
      <c r="AG40" s="1038"/>
      <c r="AH40" s="1038"/>
      <c r="AI40" s="1038"/>
      <c r="AJ40" s="1038"/>
      <c r="AK40" s="1038"/>
      <c r="AL40" s="1038"/>
    </row>
  </sheetData>
  <sheetProtection algorithmName="SHA-512" hashValue="W0tWUThJrHqVSfhFOVQFEwp54w68dt/lFROT8QGlv26r3L1SwBhWQtvJn+ZkJxNrGUMlp6zqM29qfOSbj9E8xg==" saltValue="gB2Hg7AVUGEeSaHAQBWl7w==" spinCount="100000" sheet="1" objects="1" scenarios="1" selectLockedCells="1"/>
  <mergeCells count="47">
    <mergeCell ref="Y13:AK18"/>
    <mergeCell ref="I5:P5"/>
    <mergeCell ref="Q5:V5"/>
    <mergeCell ref="W5:AB5"/>
    <mergeCell ref="AI5:AL5"/>
    <mergeCell ref="W11:AK11"/>
    <mergeCell ref="I6:P6"/>
    <mergeCell ref="A7:AL7"/>
    <mergeCell ref="V8:AL8"/>
    <mergeCell ref="V9:AL9"/>
    <mergeCell ref="A13:B13"/>
    <mergeCell ref="A15:B15"/>
    <mergeCell ref="A17:B17"/>
    <mergeCell ref="A1:AL1"/>
    <mergeCell ref="AG2:AL2"/>
    <mergeCell ref="I3:AL3"/>
    <mergeCell ref="E4:AA4"/>
    <mergeCell ref="AI4:AL4"/>
    <mergeCell ref="A20:B20"/>
    <mergeCell ref="Q9:R9"/>
    <mergeCell ref="Q13:R13"/>
    <mergeCell ref="Q15:R15"/>
    <mergeCell ref="Q17:R17"/>
    <mergeCell ref="Q20:T20"/>
    <mergeCell ref="A9:B9"/>
    <mergeCell ref="A11:B11"/>
    <mergeCell ref="A25:O27"/>
    <mergeCell ref="P25:X27"/>
    <mergeCell ref="Y25:AG27"/>
    <mergeCell ref="AI25:AL27"/>
    <mergeCell ref="A23:AL23"/>
    <mergeCell ref="A36:AL36"/>
    <mergeCell ref="A34:AL34"/>
    <mergeCell ref="A33:AL33"/>
    <mergeCell ref="A32:AL32"/>
    <mergeCell ref="P28:X28"/>
    <mergeCell ref="A28:O28"/>
    <mergeCell ref="Y28:AG28"/>
    <mergeCell ref="AH28:AL28"/>
    <mergeCell ref="A29:O29"/>
    <mergeCell ref="Y29:AG29"/>
    <mergeCell ref="AH29:AL29"/>
    <mergeCell ref="Y30:AG31"/>
    <mergeCell ref="AH30:AL31"/>
    <mergeCell ref="P29:X29"/>
    <mergeCell ref="A35:AL35"/>
    <mergeCell ref="P30:X31"/>
  </mergeCells>
  <conditionalFormatting sqref="Y30:AL31">
    <cfRule type="cellIs" dxfId="217" priority="2" operator="equal">
      <formula>0</formula>
    </cfRule>
  </conditionalFormatting>
  <conditionalFormatting sqref="Q9:T20">
    <cfRule type="cellIs" dxfId="216" priority="1" operator="equal">
      <formula>0</formula>
    </cfRule>
  </conditionalFormatting>
  <printOptions horizontalCentered="1"/>
  <pageMargins left="0.39370078740157483" right="0.31496062992125984" top="0.35433070866141736" bottom="0.35433070866141736" header="0.31496062992125984" footer="0.31496062992125984"/>
  <pageSetup paperSize="9" scale="9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2802" r:id="rId4" name="Button 2">
              <controlPr defaultSize="0" print="0" autoFill="0" autoPict="0" macro="[0]!AjoutFR2B_Cliquer">
                <anchor moveWithCells="1">
                  <from>
                    <xdr:col>38</xdr:col>
                    <xdr:colOff>137160</xdr:colOff>
                    <xdr:row>24</xdr:row>
                    <xdr:rowOff>99060</xdr:rowOff>
                  </from>
                  <to>
                    <xdr:col>39</xdr:col>
                    <xdr:colOff>640080</xdr:colOff>
                    <xdr:row>26</xdr:row>
                    <xdr:rowOff>99060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34BE28F0-EF85-45E7-B45E-33367BF1AEAA}">
          <x14:formula1>
            <xm:f>Referentiels!$F$3:$F$5</xm:f>
          </x14:formula1>
          <xm:sqref>W11:AK11</xm:sqref>
        </x14:dataValidation>
        <x14:dataValidation type="list" allowBlank="1" showInputMessage="1" showErrorMessage="1" xr:uid="{55FD5039-65B4-4930-894C-025D8A5B6E3C}">
          <x14:formula1>
            <xm:f>Referentiels!$G$3:$G$457</xm:f>
          </x14:formula1>
          <xm:sqref>P28:X28</xm:sqref>
        </x14:dataValidation>
        <x14:dataValidation type="list" allowBlank="1" showInputMessage="1" showErrorMessage="1" xr:uid="{E72C31F7-A647-468A-B5E7-232CF8603007}">
          <x14:formula1>
            <xm:f>Referentiels!$K$3:$K$4</xm:f>
          </x14:formula1>
          <xm:sqref>Y25:AG27</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143DD-E5DC-49D0-A6D4-05F69FDCF7DE}">
  <sheetPr codeName="Feuil9">
    <tabColor rgb="FFC00000"/>
  </sheetPr>
  <dimension ref="A1:J17"/>
  <sheetViews>
    <sheetView showGridLines="0" showRowColHeaders="0" zoomScaleNormal="100" zoomScalePageLayoutView="35" workbookViewId="0">
      <selection activeCell="A11" sqref="A11:B11"/>
    </sheetView>
  </sheetViews>
  <sheetFormatPr baseColWidth="10" defaultColWidth="11.41796875" defaultRowHeight="14.4"/>
  <cols>
    <col min="1" max="1" width="8.68359375" style="103" customWidth="1"/>
    <col min="2" max="2" width="21.1015625" style="103" customWidth="1"/>
    <col min="3" max="5" width="14.89453125" style="103" customWidth="1"/>
    <col min="6" max="6" width="1.68359375" style="103" customWidth="1"/>
    <col min="7" max="7" width="12.41796875" style="103" customWidth="1"/>
    <col min="8" max="8" width="8" style="103" customWidth="1"/>
    <col min="9" max="9" width="7.68359375" style="103" customWidth="1"/>
    <col min="10" max="10" width="9.41796875" style="103" customWidth="1"/>
    <col min="11" max="16384" width="11.41796875" style="103"/>
  </cols>
  <sheetData>
    <row r="1" spans="1:10" ht="15" customHeight="1">
      <c r="A1" s="1276" t="str">
        <f>"- "&amp;Code!K8&amp;" -"</f>
        <v>- 10 -</v>
      </c>
      <c r="B1" s="1276"/>
      <c r="C1" s="1276"/>
      <c r="D1" s="1276"/>
      <c r="E1" s="1276"/>
      <c r="F1" s="1276"/>
      <c r="G1" s="1276"/>
      <c r="H1" s="1276"/>
      <c r="I1" s="1276"/>
      <c r="J1" s="1276"/>
    </row>
    <row r="2" spans="1:10" ht="20.25" customHeight="1">
      <c r="B2" s="993"/>
      <c r="C2" s="993"/>
      <c r="D2" s="993"/>
      <c r="E2" s="576"/>
      <c r="F2" s="993"/>
      <c r="G2" s="993"/>
      <c r="H2" s="993"/>
      <c r="I2" s="1544" t="s">
        <v>1095</v>
      </c>
      <c r="J2" s="1546"/>
    </row>
    <row r="3" spans="1:10" s="626" customFormat="1" ht="15" customHeight="1">
      <c r="A3" s="125" t="s">
        <v>50</v>
      </c>
      <c r="B3" s="125"/>
      <c r="C3" s="1647" t="str">
        <f>'FICHE R1'!E3</f>
        <v>OHADA</v>
      </c>
      <c r="D3" s="1647"/>
      <c r="E3" s="1647"/>
      <c r="F3" s="1647"/>
      <c r="G3" s="1647"/>
      <c r="H3" s="1647"/>
      <c r="I3" s="1647"/>
      <c r="J3" s="1647"/>
    </row>
    <row r="4" spans="1:10" s="626" customFormat="1" ht="15" customHeight="1">
      <c r="A4" s="125" t="s">
        <v>51</v>
      </c>
      <c r="B4" s="1646" t="str">
        <f>'FICHE R1'!D4</f>
        <v/>
      </c>
      <c r="C4" s="1646"/>
      <c r="D4" s="1646"/>
      <c r="E4" s="1646"/>
      <c r="F4" s="1646"/>
      <c r="G4" s="1646"/>
      <c r="H4" s="1650" t="s">
        <v>1021</v>
      </c>
      <c r="I4" s="1650"/>
      <c r="J4" s="994" t="str">
        <f>'FICHE R1'!S4</f>
        <v/>
      </c>
    </row>
    <row r="5" spans="1:10" s="626" customFormat="1" ht="15" customHeight="1">
      <c r="A5" s="125" t="s">
        <v>53</v>
      </c>
      <c r="B5" s="125"/>
      <c r="C5" s="1646" t="str">
        <f>'FICHE R1'!E5</f>
        <v/>
      </c>
      <c r="D5" s="1647"/>
      <c r="E5" s="307" t="s">
        <v>54</v>
      </c>
      <c r="F5" s="1648">
        <f>'FICHE R1'!J5</f>
        <v>0</v>
      </c>
      <c r="G5" s="1648"/>
      <c r="H5" s="1649" t="s">
        <v>55</v>
      </c>
      <c r="I5" s="1649"/>
      <c r="J5" s="995">
        <f>'FICHE R1'!U5</f>
        <v>1</v>
      </c>
    </row>
    <row r="6" spans="1:10" s="626" customFormat="1" ht="15" customHeight="1">
      <c r="A6" s="125" t="s">
        <v>1022</v>
      </c>
      <c r="C6" s="1275" t="str">
        <f>'FICHE R1'!E6</f>
        <v/>
      </c>
      <c r="D6" s="1275"/>
      <c r="E6" s="639"/>
      <c r="F6" s="639"/>
      <c r="G6" s="639"/>
      <c r="H6" s="639"/>
      <c r="I6" s="639"/>
      <c r="J6" s="639"/>
    </row>
    <row r="7" spans="1:10" ht="28.5" customHeight="1">
      <c r="A7" s="1273" t="s">
        <v>1096</v>
      </c>
      <c r="B7" s="1273"/>
      <c r="C7" s="1273"/>
      <c r="D7" s="1273"/>
      <c r="E7" s="1273"/>
      <c r="F7" s="1273"/>
      <c r="G7" s="1273"/>
      <c r="H7" s="1273"/>
      <c r="I7" s="1273"/>
      <c r="J7" s="1273"/>
    </row>
    <row r="8" spans="1:10" ht="15">
      <c r="A8" s="1641" t="s">
        <v>1097</v>
      </c>
      <c r="B8" s="1641"/>
      <c r="C8" s="1641"/>
      <c r="D8" s="1641"/>
      <c r="E8" s="1641"/>
      <c r="F8" s="1641"/>
      <c r="G8" s="1641"/>
      <c r="H8" s="1641"/>
      <c r="I8" s="1641"/>
      <c r="J8" s="1641"/>
    </row>
    <row r="9" spans="1:10" ht="12" customHeight="1"/>
    <row r="10" spans="1:10" ht="39.75" customHeight="1">
      <c r="A10" s="1644" t="s">
        <v>1098</v>
      </c>
      <c r="B10" s="1644"/>
      <c r="C10" s="996" t="s">
        <v>1099</v>
      </c>
      <c r="D10" s="649" t="s">
        <v>1100</v>
      </c>
      <c r="E10" s="996" t="s">
        <v>1101</v>
      </c>
      <c r="F10" s="1645" t="s">
        <v>1102</v>
      </c>
      <c r="G10" s="1645"/>
      <c r="H10" s="1645" t="s">
        <v>1103</v>
      </c>
      <c r="I10" s="1645"/>
      <c r="J10" s="1645"/>
    </row>
    <row r="11" spans="1:10" s="997" customFormat="1" ht="26.25" customHeight="1">
      <c r="A11" s="1639"/>
      <c r="B11" s="1639"/>
      <c r="C11" s="329"/>
      <c r="D11" s="329"/>
      <c r="E11" s="577"/>
      <c r="F11" s="1640"/>
      <c r="G11" s="1640"/>
      <c r="H11" s="1640"/>
      <c r="I11" s="1640"/>
      <c r="J11" s="1640"/>
    </row>
    <row r="12" spans="1:10">
      <c r="A12" s="636" t="s">
        <v>1104</v>
      </c>
      <c r="B12" s="121"/>
      <c r="C12" s="121"/>
      <c r="D12" s="121"/>
      <c r="E12" s="121"/>
      <c r="F12" s="121"/>
      <c r="G12" s="121"/>
    </row>
    <row r="13" spans="1:10" s="793" customFormat="1" ht="12" customHeight="1">
      <c r="A13" s="793" t="s">
        <v>1105</v>
      </c>
    </row>
    <row r="14" spans="1:10">
      <c r="A14" s="1641" t="s">
        <v>1106</v>
      </c>
      <c r="B14" s="1641"/>
      <c r="C14" s="1641"/>
      <c r="D14" s="1641"/>
      <c r="E14" s="1641"/>
      <c r="F14" s="1641"/>
      <c r="G14" s="1641"/>
      <c r="H14" s="1641"/>
      <c r="I14" s="1641"/>
      <c r="J14" s="1641"/>
    </row>
    <row r="15" spans="1:10" ht="12" customHeight="1">
      <c r="A15" s="121"/>
      <c r="B15" s="121"/>
      <c r="C15" s="121"/>
      <c r="D15" s="121"/>
      <c r="E15" s="121"/>
      <c r="F15" s="121"/>
      <c r="G15" s="121"/>
    </row>
    <row r="16" spans="1:10" ht="27.75" customHeight="1">
      <c r="A16" s="1642" t="s">
        <v>1098</v>
      </c>
      <c r="B16" s="1642"/>
      <c r="C16" s="1642" t="s">
        <v>1107</v>
      </c>
      <c r="D16" s="1642"/>
      <c r="E16" s="1642" t="s">
        <v>1101</v>
      </c>
      <c r="F16" s="1642"/>
      <c r="G16" s="1643" t="s">
        <v>1108</v>
      </c>
      <c r="H16" s="1643"/>
      <c r="I16" s="1643"/>
      <c r="J16" s="1643"/>
    </row>
    <row r="17" spans="1:10" s="593" customFormat="1" ht="26.25" customHeight="1">
      <c r="A17" s="1632"/>
      <c r="B17" s="1633"/>
      <c r="C17" s="1634"/>
      <c r="D17" s="1635"/>
      <c r="E17" s="1636"/>
      <c r="F17" s="1637"/>
      <c r="G17" s="1634"/>
      <c r="H17" s="1638"/>
      <c r="I17" s="1638"/>
      <c r="J17" s="1635"/>
    </row>
  </sheetData>
  <sheetProtection algorithmName="SHA-512" hashValue="y42wFU5ExLk2DEvM/b2ivUZpZFnudV69z0kDKatV5DaVtiT8GwNFsmFxjCc4BY2iGr5XAU98eykW7d0PoGBNkQ==" saltValue="Lu6jV7mxNkv0jEISid7zBQ==" spinCount="100000" sheet="1" objects="1" scenarios="1" selectLockedCells="1"/>
  <mergeCells count="26">
    <mergeCell ref="C5:D5"/>
    <mergeCell ref="F5:G5"/>
    <mergeCell ref="H5:I5"/>
    <mergeCell ref="A1:J1"/>
    <mergeCell ref="I2:J2"/>
    <mergeCell ref="C3:J3"/>
    <mergeCell ref="B4:G4"/>
    <mergeCell ref="H4:I4"/>
    <mergeCell ref="C6:D6"/>
    <mergeCell ref="A7:J7"/>
    <mergeCell ref="A8:J8"/>
    <mergeCell ref="A10:B10"/>
    <mergeCell ref="F10:G10"/>
    <mergeCell ref="H10:J10"/>
    <mergeCell ref="A17:B17"/>
    <mergeCell ref="C17:D17"/>
    <mergeCell ref="E17:F17"/>
    <mergeCell ref="G17:J17"/>
    <mergeCell ref="A11:B11"/>
    <mergeCell ref="F11:G11"/>
    <mergeCell ref="H11:J11"/>
    <mergeCell ref="A14:J14"/>
    <mergeCell ref="A16:B16"/>
    <mergeCell ref="C16:D16"/>
    <mergeCell ref="E16:F16"/>
    <mergeCell ref="G16:J16"/>
  </mergeCells>
  <printOptions horizontalCentered="1"/>
  <pageMargins left="0.19685039370078741" right="0.19685039370078741" top="0.35433070866141736" bottom="0.35433070866141736" header="0.11811023622047245" footer="0.11811023622047245"/>
  <pageSetup paperSize="9" scale="88"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99009" r:id="rId4" name="AjoutLigneNOTE3E3">
              <controlPr defaultSize="0" print="0" autoFill="0" autoPict="0" macro="[0]!AjoutFR3A_Cliquer">
                <anchor moveWithCells="1">
                  <from>
                    <xdr:col>10</xdr:col>
                    <xdr:colOff>152400</xdr:colOff>
                    <xdr:row>9</xdr:row>
                    <xdr:rowOff>99060</xdr:rowOff>
                  </from>
                  <to>
                    <xdr:col>11</xdr:col>
                    <xdr:colOff>670560</xdr:colOff>
                    <xdr:row>9</xdr:row>
                    <xdr:rowOff>388620</xdr:rowOff>
                  </to>
                </anchor>
              </controlPr>
            </control>
          </mc:Choice>
        </mc:AlternateContent>
        <mc:AlternateContent xmlns:mc="http://schemas.openxmlformats.org/markup-compatibility/2006">
          <mc:Choice Requires="x14">
            <control shapeId="299010" r:id="rId5" name="Button 2">
              <controlPr defaultSize="0" print="0" autoFill="0" autoPict="0" macro="[0]!AjoutFR3B_Cliquer">
                <anchor moveWithCells="1">
                  <from>
                    <xdr:col>10</xdr:col>
                    <xdr:colOff>152400</xdr:colOff>
                    <xdr:row>15</xdr:row>
                    <xdr:rowOff>22860</xdr:rowOff>
                  </from>
                  <to>
                    <xdr:col>11</xdr:col>
                    <xdr:colOff>670560</xdr:colOff>
                    <xdr:row>15</xdr:row>
                    <xdr:rowOff>304800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5FA4-BED7-4DBC-BDEC-B169F9A80899}">
  <sheetPr codeName="Feuil10">
    <tabColor theme="9" tint="0.39997558519241921"/>
    <pageSetUpPr fitToPage="1"/>
  </sheetPr>
  <dimension ref="A1:N48"/>
  <sheetViews>
    <sheetView showGridLines="0" showRowColHeaders="0" showZeros="0" topLeftCell="A25" zoomScale="85" zoomScaleNormal="85" zoomScalePageLayoutView="90" workbookViewId="0">
      <selection sqref="A1:N1"/>
    </sheetView>
  </sheetViews>
  <sheetFormatPr baseColWidth="10" defaultColWidth="11.41796875" defaultRowHeight="11.4"/>
  <cols>
    <col min="1" max="1" width="4.41796875" style="299" customWidth="1"/>
    <col min="2" max="2" width="24.41796875" style="299" customWidth="1"/>
    <col min="3" max="3" width="14.41796875" style="299" customWidth="1"/>
    <col min="4" max="4" width="15.3125" style="125" customWidth="1"/>
    <col min="5" max="5" width="6.1015625" style="125" customWidth="1"/>
    <col min="6" max="9" width="15.68359375" style="125" customWidth="1"/>
    <col min="10" max="10" width="4.41796875" style="125" customWidth="1"/>
    <col min="11" max="11" width="41.41796875" style="125" customWidth="1"/>
    <col min="12" max="12" width="6.1015625" style="125" customWidth="1"/>
    <col min="13" max="14" width="15.68359375" style="125" customWidth="1"/>
    <col min="15" max="16384" width="11.41796875" style="125"/>
  </cols>
  <sheetData>
    <row r="1" spans="1:14" ht="15" customHeight="1">
      <c r="A1" s="1276" t="str">
        <f>"- "&amp;Code!K9&amp;" -"</f>
        <v>- 11 -</v>
      </c>
      <c r="B1" s="1276"/>
      <c r="C1" s="1276"/>
      <c r="D1" s="1276"/>
      <c r="E1" s="1276"/>
      <c r="F1" s="1276"/>
      <c r="G1" s="1276"/>
      <c r="H1" s="1276"/>
      <c r="I1" s="1276"/>
      <c r="J1" s="1276"/>
      <c r="K1" s="1277"/>
      <c r="L1" s="1277"/>
      <c r="M1" s="1277"/>
      <c r="N1" s="1277"/>
    </row>
    <row r="2" spans="1:14" ht="27" customHeight="1">
      <c r="B2" s="300"/>
      <c r="C2" s="300"/>
      <c r="D2" s="301"/>
      <c r="E2" s="301"/>
      <c r="F2" s="301"/>
      <c r="G2" s="301"/>
      <c r="J2" s="301"/>
      <c r="K2" s="973"/>
      <c r="L2" s="1671" t="s">
        <v>1109</v>
      </c>
      <c r="M2" s="1672"/>
      <c r="N2" s="1673"/>
    </row>
    <row r="3" spans="1:14" s="317" customFormat="1" ht="15.75" customHeight="1">
      <c r="A3" s="317" t="s">
        <v>50</v>
      </c>
      <c r="C3" s="1674" t="str">
        <f>'FICHE R3'!C3</f>
        <v>OHADA</v>
      </c>
      <c r="D3" s="1674"/>
      <c r="E3" s="1674"/>
      <c r="F3" s="1674"/>
      <c r="G3" s="1674"/>
      <c r="H3" s="1674"/>
      <c r="I3" s="1674"/>
      <c r="J3" s="1674"/>
      <c r="K3" s="1674"/>
      <c r="L3" s="1674"/>
      <c r="M3" s="1674"/>
      <c r="N3" s="1674"/>
    </row>
    <row r="4" spans="1:14" s="317" customFormat="1" ht="15.75" customHeight="1">
      <c r="A4" s="1675" t="s">
        <v>51</v>
      </c>
      <c r="B4" s="1675"/>
      <c r="C4" s="1676" t="str">
        <f>'FICHE R3'!B4</f>
        <v/>
      </c>
      <c r="D4" s="1674"/>
      <c r="E4" s="1674"/>
      <c r="F4" s="1674"/>
      <c r="G4" s="1674"/>
      <c r="H4" s="1674"/>
      <c r="I4" s="1674"/>
      <c r="J4" s="1674"/>
      <c r="K4" s="1674"/>
      <c r="L4" s="1677" t="s">
        <v>1021</v>
      </c>
      <c r="M4" s="1677"/>
      <c r="N4" s="974" t="str">
        <f>'FICHE R3'!J4</f>
        <v/>
      </c>
    </row>
    <row r="5" spans="1:14" s="317" customFormat="1" ht="15.75" customHeight="1">
      <c r="A5" s="1675" t="s">
        <v>53</v>
      </c>
      <c r="B5" s="1675"/>
      <c r="C5" s="1676" t="str">
        <f>'FICHE R3'!C5</f>
        <v/>
      </c>
      <c r="D5" s="1674"/>
      <c r="E5" s="1674"/>
      <c r="F5" s="1674"/>
      <c r="G5" s="1674"/>
      <c r="H5" s="1674"/>
      <c r="I5" s="1677" t="s">
        <v>54</v>
      </c>
      <c r="J5" s="1677"/>
      <c r="K5" s="975">
        <f>'FICHE R3'!F5</f>
        <v>0</v>
      </c>
      <c r="L5" s="1677" t="s">
        <v>55</v>
      </c>
      <c r="M5" s="1677"/>
      <c r="N5" s="976">
        <f>'FICHE R3'!J5</f>
        <v>1</v>
      </c>
    </row>
    <row r="6" spans="1:14" s="317" customFormat="1" ht="15.75" customHeight="1">
      <c r="A6" s="125" t="s">
        <v>56</v>
      </c>
      <c r="B6" s="803"/>
      <c r="C6" s="1275" t="str">
        <f>'FICHE R3'!C6</f>
        <v/>
      </c>
      <c r="D6" s="1275"/>
      <c r="E6" s="1275"/>
      <c r="F6" s="1275"/>
      <c r="G6" s="1275"/>
      <c r="H6" s="1275"/>
      <c r="I6" s="977"/>
      <c r="J6" s="977"/>
      <c r="K6" s="937"/>
      <c r="L6" s="977"/>
      <c r="M6" s="977"/>
      <c r="N6" s="937"/>
    </row>
    <row r="7" spans="1:14" ht="28.5" customHeight="1">
      <c r="A7" s="1670" t="s">
        <v>1110</v>
      </c>
      <c r="B7" s="1670"/>
      <c r="C7" s="1670"/>
      <c r="D7" s="1670"/>
      <c r="E7" s="1670"/>
      <c r="F7" s="1670"/>
      <c r="G7" s="1670"/>
      <c r="H7" s="1670"/>
      <c r="I7" s="1670"/>
      <c r="J7" s="1670"/>
      <c r="K7" s="1670"/>
      <c r="L7" s="1670"/>
      <c r="M7" s="1670"/>
      <c r="N7" s="1670"/>
    </row>
    <row r="8" spans="1:14" ht="15" customHeight="1">
      <c r="A8" s="1663" t="s">
        <v>1111</v>
      </c>
      <c r="B8" s="1668" t="s">
        <v>9215</v>
      </c>
      <c r="C8" s="1668"/>
      <c r="D8" s="1668"/>
      <c r="E8" s="1663" t="s">
        <v>1113</v>
      </c>
      <c r="F8" s="1663" t="s">
        <v>1114</v>
      </c>
      <c r="G8" s="1663"/>
      <c r="H8" s="1663"/>
      <c r="I8" s="1663" t="s">
        <v>1115</v>
      </c>
      <c r="J8" s="1663" t="s">
        <v>1111</v>
      </c>
      <c r="K8" s="1663" t="s">
        <v>1116</v>
      </c>
      <c r="L8" s="1663" t="s">
        <v>1113</v>
      </c>
      <c r="M8" s="1663" t="s">
        <v>1117</v>
      </c>
      <c r="N8" s="1663" t="s">
        <v>1118</v>
      </c>
    </row>
    <row r="9" spans="1:14" ht="13.5" customHeight="1">
      <c r="A9" s="1663"/>
      <c r="B9" s="1668"/>
      <c r="C9" s="1668"/>
      <c r="D9" s="1668"/>
      <c r="E9" s="1663"/>
      <c r="F9" s="1663"/>
      <c r="G9" s="1663"/>
      <c r="H9" s="1663"/>
      <c r="I9" s="1663"/>
      <c r="J9" s="1663"/>
      <c r="K9" s="1663"/>
      <c r="L9" s="1663"/>
      <c r="M9" s="1663"/>
      <c r="N9" s="1663"/>
    </row>
    <row r="10" spans="1:14" ht="31.5" customHeight="1">
      <c r="A10" s="1664"/>
      <c r="B10" s="1669"/>
      <c r="C10" s="1669"/>
      <c r="D10" s="1669"/>
      <c r="E10" s="1663"/>
      <c r="F10" s="940" t="s">
        <v>1119</v>
      </c>
      <c r="G10" s="940" t="s">
        <v>1120</v>
      </c>
      <c r="H10" s="940" t="s">
        <v>1121</v>
      </c>
      <c r="I10" s="940" t="s">
        <v>1121</v>
      </c>
      <c r="J10" s="1664"/>
      <c r="K10" s="1664"/>
      <c r="L10" s="1663"/>
      <c r="M10" s="940" t="s">
        <v>1121</v>
      </c>
      <c r="N10" s="940" t="s">
        <v>1121</v>
      </c>
    </row>
    <row r="11" spans="1:14" ht="18" customHeight="1">
      <c r="A11" s="914" t="s">
        <v>1122</v>
      </c>
      <c r="B11" s="1665" t="s">
        <v>1123</v>
      </c>
      <c r="C11" s="1666"/>
      <c r="D11" s="1667"/>
      <c r="E11" s="978" t="s">
        <v>70</v>
      </c>
      <c r="F11" s="979">
        <f>SUM(F12:F15)</f>
        <v>4650000</v>
      </c>
      <c r="G11" s="979">
        <f>SUM(G12:G15)</f>
        <v>0</v>
      </c>
      <c r="H11" s="979">
        <f>SUM(H12:H15)</f>
        <v>4650000</v>
      </c>
      <c r="I11" s="979">
        <f>SUM(I12:I15)</f>
        <v>2650000</v>
      </c>
      <c r="J11" s="920" t="s">
        <v>1124</v>
      </c>
      <c r="K11" s="980" t="s">
        <v>1125</v>
      </c>
      <c r="L11" s="955">
        <v>13</v>
      </c>
      <c r="M11" s="332">
        <f>SUMIFS(BalanceN[BS_Credit],BalanceN[Table],"&gt;=10100",BalanceN[Table],"&lt;10500")
-SUMIFS(BalanceN[BS_Debit],BalanceN[Table],"&gt;=10100",BalanceN[Table],"&lt;10500")</f>
        <v>400000000</v>
      </c>
      <c r="N11" s="332">
        <f>SUMIFS(BalanceN1[BS_Credit],BalanceN1[Table],"&gt;=10100",BalanceN1[Table],"&lt;10500")
-SUMIFS(BalanceN1[BS_Debit],BalanceN1[Table],"&gt;=10100",BalanceN1[Table],"&lt;10500")</f>
        <v>100000000</v>
      </c>
    </row>
    <row r="12" spans="1:14" ht="18" customHeight="1">
      <c r="A12" s="917" t="s">
        <v>1126</v>
      </c>
      <c r="B12" s="1654" t="s">
        <v>1127</v>
      </c>
      <c r="C12" s="1655"/>
      <c r="D12" s="1656"/>
      <c r="E12" s="981"/>
      <c r="F12" s="332">
        <f>SUMIFS(BalanceN[BS_Debit],BalanceN[Table],"&gt;=21100",BalanceN[Table],"&lt;21200")+SUMIFS(BalanceN[BS_Debit],BalanceN[Table],"&gt;=21810",BalanceN[Table],"&lt;21820")+SUMIFS(BalanceN[BS_Debit],BalanceN[Table],"&gt;=21910",BalanceN[Table],"&lt;21920")</f>
        <v>0</v>
      </c>
      <c r="G12" s="332">
        <f>SUMIFS(BalanceN[BS_Debit],BalanceN[Table],"&gt;=28100",BalanceN[Table],"&lt;28120")+SUMIFS(BalanceN[BS_Debit],BalanceN[Table],"&gt;=28181",BalanceN[Table],"&lt;28182")+SUMIFS(BalanceN[BS_Debit],BalanceN[Table],"&gt;=28191",BalanceN[Table],"&lt;28192")+SUMIFS(BalanceN[BS_Debit],BalanceN[Table],"&gt;=29100",BalanceN[Table],"&lt;29120")+SUMIFS(BalanceN[BS_Debit],BalanceN[Table],"&gt;=29181",BalanceN[Table],"&lt;29182")+SUMIFS(BalanceN[BS_Debit],BalanceN[Table],"&gt;=29191",BalanceN[Table],"&lt;29192")</f>
        <v>0</v>
      </c>
      <c r="H12" s="332">
        <f>F12-G12</f>
        <v>0</v>
      </c>
      <c r="I12" s="982">
        <f>SUMIFS(BalanceN1[BS_Debit],BalanceN1[Table],"&gt;=21100",BalanceN1[Table],"&lt;21200")+SUMIFS(BalanceN1[BS_Debit],BalanceN1[Table],"&gt;=21810",BalanceN1[Table],"&lt;21820")+SUMIFS(BalanceN1[BS_Debit],BalanceN1[Table],"&gt;=21910",BalanceN1[Table],"&lt;21920")-(SUMIFS(BalanceN1[BS_Debit],BalanceN1[Table],"&gt;=28100",BalanceN1[Table],"&lt;28120")+SUMIFS(BalanceN1[BS_Debit],BalanceN1[Table],"&gt;=28181",BalanceN1[Table],"&lt;28182")+SUMIFS(BalanceN1[BS_Debit],BalanceN1[Table],"&gt;=28191",BalanceN1[Table],"&lt;28192")+SUMIFS(BalanceN1[BS_Debit],BalanceN1[Table],"&gt;=29100",BalanceN1[Table],"&lt;29120")+SUMIFS(BalanceN1[BS_Debit],BalanceN1[Table],"&gt;=29181",BalanceN1[Table],"&lt;29182")+SUMIFS(BalanceN1[BS_Debit],BalanceN1[Table],"&gt;=29191",BalanceN1[Table],"&lt;29192"))</f>
        <v>0</v>
      </c>
      <c r="J12" s="917" t="s">
        <v>1128</v>
      </c>
      <c r="K12" s="983" t="s">
        <v>1129</v>
      </c>
      <c r="L12" s="955">
        <v>13</v>
      </c>
      <c r="M12" s="332">
        <f>-SUMIFS(BalanceN[BS_Debit],BalanceN[Table],"&gt;=10900",BalanceN[Table],"&lt;11000")</f>
        <v>-100000000</v>
      </c>
      <c r="N12" s="332">
        <f>-SUMIFS(BalanceN1[BS_Debit],BalanceN1[Table],"&gt;=10900",BalanceN1[Table],"&lt;11000")</f>
        <v>0</v>
      </c>
    </row>
    <row r="13" spans="1:14" ht="18" customHeight="1">
      <c r="A13" s="917" t="s">
        <v>1130</v>
      </c>
      <c r="B13" s="1654" t="s">
        <v>1131</v>
      </c>
      <c r="C13" s="1655"/>
      <c r="D13" s="1656"/>
      <c r="E13" s="981"/>
      <c r="F13" s="332">
        <f>SUMIFS(BalanceN[BS_Debit],BalanceN[Table],"&gt;=21200",BalanceN[Table],"&lt;21500")+SUMIFS(BalanceN[BS_Debit],BalanceN[Table],"&gt;=21930",BalanceN[Table],"&lt;21940")</f>
        <v>3050000</v>
      </c>
      <c r="G13" s="332">
        <f>SUMIFS(BalanceN[BS_Credit],BalanceN[Table],"&gt;=28120",BalanceN[Table],"&lt;28150")+SUMIFS(BalanceN[BS_Credit],BalanceN[Table],"&gt;=28192",BalanceN[Table],"&lt;28195")+SUMIFS(BalanceN[BS_Credit],BalanceN[Table],"&gt;=29120",BalanceN[Table],"&lt;29150")+SUMIFS(BalanceN[BS_Credit],BalanceN[Table],"&gt;=29193",BalanceN[Table],"&lt;29194")</f>
        <v>0</v>
      </c>
      <c r="H13" s="332">
        <f>F13-G13</f>
        <v>3050000</v>
      </c>
      <c r="I13" s="982">
        <f>SUMIFS(BalanceN1[BS_Debit],BalanceN1[Table],"&gt;=21200",BalanceN1[Table],"&lt;21500")+SUMIFS(BalanceN1[BS_Debit],BalanceN1[Table],"&gt;=21930",BalanceN1[Table],"&lt;21940")-(SUMIFS(BalanceN1[BS_Credit],BalanceN1[Table],"&gt;=28120",BalanceN1[Table],"&lt;28150")+SUMIFS(BalanceN1[BS_Credit],BalanceN1[Table],"&gt;=28192",BalanceN1[Table],"&lt;28195")+SUMIFS(BalanceN1[BS_Credit],BalanceN1[Table],"&gt;=29120",BalanceN1[Table],"&lt;29150")+SUMIFS(BalanceN1[BS_Credit],BalanceN1[Table],"&gt;=29193",BalanceN1[Table],"&lt;29194"))</f>
        <v>1050000</v>
      </c>
      <c r="J13" s="917" t="s">
        <v>1132</v>
      </c>
      <c r="K13" s="983" t="s">
        <v>1133</v>
      </c>
      <c r="L13" s="955">
        <v>14</v>
      </c>
      <c r="M13" s="332">
        <f>SUMIFS(BalanceN[BS_Credit],BalanceN[Table],"&gt;=10500",BalanceN[Table],"&lt;10600")</f>
        <v>0</v>
      </c>
      <c r="N13" s="332">
        <f>SUMIFS(BalanceN1[BS_Credit],BalanceN1[Table],"&gt;=10500",BalanceN1[Table],"&lt;10600")</f>
        <v>0</v>
      </c>
    </row>
    <row r="14" spans="1:14" ht="18" customHeight="1">
      <c r="A14" s="917" t="s">
        <v>1134</v>
      </c>
      <c r="B14" s="1654" t="s">
        <v>1135</v>
      </c>
      <c r="C14" s="1655"/>
      <c r="D14" s="1656"/>
      <c r="E14" s="981"/>
      <c r="F14" s="332">
        <f>SUMIFS(BalanceN[BS_Debit],BalanceN[Table],"&gt;=21500",BalanceN[Table],"&lt;21700")</f>
        <v>1600000</v>
      </c>
      <c r="G14" s="332">
        <f>SUMIFS(BalanceN[BS_Credit],BalanceN[Table],"&gt;=28150",BalanceN[Table],"&lt;28170")+SUMIFS(BalanceN[BS_Credit],BalanceN[Table],"&gt;=29150",BalanceN[Table],"&lt;29170")</f>
        <v>0</v>
      </c>
      <c r="H14" s="332">
        <f>F14-G14</f>
        <v>1600000</v>
      </c>
      <c r="I14" s="982">
        <f>SUMIFS(BalanceN1[BS_Debit],BalanceN1[Table],"&gt;=21500",BalanceN1[Table],"&lt;21700")-(SUMIFS(BalanceN1[BS_Credit],BalanceN1[Table],"&gt;=28150",BalanceN1[Table],"&lt;28170")+SUMIFS(BalanceN1[BS_Credit],BalanceN1[Table],"&gt;=29150",BalanceN1[Table],"&lt;29170"))</f>
        <v>1600000</v>
      </c>
      <c r="J14" s="917" t="s">
        <v>1136</v>
      </c>
      <c r="K14" s="983" t="s">
        <v>1137</v>
      </c>
      <c r="L14" s="955" t="s">
        <v>1138</v>
      </c>
      <c r="M14" s="332">
        <f>SUMIFS(BalanceN[BS_Credit],BalanceN[Table],"&gt;=10600",BalanceN[Table],"&lt;10700")</f>
        <v>3500000</v>
      </c>
      <c r="N14" s="332">
        <f>SUMIFS(BalanceN1[BS_Credit],BalanceN1[Table],"&gt;=10600",BalanceN1[Table],"&lt;10700")</f>
        <v>0</v>
      </c>
    </row>
    <row r="15" spans="1:14" ht="18" customHeight="1">
      <c r="A15" s="917" t="s">
        <v>1139</v>
      </c>
      <c r="B15" s="1654" t="s">
        <v>1140</v>
      </c>
      <c r="C15" s="1655"/>
      <c r="D15" s="1656"/>
      <c r="E15" s="981"/>
      <c r="F15" s="332">
        <f>SUMIFS(BalanceN[BS_Debit],BalanceN[Table],"&gt;=21700",BalanceN[Table],"&lt;21800")+SUMIFS(BalanceN[BS_Debit],BalanceN[Table],"&gt;=21820",BalanceN[Table],"&lt;21900")+SUMIFS(BalanceN[BS_Debit],BalanceN[Table],"&gt;=21980",BalanceN[Table],"&lt;21990")</f>
        <v>0</v>
      </c>
      <c r="G15" s="332">
        <f>SUMIFS(BalanceN[BS_Credit],BalanceN[Table],"&gt;=28170",BalanceN[Table],"&lt;28190")+SUMIFS(BalanceN[BS_Credit],BalanceN[Table],"&gt;=28182",BalanceN[Table],"&lt;28190")+SUMIFS(BalanceN[BS_Credit],BalanceN[Table],"&gt;=28198",BalanceN[Table],"&lt;28199")+SUMIFS(BalanceN[BS_Credit],BalanceN[Table],"&gt;=29170",BalanceN[Table],"&lt;29190")+SUMIFS(BalanceN[BS_Credit],BalanceN[Table],"&gt;=29182",BalanceN[Table],"&lt;29190")+SUMIFS(BalanceN[BS_Credit],BalanceN[Table],"&gt;=29198",BalanceN[Table],"&lt;29199")</f>
        <v>0</v>
      </c>
      <c r="H15" s="332">
        <f>F15-G15</f>
        <v>0</v>
      </c>
      <c r="I15" s="982">
        <f>SUMIFS(BalanceN1[BS_Debit],BalanceN1[Table],"&gt;=21700",BalanceN1[Table],"&lt;21800")+SUMIFS(BalanceN1[BS_Debit],BalanceN1[Table],"&gt;=21820",BalanceN1[Table],"&lt;21900")+SUMIFS(BalanceN1[BS_Debit],BalanceN1[Table],"&gt;=21980",BalanceN1[Table],"&lt;21990")-(SUMIFS(BalanceN1[BS_Credit],BalanceN1[Table],"&gt;=28170",BalanceN1[Table],"&lt;28180")+SUMIFS(BalanceN1[BS_Credit],BalanceN1[Table],"&gt;=28182",BalanceN1[Table],"&lt;28190")+SUMIFS(BalanceN1[BS_Credit],BalanceN1[Table],"&gt;=28198",BalanceN1[Table],"&lt;28199")+SUMIFS(BalanceN1[BS_Credit],BalanceN1[Table],"&gt;=29170",BalanceN1[Table],"&lt;29180")+SUMIFS(BalanceN1[BS_Credit],BalanceN1[Table],"&gt;=29182",BalanceN1[Table],"&lt;29190")+SUMIFS(BalanceN1[BS_Credit],BalanceN1[Table],"&gt;=29198",BalanceN1[Table],"&lt;29199"))</f>
        <v>0</v>
      </c>
      <c r="J15" s="917" t="s">
        <v>1141</v>
      </c>
      <c r="K15" s="983" t="s">
        <v>1142</v>
      </c>
      <c r="L15" s="955">
        <v>14</v>
      </c>
      <c r="M15" s="332">
        <f>SUMIFS(BalanceN[BS_Credit],BalanceN[Table],"&gt;=11100",BalanceN[Table],"&lt;11400")</f>
        <v>20000000</v>
      </c>
      <c r="N15" s="332">
        <f>SUMIFS(BalanceN1[BS_Credit],BalanceN1[Table],"&gt;=11100",BalanceN1[Table],"&lt;11400")</f>
        <v>20000000</v>
      </c>
    </row>
    <row r="16" spans="1:14" ht="18" customHeight="1">
      <c r="A16" s="914" t="s">
        <v>1143</v>
      </c>
      <c r="B16" s="1665" t="s">
        <v>1144</v>
      </c>
      <c r="C16" s="1666"/>
      <c r="D16" s="1667"/>
      <c r="E16" s="978">
        <v>3</v>
      </c>
      <c r="F16" s="979">
        <f>SUM(F17:F21)</f>
        <v>1012410344</v>
      </c>
      <c r="G16" s="979">
        <f>SUM(G17:G21)</f>
        <v>321157361</v>
      </c>
      <c r="H16" s="979">
        <f>SUM(H17:H21)</f>
        <v>691252983</v>
      </c>
      <c r="I16" s="979">
        <f>SUM(I17:I21)</f>
        <v>203544627</v>
      </c>
      <c r="J16" s="917" t="s">
        <v>1145</v>
      </c>
      <c r="K16" s="983" t="s">
        <v>1146</v>
      </c>
      <c r="L16" s="955">
        <v>14</v>
      </c>
      <c r="M16" s="332">
        <f>SUMIFS(BalanceN[BS_Credit],BalanceN[Table],"&gt;=11800",BalanceN[Table],"&lt;11900")</f>
        <v>0</v>
      </c>
      <c r="N16" s="332">
        <f>SUMIFS(BalanceN1[BS_Credit],BalanceN1[Table],"&gt;=11800",BalanceN1[Table],"&lt;11900")</f>
        <v>0</v>
      </c>
    </row>
    <row r="17" spans="1:14" ht="25.5" customHeight="1">
      <c r="A17" s="958" t="s">
        <v>1147</v>
      </c>
      <c r="B17" s="965" t="s">
        <v>9216</v>
      </c>
      <c r="C17" s="331">
        <f>SUMIFS(BalanceN[BS_Debit],BalanceN[Table],"&gt;=22810",BalanceN[Table],"&lt;22820")</f>
        <v>0</v>
      </c>
      <c r="D17" s="330">
        <f>SUMIFS(BalanceN1[BS_Debit],BalanceN1[Table],"&gt;=22810",BalanceN1[Table],"&lt;22820")</f>
        <v>0</v>
      </c>
      <c r="E17" s="981"/>
      <c r="F17" s="337">
        <f>SUMIFS(BalanceN[BS_Debit],BalanceN[Table],"&gt;=22000",BalanceN[Table],"&lt;23000")</f>
        <v>38673950</v>
      </c>
      <c r="G17" s="337">
        <f>SUMIFS(BalanceN[BS_Credit],BalanceN[Table],"&gt;=28200",BalanceN[Table],"&lt;28300")+SUMIFS(BalanceN[BS_Credit],BalanceN[Table],"&gt;=29200",BalanceN[Table],"&lt;29300")</f>
        <v>0</v>
      </c>
      <c r="H17" s="337">
        <f t="shared" ref="H17:H22" si="0">F17-G17</f>
        <v>38673950</v>
      </c>
      <c r="I17" s="984">
        <f>SUMIFS(BalanceN1[BS_Debit],BalanceN1[Table],"&gt;=22000",BalanceN1[Table],"&lt;23000")-(SUMIFS(BalanceN1[BS_Credit],BalanceN1[Table],"&gt;=28200",BalanceN1[Table],"&lt;28300")+SUMIFS(BalanceN1[BS_Credit],BalanceN1[Table],"&gt;=29200",BalanceN1[Table],"&lt;29300"))</f>
        <v>35173950</v>
      </c>
      <c r="J17" s="917" t="s">
        <v>1148</v>
      </c>
      <c r="K17" s="983" t="s">
        <v>1149</v>
      </c>
      <c r="L17" s="955">
        <v>14</v>
      </c>
      <c r="M17" s="337">
        <f>SUMIFS(BalanceN[BS_Credit],BalanceN[Table],"&gt;=12000",BalanceN[Table],"&lt;13000")-SUMIFS(BalanceN[BS_Debit],BalanceN[Table],"&gt;=12000",BalanceN[Table],"&lt;13000")</f>
        <v>76069991</v>
      </c>
      <c r="N17" s="337">
        <f>SUMIFS(BalanceN1[BS_Credit],BalanceN1[Table],"&gt;=12000",BalanceN1[Table],"&lt;13000")-SUMIFS(BalanceN1[BS_Debit],BalanceN1[Table],"&gt;=12000",BalanceN1[Table],"&lt;13000")</f>
        <v>47450317</v>
      </c>
    </row>
    <row r="18" spans="1:14" ht="25.5" customHeight="1">
      <c r="A18" s="958" t="s">
        <v>1150</v>
      </c>
      <c r="B18" s="965" t="s">
        <v>9217</v>
      </c>
      <c r="C18" s="331">
        <f>SUMIFS(BalanceN[BS_Debit],BalanceN[Table],"&gt;=23150",BalanceN[Table],"&lt;23160")+SUMIFS(BalanceN[BS_Debit],BalanceN[Table],"&gt;=23250",BalanceN[Table],"&lt;23260")</f>
        <v>0</v>
      </c>
      <c r="D18" s="330">
        <f>SUMIFS(BalanceN1[BS_Debit],BalanceN1[Table],"&gt;=23150",BalanceN1[Table],"&lt;23160")+SUMIFS(BalanceN1[BS_Debit],BalanceN1[Table],"&gt;=23250",BalanceN1[Table],"&lt;23260")</f>
        <v>0</v>
      </c>
      <c r="E18" s="981"/>
      <c r="F18" s="337">
        <f>SUMIFS(BalanceN[BS_Debit],BalanceN[Table],"&gt;=23100",BalanceN[Table],"&lt;23400")+SUMIFS(BalanceN[BS_Debit],BalanceN[Table],"&gt;=23700",BalanceN[Table],"&lt;23800")+SUMIFS(BalanceN[BS_Debit],BalanceN[Table],"&gt;=23910",BalanceN[Table],"&lt;23920")</f>
        <v>741411100</v>
      </c>
      <c r="G18" s="337">
        <f>SUMIFS(BalanceN[BS_Credit],BalanceN[Table],"&gt;=28310",BalanceN[Table],"&lt;28340")+SUMIFS(BalanceN[BS_Credit],BalanceN[Table],"&gt;=28370",BalanceN[Table],"&lt;28380")+SUMIFS(BalanceN[BS_Credit],BalanceN[Table],"&gt;=28391",BalanceN[Table],"&lt;28392")+SUMIFS(BalanceN[BS_Credit],BalanceN[Table],"&gt;=29310",BalanceN[Table],"&lt;29340")+SUMIFS(BalanceN[BS_Credit],BalanceN[Table],"&gt;=29370",BalanceN[Table],"&lt;29380")+SUMIFS(BalanceN[BS_Credit],BalanceN[Table],"&gt;=29391",BalanceN[Table],"&lt;29392")</f>
        <v>160048641</v>
      </c>
      <c r="H18" s="337">
        <f t="shared" si="0"/>
        <v>581362459</v>
      </c>
      <c r="I18" s="984">
        <f>SUMIFS(BalanceN1[BS_Debit],BalanceN1[Table],"&gt;=23100",BalanceN1[Table],"&lt;23400")+SUMIFS(BalanceN1[BS_Debit],BalanceN1[Table],"&gt;=23700",BalanceN1[Table],"&lt;23800")+SUMIFS(BalanceN1[BS_Debit],BalanceN1[Table],"&gt;=23910",BalanceN1[Table],"&lt;23920")-(SUMIFS(BalanceN1[BS_Credit],BalanceN1[Table],"&gt;=28310",BalanceN1[Table],"&lt;28340")+SUMIFS(BalanceN1[BS_Credit],BalanceN1[Table],"&gt;=28370",BalanceN1[Table],"&lt;28380")+SUMIFS(BalanceN1[BS_Credit],BalanceN1[Table],"&gt;=28391",BalanceN1[Table],"&lt;28392")+SUMIFS(BalanceN1[BS_Credit],BalanceN1[Table],"&gt;=29310",BalanceN1[Table],"&lt;29340")+SUMIFS(BalanceN1[BS_Credit],BalanceN1[Table],"&gt;=29370",BalanceN1[Table],"&lt;29380")+SUMIFS(BalanceN1[BS_Credit],BalanceN1[Table],"&gt;=29391",BalanceN1[Table],"&lt;29392"))</f>
        <v>136097141</v>
      </c>
      <c r="J18" s="917" t="s">
        <v>1151</v>
      </c>
      <c r="K18" s="983" t="s">
        <v>1152</v>
      </c>
      <c r="L18" s="985"/>
      <c r="M18" s="337">
        <f>SUMIFS(BalanceN[BS_Credit],BalanceN[Table],"&gt;=13000",BalanceN[Table],"&lt;14000")-SUMIFS(BalanceN[BS_Debit],BalanceN[Table],"&gt;=13000",BalanceN[Table],"&lt;14000")+SUMIFS(BalanceN[BS_Credit],BalanceN[Table],"&gt;=60000",BalanceN[Table],"&lt;90000")-SUMIFS(BalanceN[BS_Debit],BalanceN[Table],"&gt;=60000",BalanceN[Table],"&lt;90000")</f>
        <v>215389710</v>
      </c>
      <c r="N18" s="337">
        <f>SUMIFS(BalanceN1[BS_Credit],BalanceN1[Table],"&gt;=13000",BalanceN1[Table],"&lt;14000")-SUMIFS(BalanceN1[BS_Debit],BalanceN1[Table],"&gt;=13000",BalanceN1[Table],"&lt;14000")+SUMIFS(BalanceN1[BS_Credit],BalanceN1[Table],"&gt;=60000",BalanceN1[Table],"&lt;90000")-SUMIFS(BalanceN1[BS_Debit],BalanceN1[Table],"&gt;=60000",BalanceN1[Table],"&lt;90000")</f>
        <v>118619674</v>
      </c>
    </row>
    <row r="19" spans="1:14" ht="18" customHeight="1">
      <c r="A19" s="917" t="s">
        <v>1153</v>
      </c>
      <c r="B19" s="1654" t="s">
        <v>1154</v>
      </c>
      <c r="C19" s="1655"/>
      <c r="D19" s="1656"/>
      <c r="E19" s="981"/>
      <c r="F19" s="332">
        <f>SUMIFS(BalanceN[BS_Debit],BalanceN[Table],"&gt;=23400",BalanceN[Table],"&lt;23600")+SUMIFS(BalanceN[BS_Debit],BalanceN[Table],"&gt;=23800",BalanceN[Table],"&lt;23900")+SUMIFS(BalanceN[BS_Debit],BalanceN[Table],"&gt;=23920",BalanceN[Table],"&lt;24000")</f>
        <v>73328267</v>
      </c>
      <c r="G19" s="332">
        <f>SUMIFS(BalanceN[BS_Credit],BalanceN[Table],"&gt;=28340",BalanceN[Table],"&lt;28360")+SUMIFS(BalanceN[BS_Credit],BalanceN[Table],"&gt;=28380",BalanceN[Table],"&lt;28390")+SUMIFS(BalanceN[BS_Credit],BalanceN[Table],"&gt;=28392",BalanceN[Table],"&lt;28400")+SUMIFS(BalanceN[BS_Credit],BalanceN[Table],"&gt;=29340",BalanceN[Table],"&lt;29360")+SUMIFS(BalanceN[BS_Credit],BalanceN[Table],"&gt;=29380",BalanceN[Table],"&lt;29390")+SUMIFS(BalanceN[BS_Credit],BalanceN[Table],"&gt;=29392",BalanceN[Table],"&lt;29400")</f>
        <v>71328267</v>
      </c>
      <c r="H19" s="332">
        <f t="shared" si="0"/>
        <v>2000000</v>
      </c>
      <c r="I19" s="982">
        <f>SUMIFS(BalanceN1[BS_Debit],BalanceN1[Table],"&gt;=23400",BalanceN1[Table],"&lt;23600")+SUMIFS(BalanceN1[BS_Debit],BalanceN1[Table],"&gt;=23800",BalanceN1[Table],"&lt;23900")+SUMIFS(BalanceN1[BS_Debit],BalanceN1[Table],"&gt;=23920",BalanceN1[Table],"&lt;24000")-(SUMIFS(BalanceN1[BS_Credit],BalanceN1[Table],"&gt;=28340",BalanceN1[Table],"&lt;28360")+SUMIFS(BalanceN1[BS_Credit],BalanceN1[Table],"&gt;=28380",BalanceN1[Table],"&lt;28390")+SUMIFS(BalanceN1[BS_Credit],BalanceN1[Table],"&gt;=28392",BalanceN1[Table],"&lt;28400")+SUMIFS(BalanceN1[BS_Credit],BalanceN1[Table],"&gt;=29340",BalanceN1[Table],"&lt;29360")+SUMIFS(BalanceN1[BS_Credit],BalanceN1[Table],"&gt;=29380",BalanceN1[Table],"&lt;29390")+SUMIFS(BalanceN1[BS_Credit],BalanceN1[Table],"&gt;=29392",BalanceN1[Table],"&lt;29400"))</f>
        <v>0</v>
      </c>
      <c r="J19" s="917" t="s">
        <v>1155</v>
      </c>
      <c r="K19" s="983" t="s">
        <v>1156</v>
      </c>
      <c r="L19" s="955">
        <v>15</v>
      </c>
      <c r="M19" s="332">
        <f>SUMIFS(BalanceN[BS_Credit],BalanceN[Table],"&gt;=14000",BalanceN[Table],"&lt;15000")</f>
        <v>2000000</v>
      </c>
      <c r="N19" s="332">
        <f>SUMIFS(BalanceN1[BS_Credit],BalanceN1[Table],"&gt;=14000",BalanceN1[Table],"&lt;15000")</f>
        <v>0</v>
      </c>
    </row>
    <row r="20" spans="1:14" ht="18" customHeight="1">
      <c r="A20" s="917" t="s">
        <v>1157</v>
      </c>
      <c r="B20" s="1654" t="s">
        <v>1158</v>
      </c>
      <c r="C20" s="1655"/>
      <c r="D20" s="1656"/>
      <c r="E20" s="981"/>
      <c r="F20" s="332">
        <f>SUMIFS(BalanceN[BS_Debit],BalanceN[Table],"&gt;=24000",BalanceN[Table],"&lt;24500")+SUMIFS(BalanceN[BS_Debit],BalanceN[Table],"&gt;=24600",BalanceN[Table],"&lt;24950")+SUMIFS(BalanceN[BS_Debit],BalanceN[Table],"&gt;=24960",BalanceN[Table],"&lt;25000")</f>
        <v>82947027</v>
      </c>
      <c r="G20" s="332">
        <f>SUMIFS(BalanceN[BS_Credit],BalanceN[Table],"&gt;=28400",BalanceN[Table],"&lt;28450")+SUMIFS(BalanceN[BS_Credit],BalanceN[Table],"&gt;=28460",BalanceN[Table],"&lt;28495")+SUMIFS(BalanceN[BS_Credit],BalanceN[Table],"&gt;=28496",BalanceN[Table],"&lt;28500")+SUMIFS(BalanceN[BS_Credit],BalanceN[Table],"&gt;=29400",BalanceN[Table],"&lt;29450")+SUMIFS(BalanceN[BS_Credit],BalanceN[Table],"&gt;=29460",BalanceN[Table],"&lt;29495")+SUMIFS(BalanceN[BS_Credit],BalanceN[Table],"&gt;=29496",BalanceN[Table],"&lt;29500")</f>
        <v>35540453</v>
      </c>
      <c r="H20" s="332">
        <f t="shared" si="0"/>
        <v>47406574</v>
      </c>
      <c r="I20" s="982">
        <f>SUMIFS(BalanceN1[BS_Debit],BalanceN1[Table],"&gt;=24000",BalanceN1[Table],"&lt;24500")+SUMIFS(BalanceN1[BS_Debit],BalanceN1[Table],"&gt;=24600",BalanceN1[Table],"&lt;24950")+SUMIFS(BalanceN1[BS_Debit],BalanceN1[Table],"&gt;=24960",BalanceN1[Table],"&lt;25000")-(SUMIFS(BalanceN1[BS_Credit],BalanceN1[Table],"&gt;=28400",BalanceN1[Table],"&lt;28450")+SUMIFS(BalanceN1[BS_Credit],BalanceN1[Table],"&gt;=28460",BalanceN1[Table],"&lt;28495")+SUMIFS(BalanceN1[BS_Credit],BalanceN1[Table],"&gt;=28496",BalanceN1[Table],"&lt;28500")+SUMIFS(BalanceN1[BS_Credit],BalanceN1[Table],"&gt;=29400",BalanceN1[Table],"&lt;29450")+SUMIFS(BalanceN1[BS_Credit],BalanceN1[Table],"&gt;=29460",BalanceN1[Table],"&lt;29495")+SUMIFS(BalanceN1[BS_Credit],BalanceN1[Table],"&gt;=29496",BalanceN1[Table],"&lt;29500"))</f>
        <v>32086036</v>
      </c>
      <c r="J20" s="917" t="s">
        <v>1159</v>
      </c>
      <c r="K20" s="983" t="s">
        <v>1160</v>
      </c>
      <c r="L20" s="955">
        <v>15</v>
      </c>
      <c r="M20" s="332">
        <f>SUMIFS(BalanceN[BS_Credit],BalanceN[Table],"&gt;=15000",BalanceN[Table],"&lt;16000")</f>
        <v>40000000</v>
      </c>
      <c r="N20" s="332">
        <f>SUMIFS(BalanceN1[BS_Credit],BalanceN1[Table],"&gt;=15000",BalanceN1[Table],"&lt;16000")</f>
        <v>0</v>
      </c>
    </row>
    <row r="21" spans="1:14" ht="30.75" customHeight="1">
      <c r="A21" s="917" t="s">
        <v>1161</v>
      </c>
      <c r="B21" s="1654" t="s">
        <v>1162</v>
      </c>
      <c r="C21" s="1655"/>
      <c r="D21" s="1656"/>
      <c r="E21" s="981"/>
      <c r="F21" s="332">
        <f>SUMIFS(BalanceN[BS_Debit],BalanceN[Table],"&gt;=24500",BalanceN[Table],"&lt;24600")+SUMIFS(BalanceN[BS_Debit],BalanceN[Table],"&gt;=24950",BalanceN[Table],"&lt;24960")</f>
        <v>76050000</v>
      </c>
      <c r="G21" s="332">
        <f>SUMIFS(BalanceN[BS_Credit],BalanceN[Table],"&gt;=28450",BalanceN[Table],"&lt;28460")+SUMIFS(BalanceN[BS_Credit],BalanceN[Table],"&gt;=28495",BalanceN[Table],"&lt;28496")+SUMIFS(BalanceN[BS_Credit],BalanceN[Table],"&gt;=29450",BalanceN[Table],"&lt;29460")+SUMIFS(BalanceN[BS_Credit],BalanceN[Table],"&gt;=29495",BalanceN[Table],"&lt;29496")</f>
        <v>54240000</v>
      </c>
      <c r="H21" s="332">
        <f t="shared" si="0"/>
        <v>21810000</v>
      </c>
      <c r="I21" s="982">
        <f>SUMIFS(BalanceN1[BS_Debit],BalanceN1[Table],"&gt;=24500",BalanceN1[Table],"&lt;24600")+SUMIFS(BalanceN1[BS_Debit],BalanceN1[Table],"&gt;=24950",BalanceN1[Table],"&lt;24960")-(SUMIFS(BalanceN1[BS_Credit],BalanceN1[Table],"&gt;=28450",BalanceN1[Table],"&lt;28460")+SUMIFS(BalanceN1[BS_Credit],BalanceN1[Table],"&gt;=28495",BalanceN1[Table],"&lt;28496")+SUMIFS(BalanceN1[BS_Credit],BalanceN1[Table],"&gt;=29450",BalanceN1[Table],"&lt;29460")+SUMIFS(BalanceN1[BS_Credit],BalanceN1[Table],"&gt;=29495",BalanceN1[Table],"&lt;29496"))</f>
        <v>187500</v>
      </c>
      <c r="J21" s="914" t="s">
        <v>1163</v>
      </c>
      <c r="K21" s="986" t="s">
        <v>1164</v>
      </c>
      <c r="L21" s="987"/>
      <c r="M21" s="333">
        <f>SUM(M11:M20)</f>
        <v>656959701</v>
      </c>
      <c r="N21" s="333">
        <f>SUM(N11:N20)</f>
        <v>286069991</v>
      </c>
    </row>
    <row r="22" spans="1:14" ht="18" customHeight="1">
      <c r="A22" s="988" t="s">
        <v>1165</v>
      </c>
      <c r="B22" s="1657" t="s">
        <v>1166</v>
      </c>
      <c r="C22" s="1658"/>
      <c r="D22" s="1659"/>
      <c r="E22" s="981">
        <v>3</v>
      </c>
      <c r="F22" s="989">
        <f>SUMIFS(BalanceN[BS_Debit],BalanceN[Table],"&gt;=25000",BalanceN[Table],"&lt;26000")</f>
        <v>20000000</v>
      </c>
      <c r="G22" s="989">
        <f>SUMIFS(BalanceN[BS_Credit],BalanceN[Table],"&gt;=28500",BalanceN[Table],"&lt;28600")+SUMIFS(BalanceN[BS_Credit],BalanceN[Table],"&gt;=29500",BalanceN[Table],"&lt;29600")</f>
        <v>0</v>
      </c>
      <c r="H22" s="989">
        <f t="shared" si="0"/>
        <v>20000000</v>
      </c>
      <c r="I22" s="990">
        <f>SUMIFS(BalanceN1[BS_Debit],BalanceN1[Table],"&gt;=25000",BalanceN1[Table],"&lt;26000")-(SUMIFS(BalanceN1[BS_Credit],BalanceN1[Table],"&gt;=28500",BalanceN1[Table],"&lt;28600")+SUMIFS(BalanceN1[BS_Credit],BalanceN1[Table],"&gt;=29500",BalanceN1[Table],"&lt;29600"))</f>
        <v>0</v>
      </c>
      <c r="J22" s="917" t="s">
        <v>1167</v>
      </c>
      <c r="K22" s="983" t="s">
        <v>1168</v>
      </c>
      <c r="L22" s="955">
        <v>16</v>
      </c>
      <c r="M22" s="332">
        <f>SUMIFS(BalanceN[BS_Credit],BalanceN[Table],"&gt;=16000",BalanceN[Table],"&lt;17000")+SUMIFS(BalanceN[BS_Credit],BalanceN[Table],"&gt;=18100",BalanceN[Table],"&lt;18500")</f>
        <v>94699075</v>
      </c>
      <c r="N22" s="332">
        <f>SUMIFS(BalanceN1[BS_Credit],BalanceN1[Table],"&gt;=16000",BalanceN1[Table],"&lt;17000")+SUMIFS(BalanceN1[BS_Credit],BalanceN1[Table],"&gt;=18100",BalanceN1[Table],"&lt;18500")</f>
        <v>2200000</v>
      </c>
    </row>
    <row r="23" spans="1:14" ht="18" customHeight="1">
      <c r="A23" s="914" t="s">
        <v>1169</v>
      </c>
      <c r="B23" s="1651" t="s">
        <v>1170</v>
      </c>
      <c r="C23" s="1652"/>
      <c r="D23" s="1653"/>
      <c r="E23" s="991">
        <v>4</v>
      </c>
      <c r="F23" s="333">
        <f>SUM(F24:F25)</f>
        <v>4419790</v>
      </c>
      <c r="G23" s="333">
        <f>SUM(G24:G25)</f>
        <v>0</v>
      </c>
      <c r="H23" s="333">
        <f>SUM(H24:H25)</f>
        <v>4419790</v>
      </c>
      <c r="I23" s="333">
        <f>SUM(I24:I25)</f>
        <v>4548658</v>
      </c>
      <c r="J23" s="917" t="s">
        <v>1171</v>
      </c>
      <c r="K23" s="983" t="s">
        <v>1172</v>
      </c>
      <c r="L23" s="955">
        <v>16</v>
      </c>
      <c r="M23" s="332">
        <f>SUMIFS(BalanceN[BS_Credit],BalanceN[Table],"&gt;=17000",BalanceN[Table],"&lt;18000")</f>
        <v>0</v>
      </c>
      <c r="N23" s="332">
        <f>SUMIFS(BalanceN1[BS_Credit],BalanceN1[Table],"&gt;=17000",BalanceN1[Table],"&lt;18000")</f>
        <v>0</v>
      </c>
    </row>
    <row r="24" spans="1:14" ht="18" customHeight="1">
      <c r="A24" s="917" t="s">
        <v>1173</v>
      </c>
      <c r="B24" s="1654" t="s">
        <v>1174</v>
      </c>
      <c r="C24" s="1655"/>
      <c r="D24" s="1656"/>
      <c r="E24" s="981"/>
      <c r="F24" s="332">
        <f>SUMIFS(BalanceN[BS_Debit],BalanceN[Table],"&gt;=26000",BalanceN[Table],"&lt;27000")</f>
        <v>0</v>
      </c>
      <c r="G24" s="332">
        <f>SUMIFS(BalanceN[BS_Credit],BalanceN[Table],"&gt;=28600",BalanceN[Table],"&lt;28700")+SUMIFS(BalanceN[BS_Credit],BalanceN[Table],"&gt;=29600",BalanceN[Table],"&lt;29700")</f>
        <v>0</v>
      </c>
      <c r="H24" s="332">
        <f>F24-G24</f>
        <v>0</v>
      </c>
      <c r="I24" s="982">
        <f>SUMIFS(BalanceN1[BS_Debit],BalanceN1[Table],"&gt;=26000",BalanceN1[Table],"&lt;27000")-(SUMIFS(BalanceN1[BS_Credit],BalanceN1[Table],"&gt;=28600",BalanceN1[Table],"&lt;28700")+SUMIFS(BalanceN1[BS_Credit],BalanceN1[Table],"&gt;=29600",BalanceN1[Table],"&lt;29700"))</f>
        <v>0</v>
      </c>
      <c r="J24" s="917" t="s">
        <v>1175</v>
      </c>
      <c r="K24" s="983" t="s">
        <v>1176</v>
      </c>
      <c r="L24" s="955">
        <v>16</v>
      </c>
      <c r="M24" s="332">
        <f>SUMIFS(BalanceN[BS_Credit],BalanceN[Table],"&gt;=19000",BalanceN[Table],"&lt;20000")</f>
        <v>62116366</v>
      </c>
      <c r="N24" s="332">
        <f>SUMIFS(BalanceN1[BS_Credit],BalanceN1[Table],"&gt;=19000",BalanceN1[Table],"&lt;20000")</f>
        <v>54864697</v>
      </c>
    </row>
    <row r="25" spans="1:14" ht="30.75" customHeight="1">
      <c r="A25" s="917" t="s">
        <v>1177</v>
      </c>
      <c r="B25" s="1654" t="s">
        <v>1178</v>
      </c>
      <c r="C25" s="1655"/>
      <c r="D25" s="1656"/>
      <c r="E25" s="981"/>
      <c r="F25" s="332">
        <f>SUMIFS(BalanceN[BS_Debit],BalanceN[Table],"&gt;=27000",BalanceN[Table],"&lt;28000")</f>
        <v>4419790</v>
      </c>
      <c r="G25" s="332">
        <f>SUMIFS(BalanceN[BS_Credit],BalanceN[Table],"&gt;=28700",BalanceN[Table],"&lt;28800")+SUMIFS(BalanceN[BS_Credit],BalanceN[Table],"&gt;=29700",BalanceN[Table],"&lt;29800")</f>
        <v>0</v>
      </c>
      <c r="H25" s="332">
        <f>F25-G25</f>
        <v>4419790</v>
      </c>
      <c r="I25" s="982">
        <f>SUMIFS(BalanceN1[BS_Debit],BalanceN1[Table],"&gt;=27000",BalanceN1[Table],"&lt;28000")-(SUMIFS(BalanceN1[BS_Credit],BalanceN1[Table],"&gt;=28700",BalanceN1[Table],"&lt;28800")+SUMIFS(BalanceN1[BS_Credit],BalanceN1[Table],"&gt;=29700",BalanceN1[Table],"&lt;29800"))</f>
        <v>4548658</v>
      </c>
      <c r="J25" s="929" t="s">
        <v>1179</v>
      </c>
      <c r="K25" s="992" t="s">
        <v>1180</v>
      </c>
      <c r="L25" s="987"/>
      <c r="M25" s="333">
        <f>SUM(M22:M24)</f>
        <v>156815441</v>
      </c>
      <c r="N25" s="333">
        <f>SUM(N22:N24)</f>
        <v>57064697</v>
      </c>
    </row>
    <row r="26" spans="1:14" ht="18" customHeight="1">
      <c r="A26" s="914" t="s">
        <v>1181</v>
      </c>
      <c r="B26" s="1651" t="s">
        <v>1182</v>
      </c>
      <c r="C26" s="1652"/>
      <c r="D26" s="1653"/>
      <c r="E26" s="991"/>
      <c r="F26" s="333">
        <f>F11+F16+F22+F23</f>
        <v>1041480134</v>
      </c>
      <c r="G26" s="333">
        <f>G11+G16+G22+G23</f>
        <v>321157361</v>
      </c>
      <c r="H26" s="333">
        <f>H11+H16+H22+H23</f>
        <v>720322773</v>
      </c>
      <c r="I26" s="333">
        <f>I11+I16+I22+I23</f>
        <v>210743285</v>
      </c>
      <c r="J26" s="933" t="s">
        <v>1183</v>
      </c>
      <c r="K26" s="986" t="s">
        <v>1184</v>
      </c>
      <c r="L26" s="987"/>
      <c r="M26" s="333">
        <f>M21+M25</f>
        <v>813775142</v>
      </c>
      <c r="N26" s="333">
        <f>N21+N25</f>
        <v>343134688</v>
      </c>
    </row>
    <row r="27" spans="1:14" ht="18" customHeight="1">
      <c r="A27" s="917" t="s">
        <v>1185</v>
      </c>
      <c r="B27" s="1657" t="s">
        <v>1186</v>
      </c>
      <c r="C27" s="1658"/>
      <c r="D27" s="1659"/>
      <c r="E27" s="981">
        <v>5</v>
      </c>
      <c r="F27" s="989">
        <f>SUMIFS(BalanceN[BS_Debit],BalanceN[Table],"&gt;=48500",BalanceN[Table],"&lt;48900")</f>
        <v>2140000</v>
      </c>
      <c r="G27" s="989">
        <f>SUMIFS(BalanceN[BS_Debit],BalanceN[Table],"&gt;=49850",BalanceN[Table],"&lt;49890")</f>
        <v>0</v>
      </c>
      <c r="H27" s="989">
        <f>F27-G27</f>
        <v>2140000</v>
      </c>
      <c r="I27" s="990">
        <f>SUMIFS(BalanceN1[BS_Debit],BalanceN1[Table],"&gt;=48500",BalanceN1[Table],"&lt;48900")-(SUMIFS(BalanceN1[BS_Debit],BalanceN1[Table],"&gt;=49850",BalanceN1[Table],"&lt;49890"))</f>
        <v>380000</v>
      </c>
      <c r="J27" s="917" t="s">
        <v>1187</v>
      </c>
      <c r="K27" s="983" t="s">
        <v>1188</v>
      </c>
      <c r="L27" s="955">
        <v>5</v>
      </c>
      <c r="M27" s="332">
        <f>SUMIFS(BalanceN[BS_Credit],BalanceN[Table],"&gt;=48100",BalanceN[Table],"&lt;48500")+SUMIFS(BalanceN[BS_Credit],BalanceN[Table],"&gt;=49980",BalanceN[Table],"&lt;49990")</f>
        <v>156649942</v>
      </c>
      <c r="N27" s="332">
        <f>SUMIFS(BalanceN1[BS_Credit],BalanceN1[Table],"&gt;=48100",BalanceN1[Table],"&lt;48500")+SUMIFS(BalanceN1[BS_Credit],BalanceN1[Table],"&gt;=49980",BalanceN1[Table],"&lt;49990")</f>
        <v>399942</v>
      </c>
    </row>
    <row r="28" spans="1:14" ht="18" customHeight="1">
      <c r="A28" s="917" t="s">
        <v>1189</v>
      </c>
      <c r="B28" s="1657" t="s">
        <v>1190</v>
      </c>
      <c r="C28" s="1658"/>
      <c r="D28" s="1659"/>
      <c r="E28" s="981">
        <v>6</v>
      </c>
      <c r="F28" s="989">
        <f>SUMIFS(BalanceN[BS_Debit],BalanceN[Table],"&gt;=30000",BalanceN[Table],"&lt;40000")</f>
        <v>18560138</v>
      </c>
      <c r="G28" s="989">
        <f>SUMIFS(BalanceN[BS_Credit],BalanceN[Table],"&gt;=30000",BalanceN[Table],"&lt;40000")</f>
        <v>0</v>
      </c>
      <c r="H28" s="989">
        <f>F28-G28</f>
        <v>18560138</v>
      </c>
      <c r="I28" s="990">
        <f>SUMIFS(BalanceN1[BS_Debit],BalanceN1[Table],"&gt;=30000",BalanceN1[Table],"&lt;40000")-(SUMIFS(BalanceN1[BS_Credit],BalanceN1[Table],"&gt;=30000",BalanceN1[Table],"&lt;40000"))</f>
        <v>15868433</v>
      </c>
      <c r="J28" s="917" t="s">
        <v>1191</v>
      </c>
      <c r="K28" s="983" t="s">
        <v>1192</v>
      </c>
      <c r="L28" s="955">
        <v>7</v>
      </c>
      <c r="M28" s="332">
        <f>SUMIFS(BalanceN[BS_Credit],BalanceN[Table],"&gt;=41900",BalanceN[Table],"&lt;42000")</f>
        <v>0</v>
      </c>
      <c r="N28" s="332">
        <f>SUMIFS(BalanceN1[BS_Credit],BalanceN1[Table],"&gt;=41900",BalanceN1[Table],"&lt;42000")</f>
        <v>0</v>
      </c>
    </row>
    <row r="29" spans="1:14" ht="18" customHeight="1">
      <c r="A29" s="917" t="s">
        <v>1193</v>
      </c>
      <c r="B29" s="1660" t="s">
        <v>1194</v>
      </c>
      <c r="C29" s="1661"/>
      <c r="D29" s="1662"/>
      <c r="E29" s="991"/>
      <c r="F29" s="333">
        <f>F30+F31+F32</f>
        <v>206981960</v>
      </c>
      <c r="G29" s="333">
        <f>G30+G31+G32</f>
        <v>31677520</v>
      </c>
      <c r="H29" s="333">
        <f>H30+H31+H32</f>
        <v>175304440</v>
      </c>
      <c r="I29" s="333">
        <f>I30+I31+I32</f>
        <v>144512218</v>
      </c>
      <c r="J29" s="917" t="s">
        <v>1195</v>
      </c>
      <c r="K29" s="983" t="s">
        <v>1196</v>
      </c>
      <c r="L29" s="955">
        <v>17</v>
      </c>
      <c r="M29" s="332">
        <f>SUMIFS(BalanceN[BS_Credit],BalanceN[Table],"&gt;=40100",BalanceN[Table],"&lt;40900")</f>
        <v>38210222</v>
      </c>
      <c r="N29" s="332">
        <f>SUMIFS(BalanceN1[BS_Credit],BalanceN1[Table],"&gt;=40100",BalanceN1[Table],"&lt;40900")</f>
        <v>55894206</v>
      </c>
    </row>
    <row r="30" spans="1:14" ht="18" customHeight="1">
      <c r="A30" s="917" t="s">
        <v>1197</v>
      </c>
      <c r="B30" s="1654" t="s">
        <v>1198</v>
      </c>
      <c r="C30" s="1655"/>
      <c r="D30" s="1656"/>
      <c r="E30" s="981">
        <v>17</v>
      </c>
      <c r="F30" s="332">
        <f>SUMIFS(BalanceN[BS_Debit],BalanceN[Table],"&gt;=40900",BalanceN[Table],"&lt;41100")</f>
        <v>857612</v>
      </c>
      <c r="G30" s="332">
        <f>SUMIFS(BalanceN[BS_Credit],BalanceN[Table],"&gt;=49000",BalanceN[Table],"&lt;49100")</f>
        <v>0</v>
      </c>
      <c r="H30" s="332">
        <f>F30-G30</f>
        <v>857612</v>
      </c>
      <c r="I30" s="982">
        <f>SUMIFS(BalanceN1[BS_Debit],BalanceN1[Table],"&gt;=40900",BalanceN1[Table],"&lt;41100")-(SUMIFS(BalanceN1[BS_Credit],BalanceN1[Table],"&gt;=49000",BalanceN1[Table],"&lt;49100"))</f>
        <v>700000</v>
      </c>
      <c r="J30" s="917" t="s">
        <v>1199</v>
      </c>
      <c r="K30" s="983" t="s">
        <v>1200</v>
      </c>
      <c r="L30" s="955">
        <v>18</v>
      </c>
      <c r="M30" s="332">
        <f>SUMIFS(BalanceN[BS_Credit],BalanceN[Table],"&gt;=42000",BalanceN[Table],"&lt;45000")</f>
        <v>42668247</v>
      </c>
      <c r="N30" s="332">
        <f>SUMIFS(BalanceN1[BS_Credit],BalanceN1[Table],"&gt;=42000",BalanceN1[Table],"&lt;45000")</f>
        <v>36010298</v>
      </c>
    </row>
    <row r="31" spans="1:14" ht="18" customHeight="1">
      <c r="A31" s="917" t="s">
        <v>1201</v>
      </c>
      <c r="B31" s="1654" t="s">
        <v>1202</v>
      </c>
      <c r="C31" s="1655"/>
      <c r="D31" s="1656"/>
      <c r="E31" s="981">
        <v>7</v>
      </c>
      <c r="F31" s="332">
        <f>SUMIFS(BalanceN[BS_Debit],BalanceN[Table],"&gt;=41100",BalanceN[Table],"&lt;42000")</f>
        <v>167938821</v>
      </c>
      <c r="G31" s="332">
        <f>SUMIFS(BalanceN[BS_Credit],BalanceN[Table],"&gt;=49100",BalanceN[Table],"&lt;49200")</f>
        <v>31677520</v>
      </c>
      <c r="H31" s="332">
        <f>F31-G31</f>
        <v>136261301</v>
      </c>
      <c r="I31" s="982">
        <f>SUMIFS(BalanceN1[BS_Debit],BalanceN1[Table],"&gt;=41100",BalanceN1[Table],"&lt;42000")-(SUMIFS(BalanceN1[BS_Credit],BalanceN1[Table],"&gt;=49100",BalanceN1[Table],"&lt;49200"))</f>
        <v>140683833</v>
      </c>
      <c r="J31" s="917" t="s">
        <v>1203</v>
      </c>
      <c r="K31" s="983" t="s">
        <v>1204</v>
      </c>
      <c r="L31" s="955">
        <v>19</v>
      </c>
      <c r="M31" s="332">
        <f>SUMIFS(BalanceN[BS_Credit],BalanceN[Table],"&gt;=18500",BalanceN[Table],"&lt;18600")+SUMIFS(BalanceN[BS_Credit],BalanceN[Table],"&gt;=45000",BalanceN[Table],"&lt;47900")</f>
        <v>620000</v>
      </c>
      <c r="N31" s="332">
        <f>SUMIFS(BalanceN1[BS_Credit],BalanceN1[Table],"&gt;=18500",BalanceN1[Table],"&lt;18600")+SUMIFS(BalanceN1[BS_Credit],BalanceN1[Table],"&gt;=45000",BalanceN1[Table],"&lt;47900")</f>
        <v>10648959</v>
      </c>
    </row>
    <row r="32" spans="1:14" ht="18" customHeight="1">
      <c r="A32" s="917" t="s">
        <v>1205</v>
      </c>
      <c r="B32" s="1654" t="s">
        <v>1206</v>
      </c>
      <c r="C32" s="1655"/>
      <c r="D32" s="1656"/>
      <c r="E32" s="981">
        <v>8</v>
      </c>
      <c r="F32" s="332">
        <f>SUMIFS(BalanceN[BS_Debit],BalanceN[Table],"&gt;=18500",BalanceN[Table],"&lt;18600")+SUMIFS(BalanceN[BS_Debit],BalanceN[Table],"&gt;=42000",BalanceN[Table],"&lt;47800")</f>
        <v>38185527</v>
      </c>
      <c r="G32" s="332">
        <f>SUMIFS(BalanceN[BS_Credit],BalanceN[Table],"&gt;=49200",BalanceN[Table],"&lt;49800")</f>
        <v>0</v>
      </c>
      <c r="H32" s="332">
        <f>F32-G32</f>
        <v>38185527</v>
      </c>
      <c r="I32" s="982">
        <f>SUMIFS(BalanceN1[BS_Debit],BalanceN1[Table],"&gt;=18500",BalanceN1[Table],"&lt;18600")+SUMIFS(BalanceN1[BS_Debit],BalanceN1[Table],"&gt;=42000",BalanceN1[Table],"&lt;47800")-(SUMIFS(BalanceN1[BS_Credit],BalanceN1[Table],"&gt;=49200",BalanceN1[Table],"&lt;49800"))</f>
        <v>3128385</v>
      </c>
      <c r="J32" s="917" t="s">
        <v>1207</v>
      </c>
      <c r="K32" s="983" t="s">
        <v>1208</v>
      </c>
      <c r="L32" s="955">
        <v>19</v>
      </c>
      <c r="M32" s="332">
        <f>SUMIFS(BalanceN[BS_Credit],BalanceN[Table],"&gt;=49900",BalanceN[Table],"&lt;49980")+SUMIFS(BalanceN[BS_Credit],BalanceN[Table],"&gt;=59900",BalanceN[Table],"&lt;60000")</f>
        <v>0</v>
      </c>
      <c r="N32" s="332">
        <f>SUMIFS(BalanceN1[BS_Credit],BalanceN1[Table],"&gt;=49900",BalanceN1[Table],"&lt;49980")+SUMIFS(BalanceN1[BS_Credit],BalanceN1[Table],"&gt;=59900",BalanceN1[Table],"&lt;60000")</f>
        <v>0</v>
      </c>
    </row>
    <row r="33" spans="1:14" ht="18" customHeight="1">
      <c r="A33" s="914" t="s">
        <v>1209</v>
      </c>
      <c r="B33" s="1651" t="s">
        <v>1210</v>
      </c>
      <c r="C33" s="1652"/>
      <c r="D33" s="1653"/>
      <c r="E33" s="991"/>
      <c r="F33" s="333">
        <f>F27+F28+F29</f>
        <v>227682098</v>
      </c>
      <c r="G33" s="333">
        <f>G27+G28+G29</f>
        <v>31677520</v>
      </c>
      <c r="H33" s="333">
        <f>H27+H28+H29</f>
        <v>196004578</v>
      </c>
      <c r="I33" s="333">
        <f>I27+I28+I29</f>
        <v>160760651</v>
      </c>
      <c r="J33" s="914" t="s">
        <v>1211</v>
      </c>
      <c r="K33" s="986" t="s">
        <v>1212</v>
      </c>
      <c r="L33" s="987"/>
      <c r="M33" s="333">
        <f>SUM(M27:M32)</f>
        <v>238148411</v>
      </c>
      <c r="N33" s="333">
        <f>SUM(N27:N32)</f>
        <v>102953405</v>
      </c>
    </row>
    <row r="34" spans="1:14" ht="18" customHeight="1">
      <c r="A34" s="917" t="s">
        <v>1213</v>
      </c>
      <c r="B34" s="1654" t="s">
        <v>1214</v>
      </c>
      <c r="C34" s="1655"/>
      <c r="D34" s="1656"/>
      <c r="E34" s="981">
        <v>9</v>
      </c>
      <c r="F34" s="332">
        <f>SUMIFS(BalanceN[BS_Debit],BalanceN[Table],"&gt;=50000",BalanceN[Table],"&lt;51000")</f>
        <v>0</v>
      </c>
      <c r="G34" s="332">
        <f>SUMIFS(BalanceN[BS_Credit],BalanceN[Table],"&gt;=59000",BalanceN[Table],"&lt;59100")</f>
        <v>0</v>
      </c>
      <c r="H34" s="332">
        <f>F34-G34</f>
        <v>0</v>
      </c>
      <c r="I34" s="982">
        <f>SUMIFS(BalanceN1[BS_Debit],BalanceN1[Table],"&gt;=50000",BalanceN1[Table],"&lt;51000")-(SUMIFS(BalanceN1[BS_Credit],BalanceN1[Table],"&gt;=59000",BalanceN1[Table],"&lt;59100"))</f>
        <v>0</v>
      </c>
      <c r="J34" s="339"/>
      <c r="K34" s="339"/>
      <c r="L34" s="339"/>
      <c r="M34" s="339"/>
      <c r="N34" s="339"/>
    </row>
    <row r="35" spans="1:14" ht="18" customHeight="1">
      <c r="A35" s="917" t="s">
        <v>1215</v>
      </c>
      <c r="B35" s="1654" t="s">
        <v>1216</v>
      </c>
      <c r="C35" s="1655"/>
      <c r="D35" s="1656"/>
      <c r="E35" s="981">
        <v>10</v>
      </c>
      <c r="F35" s="332">
        <f>SUMIFS(BalanceN[BS_Debit],BalanceN[Table],"&gt;=51000",BalanceN[Table],"&lt;52000")</f>
        <v>0</v>
      </c>
      <c r="G35" s="332">
        <f>SUMIFS(BalanceN[BS_Credit],BalanceN[Table],"&gt;=59100",BalanceN[Table],"&lt;59200")</f>
        <v>0</v>
      </c>
      <c r="H35" s="332">
        <f>F35-G35</f>
        <v>0</v>
      </c>
      <c r="I35" s="982">
        <f>SUMIFS(BalanceN1[BS_Debit],BalanceN1[Table],"&gt;=51000",BalanceN1[Table],"&lt;52000")-(SUMIFS(BalanceN1[BS_Credit],BalanceN1[Table],"&gt;=59100",BalanceN1[Table],"&lt;59200"))</f>
        <v>0</v>
      </c>
      <c r="J35" s="917" t="s">
        <v>1217</v>
      </c>
      <c r="K35" s="983" t="s">
        <v>1218</v>
      </c>
      <c r="L35" s="958">
        <v>20</v>
      </c>
      <c r="M35" s="959">
        <f>SUMIFS(BalanceN[BS_Credit],BalanceN[Table],"&gt;=56400",BalanceN[Table],"&lt;56600")</f>
        <v>0</v>
      </c>
      <c r="N35" s="959">
        <f>SUMIFS(BalanceN1[BS_Credit],BalanceN1[Table],"&gt;=56400",BalanceN1[Table],"&lt;56600")</f>
        <v>0</v>
      </c>
    </row>
    <row r="36" spans="1:14" ht="30.75" customHeight="1">
      <c r="A36" s="917" t="s">
        <v>1219</v>
      </c>
      <c r="B36" s="1654" t="s">
        <v>1220</v>
      </c>
      <c r="C36" s="1655"/>
      <c r="D36" s="1656"/>
      <c r="E36" s="981">
        <v>11</v>
      </c>
      <c r="F36" s="332">
        <f>SUMIFS(BalanceN[BS_Debit],BalanceN[Table],"&gt;=52000",BalanceN[Table],"&lt;58000")+SUMIFS(BalanceN[BS_Debit],BalanceN[Table],"&gt;=58100",BalanceN[Table],"&lt;59000")</f>
        <v>123097127</v>
      </c>
      <c r="G36" s="332">
        <f>SUMIFS(BalanceN[BS_Credit],BalanceN[Table],"&gt;=59200",BalanceN[Table],"&lt;59500")</f>
        <v>0</v>
      </c>
      <c r="H36" s="332">
        <f>F36-G36</f>
        <v>123097127</v>
      </c>
      <c r="I36" s="982">
        <f>SUMIFS(BalanceN1[BS_Debit],BalanceN1[Table],"&gt;=52000",BalanceN1[Table],"&lt;58000")+SUMIFS(BalanceN1[BS_Debit],BalanceN1[Table],"&gt;=58100",BalanceN1[Table],"&lt;59000")-(SUMIFS(BalanceN1[BS_Credit],BalanceN1[Table],"&gt;=59200",BalanceN1[Table],"&lt;59500"))</f>
        <v>74584157</v>
      </c>
      <c r="J36" s="917" t="s">
        <v>1221</v>
      </c>
      <c r="K36" s="983" t="s">
        <v>1222</v>
      </c>
      <c r="L36" s="955">
        <v>20</v>
      </c>
      <c r="M36" s="332">
        <f>SUMIFS(BalanceN[BS_Credit],BalanceN[Table],"&gt;=52000",BalanceN[Table],"&lt;54000")+SUMIFS(BalanceN[BS_Credit],BalanceN[Table],"&gt;=56100",BalanceN[Table],"&lt;56200")+SUMIFS(BalanceN[BS_Credit],BalanceN[Table],"&gt;=56600",BalanceN[Table],"&lt;56700")</f>
        <v>0</v>
      </c>
      <c r="N36" s="332">
        <f>SUMIFS(BalanceN1[BS_Credit],BalanceN1[Table],"&gt;=52000",BalanceN1[Table],"&lt;54000")+SUMIFS(BalanceN1[BS_Credit],BalanceN1[Table],"&gt;=56100",BalanceN1[Table],"&lt;56200")+SUMIFS(BalanceN1[BS_Credit],BalanceN1[Table],"&gt;=56600",BalanceN1[Table],"&lt;56700")</f>
        <v>0</v>
      </c>
    </row>
    <row r="37" spans="1:14" ht="18" customHeight="1">
      <c r="A37" s="914" t="s">
        <v>1223</v>
      </c>
      <c r="B37" s="1651" t="s">
        <v>1224</v>
      </c>
      <c r="C37" s="1652"/>
      <c r="D37" s="1653"/>
      <c r="E37" s="991"/>
      <c r="F37" s="333">
        <f>SUM(F34:F36)</f>
        <v>123097127</v>
      </c>
      <c r="G37" s="333">
        <f>SUM(G34:G36)</f>
        <v>0</v>
      </c>
      <c r="H37" s="333">
        <f>SUM(H34:H36)</f>
        <v>123097127</v>
      </c>
      <c r="I37" s="333">
        <f>SUM(I34:I36)</f>
        <v>74584157</v>
      </c>
      <c r="J37" s="914" t="s">
        <v>1225</v>
      </c>
      <c r="K37" s="986" t="s">
        <v>1226</v>
      </c>
      <c r="L37" s="987"/>
      <c r="M37" s="333">
        <f>SUM(M35:M36)</f>
        <v>0</v>
      </c>
      <c r="N37" s="333">
        <f>SUM(N35:N36)</f>
        <v>0</v>
      </c>
    </row>
    <row r="38" spans="1:14" ht="18" customHeight="1">
      <c r="A38" s="917" t="s">
        <v>1227</v>
      </c>
      <c r="B38" s="1654" t="s">
        <v>1228</v>
      </c>
      <c r="C38" s="1655"/>
      <c r="D38" s="1656"/>
      <c r="E38" s="981">
        <v>12</v>
      </c>
      <c r="F38" s="332">
        <f>SUMIFS(BalanceN[BS_Debit],BalanceN[Table],"&gt;=47800",BalanceN[Table],"&lt;47900")</f>
        <v>15000000</v>
      </c>
      <c r="G38" s="332">
        <f>(0)</f>
        <v>0</v>
      </c>
      <c r="H38" s="332">
        <f>F38-G38</f>
        <v>15000000</v>
      </c>
      <c r="I38" s="982">
        <f>SUMIFS(BalanceN1[BS_Debit],BalanceN1[Table],"&gt;=47800",BalanceN1[Table],"&lt;47900")</f>
        <v>0</v>
      </c>
      <c r="J38" s="917" t="s">
        <v>1229</v>
      </c>
      <c r="K38" s="983" t="s">
        <v>1230</v>
      </c>
      <c r="L38" s="955">
        <v>12</v>
      </c>
      <c r="M38" s="332">
        <f>SUMIFS(BalanceN[BS_Credit],BalanceN[Table],"&gt;=47900",BalanceN[Table],"&lt;48000")</f>
        <v>2500925</v>
      </c>
      <c r="N38" s="332">
        <f>SUMIFS(BalanceN1[BS_Credit],BalanceN1[Table],"&gt;=47900",BalanceN1[Table],"&lt;48000")</f>
        <v>0</v>
      </c>
    </row>
    <row r="39" spans="1:14" ht="18" customHeight="1">
      <c r="A39" s="914" t="s">
        <v>1231</v>
      </c>
      <c r="B39" s="1651" t="s">
        <v>1232</v>
      </c>
      <c r="C39" s="1652"/>
      <c r="D39" s="1653"/>
      <c r="E39" s="991"/>
      <c r="F39" s="333">
        <f>F26+F33+F37+F38</f>
        <v>1407259359</v>
      </c>
      <c r="G39" s="333">
        <f>G26+G33+G37+G38</f>
        <v>352834881</v>
      </c>
      <c r="H39" s="333">
        <f>H26+H33+H37+H38</f>
        <v>1054424478</v>
      </c>
      <c r="I39" s="333">
        <f>I26+I33+I37+I38</f>
        <v>446088093</v>
      </c>
      <c r="J39" s="914" t="s">
        <v>1233</v>
      </c>
      <c r="K39" s="986" t="s">
        <v>1232</v>
      </c>
      <c r="L39" s="987"/>
      <c r="M39" s="333">
        <f>M26+M33+M37+M38</f>
        <v>1054424478</v>
      </c>
      <c r="N39" s="333">
        <f>N26+N33+N37+N38</f>
        <v>446088093</v>
      </c>
    </row>
    <row r="40" spans="1:14">
      <c r="A40" s="574"/>
      <c r="B40" s="312"/>
      <c r="C40" s="312"/>
      <c r="D40" s="317"/>
      <c r="E40" s="642"/>
      <c r="F40" s="317"/>
      <c r="G40" s="317"/>
      <c r="H40" s="317"/>
      <c r="I40" s="317"/>
      <c r="J40" s="642"/>
      <c r="K40" s="317"/>
      <c r="L40" s="642"/>
      <c r="M40" s="317"/>
      <c r="N40" s="317"/>
    </row>
    <row r="41" spans="1:14">
      <c r="F41" s="1097"/>
      <c r="G41" s="1097"/>
      <c r="H41" s="1097" t="str">
        <f>IF(H39=M39,"",H39-M39)</f>
        <v/>
      </c>
      <c r="I41" s="1097" t="str">
        <f>IF(I39=N39,"",I39-N39)</f>
        <v/>
      </c>
      <c r="K41" s="1100"/>
      <c r="M41" s="1099"/>
      <c r="N41" s="1099"/>
    </row>
    <row r="42" spans="1:14">
      <c r="F42" s="1098" t="str">
        <f>IF(OR(B43&lt;&gt;"",B44&lt;&gt;"",B45&lt;&gt;"",B46&lt;&gt;"",B47&lt;&gt;"",B48&lt;&gt;""),"Voir Table de conversion Exercice N","")</f>
        <v/>
      </c>
      <c r="G42" s="1098"/>
      <c r="H42" s="1098"/>
      <c r="I42" s="1098" t="str">
        <f>IF(OR(I43&lt;&gt;"",I44&lt;&gt;"",I45&lt;&gt;"",I46&lt;&gt;"",I47&lt;&gt;"",I48&lt;&gt;""),"Voir Table de conversion Exercice N","")</f>
        <v/>
      </c>
      <c r="K42" s="1100"/>
      <c r="M42" s="1099"/>
      <c r="N42" s="1099"/>
    </row>
    <row r="43" spans="1:14">
      <c r="F43" s="1099" t="str">
        <f>IF(SUMIFS(BalanceN[BS_Debit],BalanceN[Table],"&gt;=21000",BalanceN[Table],"&lt;22000")-ad=0,"",SUMIFS(BalanceN[BS_Debit],BalanceN[Table],"&gt;=21000",BalanceN[Table],"&lt;22000")-ad)</f>
        <v/>
      </c>
      <c r="G43" s="1099">
        <f>IF(SUMIFS(BalanceN[BS_Credit],BalanceN[Table],"&gt;=28100",BalanceN[Table],"&lt;28200")+SUMIFS(BalanceN[BS_Credit],BalanceN[Table],"&gt;=29100",BalanceN[Table],"&lt;29200")=AAD,"",SUMIFS(BalanceN[BS_Credit],BalanceN[Table],"&gt;=28100",BalanceN[Table],"&lt;28200")+SUMIFS(BalanceN[BS_Credit],BalanceN[Table],"&gt;=29100",BalanceN[Table],"&lt;29200")-AAD)</f>
        <v>-2650000</v>
      </c>
      <c r="H43" s="1099" t="str">
        <f t="shared" ref="H43:H48" si="1">IFERROR(F43-G43,"")</f>
        <v/>
      </c>
      <c r="I43" s="1099" t="str">
        <f>IF(SUMIFS(BalanceN1[BS_Debit],BalanceN1[Table],"&gt;=21000",BalanceN1[Table],"&lt;22000")-(SUMIFS(BalanceN1[BS_Credit],BalanceN1[Table],"&gt;=28100",BalanceN1[Table],"&lt;28200")+SUMIFS(BalanceN1[BS_Credit],BalanceN1[Table],"&gt;=29100",BalanceN1[Table],"&lt;29200"))=I11,"",SUMIFS(BalanceN1[BS_Debit],BalanceN1[Table],"&gt;=21000",BalanceN1[Table],"&lt;22000")-(SUMIFS(BalanceN1[BS_Credit],BalanceN1[Table],"&gt;=28100",BalanceN1[Table],"&lt;28200")+SUMIFS(BalanceN1[BS_Credit],BalanceN1[Table],"&gt;=29100",BalanceN1[Table],"&lt;29200"))-I11)</f>
        <v/>
      </c>
      <c r="K43" s="1100" t="str">
        <f>IF(OR(M43&lt;&gt;"",N43&lt;&gt;""),"Veuillez vérifier les Comptes (CP) 10 à 15","")</f>
        <v>Veuillez vérifier les Comptes (CP) 10 à 15</v>
      </c>
      <c r="M43" s="1099">
        <f>IF(SUMIFS(BalanceN[BS_Credit],BalanceN[Table],"&gt;=10000",BalanceN[Table],"&lt;15000")-SUMIFS(BalanceN[BS_Debit],BalanceN[Table],"&gt;=10000",BalanceN[Table],"&lt;15000")
+SUMIFS(BalanceN[BS_Credit],BalanceN[Table],"&gt;=60000",BalanceN[Table],"&lt;90000")-SUMIFS(BalanceN[BS_Debit],BalanceN[Table],"&gt;=60000",BalanceN[Table],"&lt;90000")=M21,"",SUMIFS(BalanceN[BS_Credit],BalanceN[Table],"&gt;=10000",BalanceN[Table],"&lt;15000")-SUMIFS(BalanceN[BS_Debit],BalanceN[Table],"&gt;=10000",BalanceN[Table],"&lt;15000")
+SUMIFS(BalanceN[BS_Credit],BalanceN[Table],"&gt;=60000",BalanceN[Table],"&lt;90000")-SUMIFS(BalanceN[BS_Debit],BalanceN[Table],"&gt;=60000",BalanceN[Table],"&lt;90000")-21)</f>
        <v>616959680</v>
      </c>
      <c r="N43" s="1099" t="str">
        <f>IF(SUMIFS(BalanceN1[BS_Credit],BalanceN1[Table],"&gt;=10000",BalanceN1[Table],"&lt;15000")-SUMIFS(BalanceN1[BS_Debit],BalanceN1[Table],"&gt;=10000",BalanceN1[Table],"&lt;15000")
+SUMIFS(BalanceN1[BS_Credit],BalanceN1[Table],"&gt;=60000",BalanceN1[Table],"&lt;90000")-SUMIFS(BalanceN1[BS_Debit],BalanceN1[Table],"&gt;=60000",BalanceN1[Table],"&lt;90000")=N21,"",SUMIFS(BalanceN1[BS_Credit],BalanceN1[Table],"&gt;=10000",BalanceN1[Table],"&lt;15000")-SUMIFS(BalanceN1[BS_Debit],BalanceN1[Table],"&gt;=10000",BalanceN1[Table],"&lt;15000")
+SUMIFS(BalanceN1[BS_Credit],BalanceN1[Table],"&gt;=60000",BalanceN1[Table],"&lt;90000")-SUMIFS(BalanceN1[BS_Debit],BalanceN1[Table],"&gt;=60000",BalanceN1[Table],"&lt;90000")-N21)</f>
        <v/>
      </c>
    </row>
    <row r="44" spans="1:14">
      <c r="F44" s="1099">
        <f>IF(SUMIFS(BalanceN[BS_Debit],BalanceN[Table],"&gt;=22000",BalanceN[Table],"&lt;25000")=AI,"",SUMIFS(BalanceN[BS_Debit],BalanceN[Table],"&gt;=22000",BalanceN[Table],"&lt;25000")-AI)</f>
        <v>321157361</v>
      </c>
      <c r="G44" s="1099">
        <f>IF(SUMIFS(BalanceN[BS_Credit],BalanceN[Table],"&gt;=28200",BalanceN[Table],"&lt;28500")+SUMIFS(BalanceN[BS_Credit],BalanceN[Table],"&gt;=29200",BalanceN[Table],"&lt;29500")=AAI,"",SUMIFS(BalanceN[BS_Credit],BalanceN[Table],"&gt;=28200",BalanceN[Table],"&lt;28500")+SUMIFS(BalanceN[BS_Credit],BalanceN[Table],"&gt;=29200",BalanceN[Table],"&lt;29500")-AAI)</f>
        <v>117612734</v>
      </c>
      <c r="H44" s="1099">
        <f t="shared" si="1"/>
        <v>203544627</v>
      </c>
      <c r="I44" s="1099" t="str">
        <f>IF(SUMIFS(BalanceN1[BS_Debit],BalanceN1[Table],"&gt;=22000",BalanceN1[Table],"&lt;25000")-(SUMIFS(BalanceN1[BS_Credit],BalanceN1[Table],"&gt;=28200",BalanceN1[Table],"&lt;28500")+SUMIFS(BalanceN1[BS_Credit],BalanceN1[Table],"&gt;=29200",BalanceN1[Table],"&lt;29500"))=I16,"",SUMIFS(BalanceN1[BS_Debit],BalanceN1[Table],"&gt;=22000",BalanceN1[Table],"&lt;25000")-(SUMIFS(BalanceN1[BS_Credit],BalanceN1[Table],"&gt;=28200",BalanceN1[Table],"&lt;28500")+SUMIFS(BalanceN1[BS_Credit],BalanceN1[Table],"&gt;=29200",BalanceN1[Table],"&lt;29500"))-I16)</f>
        <v/>
      </c>
      <c r="K44" s="1100" t="str">
        <f>IF(OR(M44&lt;&gt;"",N44&lt;&gt;""),"Veuillez vérifier les Comptes (DD)16 à 19","")</f>
        <v/>
      </c>
      <c r="M44" s="1099" t="str">
        <f>IF(SUMIFS(BalanceN[BS_Credit],BalanceN[Table],"&gt;=16000",BalanceN[Table],"&lt;20000")=M25,"",SUMIFS(BalanceN[BS_Credit],BalanceN[Table],"&gt;=16000",BalanceN[Table],"&lt;20000")-25)</f>
        <v/>
      </c>
      <c r="N44" s="1099" t="str">
        <f>IF(SUMIFS(BalanceN1[BS_Credit],BalanceN1[Table],"&gt;=16000",BalanceN1[Table],"&lt;20000")=N25,"",SUMIFS(BalanceN1[BS_Credit],BalanceN1[Table],"&gt;=16000",BalanceN1[Table],"&lt;20000")-N25)</f>
        <v/>
      </c>
    </row>
    <row r="45" spans="1:14">
      <c r="F45" s="1099" t="str">
        <f>IF(SUMIFS(BalanceN[BS_Debit],BalanceN[Table],"&gt;=25000",BalanceN[Table],"&lt;26000")=AP,"",SUMIFS(BalanceN[BS_Debit],BalanceN[Table],"&gt;=25000",BalanceN[Table],"&lt;26000")-AP)</f>
        <v/>
      </c>
      <c r="G45" s="1099" t="str">
        <f>IF(SUMIFS(BalanceN[BS_Credit],BalanceN[Table],"&gt;=28500",BalanceN[Table],"&lt;28600")+SUMIFS(BalanceN[BS_Credit],BalanceN[Table],"&gt;=29500",BalanceN[Table],"&lt;29600")=AAP,"",SUMIFS(BalanceN[BS_Credit],BalanceN[Table],"&gt;=28500",BalanceN[Table],"&lt;28600")+SUMIFS(BalanceN[BS_Credit],BalanceN[Table],"&gt;=29500",BalanceN[Table],"&lt;29600")-AAP)</f>
        <v/>
      </c>
      <c r="H45" s="1099" t="str">
        <f t="shared" si="1"/>
        <v/>
      </c>
      <c r="I45" s="1099" t="str">
        <f>IF(SUMIFS(BalanceN1[BS_Debit],BalanceN1[Table],"&gt;=25000",BalanceN1[Table],"&lt;26000")-(SUMIFS(BalanceN1[BS_Credit],BalanceN1[Table],"&gt;=28500",BalanceN1[Table],"&lt;28600")+SUMIFS(BalanceN1[BS_Credit],BalanceN1[Table],"&gt;=29500",BalanceN1[Table],"&lt;29600"))=I22,"",SUMIFS(BalanceN1[BS_Debit],BalanceN1[Table],"&gt;=25000",BalanceN1[Table],"&lt;26000")-(SUMIFS(BalanceN1[BS_Credit],BalanceN1[Table],"&gt;=28500",BalanceN1[Table],"&lt;28600")+SUMIFS(BalanceN1[BS_Credit],BalanceN1[Table],"&gt;=29500",BalanceN1[Table],"&lt;29600"))-I22)</f>
        <v/>
      </c>
      <c r="K45" s="1100" t="str">
        <f>IF(OR(M45&lt;&gt;"",N45&lt;&gt;""),"Veuillez vérifier les Comptes (DP+DV) 40 à 48; 499","")</f>
        <v/>
      </c>
      <c r="M45" s="1099" t="str">
        <f>IF(SUMIFS(BalanceN[BS_Credit],BalanceN[Table],"&gt;=40000",BalanceN[Table],"&lt;49000")+SUMIFS(BalanceN[BS_Credit],BalanceN[Table],"&gt;=49900",BalanceN[Table],"&lt;50000")=M33+M38,"",SUMIFS(BalanceN[BS_Credit],BalanceN[Table],"&gt;=40000",BalanceN[Table],"&lt;49000")+SUMIFS(BalanceN[BS_Credit],BalanceN[Table],"&gt;=49900",BalanceN[Table],"&lt;50000")-M33-M38)</f>
        <v/>
      </c>
      <c r="N45" s="1099" t="str">
        <f>IF(SUMIFS(BalanceN1[BS_Credit],BalanceN1[Table],"&gt;=40000",BalanceN1[Table],"&lt;49000")+SUMIFS(BalanceN1[BS_Credit],BalanceN1[Table],"&gt;=49900",BalanceN1[Table],"&lt;50000")=N33+N38,"",SUMIFS(BalanceN1[BS_Credit],BalanceN1[Table],"&gt;=40000",BalanceN1[Table],"&lt;49000")+SUMIFS(BalanceN1[BS_Credit],BalanceN1[Table],"&gt;=49900",BalanceN1[Table],"&lt;50000")-N33-N38)</f>
        <v/>
      </c>
    </row>
    <row r="46" spans="1:14">
      <c r="F46" s="1099" t="str">
        <f>IF(SUMIFS(BalanceN[BS_Debit],BalanceN[Table],"&gt;=26000",BalanceN[Table],"&lt;28000")=AQ,"",SUMIFS(BalanceN[BS_Debit],BalanceN[Table],"&gt;=26000",BalanceN[Table],"&lt;28000")-AQ)</f>
        <v/>
      </c>
      <c r="G46" s="1099">
        <f>IF(SUMIFS(BalanceN[BS_Credit],BalanceN[Table],"&gt;=28600",BalanceN[Table],"&lt;28800")+SUMIFS(BalanceN[BS_Credit],BalanceN[Table],"&gt;=29600",BalanceN[Table],"&lt;29800")=AAQ,"",SUMIFS(BalanceN[BS_Credit],BalanceN[Table],"&gt;=28600",BalanceN[Table],"&lt;28800")+SUMIFS(BalanceN[BS_Credit],BalanceN[Table],"&gt;=29600",BalanceN[Table],"&lt;29800")-AAQ)</f>
        <v>-4548658</v>
      </c>
      <c r="H46" s="1099" t="str">
        <f t="shared" si="1"/>
        <v/>
      </c>
      <c r="I46" s="1099" t="str">
        <f>IF(SUMIFS(BalanceN1[BS_Debit],BalanceN1[Table],"&gt;=26000",BalanceN1[Table],"&lt;28000")-(SUMIFS(BalanceN1[BS_Credit],BalanceN1[Table],"&gt;=28600",BalanceN1[Table],"&lt;28800")+SUMIFS(BalanceN1[BS_Credit],BalanceN1[Table],"&gt;=29600",BalanceN1[Table],"&lt;29800"))=I23,"",SUMIFS(BalanceN1[BS_Debit],BalanceN1[Table],"&gt;=26000",BalanceN1[Table],"&lt;28000")-(SUMIFS(BalanceN1[BS_Credit],BalanceN1[Table],"&gt;=28600",BalanceN1[Table],"&lt;28800")+SUMIFS(BalanceN1[BS_Credit],BalanceN1[Table],"&gt;=29600",BalanceN1[Table],"&lt;29800"))-I23)</f>
        <v/>
      </c>
      <c r="K46" s="1100" t="str">
        <f>IF(OR(M46&lt;&gt;"",N46&lt;&gt;""),"Veuillez vérifier les Comptes (DT) 50 à 59","")</f>
        <v/>
      </c>
      <c r="M46" s="1099" t="str">
        <f>IF(SUMIFS(BalanceN[BS_Credit],BalanceN[Table],"&gt;=50000",BalanceN[Table],"&lt;59000")+SUMIFS(BalanceN[BS_Credit],BalanceN[Table],"&gt;=59500",BalanceN[Table],"&lt;60000")=M37,"",SUMIFS(BalanceN[BS_Credit],BalanceN[Table],"&gt;=50000",BalanceN[Table],"&lt;59000")+SUMIFS(BalanceN[BS_Credit],BalanceN[Table],"&gt;=59500",BalanceN[Table],"&lt;60000")-M37)</f>
        <v/>
      </c>
      <c r="N46" s="1099" t="str">
        <f>IF(SUMIFS(BalanceN1[BS_Credit],BalanceN1[Table],"&gt;=50000",BalanceN1[Table],"&lt;59000")+SUMIFS(BalanceN1[BS_Credit],BalanceN1[Table],"&gt;=59500",BalanceN1[Table],"&lt;60000")=N37,"",SUMIFS(BalanceN1[BS_Credit],BalanceN1[Table],"&gt;=50000",BalanceN1[Table],"&lt;59000")+SUMIFS(BalanceN1[BS_Credit],BalanceN1[Table],"&gt;=59500",BalanceN1[Table],"&lt;60000")-N37)</f>
        <v/>
      </c>
    </row>
    <row r="47" spans="1:14">
      <c r="F47" s="1099">
        <f>IF(SUMIFS(BalanceN[BS_Debit],BalanceN[Table],"&gt;=30000",BalanceN[Table],"&lt;50000")=BK+BU,"",SUMIFS(BalanceN[BS_Debit],BalanceN[Table],"&gt;=30000",BalanceN[Table],"&lt;50000")-BK-BU)</f>
        <v>31677520</v>
      </c>
      <c r="G47" s="1099">
        <f>IF(SUMIFS(BalanceN[BS_Credit],BalanceN[Table],"&gt;=39000",BalanceN[Table],"&lt;40000")+SUMIFS(BalanceN[BS_Credit],BalanceN[Table],"&gt;=49000",BalanceN[Table],"&lt;49900")=ABK+ABU,"",SUMIFS(BalanceN[BS_Credit],BalanceN[Table],"&gt;=39000",BalanceN[Table],"&lt;40000")+SUMIFS(BalanceN[BS_Credit],BalanceN[Table],"&gt;=49000",BalanceN[Table],"&lt;49900")-ABK-ABU)</f>
        <v>-129083131</v>
      </c>
      <c r="H47" s="1099">
        <f t="shared" si="1"/>
        <v>160760651</v>
      </c>
      <c r="I47" s="1099" t="str">
        <f>IF(SUMIFS(BalanceN1[BS_Debit],BalanceN1[Table],"&gt;=30000",BalanceN1[Table],"&lt;50000")-(SUMIFS(BalanceN1[BS_Credit],BalanceN1[Table],"&gt;=39000",BalanceN1[Table],"&lt;40000")+SUMIFS(BalanceN1[BS_Credit],BalanceN1[Table],"&gt;=49000",BalanceN1[Table],"&lt;49900"))=I33+I38,"",SUMIFS(BalanceN1[BS_Debit],BalanceN1[Table],"&gt;=30000",BalanceN1[Table],"&lt;50000")-(SUMIFS(BalanceN1[BS_Credit],BalanceN1[Table],"&gt;=39000",BalanceN1[Table],"&lt;40000")+SUMIFS(BalanceN1[BS_Credit],BalanceN1[Table],"&gt;=49000",BalanceN1[Table],"&lt;49900"))-I33-I38)</f>
        <v/>
      </c>
      <c r="K47" s="1100"/>
      <c r="M47" s="1099"/>
      <c r="N47" s="1099"/>
    </row>
    <row r="48" spans="1:14">
      <c r="F48" s="1099" t="str">
        <f>IF(SUMIFS(BalanceN[BS_Debit],BalanceN[Table],"&gt;=50000",BalanceN[Table],"&lt;60000")=BT,"",SUMIFS(BalanceN[BS_Debit],BalanceN[Table],"&gt;=50000",BalanceN[Table],"&lt;60000")-BT)</f>
        <v/>
      </c>
      <c r="G48" s="1099">
        <f>IF(SUMIFS(BalanceN[BS_Credit],BalanceN[Table],"&gt;=59000",BalanceN[Table],"&lt;59500")=ABT,"",SUMIFS(BalanceN[BS_Credit],BalanceN[Table],"&gt;=59000",BalanceN[Table],"&lt;59500")-ABT)</f>
        <v>-74584157</v>
      </c>
      <c r="H48" s="1099" t="str">
        <f t="shared" si="1"/>
        <v/>
      </c>
      <c r="I48" s="1099" t="str">
        <f>IF(SUMIFS(BalanceN1[BS_Debit],BalanceN1[Table],"&gt;=50000",BalanceN1[Table],"&lt;60000")-(SUMIFS(BalanceN1[BS_Credit],BalanceN1[Table],"&gt;=59000",BalanceN1[Table],"&lt;59500"))=I37,"",SUMIFS(BalanceN1[BS_Debit],BalanceN1[Table],"&gt;=50000",BalanceN1[Table],"&lt;60000")-(SUMIFS(BalanceN1[BS_Credit],BalanceN1[Table],"&gt;=59000",BalanceN1[Table],"&lt;59500"))-I37)</f>
        <v/>
      </c>
      <c r="K48" s="1100"/>
      <c r="M48" s="1099"/>
      <c r="N48" s="1099"/>
    </row>
  </sheetData>
  <sheetProtection algorithmName="SHA-512" hashValue="7QAnV8sF2T9jUlk+pHV1flyMs5S9pbhOXwZQCwQtskiQpHYOQD22HTGxsv0Qd/3nPeKYr8uD53KFboQSoAK9uQ==" saltValue="LtDv7wfmfR4swWnWv7DHgQ==" spinCount="100000" sheet="1" objects="1" scenarios="1" selectLockedCells="1"/>
  <mergeCells count="49">
    <mergeCell ref="A7:N7"/>
    <mergeCell ref="A1:N1"/>
    <mergeCell ref="L2:N2"/>
    <mergeCell ref="C3:N3"/>
    <mergeCell ref="A4:B4"/>
    <mergeCell ref="C4:K4"/>
    <mergeCell ref="L4:M4"/>
    <mergeCell ref="A5:B5"/>
    <mergeCell ref="C5:H5"/>
    <mergeCell ref="I5:J5"/>
    <mergeCell ref="L5:M5"/>
    <mergeCell ref="C6:H6"/>
    <mergeCell ref="A8:A10"/>
    <mergeCell ref="B8:D10"/>
    <mergeCell ref="E8:E10"/>
    <mergeCell ref="F8:H9"/>
    <mergeCell ref="I8:I9"/>
    <mergeCell ref="B20:D20"/>
    <mergeCell ref="K8:K10"/>
    <mergeCell ref="L8:L10"/>
    <mergeCell ref="M8:M9"/>
    <mergeCell ref="N8:N9"/>
    <mergeCell ref="B11:D11"/>
    <mergeCell ref="B12:D12"/>
    <mergeCell ref="J8:J10"/>
    <mergeCell ref="B13:D13"/>
    <mergeCell ref="B14:D14"/>
    <mergeCell ref="B15:D15"/>
    <mergeCell ref="B16:D16"/>
    <mergeCell ref="B19:D19"/>
    <mergeCell ref="B32:D32"/>
    <mergeCell ref="B21:D21"/>
    <mergeCell ref="B22:D22"/>
    <mergeCell ref="B23:D23"/>
    <mergeCell ref="B24:D24"/>
    <mergeCell ref="B25:D25"/>
    <mergeCell ref="B26:D26"/>
    <mergeCell ref="B27:D27"/>
    <mergeCell ref="B28:D28"/>
    <mergeCell ref="B29:D29"/>
    <mergeCell ref="B30:D30"/>
    <mergeCell ref="B31:D31"/>
    <mergeCell ref="B39:D39"/>
    <mergeCell ref="B33:D33"/>
    <mergeCell ref="B34:D34"/>
    <mergeCell ref="B35:D35"/>
    <mergeCell ref="B36:D36"/>
    <mergeCell ref="B37:D37"/>
    <mergeCell ref="B38:D38"/>
  </mergeCells>
  <conditionalFormatting sqref="F43:N48">
    <cfRule type="expression" dxfId="215" priority="1">
      <formula>AND($J$41="",$K$41="")</formula>
    </cfRule>
  </conditionalFormatting>
  <dataValidations count="1">
    <dataValidation type="whole" allowBlank="1" showErrorMessage="1" errorTitle="Attention !" error="Valeur numérique attendue" sqref="F38:I38 F34:I36 F27:I28 F30:I32 F24:I25 F12:I15 M11:N20 M22:N24 M27:N32 M35:N36 M38:N38 F17:I22" xr:uid="{DCB8BB62-F750-494E-B477-C2093EFFDA83}">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66" orientation="landscape" r:id="rId1"/>
  <ignoredErrors>
    <ignoredError sqref="E11:E39" numberStoredAsText="1"/>
    <ignoredError sqref="F11:G11 F23 H22 F16 H15 H12 H13 H14 H17 H18 H19 H20 H21 F26 G29 I29 G33 G37 G38:H38" numberStoredAsText="1" unlockedFormula="1"/>
    <ignoredError sqref="M21:N21 M25:N26 M34:N34 N37 N39 N33" unlockedFormula="1"/>
    <ignoredError sqref="H24:H25 H16 H27:H28 H30:H32 H34:H37" numberStoredAsText="1" formula="1" unlockedFormula="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562A-5B02-4A58-AEC3-7FF02D47DA99}">
  <sheetPr codeName="Feuil13">
    <tabColor theme="9" tint="0.39997558519241921"/>
    <pageSetUpPr fitToPage="1"/>
  </sheetPr>
  <dimension ref="A1:N56"/>
  <sheetViews>
    <sheetView showGridLines="0" showRowColHeaders="0" showZeros="0" topLeftCell="A38" zoomScaleNormal="100" workbookViewId="0">
      <selection sqref="A1:J1"/>
    </sheetView>
  </sheetViews>
  <sheetFormatPr baseColWidth="10" defaultColWidth="11.5234375" defaultRowHeight="14.4"/>
  <cols>
    <col min="1" max="1" width="4.68359375" style="103" customWidth="1"/>
    <col min="2" max="2" width="25.3125" style="103" customWidth="1"/>
    <col min="3" max="3" width="5.3125" style="103" customWidth="1"/>
    <col min="4" max="4" width="11.1015625" style="103" customWidth="1"/>
    <col min="5" max="5" width="18.3125" style="103" customWidth="1"/>
    <col min="6" max="6" width="3.1015625" style="122" customWidth="1"/>
    <col min="7" max="7" width="4.41796875" style="103" customWidth="1"/>
    <col min="8" max="8" width="7.89453125" style="103" customWidth="1"/>
    <col min="9" max="10" width="15.68359375" style="103" customWidth="1"/>
    <col min="11" max="16384" width="11.5234375" style="103"/>
  </cols>
  <sheetData>
    <row r="1" spans="1:14">
      <c r="A1" s="1276" t="str">
        <f>"- "&amp;Code!K12&amp;" -"</f>
        <v>- 14 -</v>
      </c>
      <c r="B1" s="1276"/>
      <c r="C1" s="1276"/>
      <c r="D1" s="1276"/>
      <c r="E1" s="1276"/>
      <c r="F1" s="1276"/>
      <c r="G1" s="1276"/>
      <c r="H1" s="1276"/>
      <c r="I1" s="1276"/>
      <c r="J1" s="1276"/>
    </row>
    <row r="2" spans="1:14" ht="27" customHeight="1">
      <c r="A2" s="936"/>
      <c r="B2" s="936"/>
      <c r="C2" s="936"/>
      <c r="D2" s="936"/>
      <c r="E2" s="936"/>
      <c r="F2" s="936"/>
      <c r="G2" s="936"/>
      <c r="H2" s="1689" t="s">
        <v>1252</v>
      </c>
      <c r="I2" s="1690"/>
      <c r="J2" s="1691"/>
    </row>
    <row r="3" spans="1:14" s="317" customFormat="1" ht="15.75" customHeight="1">
      <c r="A3" s="317" t="s">
        <v>50</v>
      </c>
      <c r="C3" s="1674" t="str">
        <f>BILAN!C3</f>
        <v>OHADA</v>
      </c>
      <c r="D3" s="1674"/>
      <c r="E3" s="1674"/>
      <c r="F3" s="1674"/>
      <c r="G3" s="1674"/>
      <c r="H3" s="1674"/>
      <c r="I3" s="1674"/>
      <c r="J3" s="1674"/>
      <c r="K3" s="803"/>
      <c r="L3" s="803"/>
      <c r="M3" s="803"/>
      <c r="N3" s="803"/>
    </row>
    <row r="4" spans="1:14" s="317" customFormat="1" ht="15.75" customHeight="1">
      <c r="A4" s="317" t="s">
        <v>51</v>
      </c>
      <c r="C4" s="1674" t="str">
        <f>BILAN!C4</f>
        <v/>
      </c>
      <c r="D4" s="1674"/>
      <c r="E4" s="1674"/>
      <c r="F4" s="1674"/>
      <c r="G4" s="1674"/>
      <c r="H4" s="1674"/>
      <c r="I4" s="627" t="s">
        <v>1021</v>
      </c>
      <c r="J4" s="937" t="str">
        <f>BILAN!N4</f>
        <v/>
      </c>
      <c r="K4" s="803"/>
      <c r="L4" s="803"/>
      <c r="N4" s="642"/>
    </row>
    <row r="5" spans="1:14" s="317" customFormat="1" ht="15.75" customHeight="1">
      <c r="A5" s="317" t="s">
        <v>53</v>
      </c>
      <c r="C5" s="1674" t="str">
        <f>PASSIF!C5</f>
        <v/>
      </c>
      <c r="D5" s="1674"/>
      <c r="E5" s="938" t="s">
        <v>54</v>
      </c>
      <c r="F5" s="1692">
        <f>BILAN!K5</f>
        <v>0</v>
      </c>
      <c r="G5" s="1692"/>
      <c r="H5" s="1692"/>
      <c r="I5" s="627" t="s">
        <v>55</v>
      </c>
      <c r="J5" s="937">
        <f>BILAN!N5</f>
        <v>1</v>
      </c>
      <c r="K5" s="642"/>
      <c r="M5" s="597"/>
      <c r="N5" s="642"/>
    </row>
    <row r="6" spans="1:14" s="317" customFormat="1" ht="15.75" customHeight="1">
      <c r="A6" s="317" t="s">
        <v>56</v>
      </c>
      <c r="C6" s="1275" t="str">
        <f>'FICHE R1'!E6</f>
        <v/>
      </c>
      <c r="D6" s="1275"/>
      <c r="E6" s="1683"/>
      <c r="F6" s="937"/>
      <c r="G6" s="937"/>
      <c r="H6" s="937"/>
      <c r="I6" s="939"/>
      <c r="J6" s="937"/>
      <c r="K6" s="642"/>
      <c r="M6" s="597"/>
      <c r="N6" s="642"/>
    </row>
    <row r="7" spans="1:14" s="125" customFormat="1" ht="28.5" customHeight="1">
      <c r="A7" s="1273" t="s">
        <v>1253</v>
      </c>
      <c r="B7" s="1273"/>
      <c r="C7" s="1273"/>
      <c r="D7" s="1273"/>
      <c r="E7" s="1273"/>
      <c r="F7" s="1273"/>
      <c r="G7" s="1273"/>
      <c r="H7" s="1273"/>
      <c r="I7" s="1273"/>
      <c r="J7" s="1273"/>
    </row>
    <row r="8" spans="1:14">
      <c r="A8" s="1663" t="s">
        <v>1111</v>
      </c>
      <c r="B8" s="1684" t="s">
        <v>1254</v>
      </c>
      <c r="C8" s="1685"/>
      <c r="D8" s="1685"/>
      <c r="E8" s="1685"/>
      <c r="F8" s="1686"/>
      <c r="G8" s="1687" t="s">
        <v>1255</v>
      </c>
      <c r="H8" s="1663" t="s">
        <v>1113</v>
      </c>
      <c r="I8" s="1663" t="s">
        <v>1256</v>
      </c>
      <c r="J8" s="1663" t="s">
        <v>1257</v>
      </c>
    </row>
    <row r="9" spans="1:14">
      <c r="A9" s="1663"/>
      <c r="B9" s="1684"/>
      <c r="C9" s="1685"/>
      <c r="D9" s="1685"/>
      <c r="E9" s="1685"/>
      <c r="F9" s="1686"/>
      <c r="G9" s="1688"/>
      <c r="H9" s="1663"/>
      <c r="I9" s="1663"/>
      <c r="J9" s="1663"/>
    </row>
    <row r="10" spans="1:14" ht="18" customHeight="1">
      <c r="A10" s="1663"/>
      <c r="B10" s="1684"/>
      <c r="C10" s="1685"/>
      <c r="D10" s="1685"/>
      <c r="E10" s="1685"/>
      <c r="F10" s="1686"/>
      <c r="G10" s="1688"/>
      <c r="H10" s="1663"/>
      <c r="I10" s="940" t="s">
        <v>1258</v>
      </c>
      <c r="J10" s="940" t="s">
        <v>1258</v>
      </c>
    </row>
    <row r="11" spans="1:14" ht="17.25" customHeight="1">
      <c r="A11" s="941" t="s">
        <v>1259</v>
      </c>
      <c r="B11" s="1679" t="s">
        <v>1260</v>
      </c>
      <c r="C11" s="1679"/>
      <c r="D11" s="1679"/>
      <c r="E11" s="1679"/>
      <c r="F11" s="942" t="s">
        <v>1261</v>
      </c>
      <c r="G11" s="943" t="s">
        <v>1262</v>
      </c>
      <c r="H11" s="944">
        <v>21</v>
      </c>
      <c r="I11" s="332">
        <f>SUMIFS(BalanceN[BS_Credit],BalanceN[Table],"&gt;=70100",BalanceN[Table],"&lt;70200")-SUMIFS(BalanceN[BS_Debit],BalanceN[Table],"&gt;=70100",BalanceN[Table],"&lt;70200")</f>
        <v>110000000</v>
      </c>
      <c r="J11" s="332">
        <f>SUMIFS(BalanceN1[BS_Credit],BalanceN1[Table],"&gt;=70100",BalanceN1[Table],"&lt;70200")-SUMIFS(BalanceN1[BS_Debit],BalanceN1[Table],"&gt;=70100",BalanceN1[Table],"&lt;70200")</f>
        <v>0</v>
      </c>
    </row>
    <row r="12" spans="1:14" ht="17.25" customHeight="1">
      <c r="A12" s="945" t="s">
        <v>1263</v>
      </c>
      <c r="B12" s="1679" t="s">
        <v>1264</v>
      </c>
      <c r="C12" s="1679"/>
      <c r="D12" s="1679"/>
      <c r="E12" s="1679"/>
      <c r="F12" s="946"/>
      <c r="G12" s="943" t="s">
        <v>1265</v>
      </c>
      <c r="H12" s="944">
        <v>22</v>
      </c>
      <c r="I12" s="332">
        <f>SUMIFS(BalanceN[BS_Credit],BalanceN[Table],"&gt;=60100",BalanceN[Table],"&lt;60200")-SUMIFS(BalanceN[BS_Debit],BalanceN[Table],"&gt;=60100",BalanceN[Table],"&lt;60200")</f>
        <v>-75000000</v>
      </c>
      <c r="J12" s="332">
        <f>SUMIFS(BalanceN1[BS_Credit],BalanceN1[Table],"&gt;=60100",BalanceN1[Table],"&lt;60200")-SUMIFS(BalanceN1[BS_Debit],BalanceN1[Table],"&gt;=60100",BalanceN1[Table],"&lt;60200")</f>
        <v>0</v>
      </c>
    </row>
    <row r="13" spans="1:14" ht="17.25" customHeight="1">
      <c r="A13" s="945" t="s">
        <v>1266</v>
      </c>
      <c r="B13" s="1679" t="s">
        <v>1267</v>
      </c>
      <c r="C13" s="1679"/>
      <c r="D13" s="1679"/>
      <c r="E13" s="1679"/>
      <c r="F13" s="946"/>
      <c r="G13" s="943" t="s">
        <v>1268</v>
      </c>
      <c r="H13" s="944">
        <v>6</v>
      </c>
      <c r="I13" s="332">
        <f>SUMIFS(BalanceN[BS_Credit],BalanceN[Table],"&gt;=60310",BalanceN[Table],"&lt;60320")-SUMIFS(BalanceN[BS_Debit],BalanceN[Table],"&gt;=60310",BalanceN[Table],"&lt;60320")</f>
        <v>5000000</v>
      </c>
      <c r="J13" s="332">
        <f>SUMIFS(BalanceN1[BS_Credit],BalanceN1[Table],"&gt;=60310",BalanceN1[Table],"&lt;60320")-SUMIFS(BalanceN1[BS_Debit],BalanceN1[Table],"&gt;=60310",BalanceN1[Table],"&lt;60320")</f>
        <v>0</v>
      </c>
    </row>
    <row r="14" spans="1:14" ht="17.25" customHeight="1">
      <c r="A14" s="943" t="s">
        <v>1269</v>
      </c>
      <c r="B14" s="1680" t="s">
        <v>1270</v>
      </c>
      <c r="C14" s="1681"/>
      <c r="D14" s="1681"/>
      <c r="E14" s="1682"/>
      <c r="F14" s="947"/>
      <c r="G14" s="948"/>
      <c r="H14" s="948"/>
      <c r="I14" s="333">
        <f>SUM(I11:I13)</f>
        <v>40000000</v>
      </c>
      <c r="J14" s="333">
        <f>IFERROR(SUM(J11:J13),"")</f>
        <v>0</v>
      </c>
    </row>
    <row r="15" spans="1:14" ht="17.25" customHeight="1">
      <c r="A15" s="945" t="s">
        <v>1271</v>
      </c>
      <c r="B15" s="1679" t="s">
        <v>1272</v>
      </c>
      <c r="C15" s="1679"/>
      <c r="D15" s="1679"/>
      <c r="E15" s="1679"/>
      <c r="F15" s="949" t="s">
        <v>1273</v>
      </c>
      <c r="G15" s="943" t="s">
        <v>1262</v>
      </c>
      <c r="H15" s="944">
        <v>21</v>
      </c>
      <c r="I15" s="332">
        <f>SUMIFS(BalanceN[BS_Credit],BalanceN[Table],"&gt;=70200",BalanceN[Table],"&lt;70500")-SUMIFS(BalanceN[BS_Debit],BalanceN[Table],"&gt;=70200",BalanceN[Table],"&lt;70500")</f>
        <v>1918144745</v>
      </c>
      <c r="J15" s="332">
        <f>SUMIFS(BalanceN1[BS_Credit],BalanceN1[Table],"&gt;=70200",BalanceN1[Table],"&lt;70500")-SUMIFS(BalanceN1[BS_Debit],BalanceN1[Table],"&gt;=70200",BalanceN1[Table],"&lt;70500")</f>
        <v>1857424110</v>
      </c>
    </row>
    <row r="16" spans="1:14" ht="17.25" customHeight="1">
      <c r="A16" s="945" t="s">
        <v>1274</v>
      </c>
      <c r="B16" s="1679" t="s">
        <v>1275</v>
      </c>
      <c r="C16" s="1679"/>
      <c r="D16" s="1679"/>
      <c r="E16" s="1679"/>
      <c r="F16" s="949" t="s">
        <v>1276</v>
      </c>
      <c r="G16" s="943" t="s">
        <v>1262</v>
      </c>
      <c r="H16" s="944">
        <v>21</v>
      </c>
      <c r="I16" s="332">
        <f>SUMIFS(BalanceN[BS_Credit],BalanceN[Table],"&gt;=70500",BalanceN[Table],"&lt;70700")-SUMIFS(BalanceN[BS_Debit],BalanceN[Table],"&gt;=70500",BalanceN[Table],"&lt;70700")</f>
        <v>12672000</v>
      </c>
      <c r="J16" s="332">
        <f>SUMIFS(BalanceN1[BS_Credit],BalanceN1[Table],"&gt;=70500",BalanceN1[Table],"&lt;70700")-SUMIFS(BalanceN1[BS_Debit],BalanceN1[Table],"&gt;=70500",BalanceN1[Table],"&lt;70700")</f>
        <v>12804000</v>
      </c>
    </row>
    <row r="17" spans="1:10" ht="17.25" customHeight="1">
      <c r="A17" s="945" t="s">
        <v>1277</v>
      </c>
      <c r="B17" s="1679" t="s">
        <v>1278</v>
      </c>
      <c r="C17" s="1679"/>
      <c r="D17" s="1679"/>
      <c r="E17" s="1679"/>
      <c r="F17" s="949" t="s">
        <v>1279</v>
      </c>
      <c r="G17" s="943" t="s">
        <v>1262</v>
      </c>
      <c r="H17" s="944">
        <v>21</v>
      </c>
      <c r="I17" s="332">
        <f>SUMIFS(BalanceN[BS_Credit],BalanceN[Table],"&gt;=70700",BalanceN[Table],"&lt;70800")-SUMIFS(BalanceN[BS_Debit],BalanceN[Table],"&gt;=70700",BalanceN[Table],"&lt;70800")</f>
        <v>1130000</v>
      </c>
      <c r="J17" s="332">
        <f>SUMIFS(BalanceN1[BS_Credit],BalanceN1[Table],"&gt;=70700",BalanceN1[Table],"&lt;70800")-SUMIFS(BalanceN1[BS_Debit],BalanceN1[Table],"&gt;=70700",BalanceN1[Table],"&lt;70800")</f>
        <v>1598780</v>
      </c>
    </row>
    <row r="18" spans="1:10" ht="17.25" customHeight="1">
      <c r="A18" s="943" t="s">
        <v>1280</v>
      </c>
      <c r="B18" s="1680" t="s">
        <v>1281</v>
      </c>
      <c r="C18" s="1681"/>
      <c r="D18" s="1681"/>
      <c r="E18" s="1682"/>
      <c r="F18" s="947"/>
      <c r="G18" s="948"/>
      <c r="H18" s="948"/>
      <c r="I18" s="333">
        <f>I11+I15+I16+I17</f>
        <v>2041946745</v>
      </c>
      <c r="J18" s="333">
        <f>IFERROR(J11+J15+J16+J17,"")</f>
        <v>1871826890</v>
      </c>
    </row>
    <row r="19" spans="1:10" ht="17.25" customHeight="1">
      <c r="A19" s="945" t="s">
        <v>1282</v>
      </c>
      <c r="B19" s="1679" t="s">
        <v>1283</v>
      </c>
      <c r="C19" s="1679"/>
      <c r="D19" s="1679"/>
      <c r="E19" s="1679"/>
      <c r="F19" s="946"/>
      <c r="G19" s="943" t="s">
        <v>1268</v>
      </c>
      <c r="H19" s="944">
        <v>6</v>
      </c>
      <c r="I19" s="332">
        <f>SUMIFS(BalanceN[BS_Credit],BalanceN[Table],"&gt;=73000",BalanceN[Table],"&lt;74000")-SUMIFS(BalanceN[BS_Debit],BalanceN[Table],"&gt;=73000",BalanceN[Table],"&lt;74000")</f>
        <v>0</v>
      </c>
      <c r="J19" s="332">
        <f>SUMIFS(BalanceN1[BS_Credit],BalanceN1[Table],"&gt;=73000",BalanceN1[Table],"&lt;74000")-SUMIFS(BalanceN1[BS_Debit],BalanceN1[Table],"&gt;=73000",BalanceN1[Table],"&lt;74000")</f>
        <v>0</v>
      </c>
    </row>
    <row r="20" spans="1:10" ht="17.25" customHeight="1">
      <c r="A20" s="945" t="s">
        <v>1284</v>
      </c>
      <c r="B20" s="1679" t="s">
        <v>1285</v>
      </c>
      <c r="C20" s="1679"/>
      <c r="D20" s="1679"/>
      <c r="E20" s="1679"/>
      <c r="F20" s="946"/>
      <c r="G20" s="950" t="s">
        <v>1262</v>
      </c>
      <c r="H20" s="944">
        <v>21</v>
      </c>
      <c r="I20" s="332">
        <f>SUMIFS(BalanceN[BS_Credit],BalanceN[Table],"&gt;=72000",BalanceN[Table],"&lt;73000")-SUMIFS(BalanceN[BS_Debit],BalanceN[Table],"&gt;=72000",BalanceN[Table],"&lt;73000")</f>
        <v>4500000</v>
      </c>
      <c r="J20" s="332">
        <f>SUMIFS(BalanceN1[BS_Credit],BalanceN1[Table],"&gt;=72000",BalanceN1[Table],"&lt;73000")-SUMIFS(BalanceN1[BS_Debit],BalanceN1[Table],"&gt;=72000",BalanceN1[Table],"&lt;73000")</f>
        <v>0</v>
      </c>
    </row>
    <row r="21" spans="1:10" ht="17.25" customHeight="1">
      <c r="A21" s="945" t="s">
        <v>1286</v>
      </c>
      <c r="B21" s="1679" t="s">
        <v>1287</v>
      </c>
      <c r="C21" s="1679"/>
      <c r="D21" s="1679"/>
      <c r="E21" s="1679"/>
      <c r="F21" s="946"/>
      <c r="G21" s="950" t="s">
        <v>1262</v>
      </c>
      <c r="H21" s="944">
        <v>21</v>
      </c>
      <c r="I21" s="332">
        <f>SUMIFS(BalanceN[BS_Credit],BalanceN[Table],"&gt;=71000",BalanceN[Table],"&lt;72000")-SUMIFS(BalanceN[BS_Debit],BalanceN[Table],"&gt;=71000",BalanceN[Table],"&lt;72000")</f>
        <v>0</v>
      </c>
      <c r="J21" s="332">
        <f>SUMIFS(BalanceN1[BS_Credit],BalanceN1[Table],"&gt;=71000",BalanceN1[Table],"&lt;72000")-SUMIFS(BalanceN1[BS_Debit],BalanceN1[Table],"&gt;=71000",BalanceN1[Table],"&lt;72000")</f>
        <v>0</v>
      </c>
    </row>
    <row r="22" spans="1:10" ht="17.25" customHeight="1">
      <c r="A22" s="945" t="s">
        <v>1288</v>
      </c>
      <c r="B22" s="1679" t="s">
        <v>1289</v>
      </c>
      <c r="C22" s="1679"/>
      <c r="D22" s="1679"/>
      <c r="E22" s="1679"/>
      <c r="F22" s="946"/>
      <c r="G22" s="943" t="s">
        <v>1262</v>
      </c>
      <c r="H22" s="944">
        <v>21</v>
      </c>
      <c r="I22" s="332">
        <f>SUMIFS(BalanceN[BS_Credit],BalanceN[Table],"&gt;=75000",BalanceN[Table],"&lt;76000")-SUMIFS(BalanceN[BS_Debit],BalanceN[Table],"&gt;=75000",BalanceN[Table],"&lt;76000")</f>
        <v>3436978</v>
      </c>
      <c r="J22" s="332">
        <f>SUMIFS(BalanceN1[BS_Credit],BalanceN1[Table],"&gt;=75000",BalanceN1[Table],"&lt;76000")-SUMIFS(BalanceN1[BS_Debit],BalanceN1[Table],"&gt;=75000",BalanceN1[Table],"&lt;76000")</f>
        <v>11486537</v>
      </c>
    </row>
    <row r="23" spans="1:10" ht="17.25" customHeight="1">
      <c r="A23" s="945" t="s">
        <v>1290</v>
      </c>
      <c r="B23" s="1679" t="s">
        <v>1291</v>
      </c>
      <c r="C23" s="1679"/>
      <c r="D23" s="1679"/>
      <c r="E23" s="1679"/>
      <c r="F23" s="946"/>
      <c r="G23" s="943" t="s">
        <v>1262</v>
      </c>
      <c r="H23" s="944">
        <v>12</v>
      </c>
      <c r="I23" s="332">
        <f>SUMIFS(BalanceN[BS_Credit],BalanceN[Table],"&gt;=78100",BalanceN[Table],"&lt;78200")-SUMIFS(BalanceN[BS_Debit],BalanceN[Table],"&gt;=78100",BalanceN[Table],"&lt;78200")</f>
        <v>3233550</v>
      </c>
      <c r="J23" s="332">
        <f>SUMIFS(BalanceN1[BS_Credit],BalanceN1[Table],"&gt;=78100",BalanceN1[Table],"&lt;78200")-SUMIFS(BalanceN1[BS_Debit],BalanceN1[Table],"&gt;=78100",BalanceN1[Table],"&lt;78200")</f>
        <v>5817880</v>
      </c>
    </row>
    <row r="24" spans="1:10" ht="17.25" customHeight="1">
      <c r="A24" s="945" t="s">
        <v>1292</v>
      </c>
      <c r="B24" s="1679" t="s">
        <v>1293</v>
      </c>
      <c r="C24" s="1679"/>
      <c r="D24" s="1679"/>
      <c r="E24" s="1679"/>
      <c r="F24" s="946"/>
      <c r="G24" s="943" t="s">
        <v>1265</v>
      </c>
      <c r="H24" s="944">
        <v>22</v>
      </c>
      <c r="I24" s="332">
        <f>SUMIFS(BalanceN[BS_Credit],BalanceN[Table],"&gt;=60200",BalanceN[Table],"&lt;60300")-SUMIFS(BalanceN[BS_Debit],BalanceN[Table],"&gt;=60200",BalanceN[Table],"&lt;60300")</f>
        <v>-928303692</v>
      </c>
      <c r="J24" s="332">
        <f>SUMIFS(BalanceN1[BS_Credit],BalanceN1[Table],"&gt;=60200",BalanceN1[Table],"&lt;60300")-SUMIFS(BalanceN1[BS_Debit],BalanceN1[Table],"&gt;=60200",BalanceN1[Table],"&lt;60300")</f>
        <v>-954585472</v>
      </c>
    </row>
    <row r="25" spans="1:10" ht="17.25" customHeight="1">
      <c r="A25" s="945" t="s">
        <v>1294</v>
      </c>
      <c r="B25" s="1679" t="s">
        <v>1295</v>
      </c>
      <c r="C25" s="1679"/>
      <c r="D25" s="1679"/>
      <c r="E25" s="1679"/>
      <c r="F25" s="946"/>
      <c r="G25" s="943" t="s">
        <v>1268</v>
      </c>
      <c r="H25" s="944">
        <v>6</v>
      </c>
      <c r="I25" s="332">
        <f>SUMIFS(BalanceN[BS_Credit],BalanceN[Table],"&gt;=60320",BalanceN[Table],"&lt;60330")-SUMIFS(BalanceN[BS_Debit],BalanceN[Table],"&gt;=60320",BalanceN[Table],"&lt;60330")</f>
        <v>106416</v>
      </c>
      <c r="J25" s="332">
        <f>SUMIFS(BalanceN1[BS_Credit],BalanceN1[Table],"&gt;=60320",BalanceN1[Table],"&lt;60330")-SUMIFS(BalanceN1[BS_Debit],BalanceN1[Table],"&gt;=60320",BalanceN1[Table],"&lt;60330")</f>
        <v>-2830600</v>
      </c>
    </row>
    <row r="26" spans="1:10" ht="17.25" customHeight="1">
      <c r="A26" s="945" t="s">
        <v>1296</v>
      </c>
      <c r="B26" s="1679" t="s">
        <v>1297</v>
      </c>
      <c r="C26" s="1679"/>
      <c r="D26" s="1679"/>
      <c r="E26" s="1679"/>
      <c r="F26" s="946"/>
      <c r="G26" s="943" t="s">
        <v>1265</v>
      </c>
      <c r="H26" s="944">
        <v>22</v>
      </c>
      <c r="I26" s="332">
        <f>SUMIFS(BalanceN[BS_Credit],BalanceN[Table],"&gt;=60400",BalanceN[Table],"&lt;60600")-SUMIFS(BalanceN[BS_Debit],BalanceN[Table],"&gt;=60400",BalanceN[Table],"&lt;60600")+SUMIFS(BalanceN[BS_Credit],BalanceN[Table],"&gt;=60800",BalanceN[Table],"&lt;60900")-SUMIFS(BalanceN[BS_Debit],BalanceN[Table],"&gt;=60800",BalanceN[Table],"&lt;60900")</f>
        <v>-158266959</v>
      </c>
      <c r="J26" s="332">
        <f>SUMIFS(BalanceN1[BS_Credit],BalanceN1[Table],"&gt;=60400",BalanceN1[Table],"&lt;60600")-SUMIFS(BalanceN1[BS_Debit],BalanceN1[Table],"&gt;=60400",BalanceN1[Table],"&lt;60600")+SUMIFS(BalanceN1[BS_Credit],BalanceN1[Table],"&gt;=60800",BalanceN1[Table],"&lt;60900")-SUMIFS(BalanceN1[BS_Debit],BalanceN1[Table],"&gt;=60800",BalanceN1[Table],"&lt;60900")</f>
        <v>-161120517</v>
      </c>
    </row>
    <row r="27" spans="1:10" ht="17.25" customHeight="1">
      <c r="A27" s="945" t="s">
        <v>1298</v>
      </c>
      <c r="B27" s="1679" t="s">
        <v>1299</v>
      </c>
      <c r="C27" s="1679"/>
      <c r="D27" s="1679"/>
      <c r="E27" s="1679"/>
      <c r="F27" s="946"/>
      <c r="G27" s="943" t="s">
        <v>1268</v>
      </c>
      <c r="H27" s="944">
        <v>6</v>
      </c>
      <c r="I27" s="332">
        <f>SUMIFS(BalanceN[BS_Credit],BalanceN[Table],"&gt;=60330",BalanceN[Table],"&lt;60340")-SUMIFS(BalanceN[BS_Debit],BalanceN[Table],"&gt;=60330",BalanceN[Table],"&lt;60340")</f>
        <v>-2414711</v>
      </c>
      <c r="J27" s="332">
        <f>SUMIFS(BalanceN1[BS_Credit],BalanceN1[Table],"&gt;=60330",BalanceN1[Table],"&lt;60340")-SUMIFS(BalanceN1[BS_Debit],BalanceN1[Table],"&gt;=60330",BalanceN1[Table],"&lt;60340")</f>
        <v>1884647</v>
      </c>
    </row>
    <row r="28" spans="1:10" ht="17.25" customHeight="1">
      <c r="A28" s="945" t="s">
        <v>1300</v>
      </c>
      <c r="B28" s="1679" t="s">
        <v>1301</v>
      </c>
      <c r="C28" s="1679"/>
      <c r="D28" s="1679"/>
      <c r="E28" s="1679"/>
      <c r="F28" s="946"/>
      <c r="G28" s="943" t="s">
        <v>1265</v>
      </c>
      <c r="H28" s="944">
        <v>23</v>
      </c>
      <c r="I28" s="332">
        <f>SUMIFS(BalanceN[BS_Credit],BalanceN[Table],"&gt;=61000",BalanceN[Table],"&lt;62000")-SUMIFS(BalanceN[BS_Debit],BalanceN[Table],"&gt;=61000",BalanceN[Table],"&lt;62000")</f>
        <v>-329146672</v>
      </c>
      <c r="J28" s="332">
        <f>SUMIFS(BalanceN1[BS_Credit],BalanceN1[Table],"&gt;=61000",BalanceN1[Table],"&lt;62000")-SUMIFS(BalanceN1[BS_Debit],BalanceN1[Table],"&gt;=61000",BalanceN1[Table],"&lt;62000")</f>
        <v>-329073556</v>
      </c>
    </row>
    <row r="29" spans="1:10" ht="17.25" customHeight="1">
      <c r="A29" s="945" t="s">
        <v>1302</v>
      </c>
      <c r="B29" s="1679" t="s">
        <v>1303</v>
      </c>
      <c r="C29" s="1679"/>
      <c r="D29" s="1679"/>
      <c r="E29" s="1679"/>
      <c r="F29" s="946"/>
      <c r="G29" s="943" t="s">
        <v>1265</v>
      </c>
      <c r="H29" s="944">
        <v>24</v>
      </c>
      <c r="I29" s="332">
        <f>SUMIFS(BalanceN[BS_Credit],BalanceN[Table],"&gt;=62000",BalanceN[Table],"&lt;64000")-SUMIFS(BalanceN[BS_Debit],BalanceN[Table],"&gt;=62000",BalanceN[Table],"&lt;64000")</f>
        <v>-72599329</v>
      </c>
      <c r="J29" s="332">
        <f>SUMIFS(BalanceN1[BS_Credit],BalanceN1[Table],"&gt;=62000",BalanceN1[Table],"&lt;64000")-SUMIFS(BalanceN1[BS_Debit],BalanceN1[Table],"&gt;=62000",BalanceN1[Table],"&lt;64000")</f>
        <v>-60787379</v>
      </c>
    </row>
    <row r="30" spans="1:10" ht="17.25" customHeight="1">
      <c r="A30" s="945" t="s">
        <v>1304</v>
      </c>
      <c r="B30" s="1679" t="s">
        <v>1305</v>
      </c>
      <c r="C30" s="1679"/>
      <c r="D30" s="1679"/>
      <c r="E30" s="1679"/>
      <c r="F30" s="946"/>
      <c r="G30" s="943" t="s">
        <v>1265</v>
      </c>
      <c r="H30" s="944">
        <v>25</v>
      </c>
      <c r="I30" s="332">
        <f>SUMIFS(BalanceN[BS_Credit],BalanceN[Table],"&gt;=64000",BalanceN[Table],"&lt;65000")-SUMIFS(BalanceN[BS_Debit],BalanceN[Table],"&gt;=64000",BalanceN[Table],"&lt;65000")</f>
        <v>-3135200</v>
      </c>
      <c r="J30" s="332">
        <f>SUMIFS(BalanceN1[BS_Credit],BalanceN1[Table],"&gt;=64000",BalanceN1[Table],"&lt;65000")-SUMIFS(BalanceN1[BS_Debit],BalanceN1[Table],"&gt;=64000",BalanceN1[Table],"&lt;65000")</f>
        <v>-110000</v>
      </c>
    </row>
    <row r="31" spans="1:10" ht="17.25" customHeight="1">
      <c r="A31" s="945" t="s">
        <v>1306</v>
      </c>
      <c r="B31" s="1679" t="s">
        <v>1307</v>
      </c>
      <c r="C31" s="1679"/>
      <c r="D31" s="1679"/>
      <c r="E31" s="1679"/>
      <c r="F31" s="946"/>
      <c r="G31" s="943" t="s">
        <v>1265</v>
      </c>
      <c r="H31" s="944">
        <v>26</v>
      </c>
      <c r="I31" s="332">
        <f>SUMIFS(BalanceN[BS_Credit],BalanceN[Table],"&gt;=65000",BalanceN[Table],"&lt;66000")-SUMIFS(BalanceN[BS_Debit],BalanceN[Table],"&gt;=65000",BalanceN[Table],"&lt;66000")</f>
        <v>-4263929</v>
      </c>
      <c r="J31" s="332">
        <f>SUMIFS(BalanceN1[BS_Credit],BalanceN1[Table],"&gt;=65000",BalanceN1[Table],"&lt;66000")-SUMIFS(BalanceN1[BS_Debit],BalanceN1[Table],"&gt;=65000",BalanceN1[Table],"&lt;66000")</f>
        <v>-67670</v>
      </c>
    </row>
    <row r="32" spans="1:10" ht="17.25" customHeight="1">
      <c r="A32" s="943" t="s">
        <v>1308</v>
      </c>
      <c r="B32" s="1680" t="s">
        <v>1309</v>
      </c>
      <c r="C32" s="1681"/>
      <c r="D32" s="1681"/>
      <c r="E32" s="1682"/>
      <c r="F32" s="947"/>
      <c r="G32" s="948"/>
      <c r="H32" s="948"/>
      <c r="I32" s="333">
        <f>SUM(I19:I31) +I12+I13+I18</f>
        <v>485093197</v>
      </c>
      <c r="J32" s="333">
        <f>IFERROR(SUM(J19:J31) +J12+J13+J18,"")</f>
        <v>382440760</v>
      </c>
    </row>
    <row r="33" spans="1:10" ht="17.25" customHeight="1">
      <c r="A33" s="945" t="s">
        <v>1310</v>
      </c>
      <c r="B33" s="1679" t="s">
        <v>1311</v>
      </c>
      <c r="C33" s="1679"/>
      <c r="D33" s="1679"/>
      <c r="E33" s="1679"/>
      <c r="F33" s="946"/>
      <c r="G33" s="943" t="s">
        <v>1265</v>
      </c>
      <c r="H33" s="944">
        <v>27</v>
      </c>
      <c r="I33" s="332">
        <f>SUMIFS(BalanceN[BS_Credit],BalanceN[Table],"&gt;=66000",BalanceN[Table],"&lt;67000")-SUMIFS(BalanceN[BS_Debit],BalanceN[Table],"&gt;=66000",BalanceN[Table],"&lt;67000")</f>
        <v>-218217093</v>
      </c>
      <c r="J33" s="332">
        <f>SUMIFS(BalanceN1[BS_Credit],BalanceN1[Table],"&gt;=66000",BalanceN1[Table],"&lt;67000")-SUMIFS(BalanceN1[BS_Debit],BalanceN1[Table],"&gt;=66000",BalanceN1[Table],"&lt;67000")</f>
        <v>-208852251</v>
      </c>
    </row>
    <row r="34" spans="1:10" ht="17.25" customHeight="1">
      <c r="A34" s="943" t="s">
        <v>1312</v>
      </c>
      <c r="B34" s="1680" t="s">
        <v>1313</v>
      </c>
      <c r="C34" s="1681"/>
      <c r="D34" s="1681"/>
      <c r="E34" s="1682"/>
      <c r="F34" s="947"/>
      <c r="G34" s="948"/>
      <c r="H34" s="948"/>
      <c r="I34" s="333">
        <f>I32+I33</f>
        <v>266876104</v>
      </c>
      <c r="J34" s="333">
        <f>IFERROR(J32+J33,"")</f>
        <v>173588509</v>
      </c>
    </row>
    <row r="35" spans="1:10" ht="17.25" customHeight="1">
      <c r="A35" s="945" t="s">
        <v>1314</v>
      </c>
      <c r="B35" s="1679" t="s">
        <v>1315</v>
      </c>
      <c r="C35" s="1679"/>
      <c r="D35" s="1679"/>
      <c r="E35" s="1679"/>
      <c r="F35" s="946"/>
      <c r="G35" s="943" t="s">
        <v>1262</v>
      </c>
      <c r="H35" s="944">
        <v>28</v>
      </c>
      <c r="I35" s="332">
        <f>SUMIFS(BalanceN[BS_Credit],BalanceN[Table],"&gt;=79100",BalanceN[Table],"&lt;79200")-SUMIFS(BalanceN[BS_Debit],BalanceN[Table],"&gt;=79100",BalanceN[Table],"&lt;79200")+SUMIFS(BalanceN[BS_Credit],BalanceN[Table],"&gt;=79800",BalanceN[Table],"&lt;80000")-SUMIFS(BalanceN[BS_Debit],BalanceN[Table],"&gt;=79800",BalanceN[Table],"&lt;80000")</f>
        <v>0</v>
      </c>
      <c r="J35" s="332">
        <f>SUMIFS(BalanceN1[BS_Credit],BalanceN1[Table],"&gt;=79100",BalanceN1[Table],"&lt;79200")-SUMIFS(BalanceN1[BS_Debit],BalanceN1[Table],"&gt;=79100",BalanceN1[Table],"&lt;79200")+SUMIFS(BalanceN1[BS_Credit],BalanceN1[Table],"&gt;=79800",BalanceN1[Table],"&lt;80000")-SUMIFS(BalanceN1[BS_Debit],BalanceN1[Table],"&gt;=79800",BalanceN1[Table],"&lt;80000")</f>
        <v>0</v>
      </c>
    </row>
    <row r="36" spans="1:10" ht="17.25" customHeight="1">
      <c r="A36" s="945" t="s">
        <v>1316</v>
      </c>
      <c r="B36" s="1679" t="s">
        <v>1317</v>
      </c>
      <c r="C36" s="1679"/>
      <c r="D36" s="1679"/>
      <c r="E36" s="1679"/>
      <c r="F36" s="946"/>
      <c r="G36" s="943" t="s">
        <v>1265</v>
      </c>
      <c r="H36" s="944" t="s">
        <v>1318</v>
      </c>
      <c r="I36" s="332">
        <f>SUMIFS(BalanceN[BS_Credit],BalanceN[Table],"&gt;=68100",BalanceN[Table],"&lt;68200")-SUMIFS(BalanceN[BS_Debit],BalanceN[Table],"&gt;=68100",BalanceN[Table],"&lt;68200")+SUMIFS(BalanceN[BS_Credit],BalanceN[Table],"&gt;=69100",BalanceN[Table],"&lt;69200")-SUMIFS(BalanceN[BS_Debit],BalanceN[Table],"&gt;=69100",BalanceN[Table],"&lt;69200")</f>
        <v>-26511313</v>
      </c>
      <c r="J36" s="332">
        <f>SUMIFS(BalanceN1[BS_Credit],BalanceN1[Table],"&gt;=68100",BalanceN1[Table],"&lt;68200")-SUMIFS(BalanceN1[BS_Debit],BalanceN1[Table],"&gt;=68100",BalanceN1[Table],"&lt;68200")+SUMIFS(BalanceN1[BS_Credit],BalanceN1[Table],"&gt;=69100",BalanceN1[Table],"&lt;69200")-SUMIFS(BalanceN1[BS_Debit],BalanceN1[Table],"&gt;=69100",BalanceN1[Table],"&lt;69200")</f>
        <v>-31615755</v>
      </c>
    </row>
    <row r="37" spans="1:10" ht="17.25" customHeight="1">
      <c r="A37" s="943" t="s">
        <v>1319</v>
      </c>
      <c r="B37" s="1680" t="s">
        <v>1320</v>
      </c>
      <c r="C37" s="1681"/>
      <c r="D37" s="1681"/>
      <c r="E37" s="1682"/>
      <c r="F37" s="947"/>
      <c r="G37" s="948"/>
      <c r="H37" s="948"/>
      <c r="I37" s="333">
        <f>I34+I35+I36</f>
        <v>240364791</v>
      </c>
      <c r="J37" s="333">
        <f>IFERROR(J34+J35+J36,"")</f>
        <v>141972754</v>
      </c>
    </row>
    <row r="38" spans="1:10" ht="17.25" customHeight="1">
      <c r="A38" s="945" t="s">
        <v>1321</v>
      </c>
      <c r="B38" s="1679" t="s">
        <v>1322</v>
      </c>
      <c r="C38" s="1679"/>
      <c r="D38" s="1679"/>
      <c r="E38" s="1679"/>
      <c r="F38" s="946"/>
      <c r="G38" s="943" t="s">
        <v>1262</v>
      </c>
      <c r="H38" s="944">
        <v>29</v>
      </c>
      <c r="I38" s="332">
        <f>SUMIFS(BalanceN[BS_Credit],BalanceN[Table],"&gt;=77000",BalanceN[Table],"&lt;78000")-SUMIFS(BalanceN[BS_Debit],BalanceN[Table],"&gt;=77000",BalanceN[Table],"&lt;78000")</f>
        <v>7500000</v>
      </c>
      <c r="J38" s="332">
        <f>SUMIFS(BalanceN1[BS_Credit],BalanceN1[Table],"&gt;=77000",BalanceN1[Table],"&lt;78000")-SUMIFS(BalanceN1[BS_Debit],BalanceN1[Table],"&gt;=77000",BalanceN1[Table],"&lt;78000")</f>
        <v>0</v>
      </c>
    </row>
    <row r="39" spans="1:10" ht="17.25" customHeight="1">
      <c r="A39" s="945" t="s">
        <v>1323</v>
      </c>
      <c r="B39" s="1679" t="s">
        <v>1324</v>
      </c>
      <c r="C39" s="1679"/>
      <c r="D39" s="1679"/>
      <c r="E39" s="1679"/>
      <c r="F39" s="946"/>
      <c r="G39" s="943" t="s">
        <v>1262</v>
      </c>
      <c r="H39" s="944">
        <v>28</v>
      </c>
      <c r="I39" s="332">
        <f>SUMIFS(BalanceN[BS_Credit],BalanceN[Table],"&gt;=79700",BalanceN[Table],"&lt;79800")-SUMIFS(BalanceN[BS_Debit],BalanceN[Table],"&gt;=79700",BalanceN[Table],"&lt;79800")</f>
        <v>0</v>
      </c>
      <c r="J39" s="332">
        <f>SUMIFS(BalanceN1[BS_Credit],BalanceN1[Table],"&gt;=79700",BalanceN1[Table],"&lt;79800")-SUMIFS(BalanceN1[BS_Debit],BalanceN1[Table],"&gt;=79700",BalanceN1[Table],"&lt;79800")</f>
        <v>0</v>
      </c>
    </row>
    <row r="40" spans="1:10" ht="17.25" customHeight="1">
      <c r="A40" s="945" t="s">
        <v>1325</v>
      </c>
      <c r="B40" s="1679" t="s">
        <v>1326</v>
      </c>
      <c r="C40" s="1679"/>
      <c r="D40" s="1679"/>
      <c r="E40" s="1679"/>
      <c r="F40" s="946"/>
      <c r="G40" s="943" t="s">
        <v>1262</v>
      </c>
      <c r="H40" s="944">
        <v>12</v>
      </c>
      <c r="I40" s="332">
        <f>SUMIFS(BalanceN[BS_Credit],BalanceN[Table],"&gt;=78700",BalanceN[Table],"&lt;78800")-SUMIFS(BalanceN[BS_Debit],BalanceN[Table],"&gt;=78700",BalanceN[Table],"&lt;78800")</f>
        <v>0</v>
      </c>
      <c r="J40" s="332">
        <f>SUMIFS(BalanceN1[BS_Credit],BalanceN1[Table],"&gt;=78700",BalanceN1[Table],"&lt;78800")-SUMIFS(BalanceN1[BS_Debit],BalanceN1[Table],"&gt;=78700",BalanceN1[Table],"&lt;78800")</f>
        <v>0</v>
      </c>
    </row>
    <row r="41" spans="1:10" ht="17.25" customHeight="1">
      <c r="A41" s="945" t="s">
        <v>1327</v>
      </c>
      <c r="B41" s="1679" t="s">
        <v>1328</v>
      </c>
      <c r="C41" s="1679"/>
      <c r="D41" s="1679"/>
      <c r="E41" s="1679"/>
      <c r="F41" s="946"/>
      <c r="G41" s="943" t="s">
        <v>1265</v>
      </c>
      <c r="H41" s="944">
        <v>29</v>
      </c>
      <c r="I41" s="332">
        <f>SUMIFS(BalanceN[BS_Credit],BalanceN[Table],"&gt;=67000",BalanceN[Table],"&lt;68000")-SUMIFS(BalanceN[BS_Debit],BalanceN[Table],"&gt;=67000",BalanceN[Table],"&lt;68000")</f>
        <v>-3500000</v>
      </c>
      <c r="J41" s="332">
        <f>SUMIFS(BalanceN1[BS_Credit],BalanceN1[Table],"&gt;=67000",BalanceN1[Table],"&lt;68000")-SUMIFS(BalanceN1[BS_Debit],BalanceN1[Table],"&gt;=67000",BalanceN1[Table],"&lt;68000")</f>
        <v>0</v>
      </c>
    </row>
    <row r="42" spans="1:10" ht="17.25" customHeight="1">
      <c r="A42" s="945" t="s">
        <v>1329</v>
      </c>
      <c r="B42" s="1679" t="s">
        <v>1330</v>
      </c>
      <c r="C42" s="1679"/>
      <c r="D42" s="1679"/>
      <c r="E42" s="1679"/>
      <c r="F42" s="946"/>
      <c r="G42" s="943" t="s">
        <v>1265</v>
      </c>
      <c r="H42" s="944" t="s">
        <v>1318</v>
      </c>
      <c r="I42" s="332">
        <f>SUMIFS(BalanceN[BS_Credit],BalanceN[Table],"&gt;=69700",BalanceN[Table],"&lt;69800")-SUMIFS(BalanceN[BS_Debit],BalanceN[Table],"&gt;=69700",BalanceN[Table],"&lt;69800")</f>
        <v>0</v>
      </c>
      <c r="J42" s="332">
        <f>SUMIFS(BalanceN1[BS_Credit],BalanceN1[Table],"&gt;=69700",BalanceN1[Table],"&lt;69800")-SUMIFS(BalanceN1[BS_Debit],BalanceN1[Table],"&gt;=69700",BalanceN1[Table],"&lt;69800")</f>
        <v>0</v>
      </c>
    </row>
    <row r="43" spans="1:10" ht="17.25" customHeight="1">
      <c r="A43" s="943" t="s">
        <v>1331</v>
      </c>
      <c r="B43" s="1680" t="s">
        <v>1332</v>
      </c>
      <c r="C43" s="1681"/>
      <c r="D43" s="1681"/>
      <c r="E43" s="1682"/>
      <c r="F43" s="947"/>
      <c r="G43" s="948"/>
      <c r="H43" s="948"/>
      <c r="I43" s="333">
        <f>SUM(I38:I42)</f>
        <v>4000000</v>
      </c>
      <c r="J43" s="333">
        <f>IFERROR(SUM(J38:J42),"")</f>
        <v>0</v>
      </c>
    </row>
    <row r="44" spans="1:10" ht="17.25" customHeight="1">
      <c r="A44" s="943" t="s">
        <v>1333</v>
      </c>
      <c r="B44" s="1680" t="s">
        <v>1334</v>
      </c>
      <c r="C44" s="1681"/>
      <c r="D44" s="1681"/>
      <c r="E44" s="1682"/>
      <c r="F44" s="947"/>
      <c r="G44" s="948"/>
      <c r="H44" s="948"/>
      <c r="I44" s="333">
        <f>I37+I43</f>
        <v>244364791</v>
      </c>
      <c r="J44" s="333">
        <f>IFERROR(J37+J43,"")</f>
        <v>141972754</v>
      </c>
    </row>
    <row r="45" spans="1:10" ht="17.25" customHeight="1">
      <c r="A45" s="945" t="s">
        <v>1335</v>
      </c>
      <c r="B45" s="1679" t="s">
        <v>1336</v>
      </c>
      <c r="C45" s="1679"/>
      <c r="D45" s="1679"/>
      <c r="E45" s="1679"/>
      <c r="F45" s="946"/>
      <c r="G45" s="943" t="s">
        <v>1262</v>
      </c>
      <c r="H45" s="944" t="s">
        <v>1337</v>
      </c>
      <c r="I45" s="332">
        <f>SUMIFS(BalanceN[BS_Credit],BalanceN[Table],"&gt;=82000",BalanceN[Table],"&lt;83000")-SUMIFS(BalanceN[BS_Debit],BalanceN[Table],"&gt;=82000",BalanceN[Table],"&lt;83000")</f>
        <v>127119</v>
      </c>
      <c r="J45" s="332">
        <f>SUMIFS(BalanceN1[BS_Credit],BalanceN1[Table],"&gt;=82000",BalanceN1[Table],"&lt;83000")-SUMIFS(BalanceN1[BS_Debit],BalanceN1[Table],"&gt;=82000",BalanceN1[Table],"&lt;83000")</f>
        <v>350000</v>
      </c>
    </row>
    <row r="46" spans="1:10" ht="17.25" customHeight="1">
      <c r="A46" s="945" t="s">
        <v>1338</v>
      </c>
      <c r="B46" s="1679" t="s">
        <v>1339</v>
      </c>
      <c r="C46" s="1679"/>
      <c r="D46" s="1679"/>
      <c r="E46" s="1679"/>
      <c r="F46" s="946"/>
      <c r="G46" s="943" t="s">
        <v>1262</v>
      </c>
      <c r="H46" s="944">
        <v>30</v>
      </c>
      <c r="I46" s="332">
        <f>SUMIFS(BalanceN[BS_Credit],BalanceN[Table],"&gt;=84000",BalanceN[Table],"&lt;85000")-SUMIFS(BalanceN[BS_Debit],BalanceN[Table],"&gt;=84000",BalanceN[Table],"&lt;85000")+SUMIFS(BalanceN[BS_Credit],BalanceN[Table],"&gt;=86000",BalanceN[Table],"&lt;87000")-SUMIFS(BalanceN[BS_Debit],BalanceN[Table],"&gt;=86000",BalanceN[Table],"&lt;87000")+SUMIFS(BalanceN[BS_Credit],BalanceN[Table],"&gt;=88000",BalanceN[Table],"&lt;89000")-SUMIFS(BalanceN[BS_Debit],BalanceN[Table],"&gt;=88000",BalanceN[Table],"&lt;89000")</f>
        <v>2000000</v>
      </c>
      <c r="J46" s="332">
        <f>SUMIFS(BalanceN1[BS_Credit],BalanceN1[Table],"&gt;=84000",BalanceN1[Table],"&lt;85000")-SUMIFS(BalanceN1[BS_Debit],BalanceN1[Table],"&gt;=84000",BalanceN1[Table],"&lt;85000")+SUMIFS(BalanceN1[BS_Credit],BalanceN1[Table],"&gt;=86000",BalanceN1[Table],"&lt;87000")-SUMIFS(BalanceN1[BS_Debit],BalanceN1[Table],"&gt;=86000",BalanceN1[Table],"&lt;87000")+SUMIFS(BalanceN1[BS_Credit],BalanceN1[Table],"&gt;=88000",BalanceN1[Table],"&lt;89000")-SUMIFS(BalanceN1[BS_Debit],BalanceN1[Table],"&gt;=88000",BalanceN1[Table],"&lt;89000")</f>
        <v>0</v>
      </c>
    </row>
    <row r="47" spans="1:10" ht="17.25" customHeight="1">
      <c r="A47" s="945" t="s">
        <v>1340</v>
      </c>
      <c r="B47" s="1679" t="s">
        <v>1341</v>
      </c>
      <c r="C47" s="1679"/>
      <c r="D47" s="1679"/>
      <c r="E47" s="1679"/>
      <c r="F47" s="946"/>
      <c r="G47" s="943" t="s">
        <v>1265</v>
      </c>
      <c r="H47" s="944" t="s">
        <v>1337</v>
      </c>
      <c r="I47" s="332">
        <f>SUMIFS(BalanceN[BS_Credit],BalanceN[Table],"&gt;=81000",BalanceN[Table],"&lt;82000")-SUMIFS(BalanceN[BS_Debit],BalanceN[Table],"&gt;=81000",BalanceN[Table],"&lt;82000")</f>
        <v>0</v>
      </c>
      <c r="J47" s="332">
        <f>SUMIFS(BalanceN1[BS_Credit],BalanceN1[Table],"&gt;=81000",BalanceN1[Table],"&lt;82000")-SUMIFS(BalanceN1[BS_Debit],BalanceN1[Table],"&gt;=81000",BalanceN1[Table],"&lt;82000")</f>
        <v>-291667</v>
      </c>
    </row>
    <row r="48" spans="1:10" ht="17.25" customHeight="1">
      <c r="A48" s="945" t="s">
        <v>1342</v>
      </c>
      <c r="B48" s="1679" t="s">
        <v>1343</v>
      </c>
      <c r="C48" s="1679"/>
      <c r="D48" s="1679"/>
      <c r="E48" s="1679"/>
      <c r="F48" s="946"/>
      <c r="G48" s="943" t="s">
        <v>1265</v>
      </c>
      <c r="H48" s="944">
        <v>30</v>
      </c>
      <c r="I48" s="332">
        <f>SUMIFS(BalanceN[BS_Credit],BalanceN[Table],"&gt;=83000",BalanceN[Table],"&lt;84000")-SUMIFS(BalanceN[BS_Debit],BalanceN[Table],"&gt;=83000",BalanceN[Table],"&lt;84000")+SUMIFS(BalanceN[BS_Credit],BalanceN[Table],"&gt;=85000",BalanceN[Table],"&lt;86000")-SUMIFS(BalanceN[BS_Debit],BalanceN[Table],"&gt;=85000",BalanceN[Table],"&lt;86000")</f>
        <v>0</v>
      </c>
      <c r="J48" s="332">
        <f>SUMIFS(BalanceN1[BS_Credit],BalanceN1[Table],"&gt;=83000",BalanceN1[Table],"&lt;84000")-SUMIFS(BalanceN1[BS_Debit],BalanceN1[Table],"&gt;=83000",BalanceN1[Table],"&lt;84000")+SUMIFS(BalanceN1[BS_Credit],BalanceN1[Table],"&gt;=85000",BalanceN1[Table],"&lt;86000")-SUMIFS(BalanceN1[BS_Debit],BalanceN1[Table],"&gt;=85000",BalanceN1[Table],"&lt;86000")</f>
        <v>0</v>
      </c>
    </row>
    <row r="49" spans="1:10" ht="17.25" customHeight="1">
      <c r="A49" s="943" t="s">
        <v>1344</v>
      </c>
      <c r="B49" s="1680" t="s">
        <v>1345</v>
      </c>
      <c r="C49" s="1681"/>
      <c r="D49" s="1681"/>
      <c r="E49" s="1682"/>
      <c r="F49" s="947"/>
      <c r="G49" s="948"/>
      <c r="H49" s="948"/>
      <c r="I49" s="333">
        <f>SUM(I45:I48)</f>
        <v>2127119</v>
      </c>
      <c r="J49" s="333">
        <f>IFERROR(SUM(J45:J48),"")</f>
        <v>58333</v>
      </c>
    </row>
    <row r="50" spans="1:10" ht="17.25" customHeight="1">
      <c r="A50" s="945" t="s">
        <v>1346</v>
      </c>
      <c r="B50" s="1679" t="s">
        <v>1347</v>
      </c>
      <c r="C50" s="1679"/>
      <c r="D50" s="1679"/>
      <c r="E50" s="1679"/>
      <c r="F50" s="946"/>
      <c r="G50" s="943" t="s">
        <v>1265</v>
      </c>
      <c r="H50" s="944">
        <v>30</v>
      </c>
      <c r="I50" s="332">
        <f>SUMIFS(BalanceN[BS_Credit],BalanceN[Table],"&gt;=87000",BalanceN[Table],"&lt;88000")-SUMIFS(BalanceN[BS_Debit],BalanceN[Table],"&gt;=87000",BalanceN[Table],"&lt;88000")</f>
        <v>0</v>
      </c>
      <c r="J50" s="332">
        <f>SUMIFS(BalanceN1[BS_Credit],BalanceN1[Table],"&gt;=87000",BalanceN1[Table],"&lt;88000")-SUMIFS(BalanceN1[BS_Debit],BalanceN1[Table],"&gt;=87000",BalanceN1[Table],"&lt;88000")</f>
        <v>0</v>
      </c>
    </row>
    <row r="51" spans="1:10" ht="17.25" customHeight="1">
      <c r="A51" s="945" t="s">
        <v>1348</v>
      </c>
      <c r="B51" s="1679" t="s">
        <v>1349</v>
      </c>
      <c r="C51" s="1679"/>
      <c r="D51" s="1679"/>
      <c r="E51" s="1679"/>
      <c r="F51" s="946"/>
      <c r="G51" s="943" t="s">
        <v>1265</v>
      </c>
      <c r="H51" s="918">
        <v>37</v>
      </c>
      <c r="I51" s="332">
        <f>SUMIFS(BalanceN[BS_Credit],BalanceN[Table],"&gt;=89000",BalanceN[Table],"&lt;90000")-SUMIFS(BalanceN[BS_Debit],BalanceN[Table],"&gt;=89000",BalanceN[Table],"&lt;90000")</f>
        <v>-31102200</v>
      </c>
      <c r="J51" s="332">
        <f>SUMIFS(BalanceN1[BS_Credit],BalanceN1[Table],"&gt;=89000",BalanceN1[Table],"&lt;90000")-SUMIFS(BalanceN1[BS_Debit],BalanceN1[Table],"&gt;=89000",BalanceN1[Table],"&lt;90000")</f>
        <v>-23411413</v>
      </c>
    </row>
    <row r="52" spans="1:10" ht="17.25" customHeight="1">
      <c r="A52" s="943" t="s">
        <v>1350</v>
      </c>
      <c r="B52" s="1680" t="s">
        <v>1351</v>
      </c>
      <c r="C52" s="1681"/>
      <c r="D52" s="1681"/>
      <c r="E52" s="1682"/>
      <c r="F52" s="947"/>
      <c r="G52" s="948"/>
      <c r="H52" s="948"/>
      <c r="I52" s="333">
        <f>I44+I49+I50+I51</f>
        <v>215389710</v>
      </c>
      <c r="J52" s="333">
        <f>IFERROR(J44+J49+J50+J51,"")</f>
        <v>118619674</v>
      </c>
    </row>
    <row r="53" spans="1:10" ht="16.5" customHeight="1">
      <c r="A53" s="951" t="s">
        <v>1352</v>
      </c>
      <c r="B53" s="299" t="s">
        <v>1353</v>
      </c>
      <c r="C53" s="299"/>
      <c r="D53" s="299"/>
      <c r="E53" s="299"/>
      <c r="F53" s="952"/>
      <c r="G53" s="299"/>
    </row>
    <row r="54" spans="1:10">
      <c r="A54" s="299"/>
      <c r="B54" s="1678" t="s">
        <v>1354</v>
      </c>
      <c r="C54" s="1678"/>
      <c r="D54" s="1678"/>
      <c r="E54" s="1678"/>
      <c r="F54" s="1678"/>
      <c r="G54" s="1678"/>
      <c r="H54" s="299"/>
      <c r="I54" s="299"/>
    </row>
    <row r="55" spans="1:10">
      <c r="A55" s="951" t="s">
        <v>1355</v>
      </c>
      <c r="B55" s="299" t="s">
        <v>1356</v>
      </c>
      <c r="C55" s="299"/>
      <c r="D55" s="299"/>
      <c r="E55" s="299"/>
      <c r="F55" s="299"/>
      <c r="H55" s="299"/>
      <c r="I55" s="299"/>
    </row>
    <row r="56" spans="1:10">
      <c r="B56" s="299" t="s">
        <v>1357</v>
      </c>
      <c r="C56" s="299"/>
      <c r="D56" s="299"/>
      <c r="E56" s="299"/>
      <c r="F56" s="299"/>
    </row>
  </sheetData>
  <sheetProtection algorithmName="SHA-512" hashValue="YQV3CQG8rK8+ErDJmMLTTKKPysBbWRBqbvKi1aoV67hxXL/Esgv9eHX7HOnn2XNuRoOy4JqJy52oahbmBilbFQ==" saltValue="D2TdTVUPVDeEi295/Edkng==" spinCount="100000" sheet="1" objects="1" scenarios="1" selectLockedCells="1"/>
  <mergeCells count="57">
    <mergeCell ref="A1:J1"/>
    <mergeCell ref="H2:J2"/>
    <mergeCell ref="C3:J3"/>
    <mergeCell ref="C4:H4"/>
    <mergeCell ref="C5:D5"/>
    <mergeCell ref="F5:H5"/>
    <mergeCell ref="C6:E6"/>
    <mergeCell ref="A7:J7"/>
    <mergeCell ref="A8:A10"/>
    <mergeCell ref="B8:F10"/>
    <mergeCell ref="G8:G10"/>
    <mergeCell ref="H8:H10"/>
    <mergeCell ref="I8:I9"/>
    <mergeCell ref="J8:J9"/>
    <mergeCell ref="B22:E22"/>
    <mergeCell ref="B11:E11"/>
    <mergeCell ref="B12:E12"/>
    <mergeCell ref="B13:E13"/>
    <mergeCell ref="B14:E14"/>
    <mergeCell ref="B15:E15"/>
    <mergeCell ref="B16:E16"/>
    <mergeCell ref="B17:E17"/>
    <mergeCell ref="B18:E18"/>
    <mergeCell ref="B19:E19"/>
    <mergeCell ref="B20:E20"/>
    <mergeCell ref="B21:E21"/>
    <mergeCell ref="B34:E34"/>
    <mergeCell ref="B23:E23"/>
    <mergeCell ref="B24:E24"/>
    <mergeCell ref="B25:E25"/>
    <mergeCell ref="B26:E26"/>
    <mergeCell ref="B27:E27"/>
    <mergeCell ref="B28:E28"/>
    <mergeCell ref="B29:E29"/>
    <mergeCell ref="B30:E30"/>
    <mergeCell ref="B31:E31"/>
    <mergeCell ref="B32:E32"/>
    <mergeCell ref="B33:E33"/>
    <mergeCell ref="B46:E46"/>
    <mergeCell ref="B35:E35"/>
    <mergeCell ref="B36:E36"/>
    <mergeCell ref="B37:E37"/>
    <mergeCell ref="B38:E38"/>
    <mergeCell ref="B39:E39"/>
    <mergeCell ref="B40:E40"/>
    <mergeCell ref="B41:E41"/>
    <mergeCell ref="B42:E42"/>
    <mergeCell ref="B43:E43"/>
    <mergeCell ref="B44:E44"/>
    <mergeCell ref="B45:E45"/>
    <mergeCell ref="B54:G54"/>
    <mergeCell ref="B47:E47"/>
    <mergeCell ref="B48:E48"/>
    <mergeCell ref="B49:E49"/>
    <mergeCell ref="B50:E50"/>
    <mergeCell ref="B51:E51"/>
    <mergeCell ref="B52:E52"/>
  </mergeCells>
  <dataValidations count="1">
    <dataValidation type="whole" allowBlank="1" showInputMessage="1" showErrorMessage="1" errorTitle="Attention !" error="Valeur numérique attendue" sqref="I11:J13 I15:J17 I19:J31 I33:J33 I35:J36 I38:J42 I45:J48 I50:J51" xr:uid="{72C1ABC8-9938-47EA-AC4A-7A740895AE38}">
      <formula1>-9999999999999</formula1>
      <formula2>9999999999999</formula2>
    </dataValidation>
  </dataValidations>
  <printOptions horizontalCentered="1"/>
  <pageMargins left="0.39370078740157483" right="0.31496062992125984" top="0.27559055118110237" bottom="0.27559055118110237" header="0.11811023622047245" footer="0.11811023622047245"/>
  <pageSetup paperSize="9" scale="82"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90A0-7445-4663-9DBF-99DD368F5606}">
  <sheetPr codeName="Feuil11">
    <tabColor theme="9" tint="0.39997558519241921"/>
    <pageSetUpPr fitToPage="1"/>
  </sheetPr>
  <dimension ref="A1:M41"/>
  <sheetViews>
    <sheetView showGridLines="0" showRowColHeaders="0" showZeros="0" zoomScaleNormal="100" zoomScalePageLayoutView="40" workbookViewId="0">
      <selection activeCell="W46" sqref="W46"/>
    </sheetView>
  </sheetViews>
  <sheetFormatPr baseColWidth="10" defaultColWidth="11.5234375" defaultRowHeight="14.4"/>
  <cols>
    <col min="1" max="1" width="4.68359375" style="103" customWidth="1"/>
    <col min="2" max="2" width="26.3125" style="103" customWidth="1"/>
    <col min="3" max="4" width="14.41796875" style="103" customWidth="1"/>
    <col min="5" max="5" width="5.68359375" style="103" customWidth="1"/>
    <col min="6" max="9" width="15.68359375" style="103" customWidth="1"/>
    <col min="10" max="16384" width="11.5234375" style="103"/>
  </cols>
  <sheetData>
    <row r="1" spans="1:13">
      <c r="A1" s="1276" t="str">
        <f>"- "&amp;Code!K10&amp;" -"</f>
        <v>- 12 -</v>
      </c>
      <c r="B1" s="1276"/>
      <c r="C1" s="1276"/>
      <c r="D1" s="1276"/>
      <c r="E1" s="1276"/>
      <c r="F1" s="1276"/>
      <c r="G1" s="1276"/>
      <c r="H1" s="1276"/>
      <c r="I1" s="1276"/>
    </row>
    <row r="2" spans="1:13" ht="27" customHeight="1">
      <c r="A2" s="302"/>
      <c r="B2" s="302"/>
      <c r="C2" s="302"/>
      <c r="D2" s="302"/>
      <c r="E2" s="302"/>
      <c r="F2" s="302"/>
      <c r="G2" s="302"/>
      <c r="H2" s="1278" t="s">
        <v>1234</v>
      </c>
      <c r="I2" s="1279"/>
    </row>
    <row r="3" spans="1:13" s="317" customFormat="1" ht="15.75" customHeight="1">
      <c r="A3" s="317" t="s">
        <v>50</v>
      </c>
      <c r="C3" s="1698" t="str">
        <f>BILAN!C3</f>
        <v>OHADA</v>
      </c>
      <c r="D3" s="1699"/>
      <c r="E3" s="1699"/>
      <c r="F3" s="1699"/>
      <c r="G3" s="1699"/>
      <c r="H3" s="1699"/>
      <c r="I3" s="1699"/>
      <c r="J3" s="803"/>
      <c r="K3" s="803"/>
      <c r="L3" s="803"/>
      <c r="M3" s="803"/>
    </row>
    <row r="4" spans="1:13" s="317" customFormat="1" ht="15.75" customHeight="1">
      <c r="A4" s="1675" t="s">
        <v>51</v>
      </c>
      <c r="B4" s="1675"/>
      <c r="C4" s="1700" t="str">
        <f>BILAN!C4</f>
        <v/>
      </c>
      <c r="D4" s="1697"/>
      <c r="E4" s="1697"/>
      <c r="F4" s="1697"/>
      <c r="G4" s="1697"/>
      <c r="H4" s="627" t="s">
        <v>1021</v>
      </c>
      <c r="I4" s="630" t="str">
        <f>BILAN!N4</f>
        <v/>
      </c>
      <c r="J4" s="803"/>
      <c r="K4" s="803"/>
      <c r="M4" s="642"/>
    </row>
    <row r="5" spans="1:13" s="317" customFormat="1" ht="15.75" customHeight="1">
      <c r="A5" s="317" t="s">
        <v>53</v>
      </c>
      <c r="C5" s="1697" t="str">
        <f>BILAN!C5</f>
        <v/>
      </c>
      <c r="D5" s="1697"/>
      <c r="E5" s="1697"/>
      <c r="F5" s="953" t="s">
        <v>54</v>
      </c>
      <c r="G5" s="869">
        <f>BILAN!K5</f>
        <v>0</v>
      </c>
      <c r="H5" s="627" t="s">
        <v>55</v>
      </c>
      <c r="I5" s="630">
        <f>BILAN!N5</f>
        <v>1</v>
      </c>
      <c r="J5" s="642"/>
      <c r="L5" s="597"/>
      <c r="M5" s="642"/>
    </row>
    <row r="6" spans="1:13" s="317" customFormat="1" ht="15.75" customHeight="1">
      <c r="A6" s="317" t="s">
        <v>56</v>
      </c>
      <c r="C6" s="1275" t="str">
        <f>BILAN!C6</f>
        <v/>
      </c>
      <c r="D6" s="1275"/>
      <c r="E6" s="1275"/>
      <c r="F6" s="629"/>
      <c r="G6" s="630"/>
      <c r="H6" s="629"/>
      <c r="I6" s="630"/>
      <c r="J6" s="642"/>
      <c r="L6" s="597"/>
      <c r="M6" s="642"/>
    </row>
    <row r="7" spans="1:13" s="125" customFormat="1" ht="28.5" customHeight="1">
      <c r="A7" s="1670" t="s">
        <v>1110</v>
      </c>
      <c r="B7" s="1670"/>
      <c r="C7" s="1670"/>
      <c r="D7" s="1670"/>
      <c r="E7" s="1670"/>
      <c r="F7" s="1670"/>
      <c r="G7" s="1670"/>
      <c r="H7" s="1670"/>
      <c r="I7" s="1670"/>
    </row>
    <row r="8" spans="1:13">
      <c r="A8" s="1663" t="s">
        <v>1111</v>
      </c>
      <c r="B8" s="1688" t="s">
        <v>9215</v>
      </c>
      <c r="C8" s="1688"/>
      <c r="D8" s="1663"/>
      <c r="E8" s="1663" t="s">
        <v>1113</v>
      </c>
      <c r="F8" s="1663" t="s">
        <v>1114</v>
      </c>
      <c r="G8" s="1663"/>
      <c r="H8" s="1663"/>
      <c r="I8" s="1663" t="s">
        <v>1115</v>
      </c>
    </row>
    <row r="9" spans="1:13">
      <c r="A9" s="1663"/>
      <c r="B9" s="1688"/>
      <c r="C9" s="1688"/>
      <c r="D9" s="1663"/>
      <c r="E9" s="1663"/>
      <c r="F9" s="1663"/>
      <c r="G9" s="1663"/>
      <c r="H9" s="1663"/>
      <c r="I9" s="1663"/>
    </row>
    <row r="10" spans="1:13" ht="27.75" customHeight="1">
      <c r="A10" s="1663"/>
      <c r="B10" s="1688"/>
      <c r="C10" s="1688"/>
      <c r="D10" s="1663"/>
      <c r="E10" s="1663"/>
      <c r="F10" s="940" t="s">
        <v>1119</v>
      </c>
      <c r="G10" s="940" t="s">
        <v>1235</v>
      </c>
      <c r="H10" s="940" t="s">
        <v>1121</v>
      </c>
      <c r="I10" s="940" t="s">
        <v>1121</v>
      </c>
    </row>
    <row r="11" spans="1:13" ht="21.9" customHeight="1">
      <c r="A11" s="914" t="s">
        <v>1122</v>
      </c>
      <c r="B11" s="1695" t="s">
        <v>1236</v>
      </c>
      <c r="C11" s="1695"/>
      <c r="D11" s="1696"/>
      <c r="E11" s="960" t="str">
        <f>BILAN!E11</f>
        <v>3</v>
      </c>
      <c r="F11" s="961">
        <f>BILAN!F11</f>
        <v>4650000</v>
      </c>
      <c r="G11" s="961">
        <f>BILAN!G11</f>
        <v>0</v>
      </c>
      <c r="H11" s="961">
        <f>BILAN!H11</f>
        <v>4650000</v>
      </c>
      <c r="I11" s="961">
        <f>BILAN!I11</f>
        <v>2650000</v>
      </c>
    </row>
    <row r="12" spans="1:13" ht="21.9" customHeight="1">
      <c r="A12" s="917" t="s">
        <v>1126</v>
      </c>
      <c r="B12" s="1655" t="s">
        <v>1127</v>
      </c>
      <c r="C12" s="1655"/>
      <c r="D12" s="1656"/>
      <c r="E12" s="962">
        <f>BILAN!E12</f>
        <v>0</v>
      </c>
      <c r="F12" s="358">
        <f>BILAN!F12</f>
        <v>0</v>
      </c>
      <c r="G12" s="358">
        <f>BILAN!G12</f>
        <v>0</v>
      </c>
      <c r="H12" s="358">
        <f>BILAN!H12</f>
        <v>0</v>
      </c>
      <c r="I12" s="358">
        <f>BILAN!I12</f>
        <v>0</v>
      </c>
    </row>
    <row r="13" spans="1:13" ht="21.9" customHeight="1">
      <c r="A13" s="945" t="s">
        <v>1130</v>
      </c>
      <c r="B13" s="1655" t="s">
        <v>1237</v>
      </c>
      <c r="C13" s="1655"/>
      <c r="D13" s="1656"/>
      <c r="E13" s="962">
        <f>BILAN!E13</f>
        <v>0</v>
      </c>
      <c r="F13" s="358">
        <f>BILAN!F13</f>
        <v>3050000</v>
      </c>
      <c r="G13" s="358">
        <f>BILAN!G13</f>
        <v>0</v>
      </c>
      <c r="H13" s="358">
        <f>BILAN!H13</f>
        <v>3050000</v>
      </c>
      <c r="I13" s="358">
        <f>BILAN!I13</f>
        <v>1050000</v>
      </c>
    </row>
    <row r="14" spans="1:13" ht="21.9" customHeight="1">
      <c r="A14" s="945" t="s">
        <v>1134</v>
      </c>
      <c r="B14" s="1655" t="s">
        <v>1135</v>
      </c>
      <c r="C14" s="1655"/>
      <c r="D14" s="1656"/>
      <c r="E14" s="962">
        <f>BILAN!E14</f>
        <v>0</v>
      </c>
      <c r="F14" s="358">
        <f>BILAN!F14</f>
        <v>1600000</v>
      </c>
      <c r="G14" s="358">
        <f>BILAN!G14</f>
        <v>0</v>
      </c>
      <c r="H14" s="358">
        <f>BILAN!H14</f>
        <v>1600000</v>
      </c>
      <c r="I14" s="358">
        <f>BILAN!I14</f>
        <v>1600000</v>
      </c>
    </row>
    <row r="15" spans="1:13" ht="21.9" customHeight="1">
      <c r="A15" s="945" t="s">
        <v>1139</v>
      </c>
      <c r="B15" s="1655" t="s">
        <v>1238</v>
      </c>
      <c r="C15" s="1655"/>
      <c r="D15" s="1656"/>
      <c r="E15" s="962">
        <f>BILAN!E15</f>
        <v>0</v>
      </c>
      <c r="F15" s="358">
        <f>BILAN!F15</f>
        <v>0</v>
      </c>
      <c r="G15" s="358">
        <f>BILAN!G15</f>
        <v>0</v>
      </c>
      <c r="H15" s="358">
        <f>BILAN!H15</f>
        <v>0</v>
      </c>
      <c r="I15" s="358">
        <f>BILAN!I15</f>
        <v>0</v>
      </c>
    </row>
    <row r="16" spans="1:13" ht="21.9" customHeight="1">
      <c r="A16" s="914" t="s">
        <v>1143</v>
      </c>
      <c r="B16" s="1652" t="s">
        <v>1239</v>
      </c>
      <c r="C16" s="1652"/>
      <c r="D16" s="1653"/>
      <c r="E16" s="963">
        <f>BILAN!E16</f>
        <v>3</v>
      </c>
      <c r="F16" s="964">
        <f>BILAN!F16</f>
        <v>1012410344</v>
      </c>
      <c r="G16" s="964">
        <f>BILAN!G16</f>
        <v>321157361</v>
      </c>
      <c r="H16" s="964">
        <f>BILAN!H16</f>
        <v>691252983</v>
      </c>
      <c r="I16" s="964">
        <f>BILAN!I16</f>
        <v>203544627</v>
      </c>
    </row>
    <row r="17" spans="1:9" ht="29.25" customHeight="1">
      <c r="A17" s="958" t="s">
        <v>1147</v>
      </c>
      <c r="B17" s="965" t="s">
        <v>9218</v>
      </c>
      <c r="C17" s="966">
        <f>BILAN!C17</f>
        <v>0</v>
      </c>
      <c r="D17" s="330">
        <f>BILAN!D17</f>
        <v>0</v>
      </c>
      <c r="E17" s="967"/>
      <c r="F17" s="358">
        <f>BILAN!F17</f>
        <v>38673950</v>
      </c>
      <c r="G17" s="358">
        <f>BILAN!G17</f>
        <v>0</v>
      </c>
      <c r="H17" s="358">
        <f>BILAN!H17</f>
        <v>38673950</v>
      </c>
      <c r="I17" s="358">
        <f>BILAN!I17</f>
        <v>35173950</v>
      </c>
    </row>
    <row r="18" spans="1:9" ht="29.25" customHeight="1">
      <c r="A18" s="958" t="s">
        <v>1150</v>
      </c>
      <c r="B18" s="965" t="s">
        <v>9219</v>
      </c>
      <c r="C18" s="966">
        <f>BILAN!C18</f>
        <v>0</v>
      </c>
      <c r="D18" s="330">
        <f>BILAN!D18</f>
        <v>0</v>
      </c>
      <c r="E18" s="967"/>
      <c r="F18" s="358">
        <f>BILAN!F18</f>
        <v>741411100</v>
      </c>
      <c r="G18" s="358">
        <f>BILAN!G18</f>
        <v>160048641</v>
      </c>
      <c r="H18" s="358">
        <f>BILAN!H18</f>
        <v>581362459</v>
      </c>
      <c r="I18" s="358">
        <f>BILAN!I18</f>
        <v>136097141</v>
      </c>
    </row>
    <row r="19" spans="1:9" ht="21.9" customHeight="1">
      <c r="A19" s="917" t="s">
        <v>1153</v>
      </c>
      <c r="B19" s="1655" t="s">
        <v>1240</v>
      </c>
      <c r="C19" s="1655"/>
      <c r="D19" s="1656"/>
      <c r="E19" s="962">
        <f>BILAN!E19</f>
        <v>0</v>
      </c>
      <c r="F19" s="358">
        <f>BILAN!F19</f>
        <v>73328267</v>
      </c>
      <c r="G19" s="358">
        <f>BILAN!G19</f>
        <v>71328267</v>
      </c>
      <c r="H19" s="358">
        <f>BILAN!H19</f>
        <v>2000000</v>
      </c>
      <c r="I19" s="358">
        <f>BILAN!I19</f>
        <v>0</v>
      </c>
    </row>
    <row r="20" spans="1:9" ht="21.9" customHeight="1">
      <c r="A20" s="917" t="s">
        <v>1157</v>
      </c>
      <c r="B20" s="1655" t="s">
        <v>1158</v>
      </c>
      <c r="C20" s="1655"/>
      <c r="D20" s="1656"/>
      <c r="E20" s="962">
        <f>BILAN!E20</f>
        <v>0</v>
      </c>
      <c r="F20" s="358">
        <f>BILAN!F20</f>
        <v>82947027</v>
      </c>
      <c r="G20" s="358">
        <f>BILAN!G20</f>
        <v>35540453</v>
      </c>
      <c r="H20" s="358">
        <f>BILAN!H20</f>
        <v>47406574</v>
      </c>
      <c r="I20" s="358">
        <f>BILAN!I20</f>
        <v>32086036</v>
      </c>
    </row>
    <row r="21" spans="1:9" ht="21.9" customHeight="1">
      <c r="A21" s="917" t="s">
        <v>1161</v>
      </c>
      <c r="B21" s="1655" t="s">
        <v>1162</v>
      </c>
      <c r="C21" s="1655"/>
      <c r="D21" s="1656"/>
      <c r="E21" s="962">
        <f>BILAN!E21</f>
        <v>0</v>
      </c>
      <c r="F21" s="358">
        <f>BILAN!F21</f>
        <v>76050000</v>
      </c>
      <c r="G21" s="358">
        <f>BILAN!G21</f>
        <v>54240000</v>
      </c>
      <c r="H21" s="358">
        <f>BILAN!H21</f>
        <v>21810000</v>
      </c>
      <c r="I21" s="358">
        <f>BILAN!I21</f>
        <v>187500</v>
      </c>
    </row>
    <row r="22" spans="1:9" ht="21.9" customHeight="1">
      <c r="A22" s="917" t="s">
        <v>1165</v>
      </c>
      <c r="B22" s="1658" t="s">
        <v>1166</v>
      </c>
      <c r="C22" s="1658"/>
      <c r="D22" s="1659"/>
      <c r="E22" s="962"/>
      <c r="F22" s="358">
        <f>BILAN!F22</f>
        <v>20000000</v>
      </c>
      <c r="G22" s="358">
        <f>BILAN!G22</f>
        <v>0</v>
      </c>
      <c r="H22" s="358">
        <f>BILAN!H22</f>
        <v>20000000</v>
      </c>
      <c r="I22" s="358">
        <f>BILAN!I22</f>
        <v>0</v>
      </c>
    </row>
    <row r="23" spans="1:9" ht="21.9" customHeight="1">
      <c r="A23" s="914" t="s">
        <v>1169</v>
      </c>
      <c r="B23" s="1695" t="s">
        <v>1241</v>
      </c>
      <c r="C23" s="1695"/>
      <c r="D23" s="1696"/>
      <c r="E23" s="968">
        <f>BILAN!E23</f>
        <v>4</v>
      </c>
      <c r="F23" s="365">
        <f>BILAN!F23</f>
        <v>4419790</v>
      </c>
      <c r="G23" s="365">
        <f>BILAN!G23</f>
        <v>0</v>
      </c>
      <c r="H23" s="365">
        <f>BILAN!H23</f>
        <v>4419790</v>
      </c>
      <c r="I23" s="365">
        <f>BILAN!I23</f>
        <v>4548658</v>
      </c>
    </row>
    <row r="24" spans="1:9" ht="21.9" customHeight="1">
      <c r="A24" s="917" t="s">
        <v>1173</v>
      </c>
      <c r="B24" s="1655" t="s">
        <v>1174</v>
      </c>
      <c r="C24" s="1655"/>
      <c r="D24" s="1656"/>
      <c r="E24" s="962">
        <f>BILAN!E24</f>
        <v>0</v>
      </c>
      <c r="F24" s="358">
        <f>BILAN!F24</f>
        <v>0</v>
      </c>
      <c r="G24" s="358">
        <f>BILAN!G24</f>
        <v>0</v>
      </c>
      <c r="H24" s="358">
        <f>BILAN!H24</f>
        <v>0</v>
      </c>
      <c r="I24" s="358">
        <f>BILAN!I24</f>
        <v>0</v>
      </c>
    </row>
    <row r="25" spans="1:9" ht="21.9" customHeight="1">
      <c r="A25" s="917" t="s">
        <v>1177</v>
      </c>
      <c r="B25" s="1655" t="s">
        <v>1242</v>
      </c>
      <c r="C25" s="1655"/>
      <c r="D25" s="1656"/>
      <c r="E25" s="962">
        <f>BILAN!E25</f>
        <v>0</v>
      </c>
      <c r="F25" s="358">
        <f>BILAN!F25</f>
        <v>4419790</v>
      </c>
      <c r="G25" s="358">
        <f>BILAN!G25</f>
        <v>0</v>
      </c>
      <c r="H25" s="358">
        <f>BILAN!H25</f>
        <v>4419790</v>
      </c>
      <c r="I25" s="358">
        <f>BILAN!I25</f>
        <v>4548658</v>
      </c>
    </row>
    <row r="26" spans="1:9" ht="21.9" customHeight="1">
      <c r="A26" s="914" t="s">
        <v>1181</v>
      </c>
      <c r="B26" s="1695" t="s">
        <v>1243</v>
      </c>
      <c r="C26" s="1695"/>
      <c r="D26" s="1696"/>
      <c r="E26" s="969"/>
      <c r="F26" s="365">
        <f>BILAN!F26</f>
        <v>1041480134</v>
      </c>
      <c r="G26" s="365">
        <f>BILAN!G26</f>
        <v>321157361</v>
      </c>
      <c r="H26" s="365">
        <f>BILAN!H26</f>
        <v>720322773</v>
      </c>
      <c r="I26" s="365">
        <f>BILAN!I26</f>
        <v>210743285</v>
      </c>
    </row>
    <row r="27" spans="1:9" ht="21.9" customHeight="1">
      <c r="A27" s="917" t="s">
        <v>1185</v>
      </c>
      <c r="B27" s="1658" t="s">
        <v>1244</v>
      </c>
      <c r="C27" s="1658"/>
      <c r="D27" s="1659"/>
      <c r="E27" s="962">
        <f>BILAN!E27</f>
        <v>5</v>
      </c>
      <c r="F27" s="970">
        <f>BILAN!F27</f>
        <v>2140000</v>
      </c>
      <c r="G27" s="970">
        <f>BILAN!G27</f>
        <v>0</v>
      </c>
      <c r="H27" s="970">
        <f>BILAN!H27</f>
        <v>2140000</v>
      </c>
      <c r="I27" s="970">
        <f>BILAN!I27</f>
        <v>380000</v>
      </c>
    </row>
    <row r="28" spans="1:9" ht="21.9" customHeight="1">
      <c r="A28" s="917" t="s">
        <v>1189</v>
      </c>
      <c r="B28" s="1658" t="s">
        <v>1190</v>
      </c>
      <c r="C28" s="1658"/>
      <c r="D28" s="1659"/>
      <c r="E28" s="962">
        <f>BILAN!E28</f>
        <v>6</v>
      </c>
      <c r="F28" s="970">
        <f>BILAN!F28</f>
        <v>18560138</v>
      </c>
      <c r="G28" s="970">
        <f>BILAN!G28</f>
        <v>0</v>
      </c>
      <c r="H28" s="970">
        <f>BILAN!H28</f>
        <v>18560138</v>
      </c>
      <c r="I28" s="970">
        <f>BILAN!I28</f>
        <v>15868433</v>
      </c>
    </row>
    <row r="29" spans="1:9" ht="21.9" customHeight="1">
      <c r="A29" s="914" t="s">
        <v>1193</v>
      </c>
      <c r="B29" s="1695" t="s">
        <v>1245</v>
      </c>
      <c r="C29" s="1695"/>
      <c r="D29" s="1696"/>
      <c r="E29" s="971">
        <f>BILAN!E29</f>
        <v>0</v>
      </c>
      <c r="F29" s="347">
        <f>BILAN!F29</f>
        <v>206981960</v>
      </c>
      <c r="G29" s="347">
        <f>BILAN!G29</f>
        <v>31677520</v>
      </c>
      <c r="H29" s="347">
        <f>BILAN!H29</f>
        <v>175304440</v>
      </c>
      <c r="I29" s="347">
        <f>BILAN!I29</f>
        <v>144512218</v>
      </c>
    </row>
    <row r="30" spans="1:9" ht="21.9" customHeight="1">
      <c r="A30" s="917" t="s">
        <v>1197</v>
      </c>
      <c r="B30" s="1655" t="s">
        <v>1198</v>
      </c>
      <c r="C30" s="1655"/>
      <c r="D30" s="1656"/>
      <c r="E30" s="962">
        <f>BILAN!E30</f>
        <v>17</v>
      </c>
      <c r="F30" s="358">
        <f>BILAN!F30</f>
        <v>857612</v>
      </c>
      <c r="G30" s="358">
        <f>BILAN!G30</f>
        <v>0</v>
      </c>
      <c r="H30" s="358">
        <f>BILAN!H30</f>
        <v>857612</v>
      </c>
      <c r="I30" s="358">
        <f>BILAN!I30</f>
        <v>700000</v>
      </c>
    </row>
    <row r="31" spans="1:9" ht="21.9" customHeight="1">
      <c r="A31" s="917" t="s">
        <v>1201</v>
      </c>
      <c r="B31" s="1655" t="s">
        <v>1202</v>
      </c>
      <c r="C31" s="1655"/>
      <c r="D31" s="1656"/>
      <c r="E31" s="962">
        <f>BILAN!E31</f>
        <v>7</v>
      </c>
      <c r="F31" s="358">
        <f>BILAN!F31</f>
        <v>167938821</v>
      </c>
      <c r="G31" s="358">
        <f>BILAN!G31</f>
        <v>31677520</v>
      </c>
      <c r="H31" s="358">
        <f>BILAN!H31</f>
        <v>136261301</v>
      </c>
      <c r="I31" s="358">
        <f>BILAN!I31</f>
        <v>140683833</v>
      </c>
    </row>
    <row r="32" spans="1:9" ht="21.9" customHeight="1">
      <c r="A32" s="917" t="s">
        <v>1205</v>
      </c>
      <c r="B32" s="1655" t="s">
        <v>1246</v>
      </c>
      <c r="C32" s="1655"/>
      <c r="D32" s="1656"/>
      <c r="E32" s="962">
        <f>BILAN!E32</f>
        <v>8</v>
      </c>
      <c r="F32" s="358">
        <f>BILAN!F32</f>
        <v>38185527</v>
      </c>
      <c r="G32" s="358">
        <f>BILAN!G32</f>
        <v>0</v>
      </c>
      <c r="H32" s="358">
        <f>BILAN!H32</f>
        <v>38185527</v>
      </c>
      <c r="I32" s="358">
        <f>BILAN!I32</f>
        <v>3128385</v>
      </c>
    </row>
    <row r="33" spans="1:9" ht="21.9" customHeight="1">
      <c r="A33" s="914" t="s">
        <v>1209</v>
      </c>
      <c r="B33" s="1693" t="s">
        <v>1247</v>
      </c>
      <c r="C33" s="1693"/>
      <c r="D33" s="1694"/>
      <c r="E33" s="972">
        <f>BILAN!E33</f>
        <v>0</v>
      </c>
      <c r="F33" s="360">
        <f>BILAN!F33</f>
        <v>227682098</v>
      </c>
      <c r="G33" s="360">
        <f>BILAN!G33</f>
        <v>31677520</v>
      </c>
      <c r="H33" s="360">
        <f>BILAN!H33</f>
        <v>196004578</v>
      </c>
      <c r="I33" s="360">
        <f>BILAN!I33</f>
        <v>160760651</v>
      </c>
    </row>
    <row r="34" spans="1:9" ht="21.9" customHeight="1">
      <c r="A34" s="917" t="s">
        <v>1213</v>
      </c>
      <c r="B34" s="1655" t="s">
        <v>1214</v>
      </c>
      <c r="C34" s="1655"/>
      <c r="D34" s="1656"/>
      <c r="E34" s="962">
        <f>BILAN!E34</f>
        <v>9</v>
      </c>
      <c r="F34" s="358">
        <f>BILAN!F34</f>
        <v>0</v>
      </c>
      <c r="G34" s="358">
        <f>BILAN!G34</f>
        <v>0</v>
      </c>
      <c r="H34" s="358">
        <f>BILAN!H34</f>
        <v>0</v>
      </c>
      <c r="I34" s="358">
        <f>BILAN!I34</f>
        <v>0</v>
      </c>
    </row>
    <row r="35" spans="1:9" ht="21.9" customHeight="1">
      <c r="A35" s="917" t="s">
        <v>1215</v>
      </c>
      <c r="B35" s="1655" t="s">
        <v>1216</v>
      </c>
      <c r="C35" s="1655"/>
      <c r="D35" s="1656"/>
      <c r="E35" s="962">
        <f>BILAN!E35</f>
        <v>10</v>
      </c>
      <c r="F35" s="358">
        <f>BILAN!F35</f>
        <v>0</v>
      </c>
      <c r="G35" s="358">
        <f>BILAN!G35</f>
        <v>0</v>
      </c>
      <c r="H35" s="358">
        <f>BILAN!H35</f>
        <v>0</v>
      </c>
      <c r="I35" s="358">
        <f>BILAN!I35</f>
        <v>0</v>
      </c>
    </row>
    <row r="36" spans="1:9" ht="21.9" customHeight="1">
      <c r="A36" s="917" t="s">
        <v>1219</v>
      </c>
      <c r="B36" s="1655" t="s">
        <v>1220</v>
      </c>
      <c r="C36" s="1655"/>
      <c r="D36" s="1656"/>
      <c r="E36" s="962">
        <f>BILAN!E36</f>
        <v>11</v>
      </c>
      <c r="F36" s="358">
        <f>BILAN!F36</f>
        <v>123097127</v>
      </c>
      <c r="G36" s="358">
        <f>BILAN!G36</f>
        <v>0</v>
      </c>
      <c r="H36" s="358">
        <f>BILAN!H36</f>
        <v>123097127</v>
      </c>
      <c r="I36" s="358">
        <f>BILAN!I36</f>
        <v>74584157</v>
      </c>
    </row>
    <row r="37" spans="1:9" ht="21.9" customHeight="1">
      <c r="A37" s="914" t="s">
        <v>1223</v>
      </c>
      <c r="B37" s="1693" t="s">
        <v>1248</v>
      </c>
      <c r="C37" s="1693"/>
      <c r="D37" s="1694"/>
      <c r="E37" s="972">
        <f>BILAN!E37</f>
        <v>0</v>
      </c>
      <c r="F37" s="360">
        <f>BILAN!F37</f>
        <v>123097127</v>
      </c>
      <c r="G37" s="360">
        <f>BILAN!G37</f>
        <v>0</v>
      </c>
      <c r="H37" s="360">
        <f>BILAN!H37</f>
        <v>123097127</v>
      </c>
      <c r="I37" s="360">
        <f>BILAN!I37</f>
        <v>74584157</v>
      </c>
    </row>
    <row r="38" spans="1:9" ht="21.9" customHeight="1">
      <c r="A38" s="917" t="s">
        <v>1227</v>
      </c>
      <c r="B38" s="1655" t="s">
        <v>1249</v>
      </c>
      <c r="C38" s="1655"/>
      <c r="D38" s="1656"/>
      <c r="E38" s="962">
        <f>BILAN!E38</f>
        <v>12</v>
      </c>
      <c r="F38" s="358">
        <f>BILAN!F38</f>
        <v>15000000</v>
      </c>
      <c r="G38" s="358">
        <f>BILAN!G38</f>
        <v>0</v>
      </c>
      <c r="H38" s="358">
        <f>BILAN!H38</f>
        <v>15000000</v>
      </c>
      <c r="I38" s="358">
        <f>BILAN!I38</f>
        <v>0</v>
      </c>
    </row>
    <row r="39" spans="1:9" ht="21.9" customHeight="1">
      <c r="A39" s="914" t="s">
        <v>1231</v>
      </c>
      <c r="B39" s="1693" t="s">
        <v>1232</v>
      </c>
      <c r="C39" s="1693"/>
      <c r="D39" s="1694"/>
      <c r="E39" s="972">
        <f>BILAN!E39</f>
        <v>0</v>
      </c>
      <c r="F39" s="360">
        <f>BILAN!F39</f>
        <v>1407259359</v>
      </c>
      <c r="G39" s="360">
        <f>BILAN!G39</f>
        <v>352834881</v>
      </c>
      <c r="H39" s="360">
        <f>BILAN!H39</f>
        <v>1054424478</v>
      </c>
      <c r="I39" s="360">
        <f>BILAN!I39</f>
        <v>446088093</v>
      </c>
    </row>
    <row r="41" spans="1:9">
      <c r="A41" s="650" t="s">
        <v>1416</v>
      </c>
      <c r="B41" s="299" t="s">
        <v>9214</v>
      </c>
    </row>
  </sheetData>
  <sheetProtection algorithmName="SHA-512" hashValue="VRXlq8n1gockvfXlAF748T7giBfeCzJvFm6RQ2S5UByeDouR/ZiKWrKYHtlXDJAq66pk8Pkv+R36gy+zXDRQ0Q==" saltValue="qjZqf6ZaPIQo2hvmTih5Jw==" spinCount="100000" sheet="1" objects="1" scenarios="1" selectLockedCells="1"/>
  <mergeCells count="40">
    <mergeCell ref="C5:E5"/>
    <mergeCell ref="A1:I1"/>
    <mergeCell ref="H2:I2"/>
    <mergeCell ref="C3:I3"/>
    <mergeCell ref="A4:B4"/>
    <mergeCell ref="C4:G4"/>
    <mergeCell ref="B16:D16"/>
    <mergeCell ref="C6:E6"/>
    <mergeCell ref="A7:I7"/>
    <mergeCell ref="A8:A10"/>
    <mergeCell ref="B8:D10"/>
    <mergeCell ref="E8:E10"/>
    <mergeCell ref="F8:H9"/>
    <mergeCell ref="I8:I9"/>
    <mergeCell ref="B11:D11"/>
    <mergeCell ref="B12:D12"/>
    <mergeCell ref="B13:D13"/>
    <mergeCell ref="B14:D14"/>
    <mergeCell ref="B15:D15"/>
    <mergeCell ref="B30:D30"/>
    <mergeCell ref="B19:D19"/>
    <mergeCell ref="B20:D20"/>
    <mergeCell ref="B21:D21"/>
    <mergeCell ref="B22:D22"/>
    <mergeCell ref="B23:D23"/>
    <mergeCell ref="B24:D24"/>
    <mergeCell ref="B25:D25"/>
    <mergeCell ref="B26:D26"/>
    <mergeCell ref="B27:D27"/>
    <mergeCell ref="B28:D28"/>
    <mergeCell ref="B29:D29"/>
    <mergeCell ref="B37:D37"/>
    <mergeCell ref="B38:D38"/>
    <mergeCell ref="B39:D39"/>
    <mergeCell ref="B31:D31"/>
    <mergeCell ref="B32:D32"/>
    <mergeCell ref="B33:D33"/>
    <mergeCell ref="B34:D34"/>
    <mergeCell ref="B35:D35"/>
    <mergeCell ref="B36:D36"/>
  </mergeCells>
  <dataValidations count="1">
    <dataValidation type="whole" allowBlank="1" showInputMessage="1" showErrorMessage="1" errorTitle="Attention !" error="Valeur numérique attendue" sqref="C17:D18 F11:I39" xr:uid="{79AB81D2-EB87-4528-9781-F18093A429FE}">
      <formula1>-9999999999999</formula1>
      <formula2>9999999999999</formula2>
    </dataValidation>
  </dataValidations>
  <printOptions horizontalCentered="1"/>
  <pageMargins left="0.39370078740157483" right="0.31496062992125984" top="0.35433070866141736" bottom="0.35433070866141736" header="0.11811023622047245" footer="0.11811023622047245"/>
  <pageSetup paperSize="9" scale="75"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63FAC-5B4A-4B85-A58D-1C2E9448A7AA}">
  <sheetPr codeName="Feuil12">
    <tabColor theme="9" tint="0.39997558519241921"/>
    <pageSetUpPr fitToPage="1"/>
  </sheetPr>
  <dimension ref="A1:M41"/>
  <sheetViews>
    <sheetView showGridLines="0" showRowColHeaders="0" showZeros="0" zoomScaleNormal="100" zoomScalePageLayoutView="40" workbookViewId="0">
      <selection sqref="A1:I1"/>
    </sheetView>
  </sheetViews>
  <sheetFormatPr baseColWidth="10" defaultColWidth="11.5234375" defaultRowHeight="14.4"/>
  <cols>
    <col min="1" max="1" width="4.68359375" style="103" customWidth="1"/>
    <col min="2" max="2" width="24.89453125" style="103" customWidth="1"/>
    <col min="3" max="3" width="11.5234375" style="103"/>
    <col min="4" max="4" width="6.3125" style="103" customWidth="1"/>
    <col min="5" max="5" width="13.3125" style="103" customWidth="1"/>
    <col min="6" max="6" width="16.68359375" style="103" customWidth="1"/>
    <col min="7" max="7" width="6.1015625" style="103" customWidth="1"/>
    <col min="8" max="9" width="15.68359375" style="103" customWidth="1"/>
    <col min="10" max="16384" width="11.5234375" style="103"/>
  </cols>
  <sheetData>
    <row r="1" spans="1:13">
      <c r="A1" s="1276" t="str">
        <f>"- "&amp;Code!K11&amp;" -"</f>
        <v>- 13 -</v>
      </c>
      <c r="B1" s="1276"/>
      <c r="C1" s="1276"/>
      <c r="D1" s="1276"/>
      <c r="E1" s="1276"/>
      <c r="F1" s="1276"/>
      <c r="G1" s="1276"/>
      <c r="H1" s="1276"/>
      <c r="I1" s="1276"/>
    </row>
    <row r="2" spans="1:13" ht="27" customHeight="1">
      <c r="D2" s="302"/>
      <c r="E2" s="302"/>
      <c r="F2" s="302"/>
      <c r="H2" s="1278" t="s">
        <v>1250</v>
      </c>
      <c r="I2" s="1279"/>
    </row>
    <row r="3" spans="1:13" s="317" customFormat="1" ht="15.75" customHeight="1">
      <c r="A3" s="317" t="s">
        <v>50</v>
      </c>
      <c r="C3" s="1280" t="str">
        <f>BILAN!C3</f>
        <v>OHADA</v>
      </c>
      <c r="D3" s="1280"/>
      <c r="E3" s="1280"/>
      <c r="F3" s="1280"/>
      <c r="G3" s="1280"/>
      <c r="H3" s="1280"/>
      <c r="I3" s="1280"/>
      <c r="J3" s="803"/>
      <c r="K3" s="803"/>
      <c r="L3" s="803"/>
      <c r="M3" s="803"/>
    </row>
    <row r="4" spans="1:13" s="317" customFormat="1" ht="15.75" customHeight="1">
      <c r="A4" s="317" t="s">
        <v>51</v>
      </c>
      <c r="C4" s="1699" t="str">
        <f>BILAN!C4</f>
        <v/>
      </c>
      <c r="D4" s="1699"/>
      <c r="E4" s="1699"/>
      <c r="F4" s="1699"/>
      <c r="G4" s="1699"/>
      <c r="H4" s="627" t="s">
        <v>1021</v>
      </c>
      <c r="I4" s="630" t="str">
        <f>BILAN!N4</f>
        <v/>
      </c>
      <c r="J4" s="803"/>
      <c r="K4" s="803"/>
      <c r="M4" s="642"/>
    </row>
    <row r="5" spans="1:13" s="317" customFormat="1" ht="15.75" customHeight="1">
      <c r="A5" s="317" t="s">
        <v>53</v>
      </c>
      <c r="C5" s="1697" t="str">
        <f>BILAN!C5</f>
        <v/>
      </c>
      <c r="D5" s="1697"/>
      <c r="E5" s="953" t="s">
        <v>54</v>
      </c>
      <c r="F5" s="1706">
        <f>BILAN!K5</f>
        <v>0</v>
      </c>
      <c r="G5" s="1706"/>
      <c r="H5" s="627" t="s">
        <v>55</v>
      </c>
      <c r="I5" s="630">
        <f>BILAN!N5</f>
        <v>1</v>
      </c>
      <c r="J5" s="642"/>
      <c r="L5" s="597"/>
      <c r="M5" s="642"/>
    </row>
    <row r="6" spans="1:13" s="317" customFormat="1" ht="15.75" customHeight="1">
      <c r="A6" s="317" t="s">
        <v>56</v>
      </c>
      <c r="C6" s="1275" t="str">
        <f>BILAN!C6</f>
        <v/>
      </c>
      <c r="D6" s="1275"/>
      <c r="E6" s="1683"/>
      <c r="F6" s="630"/>
      <c r="G6" s="630"/>
      <c r="H6" s="629"/>
      <c r="I6" s="630"/>
      <c r="J6" s="642"/>
      <c r="L6" s="597"/>
      <c r="M6" s="642"/>
    </row>
    <row r="7" spans="1:13" s="125" customFormat="1" ht="28.5" customHeight="1">
      <c r="A7" s="1670" t="s">
        <v>1110</v>
      </c>
      <c r="B7" s="1670"/>
      <c r="C7" s="1670"/>
      <c r="D7" s="1670"/>
      <c r="E7" s="1670"/>
      <c r="F7" s="1670"/>
      <c r="G7" s="1670"/>
      <c r="H7" s="1670"/>
      <c r="I7" s="1670"/>
      <c r="J7" s="307"/>
      <c r="L7" s="954"/>
      <c r="M7" s="307"/>
    </row>
    <row r="8" spans="1:13">
      <c r="A8" s="1663" t="s">
        <v>1111</v>
      </c>
      <c r="B8" s="1663" t="s">
        <v>9220</v>
      </c>
      <c r="C8" s="1663"/>
      <c r="D8" s="1663"/>
      <c r="E8" s="1663"/>
      <c r="F8" s="1663"/>
      <c r="G8" s="1663" t="s">
        <v>1113</v>
      </c>
      <c r="H8" s="1663" t="s">
        <v>1117</v>
      </c>
      <c r="I8" s="1663" t="s">
        <v>1118</v>
      </c>
    </row>
    <row r="9" spans="1:13">
      <c r="A9" s="1663"/>
      <c r="B9" s="1663"/>
      <c r="C9" s="1663"/>
      <c r="D9" s="1663"/>
      <c r="E9" s="1663"/>
      <c r="F9" s="1663"/>
      <c r="G9" s="1663"/>
      <c r="H9" s="1663"/>
      <c r="I9" s="1663"/>
    </row>
    <row r="10" spans="1:13" ht="19.5" customHeight="1">
      <c r="A10" s="1664"/>
      <c r="B10" s="1664"/>
      <c r="C10" s="1664"/>
      <c r="D10" s="1664"/>
      <c r="E10" s="1664"/>
      <c r="F10" s="1664"/>
      <c r="G10" s="1663"/>
      <c r="H10" s="940" t="s">
        <v>1121</v>
      </c>
      <c r="I10" s="940" t="s">
        <v>1121</v>
      </c>
    </row>
    <row r="11" spans="1:13" ht="21.9" customHeight="1">
      <c r="A11" s="920" t="s">
        <v>1124</v>
      </c>
      <c r="B11" s="1704" t="s">
        <v>1125</v>
      </c>
      <c r="C11" s="1704"/>
      <c r="D11" s="1704"/>
      <c r="E11" s="1704"/>
      <c r="F11" s="1705"/>
      <c r="G11" s="955">
        <f>BILAN!L11</f>
        <v>13</v>
      </c>
      <c r="H11" s="332">
        <f>BILAN!M11</f>
        <v>400000000</v>
      </c>
      <c r="I11" s="332">
        <f>BILAN!N11</f>
        <v>100000000</v>
      </c>
    </row>
    <row r="12" spans="1:13" ht="21.9" customHeight="1">
      <c r="A12" s="917" t="s">
        <v>1128</v>
      </c>
      <c r="B12" s="1655" t="s">
        <v>1129</v>
      </c>
      <c r="C12" s="1655"/>
      <c r="D12" s="1655"/>
      <c r="E12" s="1655"/>
      <c r="F12" s="1656"/>
      <c r="G12" s="955">
        <f>BILAN!L12</f>
        <v>13</v>
      </c>
      <c r="H12" s="332">
        <f>BILAN!M12</f>
        <v>-100000000</v>
      </c>
      <c r="I12" s="332">
        <f>BILAN!N12</f>
        <v>0</v>
      </c>
    </row>
    <row r="13" spans="1:13" ht="21.9" customHeight="1">
      <c r="A13" s="917" t="s">
        <v>1132</v>
      </c>
      <c r="B13" s="1655" t="s">
        <v>1133</v>
      </c>
      <c r="C13" s="1655"/>
      <c r="D13" s="1655"/>
      <c r="E13" s="1655"/>
      <c r="F13" s="1656"/>
      <c r="G13" s="955">
        <f>BILAN!L13</f>
        <v>14</v>
      </c>
      <c r="H13" s="332">
        <f>BILAN!M13</f>
        <v>0</v>
      </c>
      <c r="I13" s="332">
        <f>BILAN!N13</f>
        <v>0</v>
      </c>
    </row>
    <row r="14" spans="1:13" ht="21.9" customHeight="1">
      <c r="A14" s="917" t="s">
        <v>1136</v>
      </c>
      <c r="B14" s="1655" t="s">
        <v>1137</v>
      </c>
      <c r="C14" s="1655"/>
      <c r="D14" s="1655"/>
      <c r="E14" s="1655"/>
      <c r="F14" s="1656"/>
      <c r="G14" s="955" t="str">
        <f>BILAN!L14</f>
        <v>3e</v>
      </c>
      <c r="H14" s="332">
        <f>BILAN!M14</f>
        <v>3500000</v>
      </c>
      <c r="I14" s="332">
        <f>BILAN!N14</f>
        <v>0</v>
      </c>
    </row>
    <row r="15" spans="1:13" ht="21.9" customHeight="1">
      <c r="A15" s="917" t="s">
        <v>1141</v>
      </c>
      <c r="B15" s="1655" t="s">
        <v>1142</v>
      </c>
      <c r="C15" s="1655"/>
      <c r="D15" s="1655"/>
      <c r="E15" s="1655"/>
      <c r="F15" s="1656"/>
      <c r="G15" s="955">
        <f>BILAN!L15</f>
        <v>14</v>
      </c>
      <c r="H15" s="332">
        <f>BILAN!M15</f>
        <v>20000000</v>
      </c>
      <c r="I15" s="332">
        <f>BILAN!N15</f>
        <v>20000000</v>
      </c>
    </row>
    <row r="16" spans="1:13" ht="21.9" customHeight="1">
      <c r="A16" s="917" t="s">
        <v>1145</v>
      </c>
      <c r="B16" s="1655" t="s">
        <v>1146</v>
      </c>
      <c r="C16" s="1655"/>
      <c r="D16" s="1655"/>
      <c r="E16" s="1655"/>
      <c r="F16" s="1656"/>
      <c r="G16" s="955">
        <f>BILAN!L16</f>
        <v>14</v>
      </c>
      <c r="H16" s="332">
        <f>BILAN!M16</f>
        <v>0</v>
      </c>
      <c r="I16" s="332">
        <f>BILAN!N16</f>
        <v>0</v>
      </c>
    </row>
    <row r="17" spans="1:9" ht="21.9" customHeight="1">
      <c r="A17" s="917" t="s">
        <v>1148</v>
      </c>
      <c r="B17" s="1655" t="s">
        <v>1149</v>
      </c>
      <c r="C17" s="1655"/>
      <c r="D17" s="1655"/>
      <c r="E17" s="1655"/>
      <c r="F17" s="1656"/>
      <c r="G17" s="955">
        <f>BILAN!L17</f>
        <v>14</v>
      </c>
      <c r="H17" s="332">
        <f>BILAN!M17</f>
        <v>76069991</v>
      </c>
      <c r="I17" s="332">
        <f>BILAN!N17</f>
        <v>47450317</v>
      </c>
    </row>
    <row r="18" spans="1:9" ht="21.9" customHeight="1">
      <c r="A18" s="917" t="s">
        <v>1151</v>
      </c>
      <c r="B18" s="1655" t="s">
        <v>1152</v>
      </c>
      <c r="C18" s="1655"/>
      <c r="D18" s="1655"/>
      <c r="E18" s="1655"/>
      <c r="F18" s="1656"/>
      <c r="G18" s="955">
        <f>BILAN!L18</f>
        <v>0</v>
      </c>
      <c r="H18" s="332">
        <f>BILAN!M18</f>
        <v>215389710</v>
      </c>
      <c r="I18" s="332">
        <f>BILAN!N18</f>
        <v>118619674</v>
      </c>
    </row>
    <row r="19" spans="1:9" ht="21.9" customHeight="1">
      <c r="A19" s="917" t="s">
        <v>1155</v>
      </c>
      <c r="B19" s="1655" t="s">
        <v>1156</v>
      </c>
      <c r="C19" s="1655"/>
      <c r="D19" s="1655"/>
      <c r="E19" s="1655"/>
      <c r="F19" s="1656"/>
      <c r="G19" s="955">
        <f>BILAN!L19</f>
        <v>15</v>
      </c>
      <c r="H19" s="332">
        <f>BILAN!M19</f>
        <v>2000000</v>
      </c>
      <c r="I19" s="332">
        <f>BILAN!N19</f>
        <v>0</v>
      </c>
    </row>
    <row r="20" spans="1:9" ht="21.9" customHeight="1">
      <c r="A20" s="917" t="s">
        <v>1159</v>
      </c>
      <c r="B20" s="1655" t="s">
        <v>1160</v>
      </c>
      <c r="C20" s="1655"/>
      <c r="D20" s="1655"/>
      <c r="E20" s="1655"/>
      <c r="F20" s="1656"/>
      <c r="G20" s="955">
        <f>BILAN!L20</f>
        <v>15</v>
      </c>
      <c r="H20" s="332">
        <f>BILAN!M20</f>
        <v>40000000</v>
      </c>
      <c r="I20" s="332">
        <f>BILAN!N20</f>
        <v>0</v>
      </c>
    </row>
    <row r="21" spans="1:9" ht="21.9" customHeight="1">
      <c r="A21" s="914" t="s">
        <v>1163</v>
      </c>
      <c r="B21" s="1652" t="s">
        <v>1164</v>
      </c>
      <c r="C21" s="1652"/>
      <c r="D21" s="1652"/>
      <c r="E21" s="1652"/>
      <c r="F21" s="1653"/>
      <c r="G21" s="956">
        <f>BILAN!L21</f>
        <v>0</v>
      </c>
      <c r="H21" s="957">
        <f>BILAN!M21</f>
        <v>656959701</v>
      </c>
      <c r="I21" s="957">
        <f>BILAN!N21</f>
        <v>286069991</v>
      </c>
    </row>
    <row r="22" spans="1:9" ht="21.9" customHeight="1">
      <c r="A22" s="917" t="s">
        <v>1167</v>
      </c>
      <c r="B22" s="1655" t="s">
        <v>1168</v>
      </c>
      <c r="C22" s="1655"/>
      <c r="D22" s="1655"/>
      <c r="E22" s="1655"/>
      <c r="F22" s="1656"/>
      <c r="G22" s="955">
        <f>BILAN!L22</f>
        <v>16</v>
      </c>
      <c r="H22" s="332">
        <f>BILAN!M22</f>
        <v>94699075</v>
      </c>
      <c r="I22" s="332">
        <f>BILAN!N22</f>
        <v>2200000</v>
      </c>
    </row>
    <row r="23" spans="1:9" ht="21.9" customHeight="1">
      <c r="A23" s="917" t="s">
        <v>1171</v>
      </c>
      <c r="B23" s="1655" t="s">
        <v>1172</v>
      </c>
      <c r="C23" s="1655"/>
      <c r="D23" s="1655"/>
      <c r="E23" s="1655"/>
      <c r="F23" s="1656"/>
      <c r="G23" s="955">
        <f>BILAN!L23</f>
        <v>16</v>
      </c>
      <c r="H23" s="332">
        <f>BILAN!M23</f>
        <v>0</v>
      </c>
      <c r="I23" s="332">
        <f>BILAN!N23</f>
        <v>0</v>
      </c>
    </row>
    <row r="24" spans="1:9" ht="21.9" customHeight="1">
      <c r="A24" s="917" t="s">
        <v>1175</v>
      </c>
      <c r="B24" s="1655" t="s">
        <v>1176</v>
      </c>
      <c r="C24" s="1655"/>
      <c r="D24" s="1655"/>
      <c r="E24" s="1655"/>
      <c r="F24" s="1656"/>
      <c r="G24" s="955">
        <f>BILAN!L24</f>
        <v>16</v>
      </c>
      <c r="H24" s="332">
        <f>BILAN!M24</f>
        <v>62116366</v>
      </c>
      <c r="I24" s="332">
        <f>BILAN!N24</f>
        <v>54864697</v>
      </c>
    </row>
    <row r="25" spans="1:9" ht="21.9" customHeight="1">
      <c r="A25" s="914" t="s">
        <v>1179</v>
      </c>
      <c r="B25" s="1652" t="s">
        <v>1180</v>
      </c>
      <c r="C25" s="1652"/>
      <c r="D25" s="1652"/>
      <c r="E25" s="1652"/>
      <c r="F25" s="1653"/>
      <c r="G25" s="956">
        <f>BILAN!L25</f>
        <v>0</v>
      </c>
      <c r="H25" s="957">
        <f>BILAN!M25</f>
        <v>156815441</v>
      </c>
      <c r="I25" s="957">
        <f>SUM(I22:I24)</f>
        <v>57064697</v>
      </c>
    </row>
    <row r="26" spans="1:9" ht="21.9" customHeight="1">
      <c r="A26" s="914" t="s">
        <v>1183</v>
      </c>
      <c r="B26" s="1693" t="s">
        <v>1184</v>
      </c>
      <c r="C26" s="1693"/>
      <c r="D26" s="1693"/>
      <c r="E26" s="1693"/>
      <c r="F26" s="1694"/>
      <c r="G26" s="956">
        <f>BILAN!L26</f>
        <v>0</v>
      </c>
      <c r="H26" s="957">
        <f>BILAN!M26</f>
        <v>813775142</v>
      </c>
      <c r="I26" s="957">
        <f>BILAN!N26</f>
        <v>343134688</v>
      </c>
    </row>
    <row r="27" spans="1:9" ht="21.9" customHeight="1">
      <c r="A27" s="917" t="s">
        <v>1187</v>
      </c>
      <c r="B27" s="1655" t="s">
        <v>1188</v>
      </c>
      <c r="C27" s="1655"/>
      <c r="D27" s="1655"/>
      <c r="E27" s="1655"/>
      <c r="F27" s="1656"/>
      <c r="G27" s="955">
        <f>BILAN!L27</f>
        <v>5</v>
      </c>
      <c r="H27" s="332">
        <f>BILAN!M27</f>
        <v>156649942</v>
      </c>
      <c r="I27" s="332">
        <f>BILAN!N27</f>
        <v>399942</v>
      </c>
    </row>
    <row r="28" spans="1:9" ht="21.9" customHeight="1">
      <c r="A28" s="917" t="s">
        <v>1191</v>
      </c>
      <c r="B28" s="1655" t="s">
        <v>1192</v>
      </c>
      <c r="C28" s="1655"/>
      <c r="D28" s="1655"/>
      <c r="E28" s="1655"/>
      <c r="F28" s="1656"/>
      <c r="G28" s="955">
        <f>BILAN!L28</f>
        <v>7</v>
      </c>
      <c r="H28" s="332">
        <f>BILAN!M28</f>
        <v>0</v>
      </c>
      <c r="I28" s="332">
        <f>BILAN!N28</f>
        <v>0</v>
      </c>
    </row>
    <row r="29" spans="1:9" ht="21.9" customHeight="1">
      <c r="A29" s="917" t="s">
        <v>1195</v>
      </c>
      <c r="B29" s="1655" t="s">
        <v>1196</v>
      </c>
      <c r="C29" s="1655"/>
      <c r="D29" s="1655"/>
      <c r="E29" s="1655"/>
      <c r="F29" s="1656"/>
      <c r="G29" s="955">
        <f>BILAN!L29</f>
        <v>17</v>
      </c>
      <c r="H29" s="332">
        <f>BILAN!M29</f>
        <v>38210222</v>
      </c>
      <c r="I29" s="332">
        <f>BILAN!N29</f>
        <v>55894206</v>
      </c>
    </row>
    <row r="30" spans="1:9" ht="21.9" customHeight="1">
      <c r="A30" s="917" t="s">
        <v>1199</v>
      </c>
      <c r="B30" s="1655" t="s">
        <v>1200</v>
      </c>
      <c r="C30" s="1655"/>
      <c r="D30" s="1655"/>
      <c r="E30" s="1655"/>
      <c r="F30" s="1656"/>
      <c r="G30" s="955">
        <f>BILAN!L30</f>
        <v>18</v>
      </c>
      <c r="H30" s="332">
        <f>BILAN!M30</f>
        <v>42668247</v>
      </c>
      <c r="I30" s="332">
        <f>BILAN!N30</f>
        <v>36010298</v>
      </c>
    </row>
    <row r="31" spans="1:9" ht="21.9" customHeight="1">
      <c r="A31" s="917" t="s">
        <v>1203</v>
      </c>
      <c r="B31" s="1655" t="s">
        <v>1204</v>
      </c>
      <c r="C31" s="1655"/>
      <c r="D31" s="1655"/>
      <c r="E31" s="1655"/>
      <c r="F31" s="1656"/>
      <c r="G31" s="955">
        <f>BILAN!L31</f>
        <v>19</v>
      </c>
      <c r="H31" s="332">
        <f>BILAN!M31</f>
        <v>620000</v>
      </c>
      <c r="I31" s="332">
        <f>BILAN!N31</f>
        <v>10648959</v>
      </c>
    </row>
    <row r="32" spans="1:9" ht="21.9" customHeight="1">
      <c r="A32" s="917" t="s">
        <v>1207</v>
      </c>
      <c r="B32" s="1655" t="s">
        <v>1208</v>
      </c>
      <c r="C32" s="1655"/>
      <c r="D32" s="1655"/>
      <c r="E32" s="1655"/>
      <c r="F32" s="1656"/>
      <c r="G32" s="955">
        <f>BILAN!L32</f>
        <v>19</v>
      </c>
      <c r="H32" s="332">
        <f>BILAN!M32</f>
        <v>0</v>
      </c>
      <c r="I32" s="332">
        <f>BILAN!N32</f>
        <v>0</v>
      </c>
    </row>
    <row r="33" spans="1:9" ht="21.9" customHeight="1">
      <c r="A33" s="914" t="s">
        <v>1211</v>
      </c>
      <c r="B33" s="1693" t="s">
        <v>1212</v>
      </c>
      <c r="C33" s="1693"/>
      <c r="D33" s="1693"/>
      <c r="E33" s="1693"/>
      <c r="F33" s="1694"/>
      <c r="G33" s="956">
        <f>BILAN!L33</f>
        <v>0</v>
      </c>
      <c r="H33" s="957">
        <f>BILAN!M33</f>
        <v>238148411</v>
      </c>
      <c r="I33" s="957">
        <f>BILAN!N33</f>
        <v>102953405</v>
      </c>
    </row>
    <row r="34" spans="1:9" ht="21.9" customHeight="1">
      <c r="A34" s="339"/>
      <c r="B34" s="1701"/>
      <c r="C34" s="1702"/>
      <c r="D34" s="1702"/>
      <c r="E34" s="1702"/>
      <c r="F34" s="1703"/>
      <c r="G34" s="339"/>
      <c r="H34" s="339"/>
      <c r="I34" s="339"/>
    </row>
    <row r="35" spans="1:9" ht="21.9" customHeight="1">
      <c r="A35" s="917" t="s">
        <v>1217</v>
      </c>
      <c r="B35" s="1655" t="s">
        <v>1218</v>
      </c>
      <c r="C35" s="1655"/>
      <c r="D35" s="1655"/>
      <c r="E35" s="1655"/>
      <c r="F35" s="1656"/>
      <c r="G35" s="958">
        <f>BILAN!L35</f>
        <v>20</v>
      </c>
      <c r="H35" s="959">
        <f>BILAN!M35</f>
        <v>0</v>
      </c>
      <c r="I35" s="959">
        <f>BILAN!N35</f>
        <v>0</v>
      </c>
    </row>
    <row r="36" spans="1:9" ht="21.9" customHeight="1">
      <c r="A36" s="917" t="s">
        <v>1221</v>
      </c>
      <c r="B36" s="1655" t="s">
        <v>1251</v>
      </c>
      <c r="C36" s="1655"/>
      <c r="D36" s="1655"/>
      <c r="E36" s="1655"/>
      <c r="F36" s="1656"/>
      <c r="G36" s="955">
        <f>BILAN!L36</f>
        <v>20</v>
      </c>
      <c r="H36" s="332">
        <f>BILAN!M36</f>
        <v>0</v>
      </c>
      <c r="I36" s="332">
        <f>BILAN!N36</f>
        <v>0</v>
      </c>
    </row>
    <row r="37" spans="1:9" ht="21.9" customHeight="1">
      <c r="A37" s="914" t="s">
        <v>1225</v>
      </c>
      <c r="B37" s="1693" t="s">
        <v>1226</v>
      </c>
      <c r="C37" s="1693"/>
      <c r="D37" s="1693"/>
      <c r="E37" s="1693"/>
      <c r="F37" s="1694"/>
      <c r="G37" s="956">
        <f>BILAN!L37</f>
        <v>0</v>
      </c>
      <c r="H37" s="957">
        <f>BILAN!M37</f>
        <v>0</v>
      </c>
      <c r="I37" s="957">
        <f>BILAN!N37</f>
        <v>0</v>
      </c>
    </row>
    <row r="38" spans="1:9" ht="21.9" customHeight="1">
      <c r="A38" s="917" t="s">
        <v>1229</v>
      </c>
      <c r="B38" s="1655" t="s">
        <v>1230</v>
      </c>
      <c r="C38" s="1655"/>
      <c r="D38" s="1655"/>
      <c r="E38" s="1655"/>
      <c r="F38" s="1656"/>
      <c r="G38" s="955">
        <f>BILAN!L38</f>
        <v>12</v>
      </c>
      <c r="H38" s="332">
        <f>BILAN!M38</f>
        <v>2500925</v>
      </c>
      <c r="I38" s="332">
        <f>BILAN!N38</f>
        <v>0</v>
      </c>
    </row>
    <row r="39" spans="1:9" ht="21.9" customHeight="1">
      <c r="A39" s="914" t="s">
        <v>1233</v>
      </c>
      <c r="B39" s="1693" t="s">
        <v>1232</v>
      </c>
      <c r="C39" s="1693"/>
      <c r="D39" s="1693"/>
      <c r="E39" s="1693"/>
      <c r="F39" s="1694"/>
      <c r="G39" s="956">
        <f>BILAN!L39</f>
        <v>0</v>
      </c>
      <c r="H39" s="957">
        <f>BILAN!M39</f>
        <v>1054424478</v>
      </c>
      <c r="I39" s="957">
        <f>BILAN!N39</f>
        <v>446088093</v>
      </c>
    </row>
    <row r="41" spans="1:9">
      <c r="A41" s="650" t="s">
        <v>1416</v>
      </c>
      <c r="B41" s="299" t="s">
        <v>9214</v>
      </c>
    </row>
  </sheetData>
  <sheetProtection algorithmName="SHA-512" hashValue="gvY5kQ1R3OZ+ohL/3Lat+G8e/HbElZVDI82CZXpDx/PvkZ6FVkstM3LvVqi9qmMwY+FplYaVGzTaNiRbVSwWkg==" saltValue="FChUBoygAy+hAPaBZgPXyg==" spinCount="100000" sheet="1" objects="1" scenarios="1" selectLockedCells="1"/>
  <mergeCells count="42">
    <mergeCell ref="A1:I1"/>
    <mergeCell ref="H2:I2"/>
    <mergeCell ref="C3:I3"/>
    <mergeCell ref="C4:G4"/>
    <mergeCell ref="C5:D5"/>
    <mergeCell ref="F5:G5"/>
    <mergeCell ref="B16:F16"/>
    <mergeCell ref="C6:E6"/>
    <mergeCell ref="A7:I7"/>
    <mergeCell ref="A8:A10"/>
    <mergeCell ref="B8:F10"/>
    <mergeCell ref="G8:G10"/>
    <mergeCell ref="H8:H9"/>
    <mergeCell ref="I8:I9"/>
    <mergeCell ref="B11:F11"/>
    <mergeCell ref="B12:F12"/>
    <mergeCell ref="B13:F13"/>
    <mergeCell ref="B14:F14"/>
    <mergeCell ref="B15:F15"/>
    <mergeCell ref="B28:F28"/>
    <mergeCell ref="B17:F17"/>
    <mergeCell ref="B18:F18"/>
    <mergeCell ref="B19:F19"/>
    <mergeCell ref="B20:F20"/>
    <mergeCell ref="B21:F21"/>
    <mergeCell ref="B22:F22"/>
    <mergeCell ref="B23:F23"/>
    <mergeCell ref="B24:F24"/>
    <mergeCell ref="B25:F25"/>
    <mergeCell ref="B26:F26"/>
    <mergeCell ref="B27:F27"/>
    <mergeCell ref="B36:F36"/>
    <mergeCell ref="B37:F37"/>
    <mergeCell ref="B38:F38"/>
    <mergeCell ref="B39:F39"/>
    <mergeCell ref="B29:F29"/>
    <mergeCell ref="B30:F30"/>
    <mergeCell ref="B31:F31"/>
    <mergeCell ref="B32:F32"/>
    <mergeCell ref="B33:F33"/>
    <mergeCell ref="B35:F35"/>
    <mergeCell ref="B34:F34"/>
  </mergeCells>
  <dataValidations count="1">
    <dataValidation type="whole" allowBlank="1" showInputMessage="1" showErrorMessage="1" errorTitle="Attention !" error="Valeur numérique attendue" sqref="H11:I20 H22:I24 H27:I32 H35:I36 H38:I38" xr:uid="{3BED7A86-13EB-4398-9E21-F24F5F0AD658}">
      <formula1>-9999999999999</formula1>
      <formula2>9999999999999</formula2>
    </dataValidation>
  </dataValidations>
  <printOptions horizontalCentered="1"/>
  <pageMargins left="0.39370078740157483" right="0.31496062992125984" top="0.35433070866141736" bottom="0.35433070866141736" header="0.11811023622047245" footer="0.11811023622047245"/>
  <pageSetup paperSize="9" scale="8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E1273-5F52-4E2B-826E-3824F9911229}">
  <sheetPr codeName="Feuil14">
    <tabColor theme="9" tint="0.39997558519241921"/>
    <pageSetUpPr fitToPage="1"/>
  </sheetPr>
  <dimension ref="A1:N44"/>
  <sheetViews>
    <sheetView showGridLines="0" showRowColHeaders="0" showZeros="0" zoomScaleNormal="100" workbookViewId="0">
      <selection sqref="A1:J1"/>
    </sheetView>
  </sheetViews>
  <sheetFormatPr baseColWidth="10" defaultColWidth="11.5234375" defaultRowHeight="14.4"/>
  <cols>
    <col min="1" max="1" width="4.41796875" style="103" customWidth="1"/>
    <col min="2" max="2" width="25.1015625" style="103" customWidth="1"/>
    <col min="3" max="3" width="8.41796875" style="103" customWidth="1"/>
    <col min="4" max="4" width="10.1015625" style="103" customWidth="1"/>
    <col min="5" max="5" width="14.41796875" style="103" customWidth="1"/>
    <col min="6" max="6" width="15.1015625" style="103" customWidth="1"/>
    <col min="7" max="7" width="3.1015625" style="122" customWidth="1"/>
    <col min="8" max="8" width="6.41796875" style="103" customWidth="1"/>
    <col min="9" max="10" width="15.68359375" style="103" customWidth="1"/>
    <col min="11" max="16384" width="11.5234375" style="103"/>
  </cols>
  <sheetData>
    <row r="1" spans="1:14">
      <c r="A1" s="1276" t="str">
        <f>"- "&amp;Code!K13&amp;" -"</f>
        <v>- 15 -</v>
      </c>
      <c r="B1" s="1276"/>
      <c r="C1" s="1276"/>
      <c r="D1" s="1276"/>
      <c r="E1" s="1276"/>
      <c r="F1" s="1276"/>
      <c r="G1" s="1276"/>
      <c r="H1" s="1276"/>
      <c r="I1" s="1276"/>
      <c r="J1" s="1276"/>
    </row>
    <row r="2" spans="1:14" ht="27" customHeight="1">
      <c r="A2" s="576"/>
      <c r="B2" s="576"/>
      <c r="C2" s="576"/>
      <c r="D2" s="576"/>
      <c r="E2" s="576"/>
      <c r="F2" s="576"/>
      <c r="G2" s="576"/>
      <c r="H2" s="1278" t="s">
        <v>1358</v>
      </c>
      <c r="I2" s="1723"/>
      <c r="J2" s="1279"/>
    </row>
    <row r="3" spans="1:14" s="317" customFormat="1" ht="15.75" customHeight="1">
      <c r="A3" s="317" t="s">
        <v>50</v>
      </c>
      <c r="C3" s="1699" t="str">
        <f>BILAN!C3</f>
        <v>OHADA</v>
      </c>
      <c r="D3" s="1699"/>
      <c r="E3" s="1699"/>
      <c r="F3" s="1699"/>
      <c r="G3" s="1699"/>
      <c r="H3" s="1699"/>
      <c r="I3" s="1699"/>
      <c r="J3" s="1699"/>
      <c r="K3" s="803"/>
      <c r="L3" s="803"/>
      <c r="M3" s="803"/>
      <c r="N3" s="803"/>
    </row>
    <row r="4" spans="1:14" s="317" customFormat="1" ht="15.75" customHeight="1">
      <c r="A4" s="317" t="s">
        <v>51</v>
      </c>
      <c r="C4" s="1699" t="str">
        <f>BILAN!C4</f>
        <v/>
      </c>
      <c r="D4" s="1699"/>
      <c r="E4" s="1699"/>
      <c r="F4" s="1699"/>
      <c r="G4" s="1699"/>
      <c r="H4" s="1699"/>
      <c r="I4" s="627" t="s">
        <v>1021</v>
      </c>
      <c r="J4" s="630" t="str">
        <f>BILAN!N4</f>
        <v/>
      </c>
      <c r="K4" s="803"/>
      <c r="L4" s="803"/>
      <c r="N4" s="642"/>
    </row>
    <row r="5" spans="1:14" s="317" customFormat="1" ht="15.75" customHeight="1">
      <c r="A5" s="317" t="s">
        <v>53</v>
      </c>
      <c r="C5" s="1697" t="str">
        <f>BILAN!C5</f>
        <v/>
      </c>
      <c r="D5" s="1697"/>
      <c r="E5" s="910" t="s">
        <v>54</v>
      </c>
      <c r="F5" s="1724">
        <f>BILAN!K5</f>
        <v>0</v>
      </c>
      <c r="G5" s="1724"/>
      <c r="H5" s="1724"/>
      <c r="I5" s="627" t="s">
        <v>55</v>
      </c>
      <c r="J5" s="630">
        <f>BILAN!N5</f>
        <v>1</v>
      </c>
      <c r="K5" s="642"/>
      <c r="M5" s="597"/>
      <c r="N5" s="642"/>
    </row>
    <row r="6" spans="1:14" s="317" customFormat="1" ht="15.75" customHeight="1">
      <c r="A6" s="317" t="s">
        <v>56</v>
      </c>
      <c r="C6" s="1275" t="str">
        <f>BILAN!C6</f>
        <v/>
      </c>
      <c r="D6" s="1275"/>
      <c r="E6" s="1683"/>
      <c r="F6" s="630"/>
      <c r="G6" s="630"/>
      <c r="H6" s="630"/>
      <c r="I6" s="629"/>
      <c r="J6" s="630"/>
      <c r="K6" s="642"/>
      <c r="M6" s="597"/>
      <c r="N6" s="642"/>
    </row>
    <row r="7" spans="1:14" ht="28.5" customHeight="1">
      <c r="A7" s="1670" t="s">
        <v>1359</v>
      </c>
      <c r="B7" s="1670"/>
      <c r="C7" s="1670"/>
      <c r="D7" s="1670"/>
      <c r="E7" s="1670"/>
      <c r="F7" s="1670"/>
      <c r="G7" s="1670"/>
      <c r="H7" s="1670"/>
      <c r="I7" s="1670"/>
      <c r="J7" s="1670"/>
    </row>
    <row r="8" spans="1:14" ht="19.5" customHeight="1">
      <c r="A8" s="1664" t="s">
        <v>1111</v>
      </c>
      <c r="B8" s="1717" t="s">
        <v>1254</v>
      </c>
      <c r="C8" s="1718"/>
      <c r="D8" s="1718"/>
      <c r="E8" s="1718"/>
      <c r="F8" s="1718"/>
      <c r="G8" s="1719"/>
      <c r="H8" s="1664" t="s">
        <v>1113</v>
      </c>
      <c r="I8" s="911" t="s">
        <v>1360</v>
      </c>
      <c r="J8" s="912" t="s">
        <v>1360</v>
      </c>
    </row>
    <row r="9" spans="1:14" s="593" customFormat="1" ht="14.25" customHeight="1">
      <c r="A9" s="1716"/>
      <c r="B9" s="1720"/>
      <c r="C9" s="1721"/>
      <c r="D9" s="1721"/>
      <c r="E9" s="1721"/>
      <c r="F9" s="1721"/>
      <c r="G9" s="1722"/>
      <c r="H9" s="1716"/>
      <c r="I9" s="913" t="s">
        <v>1361</v>
      </c>
      <c r="J9" s="913" t="s">
        <v>1362</v>
      </c>
    </row>
    <row r="10" spans="1:14" ht="30.9" customHeight="1">
      <c r="A10" s="914" t="s">
        <v>1023</v>
      </c>
      <c r="B10" s="1709" t="s">
        <v>1363</v>
      </c>
      <c r="C10" s="1693"/>
      <c r="D10" s="1693"/>
      <c r="E10" s="1693"/>
      <c r="F10" s="1694"/>
      <c r="G10" s="915" t="s">
        <v>1261</v>
      </c>
      <c r="H10" s="916"/>
      <c r="I10" s="334">
        <f>SUMIFS(BalanceN[BE_Debit],BalanceN[Table],"&gt;=50000",BalanceN[Table],"&lt;51000")-(SUMIFS(BalanceN[BE_Credit],BalanceN[Table],"&gt;=59000",BalanceN[Table],"&lt;59100"))+SUMIFS(BalanceN[BE_Debit],BalanceN[Table],"&gt;=51000",BalanceN[Table],"&lt;52000")-(SUMIFS(BalanceN[BE_Credit],BalanceN[Table],"&gt;=59100",BalanceN[Table],"&lt;59200"))+SUMIFS(BalanceN[BE_Debit],BalanceN[Table],"&gt;=52000",BalanceN[Table],"&lt;58000")+SUMIFS(BalanceN[BE_Debit],BalanceN[Table],"&gt;=58100",BalanceN[Table],"&lt;58300")-(SUMIFS(BalanceN[BE_Credit],BalanceN[Table],"&gt;=59200",BalanceN[Table],"&lt;59500"))-(SUMIFS(BalanceN[BE_Credit],BalanceN[Table],"&gt;=56400",BalanceN[Table],"&lt;56600")+SUMIFS(BalanceN[BE_Credit],BalanceN[Table],"&gt;=52000",BalanceN[Table],"&lt;54000")+SUMIFS(BalanceN[BE_Credit],BalanceN[Table],"&gt;=56100",BalanceN[Table],"&lt;56200")+SUMIFS(BalanceN[BE_Credit],BalanceN[Table],"&gt;=56600",BalanceN[Table],"&lt;56700"))-SUMIFS(BalanceN[BE_Credit],BalanceN[Table],"&gt;=47260",BalanceN[Table],"&lt;47270")</f>
        <v>74584157</v>
      </c>
      <c r="J10" s="334">
        <f>SUMIFS(BalanceN1[BE_Debit],BalanceN1[Table],"&gt;=50000",BalanceN1[Table],"&lt;51000")-(SUMIFS(BalanceN1[BE_Credit],BalanceN1[Table],"&gt;=59000",BalanceN1[Table],"&lt;59100"))+SUMIFS(BalanceN1[BE_Debit],BalanceN1[Table],"&gt;=51000",BalanceN1[Table],"&lt;52000")-(SUMIFS(BalanceN1[BE_Credit],BalanceN1[Table],"&gt;=59100",BalanceN1[Table],"&lt;59200"))+SUMIFS(BalanceN1[BE_Debit],BalanceN1[Table],"&gt;=52000",BalanceN1[Table],"&lt;58000")+SUMIFS(BalanceN1[BE_Debit],BalanceN1[Table],"&gt;=58100",BalanceN1[Table],"&lt;58300")-(SUMIFS(BalanceN1[BE_Credit],BalanceN1[Table],"&gt;=59200",BalanceN1[Table],"&lt;59500"))-(SUMIFS(BalanceN1[BE_Credit],BalanceN1[Table],"&gt;=56400",BalanceN1[Table],"&lt;56600")+SUMIFS(BalanceN1[BE_Credit],BalanceN1[Table],"&gt;=52000",BalanceN1[Table],"&lt;54000")+SUMIFS(BalanceN1[BE_Credit],BalanceN1[Table],"&gt;=56100",BalanceN1[Table],"&lt;56200")+SUMIFS(BalanceN1[BE_Credit],BalanceN1[Table],"&gt;=56600",BalanceN1[Table],"&lt;56700"))-SUMIFS(BalanceN1[BE_Credit],BalanceN1[Table],"&gt;=47260",BalanceN1[Table],"&lt;47270")</f>
        <v>33595404</v>
      </c>
    </row>
    <row r="11" spans="1:14" ht="17.25" customHeight="1">
      <c r="A11" s="917"/>
      <c r="B11" s="1725" t="s">
        <v>1364</v>
      </c>
      <c r="C11" s="1726"/>
      <c r="D11" s="1726"/>
      <c r="E11" s="1726"/>
      <c r="F11" s="1726"/>
      <c r="G11" s="335"/>
      <c r="H11" s="335"/>
      <c r="I11" s="335"/>
      <c r="J11" s="336"/>
    </row>
    <row r="12" spans="1:14" ht="18.899999999999999" customHeight="1">
      <c r="A12" s="917" t="s">
        <v>1365</v>
      </c>
      <c r="B12" s="1658" t="s">
        <v>1366</v>
      </c>
      <c r="C12" s="1658"/>
      <c r="D12" s="1658"/>
      <c r="E12" s="1658"/>
      <c r="F12" s="1658"/>
      <c r="G12" s="918"/>
      <c r="H12" s="919"/>
      <c r="I12" s="337">
        <f xml:space="preserve">
SUMIFS(BalanceN[BS_Credit],BalanceN[Table],"&gt;=70100",BalanceN[Table],"&lt;70200")
-
SUMIFS(BalanceN[BS_Debit],BalanceN[Table],"&gt;=70100",BalanceN[Table],"&lt;70200")
+
SUMIFS(BalanceN[BS_Credit],BalanceN[Table],"&gt;=60100",BalanceN[Table],"&lt;60200")
-
SUMIFS(BalanceN[BS_Debit],BalanceN[Table],"&gt;=60100",BalanceN[Table],"&lt;60200")
+
SUMIFS(BalanceN[BS_Credit],BalanceN[Table],"&gt;=60310",BalanceN[Table],"&lt;60320")
-
SUMIFS(BalanceN[BS_Debit],BalanceN[Table],"&gt;=60310",BalanceN[Table],"&lt;60320")
+
SUMIFS(BalanceN[BS_Credit],BalanceN[Table],"&gt;=70200",BalanceN[Table],"&lt;70500")
-
SUMIFS(BalanceN[BS_Debit],BalanceN[Table],"&gt;=70200",BalanceN[Table],"&lt;70500")
+
SUMIFS(BalanceN[BS_Credit],BalanceN[Table],"&gt;=70500",BalanceN[Table],"&lt;70700")
-
SUMIFS(BalanceN[BS_Debit],BalanceN[Table],"&gt;=70500",BalanceN[Table],"&lt;70700")
+
SUMIFS(BalanceN[BS_Credit],BalanceN[Table],"&gt;=70700",BalanceN[Table],"&lt;70800")
-
SUMIFS(BalanceN[BS_Debit],BalanceN[Table],"&gt;=70700",BalanceN[Table],"&lt;70800")
+
SUMIFS(BalanceN[BS_Credit],BalanceN[Table],"&gt;=73000",BalanceN[Table],"&lt;74000")
-
SUMIFS(BalanceN[BS_Debit],BalanceN[Table],"&gt;=73000",BalanceN[Table],"&lt;74000")
+
SUMIFS(BalanceN[BS_Credit],BalanceN[Table],"&gt;=72000",BalanceN[Table],"&lt;73000")
-
SUMIFS(BalanceN[BS_Debit],BalanceN[Table],"&gt;=72000",BalanceN[Table],"&lt;73000")
+
SUMIFS(BalanceN[BS_Credit],BalanceN[Table],"&gt;=71000",BalanceN[Table],"&lt;72000")
-
SUMIFS(BalanceN[BS_Debit],BalanceN[Table],"&gt;=71000",BalanceN[Table],"&lt;72000")
+
SUMIFS(BalanceN[BS_Credit],BalanceN[Table],"&gt;=75000",BalanceN[Table],"&lt;76000")
-
SUMIFS(BalanceN[BS_Debit],BalanceN[Table],"&gt;=75000",BalanceN[Table],"&lt;76000")
+
SUMIFS(BalanceN[BS_Credit],BalanceN[Table],"&gt;=78100",BalanceN[Table],"&lt;78200")
-
SUMIFS(BalanceN[BS_Debit],BalanceN[Table],"&gt;=78100",BalanceN[Table],"&lt;78200")
+
SUMIFS(BalanceN[BS_Credit],BalanceN[Table],"&gt;=60200",BalanceN[Table],"&lt;60300")
-
SUMIFS(BalanceN[BS_Debit],BalanceN[Table],"&gt;=60200",BalanceN[Table],"&lt;60300")
+
SUMIFS(BalanceN[BS_Credit],BalanceN[Table],"&gt;=60320",BalanceN[Table],"&lt;60330")
-
SUMIFS(BalanceN[BS_Debit],BalanceN[Table],"&gt;=60320",BalanceN[Table],"&lt;60330")
+
SUMIFS(BalanceN[BS_Credit],BalanceN[Table],"&gt;=60400",BalanceN[Table],"&lt;60600")
-
SUMIFS(BalanceN[BS_Debit],BalanceN[Table],"&gt;=60400",BalanceN[Table],"&lt;60600")
+
SUMIFS(BalanceN[BS_Credit],BalanceN[Table],"&gt;=60800",BalanceN[Table],"&lt;60900")
-
SUMIFS(BalanceN[BS_Debit],BalanceN[Table],"&gt;=60800",BalanceN[Table],"&lt;60900")
+
SUMIFS(BalanceN[BS_Credit],BalanceN[Table],"&gt;=60330",BalanceN[Table],"&lt;60340")
-
SUMIFS(BalanceN[BS_Debit],BalanceN[Table],"&gt;=60330",BalanceN[Table],"&lt;60340")
+
SUMIFS(BalanceN[BS_Credit],BalanceN[Table],"&gt;=61000",BalanceN[Table],"&lt;62000")
-
SUMIFS(BalanceN[BS_Debit],BalanceN[Table],"&gt;=61000",BalanceN[Table],"&lt;62000")
+
SUMIFS(BalanceN[BS_Credit],BalanceN[Table],"&gt;=62000",BalanceN[Table],"&lt;64000")
-
SUMIFS(BalanceN[BS_Debit],BalanceN[Table],"&gt;=62000",BalanceN[Table],"&lt;64000")
+
SUMIFS(BalanceN[BS_Credit],BalanceN[Table],"&gt;=64000",BalanceN[Table],"&lt;65000")
-
SUMIFS(BalanceN[BS_Debit],BalanceN[Table],"&gt;=64000",BalanceN[Table],"&lt;65000")
+
SUMIFS(BalanceN[BS_Credit],BalanceN[Table],"&gt;=65000",BalanceN[Table],"&lt;66000")
-
SUMIFS(BalanceN[BS_Debit],BalanceN[Table],"&gt;=65000",BalanceN[Table],"&lt;66000")
+
SUMIFS(BalanceN[BS_Credit],BalanceN[Table],"&gt;=66000",BalanceN[Table],"&lt;67000")
-
SUMIFS(BalanceN[BS_Debit],BalanceN[Table],"&gt;=66000",BalanceN[Table],"&lt;67000")
+
SUMIFS(BalanceN[BS_Credit],BalanceN[Table],"&gt;=77000",BalanceN[Table],"&lt;78000")
-
SUMIFS(BalanceN[BS_Debit],BalanceN[Table],"&gt;=77000",BalanceN[Table],"&lt;78000")
+
SUMIFS(BalanceN[BS_Credit],BalanceN[Table],"&gt;=78700",BalanceN[Table],"&lt;78800")
-
SUMIFS(BalanceN[BS_Debit],BalanceN[Table],"&gt;=78700",BalanceN[Table],"&lt;78800")
+
SUMIFS(BalanceN[BS_Credit],BalanceN[Table],"&gt;=67000",BalanceN[Table],"&lt;68000")
-
SUMIFS(BalanceN[BS_Debit],BalanceN[Table],"&gt;=67000",BalanceN[Table],"&lt;68000")
+
SUMIFS(BalanceN[BS_Credit],BalanceN[Table],"&gt;=84000",BalanceN[Table],"&lt;85000")
+
SUMIFS(BalanceN[BS_Credit],BalanceN[Table],"&gt;=88000",BalanceN[Table],"&lt;89000")
-
SUMIFS(BalanceN[BS_Debit],BalanceN[Table],"&gt;=83000",BalanceN[Table],"&lt;84000")
-
SUMIFS(BalanceN[BS_Debit],BalanceN[Table],"&gt;=87000",BalanceN[Table],"&lt;88000")
-
SUMIFS(BalanceN[BS_Debit],BalanceN[Table],"&gt;=89000",BalanceN[Table],"&lt;90000")
+
SUMIFS(BalanceN[BS_Debit],BalanceN[Table],"&gt;=65400",BalanceN[Table],"&lt;65500")
-
SUMIFS(BalanceN[BS_Credit],BalanceN[Table],"&gt;=75400",BalanceN[Table],"&lt;75500")
+
SUMIFS(BalanceN[BS_Credit],BalanceN[Table],"&gt;=89000",BalanceN[Table],"&lt;90000")</f>
        <v>241773904</v>
      </c>
      <c r="J12" s="337">
        <f xml:space="preserve">
SUMIFS(BalanceN1[BS_Credit],BalanceN1[Table],"&gt;=70100",BalanceN1[Table],"&lt;70200")
-
SUMIFS(BalanceN1[BS_Debit],BalanceN1[Table],"&gt;=70100",BalanceN1[Table],"&lt;70200")
+
SUMIFS(BalanceN1[BS_Credit],BalanceN1[Table],"&gt;=60100",BalanceN1[Table],"&lt;60200")
-
SUMIFS(BalanceN1[BS_Debit],BalanceN1[Table],"&gt;=60100",BalanceN1[Table],"&lt;60200")
+
SUMIFS(BalanceN1[BS_Credit],BalanceN1[Table],"&gt;=60310",BalanceN1[Table],"&lt;60320")
-
SUMIFS(BalanceN1[BS_Debit],BalanceN1[Table],"&gt;=60310",BalanceN1[Table],"&lt;60320")
+
SUMIFS(BalanceN1[BS_Credit],BalanceN1[Table],"&gt;=70200",BalanceN1[Table],"&lt;70500")
-
SUMIFS(BalanceN1[BS_Debit],BalanceN1[Table],"&gt;=70200",BalanceN1[Table],"&lt;70500")
+
SUMIFS(BalanceN1[BS_Credit],BalanceN1[Table],"&gt;=70500",BalanceN1[Table],"&lt;70700")
-
SUMIFS(BalanceN1[BS_Debit],BalanceN1[Table],"&gt;=70500",BalanceN1[Table],"&lt;70700")
+
SUMIFS(BalanceN1[BS_Credit],BalanceN1[Table],"&gt;=70700",BalanceN1[Table],"&lt;70800")
-
SUMIFS(BalanceN1[BS_Debit],BalanceN1[Table],"&gt;=70700",BalanceN1[Table],"&lt;70800")
+
SUMIFS(BalanceN1[BS_Credit],BalanceN1[Table],"&gt;=73000",BalanceN1[Table],"&lt;74000")
-
SUMIFS(BalanceN1[BS_Debit],BalanceN1[Table],"&gt;=73000",BalanceN1[Table],"&lt;74000")
+
SUMIFS(BalanceN1[BS_Credit],BalanceN1[Table],"&gt;=72000",BalanceN1[Table],"&lt;73000")
-
SUMIFS(BalanceN1[BS_Debit],BalanceN1[Table],"&gt;=72000",BalanceN1[Table],"&lt;73000")
+
SUMIFS(BalanceN1[BS_Credit],BalanceN1[Table],"&gt;=71000",BalanceN1[Table],"&lt;72000")
-
SUMIFS(BalanceN1[BS_Debit],BalanceN1[Table],"&gt;=71000",BalanceN1[Table],"&lt;72000")
+
SUMIFS(BalanceN1[BS_Credit],BalanceN1[Table],"&gt;=75000",BalanceN1[Table],"&lt;76000")
-
SUMIFS(BalanceN1[BS_Debit],BalanceN1[Table],"&gt;=75000",BalanceN1[Table],"&lt;76000")
+
SUMIFS(BalanceN1[BS_Credit],BalanceN1[Table],"&gt;=78100",BalanceN1[Table],"&lt;78200")
-
SUMIFS(BalanceN1[BS_Debit],BalanceN1[Table],"&gt;=78100",BalanceN1[Table],"&lt;78200")
+
SUMIFS(BalanceN1[BS_Credit],BalanceN1[Table],"&gt;=60200",BalanceN1[Table],"&lt;60300")
-
SUMIFS(BalanceN1[BS_Debit],BalanceN1[Table],"&gt;=60200",BalanceN1[Table],"&lt;60300")
+
SUMIFS(BalanceN1[BS_Credit],BalanceN1[Table],"&gt;=60320",BalanceN1[Table],"&lt;60330")
-
SUMIFS(BalanceN1[BS_Debit],BalanceN1[Table],"&gt;=60320",BalanceN1[Table],"&lt;60330")
+
SUMIFS(BalanceN1[BS_Credit],BalanceN1[Table],"&gt;=60400",BalanceN1[Table],"&lt;60600")
-
SUMIFS(BalanceN1[BS_Debit],BalanceN1[Table],"&gt;=60400",BalanceN1[Table],"&lt;60600")
+
SUMIFS(BalanceN1[BS_Credit],BalanceN1[Table],"&gt;=60800",BalanceN1[Table],"&lt;60900")
-
SUMIFS(BalanceN1[BS_Debit],BalanceN1[Table],"&gt;=60800",BalanceN1[Table],"&lt;60900")
+
SUMIFS(BalanceN1[BS_Credit],BalanceN1[Table],"&gt;=60330",BalanceN1[Table],"&lt;60340")
-
SUMIFS(BalanceN1[BS_Debit],BalanceN1[Table],"&gt;=60330",BalanceN1[Table],"&lt;60340")
+
SUMIFS(BalanceN1[BS_Credit],BalanceN1[Table],"&gt;=61000",BalanceN1[Table],"&lt;62000")
-
SUMIFS(BalanceN1[BS_Debit],BalanceN1[Table],"&gt;=61000",BalanceN1[Table],"&lt;62000")
+
SUMIFS(BalanceN1[BS_Credit],BalanceN1[Table],"&gt;=62000",BalanceN1[Table],"&lt;64000")
-
SUMIFS(BalanceN1[BS_Debit],BalanceN1[Table],"&gt;=62000",BalanceN1[Table],"&lt;64000")
+
SUMIFS(BalanceN1[BS_Credit],BalanceN1[Table],"&gt;=64000",BalanceN1[Table],"&lt;65000")
-
SUMIFS(BalanceN1[BS_Debit],BalanceN1[Table],"&gt;=64000",BalanceN1[Table],"&lt;65000")
+
SUMIFS(BalanceN1[BS_Credit],BalanceN1[Table],"&gt;=65000",BalanceN1[Table],"&lt;66000")
-
SUMIFS(BalanceN1[BS_Debit],BalanceN1[Table],"&gt;=65000",BalanceN1[Table],"&lt;66000")
+
SUMIFS(BalanceN1[BS_Credit],BalanceN1[Table],"&gt;=66000",BalanceN1[Table],"&lt;67000")
-
SUMIFS(BalanceN1[BS_Debit],BalanceN1[Table],"&gt;=66000",BalanceN1[Table],"&lt;67000")
+
SUMIFS(BalanceN1[BS_Credit],BalanceN1[Table],"&gt;=77000",BalanceN1[Table],"&lt;78000")
-
SUMIFS(BalanceN1[BS_Debit],BalanceN1[Table],"&gt;=77000",BalanceN1[Table],"&lt;78000")
+
SUMIFS(BalanceN1[BS_Credit],BalanceN1[Table],"&gt;=78700",BalanceN1[Table],"&lt;78800")
-
SUMIFS(BalanceN1[BS_Debit],BalanceN1[Table],"&gt;=78700",BalanceN1[Table],"&lt;78800")
+
SUMIFS(BalanceN1[BS_Credit],BalanceN1[Table],"&gt;=67000",BalanceN1[Table],"&lt;68000")
-
SUMIFS(BalanceN1[BS_Debit],BalanceN1[Table],"&gt;=67000",BalanceN1[Table],"&lt;68000")
+
SUMIFS(BalanceN1[BS_Credit],BalanceN1[Table],"&gt;=84000",BalanceN1[Table],"&lt;85000")
+
SUMIFS(BalanceN1[BS_Credit],BalanceN1[Table],"&gt;=88000",BalanceN1[Table],"&lt;89000")
-
SUMIFS(BalanceN1[BS_Debit],BalanceN1[Table],"&gt;=83000",BalanceN1[Table],"&lt;84000")
-
SUMIFS(BalanceN1[BS_Debit],BalanceN1[Table],"&gt;=87000",BalanceN1[Table],"&lt;88000")
-
SUMIFS(BalanceN1[BS_Debit],BalanceN1[Table],"&gt;=89000",BalanceN1[Table],"&lt;90000")
+
SUMIFS(BalanceN1[BS_Debit],BalanceN1[Table],"&gt;=65400",BalanceN1[Table],"&lt;65500")
-
SUMIFS(BalanceN1[BS_Credit],BalanceN1[Table],"&gt;=75400",BalanceN1[Table],"&lt;75500")
+
SUMIFS(BalanceN1[BS_Credit],BalanceN1[Table],"&gt;=89000",BalanceN1[Table],"&lt;90000")</f>
        <v>150177096</v>
      </c>
    </row>
    <row r="13" spans="1:14" ht="18.899999999999999" customHeight="1">
      <c r="A13" s="917" t="s">
        <v>1367</v>
      </c>
      <c r="B13" s="1708" t="s">
        <v>1368</v>
      </c>
      <c r="C13" s="1655"/>
      <c r="D13" s="1655"/>
      <c r="E13" s="1655"/>
      <c r="F13" s="1655"/>
      <c r="G13" s="918"/>
      <c r="H13" s="919"/>
      <c r="I13" s="337">
        <f>-(
SUMIFS(BalanceN[BS_Debit],BalanceN[Table],"&gt;=48600",BalanceN[Table],"&lt;48900")
-
SUMIFS(BalanceN[BS_Debit],BalanceN[Table],"&gt;=49860",BalanceN[Table],"&lt;49890")
-
SUMIFS(BalanceN[BE_Debit],BalanceN[Table],"&gt;=48600",BalanceN[Table],"&lt;48900")
+
SUMIFS(BalanceN[BE_Debit],BalanceN[Table],"&gt;=49860",BalanceN[Table],"&lt;49890"))</f>
        <v>-2000000</v>
      </c>
      <c r="J13" s="337">
        <f>-(
SUMIFS(BalanceN1[BS_Debit],BalanceN1[Table],"&gt;=48600",BalanceN1[Table],"&lt;48900")
-
SUMIFS(BalanceN1[BS_Debit],BalanceN1[Table],"&gt;=49860",BalanceN1[Table],"&lt;49890")
-
SUMIFS(BalanceN1[BE_Debit],BalanceN1[Table],"&gt;=48600",BalanceN1[Table],"&lt;48900")
+
SUMIFS(BalanceN1[BE_Debit],BalanceN1[Table],"&gt;=49860",BalanceN1[Table],"&lt;49890"))</f>
        <v>0</v>
      </c>
    </row>
    <row r="14" spans="1:14" ht="18.899999999999999" customHeight="1">
      <c r="A14" s="917" t="s">
        <v>1369</v>
      </c>
      <c r="B14" s="1655" t="s">
        <v>1370</v>
      </c>
      <c r="C14" s="1655"/>
      <c r="D14" s="1655"/>
      <c r="E14" s="1655"/>
      <c r="F14" s="1655"/>
      <c r="G14" s="918"/>
      <c r="H14" s="919"/>
      <c r="I14" s="337">
        <f>-(
SUMIFS(BalanceN[BS_Debit],BalanceN[Table],"&gt;=30000",BalanceN[Table],"&lt;40000")
-
SUMIFS(BalanceN[BS_Credit],BalanceN[Table],"&gt;=30000",BalanceN[Table],"&lt;40000")
-
SUMIFS(BalanceN[BE_Debit],BalanceN[Table],"&gt;=30000",BalanceN[Table],"&lt;40000")
+
SUMIFS(BalanceN[BE_Credit],BalanceN[Table],"&gt;=30000",BalanceN[Table],"&lt;40000"))</f>
        <v>-2691705</v>
      </c>
      <c r="J14" s="337">
        <f>-(SUMIFS(BalanceN1[BS_Debit],BalanceN1[Table],"&gt;=30000",BalanceN1[Table],"&lt;40000")-(SUMIFS(BalanceN1[BS_Credit],BalanceN1[Table],"&gt;=30000",BalanceN1[Table],"&lt;40000"))-(SUMIFS(BalanceN1[BE_Debit],BalanceN1[Table],"&gt;=30000",BalanceN1[Table],"&lt;40000")-(SUMIFS(BalanceN1[BE_Credit],BalanceN1[Table],"&gt;=30000",BalanceN1[Table],"&lt;40000"))))</f>
        <v>945953</v>
      </c>
    </row>
    <row r="15" spans="1:14" ht="18.899999999999999" customHeight="1">
      <c r="A15" s="917" t="s">
        <v>1371</v>
      </c>
      <c r="B15" s="1655" t="s">
        <v>1372</v>
      </c>
      <c r="C15" s="1655"/>
      <c r="D15" s="1655"/>
      <c r="E15" s="1655"/>
      <c r="F15" s="1655"/>
      <c r="G15" s="918"/>
      <c r="H15" s="919"/>
      <c r="I15" s="337">
        <f>-(
SUMIFS(BalanceN[BS_Debit],BalanceN[Table],"&gt;=40900",BalanceN[Table],"&lt;41100")
-
SUMIFS(BalanceN[BS_Credit],BalanceN[Table],"&gt;=49000",BalanceN[Table],"&lt;49100")
+
SUMIFS(BalanceN[BS_Debit],BalanceN[Table],"&gt;=41100",BalanceN[Table],"&lt;42000")
-
SUMIFS(BalanceN[BS_Credit],BalanceN[Table],"&gt;=49100",BalanceN[Table],"&lt;49200")
+
SUMIFS(BalanceN[BS_Debit],BalanceN[Table],"&gt;=18500",BalanceN[Table],"&lt;18600")
+
SUMIFS(BalanceN[BS_Debit],BalanceN[Table],"&gt;=42000",BalanceN[Table],"&lt;47800")
-
SUMIFS(BalanceN[BS_Credit],BalanceN[Table],"&gt;=49200",BalanceN[Table],"&lt;49800")
-
SUMIFS(BalanceN[BE_Debit],BalanceN[Table],"&gt;=40900",BalanceN[Table],"&lt;41100")
+
SUMIFS(BalanceN[BE_Credit],BalanceN[Table],"&gt;=49000",BalanceN[Table],"&lt;49100")
-
SUMIFS(BalanceN[BE_Debit],BalanceN[Table],"&gt;=41100",BalanceN[Table],"&lt;42000")
+
SUMIFS(BalanceN[BE_Credit],BalanceN[Table],"&gt;=49100",BalanceN[Table],"&lt;49200")
-
SUMIFS(BalanceN[BE_Debit],BalanceN[Table],"&gt;=18500",BalanceN[Table],"&lt;18600")
-
SUMIFS(BalanceN[BE_Debit],BalanceN[Table],"&gt;=42000",BalanceN[Table],"&lt;47800")
+
SUMIFS(BalanceN[BE_Credit],BalanceN[Table],"&gt;=49200",BalanceN[Table],"&lt;49800")
-
SUMIFS(BalanceN[BS_Debit],BalanceN[Table],"&gt;=41400",BalanceN[Table],"&lt;41500")
-
SUMIFS(BalanceN[BS_Debit],BalanceN[Table],"&gt;=44940",BalanceN[Table],"&lt;44950")
-
SUMIFS(BalanceN[BS_Debit],BalanceN[Table],"&gt;=45800",BalanceN[Table],"&lt;45900")
-
SUMIFS(BalanceN[BS_Debit],BalanceN[Table],"&gt;=46100",BalanceN[Table],"&lt;46200")
-
SUMIFS(BalanceN[BS_Debit],BalanceN[Table],"&gt;=46700",BalanceN[Table],"&lt;46800")
+
SUMIFS(BalanceN[BE_Debit],BalanceN[Table],"&gt;=41400",BalanceN[Table],"&lt;41500")
+
SUMIFS(BalanceN[BE_Debit],BalanceN[Table],"&gt;=44940",BalanceN[Table],"&lt;44950")
+
SUMIFS(BalanceN[BE_Debit],BalanceN[Table],"&gt;=45800",BalanceN[Table],"&lt;45900")
+
SUMIFS(BalanceN[BE_Debit],BalanceN[Table],"&gt;=46100",BalanceN[Table],"&lt;46200")
+
SUMIFS(BalanceN[BE_Debit],BalanceN[Table],"&gt;=46700",BalanceN[Table],"&lt;46800")
+
SUMIFS(TFTN[BS_Debit],TFTN[Compte],"&gt;=47811",TFTN[Compte],"&lt;47812")
-
SUMIFS(TFTN[BS_Credit],TFTN[Compte],"&gt;=47911",TFTN[Compte],"&lt;47912"))</f>
        <v>-45792222</v>
      </c>
      <c r="J15" s="337">
        <f>-(
SUMIFS(BalanceN1[BS_Debit],BalanceN1[Table],"&gt;=40900",BalanceN1[Table],"&lt;41100")
-
SUMIFS(BalanceN1[BS_Credit],BalanceN1[Table],"&gt;=49000",BalanceN1[Table],"&lt;49100")
+
SUMIFS(BalanceN1[BS_Debit],BalanceN1[Table],"&gt;=41100",BalanceN1[Table],"&lt;42000")
-
SUMIFS(BalanceN1[BS_Credit],BalanceN1[Table],"&gt;=49100",BalanceN1[Table],"&lt;49200")
+
SUMIFS(BalanceN1[BS_Debit],BalanceN1[Table],"&gt;=18500",BalanceN1[Table],"&lt;18600")
+
SUMIFS(BalanceN1[BS_Debit],BalanceN1[Table],"&gt;=42000",BalanceN1[Table],"&lt;47800")
-
SUMIFS(BalanceN1[BS_Credit],BalanceN1[Table],"&gt;=49200",BalanceN1[Table],"&lt;49800")
-
SUMIFS(BalanceN1[BE_Debit],BalanceN1[Table],"&gt;=40900",BalanceN1[Table],"&lt;41100")
+
SUMIFS(BalanceN1[BE_Credit],BalanceN1[Table],"&gt;=49000",BalanceN1[Table],"&lt;49100")
-
SUMIFS(BalanceN1[BE_Debit],BalanceN1[Table],"&gt;=41100",BalanceN1[Table],"&lt;42000")
+
SUMIFS(BalanceN1[BE_Credit],BalanceN1[Table],"&gt;=49100",BalanceN1[Table],"&lt;49200")
-
SUMIFS(BalanceN1[BE_Debit],BalanceN1[Table],"&gt;=18500",BalanceN1[Table],"&lt;18600")
-
SUMIFS(BalanceN1[BE_Debit],BalanceN1[Table],"&gt;=42000",BalanceN1[Table],"&lt;47800")
+
SUMIFS(BalanceN1[BE_Credit],BalanceN1[Table],"&gt;=49200",BalanceN1[Table],"&lt;49800")
-
SUMIFS(BalanceN1[BS_Debit],BalanceN1[Table],"&gt;=41400",BalanceN1[Table],"&lt;41500")
-
SUMIFS(BalanceN1[BS_Debit],BalanceN1[Table],"&gt;=44940",BalanceN1[Table],"&lt;44950")
-
SUMIFS(BalanceN1[BS_Debit],BalanceN1[Table],"&gt;=45800",BalanceN1[Table],"&lt;45900")
-
SUMIFS(BalanceN1[BS_Debit],BalanceN1[Table],"&gt;=46100",BalanceN1[Table],"&lt;46200")
-
SUMIFS(BalanceN1[BS_Debit],BalanceN1[Table],"&gt;=46700",BalanceN1[Table],"&lt;46800")
+
SUMIFS(BalanceN1[BE_Debit],BalanceN1[Table],"&gt;=41400",BalanceN1[Table],"&lt;41500")
+
SUMIFS(BalanceN1[BE_Debit],BalanceN1[Table],"&gt;=44940",BalanceN1[Table],"&lt;44950")
+
SUMIFS(BalanceN1[BE_Debit],BalanceN1[Table],"&gt;=45800",BalanceN1[Table],"&lt;45900")
+
SUMIFS(BalanceN1[BE_Debit],BalanceN1[Table],"&gt;=46100",BalanceN1[Table],"&lt;46200")
+
SUMIFS(BalanceN1[BE_Debit],BalanceN1[Table],"&gt;=46700",BalanceN1[Table],"&lt;46800")
+
SUMIFS(TFTN1[BS_Debit],TFTN1[Compte],"&gt;=47811",TFTN1[Compte],"&lt;47812")
-
SUMIFS(TFTN1[BS_Credit],TFTN1[Compte],"&gt;=47911",TFTN1[Compte],"&lt;47912"))</f>
        <v>-25371738</v>
      </c>
    </row>
    <row r="16" spans="1:14" ht="18.899999999999999" customHeight="1">
      <c r="A16" s="917" t="s">
        <v>1373</v>
      </c>
      <c r="B16" s="1655" t="s">
        <v>1374</v>
      </c>
      <c r="C16" s="1655"/>
      <c r="D16" s="1655"/>
      <c r="E16" s="1655"/>
      <c r="F16" s="1655"/>
      <c r="G16" s="920"/>
      <c r="H16" s="921"/>
      <c r="I16" s="338">
        <f xml:space="preserve">
SUMIFS(BalanceN[BS_Credit],BalanceN[Table],"&gt;=48100",BalanceN[Table],"&lt;48500")
+
SUMIFS(BalanceN[BS_Credit],BalanceN[Table],"&gt;=49980",BalanceN[Table],"&lt;49990")
+
SUMIFS(BalanceN[BS_Credit],BalanceN[Table],"&gt;=41900",BalanceN[Table],"&lt;42000")
+
SUMIFS(BalanceN[BS_Credit],BalanceN[Table],"&gt;=40100",BalanceN[Table],"&lt;40900")
+
SUMIFS(BalanceN[BS_Credit],BalanceN[Table],"&gt;=42000",BalanceN[Table],"&lt;45000")
+
SUMIFS(BalanceN[BS_Credit],BalanceN[Table],"&gt;=18500",BalanceN[Table],"&lt;18600")
+
SUMIFS(BalanceN[BS_Credit],BalanceN[Table],"&gt;=45000",BalanceN[Table],"&lt;47900")
+
SUMIFS(BalanceN[BS_Credit],BalanceN[Table],"&gt;=49900",BalanceN[Table],"&lt;49980")
+
SUMIFS(BalanceN[BS_Credit],BalanceN[Table],"&gt;=59900",BalanceN[Table],"&lt;60000")
-
SUMIFS(BalanceN[BE_Credit],BalanceN[Table],"&gt;=48100",BalanceN[Table],"&lt;48500")
-
SUMIFS(BalanceN[BE_Credit],BalanceN[Table],"&gt;=49980",BalanceN[Table],"&lt;49990")
-
SUMIFS(BalanceN[BE_Credit],BalanceN[Table],"&gt;=41900",BalanceN[Table],"&lt;42000")
-
SUMIFS(BalanceN[BE_Credit],BalanceN[Table],"&gt;=40100",BalanceN[Table],"&lt;40900")
-
SUMIFS(BalanceN[BE_Credit],BalanceN[Table],"&gt;=42000",BalanceN[Table],"&lt;45000")
-
SUMIFS(BalanceN[BE_Credit],BalanceN[Table],"&gt;=18500",BalanceN[Table],"&lt;18600")
-
SUMIFS(BalanceN[BE_Credit],BalanceN[Table],"&gt;=45000",BalanceN[Table],"&lt;47900")
-
SUMIFS(BalanceN[BE_Credit],BalanceN[Table],"&gt;=49900",BalanceN[Table],"&lt;49980")
-
SUMIFS(BalanceN[BE_Credit],BalanceN[Table],"&gt;=59900",BalanceN[Table],"&lt;60000")
-
SUMIFS(BalanceN[BS_Credit],BalanceN[Table],"&gt;=40400",BalanceN[Table],"&lt;40500")
-
SUMIFS(BalanceN[BS_Credit],BalanceN[Table],"&gt;=46100",BalanceN[Table],"&lt;46200")
-
SUMIFS(BalanceN[BS_Credit],BalanceN[Table],"&gt;=46500",BalanceN[Table],"&lt;46600")
-
SUMIFS(BalanceN[BS_Credit],BalanceN[Table],"&gt;=47260",BalanceN[Table],"&lt;47270")
-
SUMIFS(BalanceN[BS_Credit],BalanceN[Table],"&gt;=48100",BalanceN[Table],"&lt;48300")
+
SUMIFS(BalanceN[BE_Credit],BalanceN[Table],"&gt;=40400",BalanceN[Table],"&lt;40500")
+
SUMIFS(BalanceN[BE_Credit],BalanceN[Table],"&gt;=46100",BalanceN[Table],"&lt;46200")
+
SUMIFS(BalanceN[BE_Credit],BalanceN[Table],"&gt;=46500",BalanceN[Table],"&lt;46600")
+
SUMIFS(BalanceN[BE_Credit],BalanceN[Table],"&gt;=47260",BalanceN[Table],"&lt;47270")
+
SUMIFS(BalanceN[BE_Credit],BalanceN[Table],"&gt;=48100",BalanceN[Table],"&lt;48300")
+
SUMIFS(BalanceN[BS_Credit],BalanceN[Table],"&gt;=47930",BalanceN[Table],"&lt;47940")
-
SUMIFS(BalanceN[BS_Credit],BalanceN[Table],"&gt;=48100",BalanceN[Table],"&lt;47840")
+
SUMIFS(BalanceN[Mvt_Debit],BalanceN[Table],"&gt;=47520",BalanceN[Table],"&lt;47530")
-
SUMIFS(BalanceN[Mvt_Credit],BalanceN[Table],"&gt;=47520",BalanceN[Table],"&lt;47530")</f>
        <v>-21054994</v>
      </c>
      <c r="J16" s="338">
        <f>SUMIFS(BalanceN1[BS_Credit],BalanceN1[Table],"&gt;=48100",BalanceN1[Table],"&lt;48500")+SUMIFS(BalanceN1[BS_Credit],BalanceN1[Table],"&gt;=49980",BalanceN1[Table],"&lt;49990")+SUMIFS(BalanceN1[BS_Credit],BalanceN1[Table],"&gt;=41900",BalanceN1[Table],"&lt;42000")+SUMIFS(BalanceN1[BS_Credit],BalanceN1[Table],"&gt;=40100",BalanceN1[Table],"&lt;40900")+SUMIFS(BalanceN1[BS_Credit],BalanceN1[Table],"&gt;=42000",BalanceN1[Table],"&lt;45000")+SUMIFS(BalanceN1[BS_Credit],BalanceN1[Table],"&gt;=18500",BalanceN1[Table],"&lt;18600")+SUMIFS(BalanceN1[BS_Credit],BalanceN1[Table],"&gt;=45000",BalanceN1[Table],"&lt;47900")+SUMIFS(BalanceN1[BS_Credit],BalanceN1[Table],"&gt;=49900",BalanceN1[Table],"&lt;49980")+SUMIFS(BalanceN1[BS_Credit],BalanceN1[Table],"&gt;=59900",BalanceN1[Table],"&lt;60000")-(SUMIFS(BalanceN1[BE_Credit],BalanceN1[Table],"&gt;=48100",BalanceN1[Table],"&lt;48500")+SUMIFS(BalanceN1[BE_Credit],BalanceN1[Table],"&gt;=49980",BalanceN1[Table],"&lt;49990")+SUMIFS(BalanceN1[BE_Credit],BalanceN1[Table],"&gt;=41900",BalanceN1[Table],"&lt;42000")+SUMIFS(BalanceN1[BE_Credit],BalanceN1[Table],"&gt;=40100",BalanceN1[Table],"&lt;40900")+SUMIFS(BalanceN1[BE_Credit],BalanceN1[Table],"&gt;=42000",BalanceN1[Table],"&lt;45000")+SUMIFS(BalanceN1[BE_Credit],BalanceN1[Table],"&gt;=18500",BalanceN1[Table],"&lt;18600")+SUMIFS(BalanceN1[BE_Credit],BalanceN1[Table],"&gt;=45000",BalanceN1[Table],"&lt;47900")+SUMIFS(BalanceN1[BE_Credit],BalanceN1[Table],"&gt;=49900",BalanceN1[Table],"&lt;49980")+SUMIFS(BalanceN1[BE_Credit],BalanceN1[Table],"&gt;=59900",BalanceN1[Table],"&lt;60000"))-(SUMIFS(BalanceN1[BS_Credit],BalanceN1[Table],"&gt;=40400",BalanceN1[Table],"&lt;40500")+SUMIFS(BalanceN1[BS_Credit],BalanceN1[Table],"&gt;=46100",BalanceN1[Table],"&lt;46200")+SUMIFS(BalanceN1[BS_Credit],BalanceN1[Table],"&gt;=46500",BalanceN1[Table],"&lt;46600")+SUMIFS(BalanceN1[BS_Credit],BalanceN1[Table],"&gt;=47260",BalanceN1[Table],"&lt;47270")+SUMIFS(BalanceN1[BS_Credit],BalanceN1[Table],"&gt;=48100",BalanceN1[Table],"&lt;48300"))+SUMIFS(BalanceN1[BE_Credit],BalanceN1[Table],"&gt;=40400",BalanceN1[Table],"&lt;40500")+SUMIFS(BalanceN1[BE_Credit],BalanceN1[Table],"&gt;=46100",BalanceN1[Table],"&lt;46200")+SUMIFS(BalanceN1[BE_Credit],BalanceN1[Table],"&gt;=46500",BalanceN1[Table],"&lt;46600")+SUMIFS(BalanceN1[BE_Credit],BalanceN1[Table],"&gt;=47260",BalanceN1[Table],"&lt;47270")+SUMIFS(BalanceN1[BE_Credit],BalanceN1[Table],"&gt;=48100",BalanceN1[Table],"&lt;48300")+SUMIFS(BalanceN1[BS_Credit],BalanceN1[Table],"&gt;=47930",BalanceN1[Table],"&lt;47830")-SUMIFS(BalanceN1[BS_Credit],BalanceN1[Table],"&gt;=48100",BalanceN1[Table],"&lt;47840")+SUMIFS(BalanceN1[Mvt_Debit],BalanceN1[Table],"&gt;=47520",BalanceN1[Table],"&lt;47530")-SUMIFS(BalanceN1[Mvt_Credit],BalanceN1[Table],"&gt;=47520",BalanceN1[Table],"&lt;47530")</f>
        <v>-27602541</v>
      </c>
    </row>
    <row r="17" spans="1:10" ht="18.899999999999999" customHeight="1">
      <c r="A17" s="917"/>
      <c r="B17" s="1658" t="s">
        <v>1375</v>
      </c>
      <c r="C17" s="1658"/>
      <c r="D17" s="1658"/>
      <c r="E17" s="1658"/>
      <c r="F17" s="1658"/>
      <c r="G17" s="918"/>
      <c r="H17" s="919"/>
      <c r="I17" s="337"/>
      <c r="J17" s="337"/>
    </row>
    <row r="18" spans="1:10" ht="18.899999999999999" customHeight="1">
      <c r="A18" s="917"/>
      <c r="B18" s="922" t="s">
        <v>1376</v>
      </c>
      <c r="C18" s="1727">
        <f>I13+I14+I15+I16</f>
        <v>-71538921</v>
      </c>
      <c r="D18" s="1728"/>
      <c r="E18" s="923">
        <f>IFERROR(J13+J14+J15+J16,"")</f>
        <v>-52028326</v>
      </c>
      <c r="F18" s="924"/>
      <c r="G18" s="339"/>
      <c r="H18" s="339"/>
      <c r="I18" s="339"/>
      <c r="J18" s="339"/>
    </row>
    <row r="19" spans="1:10" ht="18.899999999999999" customHeight="1">
      <c r="A19" s="914" t="s">
        <v>1027</v>
      </c>
      <c r="B19" s="1709" t="s">
        <v>1377</v>
      </c>
      <c r="C19" s="1693"/>
      <c r="D19" s="1693"/>
      <c r="E19" s="1693"/>
      <c r="F19" s="1694"/>
      <c r="G19" s="925" t="s">
        <v>1273</v>
      </c>
      <c r="H19" s="926"/>
      <c r="I19" s="340">
        <f>SUM(I12:I16)</f>
        <v>170234983</v>
      </c>
      <c r="J19" s="340">
        <f>IFERROR(SUM(J12:J16),"")</f>
        <v>98148770</v>
      </c>
    </row>
    <row r="20" spans="1:10" ht="17.25" customHeight="1">
      <c r="A20" s="917"/>
      <c r="B20" s="1725" t="s">
        <v>1378</v>
      </c>
      <c r="C20" s="1726"/>
      <c r="D20" s="1726"/>
      <c r="E20" s="1726"/>
      <c r="F20" s="1726"/>
      <c r="G20" s="335"/>
      <c r="H20" s="335"/>
      <c r="I20" s="335"/>
      <c r="J20" s="336"/>
    </row>
    <row r="21" spans="1:10" ht="18.899999999999999" customHeight="1">
      <c r="A21" s="917" t="s">
        <v>1379</v>
      </c>
      <c r="B21" s="1655" t="s">
        <v>1380</v>
      </c>
      <c r="C21" s="1655"/>
      <c r="D21" s="1655"/>
      <c r="E21" s="1655"/>
      <c r="F21" s="1655"/>
      <c r="G21" s="918"/>
      <c r="H21" s="919"/>
      <c r="I21" s="337">
        <f>-(
SUMIFS(BalanceN[BS_Debit],BalanceN[Table],"&gt;=21000",BalanceN[Table],"&lt;22000")
-
SUMIFS(BalanceN[BE_Debit],BalanceN[Table],"&gt;=21000",BalanceN[Table],"&lt;22000")
+
SUMIFS(BalanceN[Mvt_Debit],BalanceN[Table],"&gt;=25100",BalanceN[Table],"&lt;25200")
-
SUMIFS(BalanceN[Mvt_Credit],BalanceN[Table],"&gt;=25100",BalanceN[Table],"&lt;25200")
+
SUMIFS(BalanceN[Mvt_Debit],BalanceN[Table],"&gt;=40410",BalanceN[Table],"&lt;40420")
+
SUMIFS(BalanceN[Mvt_Debit],BalanceN[Table],"&gt;=40460",BalanceN[Table],"&lt;40470")
+
SUMIFS(BalanceN[Mvt_Debit],BalanceN[Table],"&gt;=48110",BalanceN[Table],"&lt;48120")
+
SUMIFS(TFTN[Mvt_Debit],TFTN[Compte],"&gt;=48161",TFTN[Compte],"&lt;48162")
+
SUMIFS(TFTN[Mvt_Debit],TFTN[Compte],"&gt;=48171",TFTN[Compte],"&lt;48172")
+
SUMIFS(TFTN[Mvt_Debit],TFTN[Compte],"&gt;=48181",TFTN[Compte],"&lt;48182")
+
SUMIFS(BalanceN[Mvt_Debit],BalanceN[Table],"&gt;=48210",BalanceN[Table],"&lt;48220")
+
SUMIFS(BalanceN[Mvt_Debit],BalanceN[Table],"&gt;=28100",BalanceN[Table],"&lt;28200")
-
SUMIFS(BalanceN[Mvt_Credit],BalanceN[Table],"&gt;=40410",BalanceN[Table],"&lt;40420")
-
SUMIFS(BalanceN[Mvt_Credit],BalanceN[Table],"&gt;=40460",BalanceN[Table],"&lt;40470")
-
SUMIFS(BalanceN[Mvt_Credit],BalanceN[Table],"&gt;=48110",BalanceN[Table],"&lt;48120")
-
SUMIFS(TFTN[Mvt_Credit],TFTN[Compte],"&gt;=48161",TFTN[Compte],"&lt;48162")
-
SUMIFS(TFTN[Mvt_Credit],TFTN[Compte],"&gt;=48171",TFTN[Compte],"&lt;48172")
-
SUMIFS(TFTN[Mvt_Credit],TFTN[Compte],"&gt;=48181",TFTN[Compte],"&lt;48182")
-
SUMIFS(BalanceN[Mvt_Credit],BalanceN[Table],"&gt;=48210",BalanceN[Table],"&lt;48220")
+
SUMIFS(BalanceN[BS_Debit],BalanceN[Table],"&gt;=65410",BalanceN[Table],"&lt;65420")
+
SUMIFS(BalanceN[BS_Debit],BalanceN[Table],"&gt;=81100",BalanceN[Table],"&lt;81200")
-
SUMIFS(TFTN[Mvt_Credit],TFTN[Compte],"&gt;=10611",TFTN[Compte],"&lt;10612")
-
SUMIFS(TFTN[Mvt_Credit],TFTN[Compte],"&gt;=10621",TFTN[Compte],"&lt;10622")
-
SUMIFS(TFTN[Mvt_Credit],TFTN[Compte],"&gt;=15410",TFTN[Compte],"&lt;15420"))</f>
        <v>-2000000</v>
      </c>
      <c r="J21" s="337">
        <f>-(
SUMIFS(BalanceN1[BS_Debit],BalanceN1[Table],"&gt;=21000",BalanceN1[Table],"&lt;22000")
-
SUMIFS(BalanceN1[BE_Debit],BalanceN1[Table],"&gt;=21000",BalanceN1[Table],"&lt;22000")
+
SUMIFS(BalanceN1[Mvt_Debit],BalanceN1[Table],"&gt;=25100",BalanceN1[Table],"&lt;25200")
-
SUMIFS(BalanceN1[Mvt_Credit],BalanceN1[Table],"&gt;=25100",BalanceN1[Table],"&lt;25200")
+
SUMIFS(BalanceN1[Mvt_Debit],BalanceN1[Table],"&gt;=40410",BalanceN1[Table],"&lt;40420")
+
SUMIFS(BalanceN1[Mvt_Debit],BalanceN1[Table],"&gt;=40460",BalanceN1[Table],"&lt;40470")
+
SUMIFS(BalanceN1[Mvt_Debit],BalanceN1[Table],"&gt;=48110",BalanceN1[Table],"&lt;48120")
+
SUMIFS(TFTN1[Mvt_Debit],TFTN1[Compte],"&gt;=48161",TFTN1[Compte],"&lt;48162")
+
SUMIFS(TFTN1[Mvt_Debit],TFTN1[Compte],"&gt;=48171",TFTN1[Compte],"&lt;48172")
+
SUMIFS(TFTN1[Mvt_Debit],TFTN1[Compte],"&gt;=48181",TFTN1[Compte],"&lt;48182")
+
SUMIFS(BalanceN1[Mvt_Debit],BalanceN1[Table],"&gt;=48210",BalanceN1[Table],"&lt;48220")
+
SUMIFS(BalanceN1[Mvt_Debit],BalanceN1[Table],"&gt;=65410",BalanceN1[Table],"&lt;65420")
+
SUMIFS(BalanceN1[Mvt_Debit],BalanceN1[Table],"&gt;=28100",BalanceN1[Table],"&lt;28200")
-
SUMIFS(BalanceN1[Mvt_Credit],BalanceN1[Table],"&gt;=40410",BalanceN1[Table],"&lt;40420")
-
SUMIFS(BalanceN1[Mvt_Credit],BalanceN1[Table],"&gt;=40460",BalanceN1[Table],"&lt;40470")
-
SUMIFS(BalanceN1[Mvt_Credit],BalanceN1[Table],"&gt;=48110",BalanceN1[Table],"&lt;48120")
-
SUMIFS(TFTN1[Mvt_Credit],TFTN1[Compte],"&gt;=48161",TFTN1[Compte],"&lt;48162")
-
SUMIFS(TFTN1[Mvt_Credit],TFTN1[Compte],"&gt;=48171",TFTN1[Compte],"&lt;48172")
-
SUMIFS(TFTN1[Mvt_Credit],TFTN1[Compte],"&gt;=48181",TFTN1[Compte],"&lt;48182")
-
SUMIFS(BalanceN1[Mvt_Credit],BalanceN1[Table],"&gt;=48210",BalanceN1[Table],"&lt;48220")
+
SUMIFS(BalanceN1[BS_Debit],BalanceN1[Table],"&gt;=65410",BalanceN1[Table],"&lt;65420")
+
SUMIFS(BalanceN1[BS_Debit],BalanceN1[Table],"&gt;=81100",BalanceN1[Table],"&lt;81200")
-
SUMIFS(TFTN1[Mvt_Credit],TFTN1[Compte],"&gt;=10611",TFTN1[Compte],"&lt;10612")
-
SUMIFS(TFTN1[Mvt_Credit],TFTN1[Compte],"&gt;=10621",TFTN1[Compte],"&lt;10622")
-
SUMIFS(TFTN1[Mvt_Credit],TFTN1[Compte],"&gt;=15410",TFTN1[Compte],"&lt;15420"))</f>
        <v>0</v>
      </c>
    </row>
    <row r="22" spans="1:10" ht="18.899999999999999" customHeight="1">
      <c r="A22" s="917" t="s">
        <v>1381</v>
      </c>
      <c r="B22" s="1655" t="s">
        <v>1382</v>
      </c>
      <c r="C22" s="1655"/>
      <c r="D22" s="1655"/>
      <c r="E22" s="1655"/>
      <c r="F22" s="1655"/>
      <c r="G22" s="918"/>
      <c r="H22" s="919"/>
      <c r="I22" s="337">
        <f>-(
SUMIFS(BalanceN[BS_Debit],BalanceN[Table],"&gt;=22000",BalanceN[Table],"&lt;25000")
-
SUMIFS(BalanceN[BE_Debit],BalanceN[Table],"&gt;=22000",BalanceN[Table],"&lt;25000")
+
SUMIFS(BalanceN[Mvt_Debit],BalanceN[Table],"&gt;=25200",BalanceN[Table],"&lt;25300")
-
SUMIFS(BalanceN[Mvt_Credit],BalanceN[Table],"&gt;=25200",BalanceN[Table],"&lt;25300")
+
SUMIFS(BalanceN[Mvt_Debit],BalanceN[Table],"&gt;=40420",BalanceN[Table],"&lt;40430")
+
SUMIFS(BalanceN[Mvt_Debit],BalanceN[Table],"&gt;=40470",BalanceN[Table],"&lt;40480")
+
SUMIFS(BalanceN[Mvt_Debit],BalanceN[Table],"&gt;=48120",BalanceN[Table],"&lt;48130")
+
SUMIFS(TFTN[Mvt_Debit],TFTN[Compte],"&gt;=48162",TFTN[Compte],"&lt;48163")
+
SUMIFS(TFTN[Mvt_Debit],TFTN[Compte],"&gt;=48172",TFTN[Compte],"&lt;48173")
+
SUMIFS(TFTN[Mvt_Debit],TFTN[Compte],"&gt;=48182",TFTN[Compte],"&lt;48183")
+
SUMIFS(BalanceN[Mvt_Debit],BalanceN[Table],"&gt;=48220",BalanceN[Table],"&lt;48230")
+
SUMIFS(BalanceN[Mvt_Debit],BalanceN[Table],"&gt;=28200",BalanceN[Table],"&lt;28500")
-
SUMIFS(BalanceN[Mvt_Credit],BalanceN[Table],"&gt;=17000",BalanceN[Table],"&lt;18000")
-
SUMIFS(BalanceN[Mvt_Credit],BalanceN[Table],"&gt;=40420",BalanceN[Table],"&lt;40430")
-
SUMIFS(BalanceN[Mvt_Credit],BalanceN[Table],"&gt;=40470",BalanceN[Table],"&lt;40480")
-
SUMIFS(BalanceN[Mvt_Credit],BalanceN[Table],"&gt;=48120",BalanceN[Table],"&lt;48130")
-
SUMIFS(TFTN[Mvt_Credit],TFTN[Compte],"&gt;=48162",TFTN[Compte],"&lt;48163")
-
SUMIFS(TFTN[Mvt_Credit],TFTN[Compte],"&gt;=48172",TFTN[Compte],"&lt;48173")
-
SUMIFS(TFTN[Mvt_Credit],TFTN[Compte],"&gt;=48182",TFTN[Compte],"&lt;48183")
-
SUMIFS(BalanceN[Mvt_Credit],BalanceN[Table],"&gt;=48220",BalanceN[Table],"&lt;48230")
-
SUMIFS(BalanceN[Mvt_Credit],BalanceN[Table],"&gt;=19842",BalanceN[Table],"&lt;19843")
-
SUMIFS(TFTN[Mvt_Credit],TFTN[Compte],"&gt;=10612",TFTN[Compte],"&lt;10613")
-
SUMIFS(TFTN[Mvt_Credit],TFTN[Compte],"&gt;=10622",TFTN[Compte],"&lt;10623")
-
SUMIFS(TFTN[Mvt_Credit],TFTN[Compte],"&gt;=15420",TFTN[Compte],"&lt;15430")
+
SUMIFS(BalanceN[BS_Debit],BalanceN[Table],"&gt;=65420",BalanceN[Table],"&lt;65430")
+
SUMIFS(BalanceN[BS_Debit],BalanceN[Table],"&gt;=81200",BalanceN[Table],"&lt;81300"))</f>
        <v>-327218000</v>
      </c>
      <c r="J22" s="337">
        <f>-(
SUMIFS(BalanceN1[BS_Debit],BalanceN1[Table],"&gt;=22000",BalanceN1[Table],"&lt;25000")
-
SUMIFS(BalanceN1[BE_Debit],BalanceN1[Table],"&gt;=22000",BalanceN1[Table],"&lt;25000")
+
SUMIFS(BalanceN1[BS_Debit],BalanceN1[Table],"&gt;=25200",BalanceN1[Table],"&lt;25300")
-
SUMIFS(BalanceN1[BE_Debit],BalanceN1[Table],"&gt;=25200",BalanceN1[Table],"&lt;25300")
+
SUMIFS(BalanceN1[Mvt_Debit],BalanceN1[Table],"&gt;=40420",BalanceN1[Table],"&lt;40430")
+
SUMIFS(BalanceN1[Mvt_Debit],BalanceN1[Table],"&gt;=40470",BalanceN1[Table],"&lt;40480")
+
SUMIFS(BalanceN1[Mvt_Debit],BalanceN1[Table],"&gt;=48120",BalanceN1[Table],"&lt;48130")
+
SUMIFS(TFTN1[Mvt_Debit],TFTN1[Compte],"&gt;=48162",TFTN1[Compte],"&lt;48163")
+
SUMIFS(TFTN1[Mvt_Debit],TFTN1[Compte],"&gt;=48172",TFTN1[Compte],"&lt;48173")
+
SUMIFS(TFTN1[Mvt_Debit],TFTN1[Compte],"&gt;=48182",TFTN1[Compte],"&lt;48183")
+
SUMIFS(BalanceN1[Mvt_Debit],BalanceN1[Table],"&gt;=48220",BalanceN1[Table],"&lt;48230")
+
SUMIFS(BalanceN1[Mvt_Debit],BalanceN1[Table],"&gt;=28200",BalanceN1[Table],"&lt;28500")
-
SUMIFS(BalanceN1[Mvt_Credit],BalanceN1[Table],"&gt;=17000",BalanceN1[Table],"&lt;18000")
-
SUMIFS(BalanceN1[Mvt_Credit],BalanceN1[Table],"&gt;=40420",BalanceN1[Table],"&lt;40430")
-
SUMIFS(BalanceN1[Mvt_Credit],BalanceN1[Table],"&gt;=40470",BalanceN1[Table],"&lt;40480")
-
SUMIFS(BalanceN1[Mvt_Credit],BalanceN1[Table],"&gt;=48120",BalanceN1[Table],"&lt;48130")
-
SUMIFS(TFTN1[Mvt_Credit],TFTN1[Compte],"&gt;=48162",TFTN1[Compte],"&lt;48163")
-
SUMIFS(TFTN1[Mvt_Credit],TFTN1[Compte],"&gt;=48172",TFTN1[Compte],"&lt;48173")
-
SUMIFS(TFTN1[Mvt_Credit],TFTN1[Compte],"&gt;=48182",TFTN1[Compte],"&lt;48183")
-
SUMIFS(BalanceN1[Mvt_Credit],BalanceN1[Table],"&gt;=48220",BalanceN1[Table],"&lt;48230")
-
SUMIFS(BalanceN1[Mvt_Credit],BalanceN1[Table],"&gt;=19842",BalanceN1[Table],"&lt;19843")
-
SUMIFS(TFTN1[Mvt_Credit],TFTN1[Compte],"&gt;=10612",TFTN1[Compte],"&lt;10613")
-
SUMIFS(TFTN1[Mvt_Credit],TFTN1[Compte],"&gt;=10622",TFTN1[Compte],"&lt;10623")
-
SUMIFS(TFTN1[Mvt_Credit],TFTN1[Compte],"&gt;=15420",TFTN1[Compte],"&lt;15430")
+
SUMIFS(BalanceN1[BS_Debit],BalanceN1[Table],"&gt;=65420",BalanceN1[Table],"&lt;65430")
+
SUMIFS(BalanceN1[BS_Debit],BalanceN1[Table],"&gt;=81200",BalanceN1[Table],"&lt;81300"))</f>
        <v>-17971503</v>
      </c>
    </row>
    <row r="23" spans="1:10" ht="18.899999999999999" customHeight="1">
      <c r="A23" s="917" t="s">
        <v>1383</v>
      </c>
      <c r="B23" s="1655" t="s">
        <v>1384</v>
      </c>
      <c r="C23" s="1655"/>
      <c r="D23" s="1655"/>
      <c r="E23" s="1655"/>
      <c r="F23" s="1655"/>
      <c r="G23" s="918"/>
      <c r="H23" s="919"/>
      <c r="I23" s="337">
        <f>-(
SUMIFS(BalanceN[Mvt_Debit],BalanceN[Table],"&gt;=26000",BalanceN[Table],"&lt;28000")
+
SUMIFS(BalanceN[Mvt_Debit],BalanceN[Table],"&gt;=48130",BalanceN[Table],"&lt;48140")
-
SUMIFS(BalanceN[Mvt_Credit],BalanceN[Table],"&gt;=48130",BalanceN[Table],"&lt;48140")
-
SUMIFS(TFTN[Mvt_Credit],TFTN[Compte],"&gt;=10613",TFTN[Compte],"&lt;10614")
-
SUMIFS(TFTN[Mvt_Credit],TFTN[Compte],"&gt;=10623",TFTN[Compte],"&lt;10624")
-
SUMIFS(TFTN[Mvt_Credit],TFTN[Compte],"&gt;=15430",TFTN[Compte],"&lt;15440")
+
SUMIFS(BalanceN[BS_Debit],BalanceN[Table],"&gt;=47820",BalanceN[Table],"&lt;47830")
-
SUMIFS(BalanceN[BS_Debit],BalanceN[Table],"&gt;=47920",BalanceN[Table],"&lt;47930"))</f>
        <v>-601175</v>
      </c>
      <c r="J23" s="337">
        <f>-(
SUMIFS(BalanceN1[Mvt_Debit],BalanceN1[Table],"&gt;=26000",BalanceN1[Table],"&lt;28000")
+
SUMIFS(BalanceN1[Mvt_Debit],BalanceN1[Table],"&gt;=48130",BalanceN1[Table],"&lt;48140")
-
SUMIFS(BalanceN1[Mvt_Credit],BalanceN1[Table],"&gt;=48130",BalanceN1[Table],"&lt;48140")
-
SUMIFS(TFTN1[Mvt_Credit],TFTN1[Compte],"&gt;=10613",TFTN1[Compte],"&lt;10614")
-
SUMIFS(TFTN1[Mvt_Credit],TFTN1[Compte],"&gt;=10623",TFTN1[Compte],"&lt;10624")
-
SUMIFS(TFTN1[Mvt_Credit],TFTN1[Compte],"&gt;=15430",TFTN1[Compte],"&lt;15440")
+
SUMIFS(BalanceN1[BS_Debit],BalanceN1[Table],"&gt;=47820",BalanceN1[Table],"&lt;47830")
-
SUMIFS(BalanceN1[BS_Debit],BalanceN1[Table],"&gt;=47920",BalanceN1[Table],"&lt;47930"))</f>
        <v>-958379</v>
      </c>
    </row>
    <row r="24" spans="1:10" ht="18.899999999999999" customHeight="1">
      <c r="A24" s="917" t="s">
        <v>1385</v>
      </c>
      <c r="B24" s="1655" t="s">
        <v>1386</v>
      </c>
      <c r="C24" s="1655"/>
      <c r="D24" s="1655"/>
      <c r="E24" s="1655"/>
      <c r="F24" s="1655"/>
      <c r="G24" s="918"/>
      <c r="H24" s="919"/>
      <c r="I24" s="337">
        <f xml:space="preserve">
SUMIFS(BalanceN[BS_Credit],BalanceN[Table],"&gt;=75400",BalanceN[Table],"&lt;75500")
+
SUMIFS(BalanceN[BS_Credit],BalanceN[Table],"&gt;=82100",BalanceN[Table],"&lt;82300")
-
SUMIFS(BalanceN[Mvt_Debit],BalanceN[Table],"&gt;=41400",BalanceN[Table],"&lt;41500")
-
SUMIFS(BalanceN[Mvt_Debit],BalanceN[Table],"&gt;=48510",BalanceN[Table],"&lt;48560")
-
SUMIFS(BalanceN[Mvt_Debit],BalanceN[Table],"&gt;=48570",BalanceN[Table],"&lt;48600")
+
SUMIFS(BalanceN[Mvt_Credit],BalanceN[Table],"&gt;=41400",BalanceN[Table],"&lt;41500")
+
SUMIFS(BalanceN[Mvt_Credit],BalanceN[Table],"&gt;=48510",BalanceN[Table],"&lt;48560")
+
SUMIFS(BalanceN[Mvt_Credit],BalanceN[Table],"&gt;=48570",BalanceN[Table],"&lt;48600")</f>
        <v>367119</v>
      </c>
      <c r="J24" s="337">
        <f xml:space="preserve">
SUMIFS(BalanceN1[BS_Credit],BalanceN1[Table],"&gt;=75400",BalanceN1[Table],"&lt;75500")
+
SUMIFS(BalanceN1[BS_Credit],BalanceN1[Table],"&gt;=82100",BalanceN1[Table],"&lt;82300")
-
SUMIFS(BalanceN1[Mvt_Debit],BalanceN1[Table],"&gt;=41400",BalanceN1[Table],"&lt;41500")
-
SUMIFS(BalanceN1[Mvt_Debit],BalanceN1[Table],"&gt;=48510",BalanceN1[Table],"&lt;48560")
-
SUMIFS(BalanceN1[Mvt_Debit],BalanceN1[Table],"&gt;=48570",BalanceN1[Table],"&lt;48600")
+
SUMIFS(BalanceN1[Mvt_Credit],BalanceN1[Table],"&gt;=41400",BalanceN1[Table],"&lt;41500")
+
SUMIFS(BalanceN1[Mvt_Credit],BalanceN1[Table],"&gt;=48510",BalanceN1[Table],"&lt;48560")
+
SUMIFS(BalanceN1[Mvt_Credit],BalanceN1[Table],"&gt;=48570",BalanceN1[Table],"&lt;48600")</f>
        <v>590000</v>
      </c>
    </row>
    <row r="25" spans="1:10" ht="18.899999999999999" customHeight="1">
      <c r="A25" s="917" t="s">
        <v>1387</v>
      </c>
      <c r="B25" s="1655" t="s">
        <v>1388</v>
      </c>
      <c r="C25" s="1655"/>
      <c r="D25" s="1655"/>
      <c r="E25" s="1655"/>
      <c r="F25" s="1655"/>
      <c r="G25" s="918"/>
      <c r="H25" s="919"/>
      <c r="I25" s="337">
        <f xml:space="preserve">
SUMIFS(BalanceN[BS_Credit],BalanceN[Table],"&gt;=82600",BalanceN[Table],"&lt;82700")
+
SUMIFS(BalanceN[Mvt_Credit],BalanceN[Table],"&gt;=27000",BalanceN[Table],"&lt;27660")
+
SUMIFS(BalanceN[Mvt_Credit],BalanceN[Table],"&gt;=27670",BalanceN[Table],"&lt;28000")
-
SUMIFS(BalanceN[Mvt_Debit],BalanceN[Table],"&gt;=48560",BalanceN[Table],"&lt;48570")
+
SUMIFS(BalanceN[Mvt_Credit],BalanceN[Table],"&gt;=48560",BalanceN[Table],"&lt;48570")</f>
        <v>730043</v>
      </c>
      <c r="J25" s="337">
        <f xml:space="preserve">
SUMIFS(BalanceN1[BS_Credit],BalanceN1[Table],"&gt;=82600",BalanceN1[Table],"&lt;82700")
+
SUMIFS(BalanceN1[Mvt_Credit],BalanceN1[Table],"&gt;=27000",BalanceN1[Table],"&lt;27660")
+
SUMIFS(BalanceN1[Mvt_Credit],BalanceN1[Table],"&gt;=27670",BalanceN1[Table],"&lt;28000")
-
SUMIFS(BalanceN1[Mvt_Debit],BalanceN1[Table],"&gt;=48560",BalanceN1[Table],"&lt;48570")
+
SUMIFS(BalanceN1[Mvt_Credit],BalanceN1[Table],"&gt;=48560",BalanceN1[Table],"&lt;48570")</f>
        <v>1179865</v>
      </c>
    </row>
    <row r="26" spans="1:10" ht="18.899999999999999" customHeight="1">
      <c r="A26" s="914" t="s">
        <v>1030</v>
      </c>
      <c r="B26" s="1709" t="s">
        <v>1389</v>
      </c>
      <c r="C26" s="1693"/>
      <c r="D26" s="1693"/>
      <c r="E26" s="1693"/>
      <c r="F26" s="1694"/>
      <c r="G26" s="915" t="s">
        <v>1276</v>
      </c>
      <c r="H26" s="916"/>
      <c r="I26" s="334">
        <f>SUM(I21:I25)</f>
        <v>-328722013</v>
      </c>
      <c r="J26" s="334">
        <f>IFERROR(SUM(J21:J25),"")</f>
        <v>-17160017</v>
      </c>
    </row>
    <row r="27" spans="1:10" ht="17.25" customHeight="1">
      <c r="A27" s="917"/>
      <c r="B27" s="1725" t="s">
        <v>1390</v>
      </c>
      <c r="C27" s="1726"/>
      <c r="D27" s="1726"/>
      <c r="E27" s="1726"/>
      <c r="F27" s="1726"/>
      <c r="G27" s="335"/>
      <c r="H27" s="335"/>
      <c r="I27" s="335"/>
      <c r="J27" s="336"/>
    </row>
    <row r="28" spans="1:10" ht="18.899999999999999" customHeight="1">
      <c r="A28" s="917" t="s">
        <v>1391</v>
      </c>
      <c r="B28" s="1655" t="s">
        <v>1392</v>
      </c>
      <c r="C28" s="1655"/>
      <c r="D28" s="1655"/>
      <c r="E28" s="1655"/>
      <c r="F28" s="1655"/>
      <c r="G28" s="918"/>
      <c r="H28" s="919"/>
      <c r="I28" s="337">
        <f>IF(
SUMIFS(BalanceN[BS_Credit],BalanceN[Table],"&gt;=10100",BalanceN[Table],"&lt;10300")
+
SUMIFS(BalanceN[BS_Credit],BalanceN[Table],"&gt;=10510",BalanceN[Table],"&lt;10520")
-
SUMIFS(BalanceN[BE_Credit],BalanceN[Table],"&gt;=10100",BalanceN[Table],"&lt;10300")
-
SUMIFS(BalanceN[BE_Credit],BalanceN[Table],"&gt;=10510",BalanceN[Table],"&lt;10520")
-
SUMIFS(BalanceN[BS_Debit],BalanceN[Table],"&gt;=10900",BalanceN[Table],"&lt;11000")
-
SUMIFS(BalanceN[BS_Debit],BalanceN[Table],"&gt;=46130",BalanceN[Table],"&lt;46140")
-
SUMIFS(BalanceN[BS_Debit],BalanceN[Table],"&gt;=46700",BalanceN[Table],"&lt;46800")
-
SUMIFS(BalanceN[BS_Debit],BalanceN[Table],"&gt;=45810",BalanceN[Table],"&lt;45820")
-
SUMIFS(BalanceN[Mvt_Debit],BalanceN[Table],"&gt;=11000",BalanceN[Table],"&lt;13200")
+
SUMIFS(BalanceN[Mvt_Credit],BalanceN[Table],"&gt;=10300",BalanceN[Table],"&lt;10500")
+
SUMIFS(BalanceN[Mvt_Credit],BalanceN[Table],"&gt;=11000",BalanceN[Table],"&lt;13000")
+
SUMIFS(BalanceN[Mvt_Credit],BalanceN[Table],"&gt;=13900",BalanceN[Table],"&lt;14000")
+
SUMIFS(BalanceN[Mvt_Credit],BalanceN[Table],"&gt;=46190",BalanceN[Table],"&lt;46200")
+
SUMIFS(BalanceN[Mvt_Credit],BalanceN[Table],"&gt;=46500",BalanceN[Table],"&lt;46600")&gt;0,
SUMIFS(BalanceN[BS_Credit],BalanceN[Table],"&gt;=10100",BalanceN[Table],"&lt;10300")
+
SUMIFS(BalanceN[BS_Credit],BalanceN[Table],"&gt;=10510",BalanceN[Table],"&lt;10520")
-
SUMIFS(BalanceN[BE_Credit],BalanceN[Table],"&gt;=10100",BalanceN[Table],"&lt;10300")
-
SUMIFS(BalanceN[BE_Credit],BalanceN[Table],"&gt;=10510",BalanceN[Table],"&lt;10520")
-
SUMIFS(BalanceN[BS_Debit],BalanceN[Table],"&gt;=10900",BalanceN[Table],"&lt;11000")
-
SUMIFS(BalanceN[BS_Debit],BalanceN[Table],"&gt;=46130",BalanceN[Table],"&lt;46140")
-
SUMIFS(BalanceN[BS_Debit],BalanceN[Table],"&gt;=46700",BalanceN[Table],"&lt;46800")
-
SUMIFS(BalanceN[BS_Debit],BalanceN[Table],"&gt;=45810",BalanceN[Table],"&lt;45820")
-
SUMIFS(BalanceN[Mvt_Debit],BalanceN[Table],"&gt;=11000",BalanceN[Table],"&lt;13200")
+
SUMIFS(BalanceN[Mvt_Credit],BalanceN[Table],"&gt;=10300",BalanceN[Table],"&lt;10500")
+
SUMIFS(BalanceN[Mvt_Credit],BalanceN[Table],"&gt;=11000",BalanceN[Table],"&lt;13000")
+
SUMIFS(BalanceN[Mvt_Credit],BalanceN[Table],"&gt;=13900",BalanceN[Table],"&lt;14000")
+
SUMIFS(BalanceN[Mvt_Credit],BalanceN[Table],"&gt;=46190",BalanceN[Table],"&lt;46200")
+
SUMIFS(BalanceN[Mvt_Credit],BalanceN[Table],"&gt;=46500",BalanceN[Table],"&lt;46600"),
0)</f>
        <v>200000000</v>
      </c>
      <c r="J28" s="337">
        <f>IF(
SUMIFS(BalanceN1[BS_Credit],BalanceN1[Table],"&gt;=10100",BalanceN1[Table],"&lt;10300")
+
SUMIFS(BalanceN1[BS_Credit],BalanceN1[Table],"&gt;=10510",BalanceN1[Table],"&lt;10520")
-
SUMIFS(BalanceN1[BE_Credit],BalanceN1[Table],"&gt;=10100",BalanceN1[Table],"&lt;10300")
-
SUMIFS(BalanceN1[BE_Credit],BalanceN1[Table],"&gt;=10510",BalanceN1[Table],"&lt;10520")
-
SUMIFS(BalanceN1[BS_Debit],BalanceN1[Table],"&gt;=10900",BalanceN1[Table],"&lt;11000")
-
SUMIFS(BalanceN1[BS_Debit],BalanceN1[Table],"&gt;=46130",BalanceN1[Table],"&lt;46140")
-
SUMIFS(BalanceN1[BS_Debit],BalanceN1[Table],"&gt;=46700",BalanceN1[Table],"&lt;46800")
-
SUMIFS(BalanceN1[BS_Debit],BalanceN1[Table],"&gt;=45810",BalanceN1[Table],"&lt;45820")
-
SUMIFS(BalanceN1[Mvt_Debit],BalanceN1[Table],"&gt;=11000",BalanceN1[Table],"&lt;13200")
+
SUMIFS(BalanceN1[Mvt_Credit],BalanceN1[Table],"&gt;=10300",BalanceN1[Table],"&lt;10500")
+
SUMIFS(BalanceN1[Mvt_Credit],BalanceN1[Table],"&gt;=11000",BalanceN1[Table],"&lt;13000")
+
SUMIFS(BalanceN1[Mvt_Credit],BalanceN1[Table],"&gt;=13900",BalanceN1[Table],"&lt;14000")
+
SUMIFS(BalanceN1[Mvt_Credit],BalanceN1[Table],"&gt;=46190",BalanceN1[Table],"&lt;46200")
+
SUMIFS(BalanceN1[Mvt_Credit],BalanceN1[Table],"&gt;=46500",BalanceN1[Table],"&lt;46600")&gt;0,
SUMIFS(BalanceN1[BS_Credit],BalanceN1[Table],"&gt;=10100",BalanceN1[Table],"&lt;10300")
+
SUMIFS(BalanceN1[BS_Credit],BalanceN1[Table],"&gt;=10510",BalanceN1[Table],"&lt;10520")
-
SUMIFS(BalanceN1[BE_Credit],BalanceN1[Table],"&gt;=10100",BalanceN1[Table],"&lt;10300")
-
SUMIFS(BalanceN1[BE_Credit],BalanceN1[Table],"&gt;=10510",BalanceN1[Table],"&lt;10520")
-
SUMIFS(BalanceN1[BS_Debit],BalanceN1[Table],"&gt;=10900",BalanceN1[Table],"&lt;11000")
-
SUMIFS(BalanceN1[BS_Debit],BalanceN1[Table],"&gt;=46130",BalanceN1[Table],"&lt;46140")
-
SUMIFS(BalanceN1[BS_Debit],BalanceN1[Table],"&gt;=46700",BalanceN1[Table],"&lt;46800")
-
SUMIFS(BalanceN1[BS_Debit],BalanceN1[Table],"&gt;=45810",BalanceN1[Table],"&lt;45820")
-
SUMIFS(BalanceN1[Mvt_Debit],BalanceN1[Table],"&gt;=11000",BalanceN1[Table],"&lt;13200")
+
SUMIFS(BalanceN1[Mvt_Credit],BalanceN1[Table],"&gt;=10300",BalanceN1[Table],"&lt;10500")
+
SUMIFS(BalanceN1[Mvt_Credit],BalanceN1[Table],"&gt;=11000",BalanceN1[Table],"&lt;13000")
+
SUMIFS(BalanceN1[Mvt_Credit],BalanceN1[Table],"&gt;=13900",BalanceN1[Table],"&lt;14000")
+
SUMIFS(BalanceN1[Mvt_Credit],BalanceN1[Table],"&gt;=46190",BalanceN1[Table],"&lt;46200")
+
SUMIFS(BalanceN1[Mvt_Credit],BalanceN1[Table],"&gt;=46500",BalanceN1[Table],"&lt;46600"),
0)</f>
        <v>0</v>
      </c>
    </row>
    <row r="29" spans="1:10" ht="18.899999999999999" customHeight="1">
      <c r="A29" s="917" t="s">
        <v>1393</v>
      </c>
      <c r="B29" s="1655" t="s">
        <v>1394</v>
      </c>
      <c r="C29" s="1655"/>
      <c r="D29" s="1655"/>
      <c r="E29" s="1655"/>
      <c r="F29" s="1655"/>
      <c r="G29" s="918"/>
      <c r="H29" s="919"/>
      <c r="I29" s="337">
        <f>IF(
SUMIFS(BalanceN[BS_Credit],BalanceN[Table],"&gt;=14000",BalanceN[Table],"&lt;15000")
-
SUMIFS(BalanceN[BE_Credit],BalanceN[Table],"&gt;=14000",BalanceN[Table],"&lt;15000")
+
SUMIFS(BalanceN[BS_Credit],BalanceN[Table],"&gt;=79900",BalanceN[Table],"&lt;80000")
-
SUMIFS(BalanceN[BS_Debit],BalanceN[Table],"&gt;=44940",BalanceN[Table],"&lt;44950")
-
SUMIFS(BalanceN[BS_Debit],BalanceN[Table],"&gt;=45820",BalanceN[Table],"&lt;45830")&gt;0,
SUMIFS(BalanceN[BS_Credit],BalanceN[Table],"&gt;=14000",BalanceN[Table],"&lt;15000")
-
SUMIFS(BalanceN[BE_Credit],BalanceN[Table],"&gt;=14000",BalanceN[Table],"&lt;15000")
+
SUMIFS(BalanceN[BS_Credit],BalanceN[Table],"&gt;=79900",BalanceN[Table],"&lt;80000")
-
SUMIFS(BalanceN[BS_Debit],BalanceN[Table],"&gt;=44940",BalanceN[Table],"&lt;44950")
-
SUMIFS(BalanceN[BS_Debit],BalanceN[Table],"&gt;=45820",BalanceN[Table],"&lt;45830"),
0)</f>
        <v>2000000</v>
      </c>
      <c r="J29" s="337">
        <f>IF(
SUMIFS(BalanceN1[BS_Credit],BalanceN1[Table],"&gt;=14000",BalanceN1[Table],"&lt;15000")
-
SUMIFS(BalanceN1[BE_Credit],BalanceN1[Table],"&gt;=14000",BalanceN1[Table],"&lt;15000")
+
SUMIFS(BalanceN1[BS_Credit],BalanceN1[Table],"&gt;=79900",BalanceN1[Table],"&lt;80000")
-
SUMIFS(BalanceN1[BS_Debit],BalanceN1[Table],"&gt;=44940",BalanceN1[Table],"&lt;44950")
-
SUMIFS(BalanceN1[BS_Debit],BalanceN1[Table],"&gt;=45820",BalanceN1[Table],"&lt;45830")&gt;0,
SUMIFS(BalanceN1[BS_Credit],BalanceN1[Table],"&gt;=14000",BalanceN1[Table],"&lt;15000")
-
SUMIFS(BalanceN1[BE_Credit],BalanceN1[Table],"&gt;=14000",BalanceN1[Table],"&lt;15000")
+
SUMIFS(BalanceN1[BS_Credit],BalanceN1[Table],"&gt;=79900",BalanceN1[Table],"&lt;80000")
-
SUMIFS(BalanceN1[BS_Debit],BalanceN1[Table],"&gt;=44940",BalanceN1[Table],"&lt;44950")
-
SUMIFS(BalanceN1[BS_Debit],BalanceN1[Table],"&gt;=45820",BalanceN1[Table],"&lt;45830"),
0)</f>
        <v>0</v>
      </c>
    </row>
    <row r="30" spans="1:10" ht="18.899999999999999" customHeight="1">
      <c r="A30" s="917" t="s">
        <v>1395</v>
      </c>
      <c r="B30" s="1655" t="s">
        <v>1396</v>
      </c>
      <c r="C30" s="1655"/>
      <c r="D30" s="1655"/>
      <c r="E30" s="1655"/>
      <c r="F30" s="1655"/>
      <c r="G30" s="918"/>
      <c r="H30" s="919"/>
      <c r="I30" s="337">
        <f>-(
SUMIFS(BalanceN[Mvt_Debit],BalanceN[Table],"&gt;=46190",BalanceN[Table],"&lt;46200")
+
SUMIFS(BalanceN[Mvt_Debit],BalanceN[Table],"&gt;=10300",BalanceN[Table],"&lt;10500"))</f>
        <v>0</v>
      </c>
      <c r="J30" s="337">
        <f>-(
SUMIFS(BalanceN1[Mvt_Debit],BalanceN1[Table],"&gt;=46190",BalanceN1[Table],"&lt;46200")
+
SUMIFS(BalanceN1[BE_Debit],BalanceN1[Table],"&gt;=10300",BalanceN1[Table],"&lt;10500"))</f>
        <v>0</v>
      </c>
    </row>
    <row r="31" spans="1:10" ht="18.899999999999999" customHeight="1">
      <c r="A31" s="917" t="s">
        <v>1397</v>
      </c>
      <c r="B31" s="1655" t="s">
        <v>1398</v>
      </c>
      <c r="C31" s="1655"/>
      <c r="D31" s="1655"/>
      <c r="E31" s="1655"/>
      <c r="F31" s="1655"/>
      <c r="G31" s="918"/>
      <c r="H31" s="919"/>
      <c r="I31" s="337">
        <f>-(
SUMIFS(BalanceN[Mvt_Debit],BalanceN[Table],"&gt;=46500",BalanceN[Table],"&lt;46600"))</f>
        <v>-90000000</v>
      </c>
      <c r="J31" s="337">
        <f>-(
SUMIFS(BalanceN1[Mvt_Debit],BalanceN1[Table],"&gt;=46500",BalanceN1[Table],"&lt;46600"))</f>
        <v>-40000000</v>
      </c>
    </row>
    <row r="32" spans="1:10" ht="18.899999999999999" customHeight="1">
      <c r="A32" s="914" t="s">
        <v>1029</v>
      </c>
      <c r="B32" s="1709" t="s">
        <v>1399</v>
      </c>
      <c r="C32" s="1693"/>
      <c r="D32" s="1693"/>
      <c r="E32" s="1693"/>
      <c r="F32" s="1694"/>
      <c r="G32" s="915" t="s">
        <v>1279</v>
      </c>
      <c r="H32" s="916"/>
      <c r="I32" s="334">
        <f>SUM(I28:I31)</f>
        <v>112000000</v>
      </c>
      <c r="J32" s="334">
        <f>IFERROR(SUM(J28:J31),"")</f>
        <v>-40000000</v>
      </c>
    </row>
    <row r="33" spans="1:10" ht="17.25" customHeight="1">
      <c r="A33" s="917"/>
      <c r="B33" s="1725" t="s">
        <v>1400</v>
      </c>
      <c r="C33" s="1726"/>
      <c r="D33" s="1726"/>
      <c r="E33" s="1726"/>
      <c r="F33" s="1726"/>
      <c r="G33" s="335"/>
      <c r="H33" s="335"/>
      <c r="I33" s="335"/>
      <c r="J33" s="336"/>
    </row>
    <row r="34" spans="1:10" ht="18.899999999999999" customHeight="1">
      <c r="A34" s="917" t="s">
        <v>1401</v>
      </c>
      <c r="B34" s="1708" t="s">
        <v>1402</v>
      </c>
      <c r="C34" s="1655"/>
      <c r="D34" s="1655"/>
      <c r="E34" s="1655"/>
      <c r="F34" s="1655"/>
      <c r="G34" s="918"/>
      <c r="H34" s="919"/>
      <c r="I34" s="337">
        <f xml:space="preserve">
SUMIFS(BalanceN[Mvt_Credit],BalanceN[Table],"&gt;=16000",BalanceN[Table],"&lt;17000")
-
SUMIFS(BalanceN[Mvt_Debit],BalanceN[Table],"&gt;=47840",BalanceN[Table],"&lt;47850")</f>
        <v>100000000</v>
      </c>
      <c r="J34" s="337">
        <f xml:space="preserve">
SUMIFS(BalanceN1[Mvt_Credit],BalanceN1[Table],"&gt;=16000",BalanceN1[Table],"&lt;17000")
-
SUMIFS(BalanceN1[Mvt_Debit],BalanceN1[Table],"&gt;=47840",BalanceN1[Table],"&lt;47850")</f>
        <v>0</v>
      </c>
    </row>
    <row r="35" spans="1:10" ht="18.899999999999999" customHeight="1">
      <c r="A35" s="917" t="s">
        <v>1403</v>
      </c>
      <c r="B35" s="1708" t="s">
        <v>1404</v>
      </c>
      <c r="C35" s="1655"/>
      <c r="D35" s="1655"/>
      <c r="E35" s="1655"/>
      <c r="F35" s="1655"/>
      <c r="G35" s="918"/>
      <c r="H35" s="919"/>
      <c r="I35" s="337">
        <f xml:space="preserve">
SUMIFS(BalanceN[Mvt_Credit],BalanceN[Table],"&gt;=18100",BalanceN[Table],"&lt;18500")</f>
        <v>0</v>
      </c>
      <c r="J35" s="337">
        <f xml:space="preserve">
SUMIFS(BalanceN1[Mvt_Credit],BalanceN1[Table],"&gt;=18100",BalanceN1[Table],"&lt;18500")</f>
        <v>0</v>
      </c>
    </row>
    <row r="36" spans="1:10" ht="18.899999999999999" customHeight="1">
      <c r="A36" s="917" t="s">
        <v>1405</v>
      </c>
      <c r="B36" s="1655" t="s">
        <v>1406</v>
      </c>
      <c r="C36" s="1655"/>
      <c r="D36" s="1655"/>
      <c r="E36" s="1655"/>
      <c r="F36" s="1655"/>
      <c r="G36" s="918"/>
      <c r="H36" s="919"/>
      <c r="I36" s="337">
        <f>-(
SUMIFS(BalanceN[Mvt_Debit],BalanceN[Table],"&gt;=16000",BalanceN[Table],"&lt;18500")
-
SUMIFS(BalanceN[BS_Credit],BalanceN[Table],"&gt;=47940",BalanceN[Table],"&lt;47950"))</f>
        <v>-5000000</v>
      </c>
      <c r="J36" s="337">
        <f>-(
SUMIFS(BalanceN1[Mvt_Debit],BalanceN1[Table],"&gt;=16000",BalanceN1[Table],"&lt;18500")
-
SUMIFS(BalanceN1[BS_Credit],BalanceN1[Table],"&gt;=47940",BalanceN1[Table],"&lt;47950"))</f>
        <v>0</v>
      </c>
    </row>
    <row r="37" spans="1:10" ht="18.899999999999999" customHeight="1">
      <c r="A37" s="914" t="s">
        <v>1033</v>
      </c>
      <c r="B37" s="1709" t="s">
        <v>1407</v>
      </c>
      <c r="C37" s="1693"/>
      <c r="D37" s="1693"/>
      <c r="E37" s="1693"/>
      <c r="F37" s="1694"/>
      <c r="G37" s="915" t="s">
        <v>1408</v>
      </c>
      <c r="H37" s="916"/>
      <c r="I37" s="334">
        <f>SUM(I34:I36)</f>
        <v>95000000</v>
      </c>
      <c r="J37" s="334">
        <f>IFERROR(SUM(J34:J36),"")</f>
        <v>0</v>
      </c>
    </row>
    <row r="38" spans="1:10" ht="18.899999999999999" customHeight="1">
      <c r="A38" s="914" t="s">
        <v>1034</v>
      </c>
      <c r="B38" s="1709" t="s">
        <v>1409</v>
      </c>
      <c r="C38" s="1693"/>
      <c r="D38" s="1693"/>
      <c r="E38" s="1693"/>
      <c r="F38" s="1694"/>
      <c r="G38" s="915" t="s">
        <v>1410</v>
      </c>
      <c r="H38" s="916"/>
      <c r="I38" s="334">
        <f>I32+I37</f>
        <v>207000000</v>
      </c>
      <c r="J38" s="334">
        <f>IFERROR(J32+J37,"")</f>
        <v>-40000000</v>
      </c>
    </row>
    <row r="39" spans="1:10" ht="18.899999999999999" customHeight="1">
      <c r="A39" s="914" t="s">
        <v>1038</v>
      </c>
      <c r="B39" s="1661" t="s">
        <v>1411</v>
      </c>
      <c r="C39" s="1661"/>
      <c r="D39" s="1661"/>
      <c r="E39" s="1661"/>
      <c r="F39" s="1661"/>
      <c r="G39" s="927" t="s">
        <v>1412</v>
      </c>
      <c r="H39" s="928"/>
      <c r="I39" s="341">
        <f>I19+I26+I38</f>
        <v>48512970</v>
      </c>
      <c r="J39" s="341">
        <f>J19+J26+J38</f>
        <v>40988753</v>
      </c>
    </row>
    <row r="40" spans="1:10" ht="24.75" customHeight="1">
      <c r="A40" s="929" t="s">
        <v>1039</v>
      </c>
      <c r="B40" s="1710" t="s">
        <v>1413</v>
      </c>
      <c r="C40" s="1711"/>
      <c r="D40" s="1711"/>
      <c r="E40" s="1711"/>
      <c r="F40" s="930"/>
      <c r="G40" s="931" t="s">
        <v>1414</v>
      </c>
      <c r="H40" s="932"/>
      <c r="I40" s="342">
        <f>I10+I39</f>
        <v>123097127</v>
      </c>
      <c r="J40" s="342">
        <f>IFERROR(J10+J39,"")</f>
        <v>74584157</v>
      </c>
    </row>
    <row r="41" spans="1:10" ht="14.25" customHeight="1">
      <c r="A41" s="933"/>
      <c r="B41" s="1712" t="s">
        <v>1415</v>
      </c>
      <c r="C41" s="1713"/>
      <c r="D41" s="1713"/>
      <c r="E41" s="1714"/>
      <c r="F41" s="1715"/>
      <c r="G41" s="339"/>
      <c r="H41" s="339"/>
      <c r="I41" s="339" t="str">
        <f>IF(I40&lt;&gt;BILAN!H37-BILAN!M37,"# de "&amp;TEXT(BILAN!H37-BILAN!M37-I40,"# ##0"),"")</f>
        <v/>
      </c>
      <c r="J41" s="339" t="str">
        <f>IF(J40&lt;&gt;BILAN!I37-BILAN!N37,"# de "&amp;TEXT(BILAN!I37-BILAN!N37-J40,"# ##0"),"")</f>
        <v/>
      </c>
    </row>
    <row r="42" spans="1:10" ht="30.6" customHeight="1">
      <c r="A42" s="934" t="s">
        <v>1416</v>
      </c>
      <c r="B42" s="1707" t="s">
        <v>1417</v>
      </c>
      <c r="C42" s="1707"/>
      <c r="D42" s="1707"/>
      <c r="E42" s="1707"/>
      <c r="F42" s="1707"/>
      <c r="G42" s="935"/>
      <c r="H42" s="935"/>
      <c r="I42" s="935" t="str">
        <f>IF(I41="","","Contrôle Trésorerie net N")</f>
        <v/>
      </c>
      <c r="J42" s="935" t="str">
        <f>IF(J41="","","Contrôle Trésorerie net N-1")</f>
        <v/>
      </c>
    </row>
    <row r="43" spans="1:10">
      <c r="A43" s="809" t="s">
        <v>1255</v>
      </c>
      <c r="B43" s="299" t="s">
        <v>1418</v>
      </c>
      <c r="C43" s="299"/>
      <c r="D43" s="299"/>
      <c r="E43" s="299"/>
    </row>
    <row r="44" spans="1:10" ht="14.4" customHeight="1">
      <c r="A44" s="809" t="s">
        <v>1419</v>
      </c>
      <c r="B44" s="299" t="s">
        <v>1420</v>
      </c>
      <c r="C44" s="299"/>
      <c r="D44" s="299"/>
      <c r="E44" s="299"/>
    </row>
  </sheetData>
  <sheetProtection algorithmName="SHA-512" hashValue="2Ie/xbD+xsDBk6BKDnn5TdfzzNUdjPW2rXyAiIszvAKyqsJ+MVkV3OWvLBJ3H4tIT2ZYjhaDJQBZO0AEBTFomg==" saltValue="8GXsIjg5xwS6dVjGWp6yBA==" spinCount="100000" sheet="1" objects="1" scenarios="1" selectLockedCells="1"/>
  <mergeCells count="45">
    <mergeCell ref="B11:F11"/>
    <mergeCell ref="B20:F20"/>
    <mergeCell ref="B27:F27"/>
    <mergeCell ref="B33:F33"/>
    <mergeCell ref="B10:F10"/>
    <mergeCell ref="B22:F22"/>
    <mergeCell ref="B12:F12"/>
    <mergeCell ref="B13:F13"/>
    <mergeCell ref="B14:F14"/>
    <mergeCell ref="B15:F15"/>
    <mergeCell ref="B16:F16"/>
    <mergeCell ref="B17:F17"/>
    <mergeCell ref="B19:F19"/>
    <mergeCell ref="B21:F21"/>
    <mergeCell ref="C18:D18"/>
    <mergeCell ref="B23:F23"/>
    <mergeCell ref="A1:J1"/>
    <mergeCell ref="H2:J2"/>
    <mergeCell ref="C3:J3"/>
    <mergeCell ref="C4:H4"/>
    <mergeCell ref="C5:D5"/>
    <mergeCell ref="F5:H5"/>
    <mergeCell ref="C6:E6"/>
    <mergeCell ref="A7:J7"/>
    <mergeCell ref="A8:A9"/>
    <mergeCell ref="B8:G9"/>
    <mergeCell ref="H8:H9"/>
    <mergeCell ref="B24:F24"/>
    <mergeCell ref="B25:F25"/>
    <mergeCell ref="B26:F26"/>
    <mergeCell ref="B28:F28"/>
    <mergeCell ref="B41:D41"/>
    <mergeCell ref="E41:F41"/>
    <mergeCell ref="B34:F34"/>
    <mergeCell ref="B29:F29"/>
    <mergeCell ref="B30:F30"/>
    <mergeCell ref="B31:F31"/>
    <mergeCell ref="B32:F32"/>
    <mergeCell ref="B42:F42"/>
    <mergeCell ref="B35:F35"/>
    <mergeCell ref="B36:F36"/>
    <mergeCell ref="B37:F37"/>
    <mergeCell ref="B38:F38"/>
    <mergeCell ref="B39:F39"/>
    <mergeCell ref="B40:E40"/>
  </mergeCells>
  <dataValidations count="1">
    <dataValidation type="whole" allowBlank="1" showInputMessage="1" showErrorMessage="1" errorTitle="Attention !" error="Valeur numérique attendue" sqref="C18:E18 I12:J16 I39:J39 I21:J25 I28:J31 I34:J36" xr:uid="{9C13565C-E588-4D55-8F10-DA9E0CBEC487}">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1E59E-7762-4836-85BB-EAC1F37EB1C3}">
  <sheetPr codeName="Feuil93">
    <tabColor theme="8" tint="-0.499984740745262"/>
  </sheetPr>
  <dimension ref="A1:Y142"/>
  <sheetViews>
    <sheetView showGridLines="0" zoomScale="85" zoomScaleNormal="85" workbookViewId="0">
      <selection activeCell="F7" sqref="F7"/>
    </sheetView>
  </sheetViews>
  <sheetFormatPr baseColWidth="10" defaultColWidth="10.9453125" defaultRowHeight="20.05" customHeight="1"/>
  <cols>
    <col min="1" max="1" width="5.578125" style="1142" customWidth="1"/>
    <col min="2" max="2" width="102.47265625" style="1142" bestFit="1" customWidth="1"/>
    <col min="3" max="3" width="5" style="1139" customWidth="1"/>
    <col min="4" max="5" width="21.68359375" style="1139" customWidth="1"/>
    <col min="6" max="20" width="10.9453125" style="1138"/>
    <col min="21" max="22" width="16.41796875" style="1139" customWidth="1"/>
    <col min="23" max="24" width="16.41796875" style="1140" customWidth="1"/>
    <col min="25" max="25" width="16.41796875" style="1139" customWidth="1"/>
    <col min="26" max="16384" width="10.9453125" style="1138"/>
  </cols>
  <sheetData>
    <row r="1" spans="1:24" ht="30" customHeight="1">
      <c r="A1" s="1729" t="s">
        <v>11596</v>
      </c>
      <c r="B1" s="1729"/>
      <c r="C1" s="1729"/>
      <c r="D1" s="1729"/>
      <c r="E1" s="1729"/>
      <c r="X1" s="1141"/>
    </row>
    <row r="2" spans="1:24" ht="20.05" customHeight="1" thickBot="1">
      <c r="X2" s="1141"/>
    </row>
    <row r="3" spans="1:24" ht="20.05" customHeight="1" thickBot="1">
      <c r="A3" s="1143"/>
      <c r="B3" s="1143" t="s">
        <v>0</v>
      </c>
      <c r="C3" s="1144"/>
      <c r="D3" s="1145" t="s">
        <v>11597</v>
      </c>
      <c r="E3" s="1146"/>
      <c r="X3" s="1141"/>
    </row>
    <row r="4" spans="1:24" ht="20.05" customHeight="1" thickBot="1">
      <c r="A4" s="1147"/>
      <c r="B4" s="1147"/>
      <c r="C4" s="1148"/>
      <c r="D4" s="1149" t="s">
        <v>3734</v>
      </c>
      <c r="E4" s="1149" t="s">
        <v>3736</v>
      </c>
      <c r="X4" s="1141"/>
    </row>
    <row r="5" spans="1:24" ht="20.05" customHeight="1">
      <c r="A5" s="1150"/>
      <c r="B5" s="1151" t="s">
        <v>11598</v>
      </c>
      <c r="C5" s="1152" t="s">
        <v>1262</v>
      </c>
      <c r="D5" s="1153">
        <f>SUMIFS(BalanceN[BE_Debit],BalanceN[Table],"&gt;=50000",BalanceN[Table],"&lt;51000")
+SUMIFS(BalanceN[BE_Debit],BalanceN[Table],"&gt;=51000",BalanceN[Table],"&lt;52000")
+SUMIFS(BalanceN[BE_Debit],BalanceN[Table],"&gt;=52000",BalanceN[Table],"&lt;58000")
+SUMIFS(BalanceN[BE_Debit],BalanceN[Table],"&gt;=58100",BalanceN[Table],"&lt;58300")</f>
        <v>74584157</v>
      </c>
      <c r="E5" s="1154">
        <f>SUMIFS(BalanceN1[BE_Debit],BalanceN1[Table],"&gt;=50000",BalanceN1[Table],"&lt;51000")
+SUMIFS(BalanceN1[BE_Debit],BalanceN1[Table],"&gt;=51000",BalanceN1[Table],"&lt;52000")
+SUMIFS(BalanceN1[BE_Debit],BalanceN1[Table],"&gt;=52000",BalanceN1[Table],"&lt;58000")
+SUMIFS(BalanceN1[BE_Debit],BalanceN1[Table],"&gt;=58100",BalanceN1[Table],"&lt;58300")</f>
        <v>33595404</v>
      </c>
      <c r="F5" s="118"/>
      <c r="X5" s="1141"/>
    </row>
    <row r="6" spans="1:24" ht="20.05" customHeight="1">
      <c r="A6" s="1155"/>
      <c r="B6" s="1156" t="s">
        <v>11599</v>
      </c>
      <c r="C6" s="1157" t="s">
        <v>11600</v>
      </c>
      <c r="D6" s="1158">
        <f>-(SUMIFS(BalanceN[BE_Credit],BalanceN[Table],"&gt;=50000",BalanceN[Table],"&lt;51000")
+SUMIFS(BalanceN[BE_Credit],BalanceN[Table],"&gt;=51000",BalanceN[Table],"&lt;52000")
+SUMIFS(BalanceN[BE_Credit],BalanceN[Table],"&gt;=52000",BalanceN[Table],"&lt;58000")
+SUMIFS(BalanceN[BE_Credit],BalanceN[Table],"&gt;=58100",BalanceN[Table],"&lt;58300"))</f>
        <v>0</v>
      </c>
      <c r="E6" s="1159">
        <f>-(SUMIFS(BalanceN1[BE_Credit],BalanceN1[Table],"&gt;=50000",BalanceN1[Table],"&lt;51000")
+SUMIFS(BalanceN1[BE_Credit],BalanceN1[Table],"&gt;=51000",BalanceN1[Table],"&lt;52000")
+SUMIFS(BalanceN1[BE_Credit],BalanceN1[Table],"&gt;=52000",BalanceN1[Table],"&lt;58000")
+SUMIFS(BalanceN1[BE_Credit],BalanceN1[Table],"&gt;=58100",BalanceN1[Table],"&lt;58300"))</f>
        <v>0</v>
      </c>
      <c r="F6" s="118"/>
      <c r="X6" s="1141"/>
    </row>
    <row r="7" spans="1:24" ht="20.05" customHeight="1" thickBot="1">
      <c r="A7" s="1160"/>
      <c r="B7" s="1161" t="s">
        <v>11601</v>
      </c>
      <c r="C7" s="1162" t="s">
        <v>11602</v>
      </c>
      <c r="D7" s="1163">
        <f>-SUMIFS(BalanceN[BE_Credit],BalanceN[Table],"&gt;=47260",BalanceN[Table],"&lt;47270")</f>
        <v>0</v>
      </c>
      <c r="E7" s="1163">
        <f>-SUMIFS(BalanceN1[BE_Credit],BalanceN1[Table],"&gt;=47260",BalanceN1[Table],"&lt;47270")</f>
        <v>0</v>
      </c>
      <c r="F7" s="118"/>
      <c r="X7" s="1141"/>
    </row>
    <row r="8" spans="1:24" ht="20.05" customHeight="1" thickBot="1">
      <c r="A8" s="1164" t="s">
        <v>11603</v>
      </c>
      <c r="B8" s="1165" t="s">
        <v>11604</v>
      </c>
      <c r="C8" s="1166"/>
      <c r="D8" s="1167">
        <f>SUM(D5:D7)</f>
        <v>74584157</v>
      </c>
      <c r="E8" s="1167">
        <f>SUM(E5:E7)</f>
        <v>33595404</v>
      </c>
      <c r="F8" s="118"/>
      <c r="X8" s="1141"/>
    </row>
    <row r="9" spans="1:24" ht="20.05" customHeight="1">
      <c r="A9" s="1150"/>
      <c r="B9" s="1151" t="s">
        <v>11605</v>
      </c>
      <c r="C9" s="1152" t="s">
        <v>1262</v>
      </c>
      <c r="D9" s="1153">
        <f>RESULTAT!I34</f>
        <v>266876104</v>
      </c>
      <c r="E9" s="1153">
        <f>RESULTAT!J34</f>
        <v>173588509</v>
      </c>
      <c r="F9" s="118"/>
    </row>
    <row r="10" spans="1:24" ht="20.05" customHeight="1">
      <c r="A10" s="1168"/>
      <c r="B10" s="1169" t="s">
        <v>11606</v>
      </c>
      <c r="C10" s="1157" t="s">
        <v>1262</v>
      </c>
      <c r="D10" s="1158">
        <f>RESULTAT!I38+RESULTAT!I40+RESULTAT!I41</f>
        <v>4000000</v>
      </c>
      <c r="E10" s="1158">
        <f>RESULTAT!J38+RESULTAT!J40+RESULTAT!J41</f>
        <v>0</v>
      </c>
      <c r="F10" s="118"/>
    </row>
    <row r="11" spans="1:24" ht="20.05" customHeight="1">
      <c r="A11" s="1168"/>
      <c r="B11" s="1169" t="s">
        <v>11607</v>
      </c>
      <c r="C11" s="1157" t="s">
        <v>1262</v>
      </c>
      <c r="D11" s="1158">
        <f>RESULTAT!I46-SUMIFS(BalanceN[BS_Credit],BalanceN[Table],"&gt;=86000",BalanceN[Table],"&lt;87000")</f>
        <v>2000000</v>
      </c>
      <c r="E11" s="1158">
        <f>RESULTAT!J46-SUMIFS(BalanceN1[BS_Credit],BalanceN1[Table],"&gt;=86000",BalanceN1[Table],"&lt;87000")</f>
        <v>0</v>
      </c>
      <c r="F11" s="118"/>
    </row>
    <row r="12" spans="1:24" ht="20.05" customHeight="1">
      <c r="A12" s="1168"/>
      <c r="B12" s="1169" t="s">
        <v>11608</v>
      </c>
      <c r="C12" s="1157" t="s">
        <v>1265</v>
      </c>
      <c r="D12" s="1158">
        <f>RESULTAT!I48-SUMIFS(BalanceN[BS_Debit],BalanceN[Table],"&gt;=85000",BalanceN[Table],"&lt;86000")</f>
        <v>0</v>
      </c>
      <c r="E12" s="1158">
        <f>RESULTAT!J48-SUMIFS(BalanceN1[BS_Debit],BalanceN1[Table],"&gt;=85000",BalanceN1[Table],"&lt;86000")</f>
        <v>0</v>
      </c>
      <c r="F12" s="118"/>
    </row>
    <row r="13" spans="1:24" ht="20.05" customHeight="1">
      <c r="A13" s="1168"/>
      <c r="B13" s="1169" t="s">
        <v>11609</v>
      </c>
      <c r="C13" s="1157" t="s">
        <v>1265</v>
      </c>
      <c r="D13" s="1158">
        <f>RESULTAT!I50</f>
        <v>0</v>
      </c>
      <c r="E13" s="1158">
        <f>RESULTAT!J50</f>
        <v>0</v>
      </c>
      <c r="F13" s="118"/>
    </row>
    <row r="14" spans="1:24" ht="20.05" customHeight="1">
      <c r="A14" s="1168"/>
      <c r="B14" s="1169" t="s">
        <v>11610</v>
      </c>
      <c r="C14" s="1157" t="s">
        <v>1265</v>
      </c>
      <c r="D14" s="1158">
        <f>RESULTAT!I51</f>
        <v>-31102200</v>
      </c>
      <c r="E14" s="1158">
        <f>RESULTAT!J51</f>
        <v>-23411413</v>
      </c>
      <c r="F14" s="118"/>
    </row>
    <row r="15" spans="1:24" ht="20.05" customHeight="1">
      <c r="A15" s="1168"/>
      <c r="B15" s="1169" t="s">
        <v>11611</v>
      </c>
      <c r="C15" s="1157" t="s">
        <v>1262</v>
      </c>
      <c r="D15" s="1158">
        <f>SUMIFS(BalanceN[BS_Debit],BalanceN[Table],"&gt;=65400",BalanceN[Table],"&lt;65500")</f>
        <v>0</v>
      </c>
      <c r="E15" s="1158">
        <f>SUMIFS(BalanceN1[BS_Debit],BalanceN1[Table],"&gt;=65400",BalanceN1[Table],"&lt;65500")</f>
        <v>0</v>
      </c>
      <c r="F15" s="118"/>
    </row>
    <row r="16" spans="1:24" ht="20.05" customHeight="1" thickBot="1">
      <c r="A16" s="1160"/>
      <c r="B16" s="1161" t="s">
        <v>11612</v>
      </c>
      <c r="C16" s="1162" t="s">
        <v>1265</v>
      </c>
      <c r="D16" s="1163">
        <f>-
SUMIFS(BalanceN[BS_Credit],BalanceN[Table],"&gt;=75400",BalanceN[Table],"&lt;75500")</f>
        <v>0</v>
      </c>
      <c r="E16" s="1170">
        <f>-
SUMIFS(BalanceN1[BS_Credit],BalanceN1[Table],"&gt;=75400",BalanceN1[Table],"&lt;75500")</f>
        <v>0</v>
      </c>
      <c r="F16" s="118"/>
    </row>
    <row r="17" spans="1:6" ht="20.05" customHeight="1" thickBot="1">
      <c r="A17" s="1171" t="s">
        <v>1365</v>
      </c>
      <c r="B17" s="1172" t="s">
        <v>11613</v>
      </c>
      <c r="C17" s="1173"/>
      <c r="D17" s="1174">
        <f>SUM(D9:D16)</f>
        <v>241773904</v>
      </c>
      <c r="E17" s="1174">
        <f>SUM(E9:E16)</f>
        <v>150177096</v>
      </c>
      <c r="F17" s="118"/>
    </row>
    <row r="18" spans="1:6" ht="20.05" customHeight="1">
      <c r="A18" s="1150"/>
      <c r="B18" s="1151" t="s">
        <v>11614</v>
      </c>
      <c r="C18" s="1152" t="s">
        <v>1262</v>
      </c>
      <c r="D18" s="1153">
        <f>SUMIFS(BalanceN[BS_Debit],BalanceN[Table],"&gt;=48500",BalanceN[Table],"&lt;48900")-(SUMIFS(BalanceN[BS_Debit],BalanceN[Table],"&gt;=49850",BalanceN[Table],"&lt;49890"))
-(SUMIFS(BalanceN[BE_Debit],BalanceN[Table],"&gt;=48500",BalanceN[Table],"&lt;48900")-(SUMIFS(BalanceN[BE_Debit],BalanceN[Table],"&gt;=49850",BalanceN[Table],"&lt;49890")))</f>
        <v>1760000</v>
      </c>
      <c r="E18" s="1154">
        <f>SUMIFS(BalanceN1[BS_Debit],BalanceN1[Table],"&gt;=48500",BalanceN1[Table],"&lt;48900")-(SUMIFS(BalanceN1[BS_Debit],BalanceN1[Table],"&gt;=49850",BalanceN1[Table],"&lt;49890"))
-(SUMIFS(BalanceN1[BE_Debit],BalanceN1[Table],"&gt;=48500",BalanceN1[Table],"&lt;48900")-(SUMIFS(BalanceN1[BE_Debit],BalanceN1[Table],"&gt;=49850",BalanceN1[Table],"&lt;49890")))</f>
        <v>-240000</v>
      </c>
      <c r="F18" s="118"/>
    </row>
    <row r="19" spans="1:6" ht="20.05" customHeight="1">
      <c r="A19" s="1168"/>
      <c r="B19" s="1169" t="s">
        <v>11615</v>
      </c>
      <c r="C19" s="1157" t="s">
        <v>1265</v>
      </c>
      <c r="D19" s="1158">
        <f>-(SUMIFS(BalanceN[BS_Debit],BalanceN[Table],"&gt;=48500",BalanceN[Table],"&lt;48600")-SUMIFS(BalanceN[BE_Debit],BalanceN[Table],"&gt;=48500",BalanceN[Table],"&lt;48600"))</f>
        <v>240000</v>
      </c>
      <c r="E19" s="1158">
        <f>-(SUMIFS(BalanceN1[BS_Debit],BalanceN1[Table],"&gt;=48500",BalanceN1[Table],"&lt;48600")-SUMIFS(BalanceN1[BE_Debit],BalanceN1[Table],"&gt;=48500",BalanceN1[Table],"&lt;48600"))</f>
        <v>240000</v>
      </c>
      <c r="F19" s="118"/>
    </row>
    <row r="20" spans="1:6" ht="20.05" customHeight="1" thickBot="1">
      <c r="A20" s="1175" t="s">
        <v>1367</v>
      </c>
      <c r="B20" s="1176" t="s">
        <v>3563</v>
      </c>
      <c r="C20" s="1177" t="s">
        <v>1265</v>
      </c>
      <c r="D20" s="1178">
        <f>SUM(D18:D19)</f>
        <v>2000000</v>
      </c>
      <c r="E20" s="1178">
        <f>SUM(E18:E19)</f>
        <v>0</v>
      </c>
      <c r="F20" s="118"/>
    </row>
    <row r="21" spans="1:6" ht="20.05" customHeight="1" thickBot="1">
      <c r="A21" s="1179" t="s">
        <v>1369</v>
      </c>
      <c r="B21" s="1180" t="s">
        <v>11616</v>
      </c>
      <c r="C21" s="1181" t="s">
        <v>1265</v>
      </c>
      <c r="D21" s="1182">
        <f>SUMIFS(BalanceN[BS_Debit],BalanceN[Table],"&gt;=30000",BalanceN[Table],"&lt;40000")
-
SUMIFS(BalanceN[BS_Credit],BalanceN[Table],"&gt;=30000",BalanceN[Table],"&lt;40000")
-
SUMIFS(BalanceN[BE_Debit],BalanceN[Table],"&gt;=30000",BalanceN[Table],"&lt;40000")
+
SUMIFS(BalanceN[BE_Credit],BalanceN[Table],"&gt;=30000",BalanceN[Table],"&lt;40000")</f>
        <v>2691705</v>
      </c>
      <c r="E21" s="1183">
        <f>SUMIFS(BalanceN1[BS_Debit],BalanceN1[Table],"&gt;=30000",BalanceN1[Table],"&lt;40000")
-
SUMIFS(BalanceN1[BS_Credit],BalanceN1[Table],"&gt;=30000",BalanceN1[Table],"&lt;40000")
-
SUMIFS(BalanceN1[BE_Debit],BalanceN1[Table],"&gt;=30000",BalanceN1[Table],"&lt;40000")
+
SUMIFS(BalanceN1[BE_Credit],BalanceN1[Table],"&gt;=30000",BalanceN1[Table],"&lt;40000")</f>
        <v>-945953</v>
      </c>
      <c r="F21" s="118"/>
    </row>
    <row r="22" spans="1:6" ht="20.05" customHeight="1">
      <c r="A22" s="1150"/>
      <c r="B22" s="1151" t="s">
        <v>11617</v>
      </c>
      <c r="C22" s="1152" t="s">
        <v>1262</v>
      </c>
      <c r="D22" s="1153">
        <f>SUMIFS(BalanceN[BS_Debit],BalanceN[Table],"&gt;=40900",BalanceN[Table],"&lt;41100")
-
SUMIFS(BalanceN[BS_Credit],BalanceN[Table],"&gt;=49000",BalanceN[Table],"&lt;49100")
+
SUMIFS(BalanceN[BS_Debit],BalanceN[Table],"&gt;=41100",BalanceN[Table],"&lt;42000")
-
SUMIFS(BalanceN[BS_Credit],BalanceN[Table],"&gt;=49100",BalanceN[Table],"&lt;49200")
+
SUMIFS(BalanceN[BS_Debit],BalanceN[Table],"&gt;=18500",BalanceN[Table],"&lt;18600")
+
SUMIFS(BalanceN[BS_Debit],BalanceN[Table],"&gt;=42000",BalanceN[Table],"&lt;47800")
-
SUMIFS(BalanceN[BS_Credit],BalanceN[Table],"&gt;=49200",BalanceN[Table],"&lt;49800")
-
SUMIFS(BalanceN[BE_Debit],BalanceN[Table],"&gt;=40900",BalanceN[Table],"&lt;41100")
+
SUMIFS(BalanceN[BE_Credit],BalanceN[Table],"&gt;=49000",BalanceN[Table],"&lt;49100")
-
SUMIFS(BalanceN[BE_Debit],BalanceN[Table],"&gt;=41100",BalanceN[Table],"&lt;42000")
+
SUMIFS(BalanceN[BE_Credit],BalanceN[Table],"&gt;=49100",BalanceN[Table],"&lt;49200")
-
SUMIFS(BalanceN[BE_Debit],BalanceN[Table],"&gt;=18500",BalanceN[Table],"&lt;18600")
-
SUMIFS(BalanceN[BE_Debit],BalanceN[Table],"&gt;=42000",BalanceN[Table],"&lt;47800")
+
SUMIFS(BalanceN[BE_Credit],BalanceN[Table],"&gt;=49200",BalanceN[Table],"&lt;49800")</f>
        <v>30792222</v>
      </c>
      <c r="E22" s="1154">
        <f>SUMIFS(BalanceN1[BS_Debit],BalanceN1[Table],"&gt;=40900",BalanceN1[Table],"&lt;41100")
-
SUMIFS(BalanceN1[BS_Credit],BalanceN1[Table],"&gt;=49000",BalanceN1[Table],"&lt;49100")
+
SUMIFS(BalanceN1[BS_Debit],BalanceN1[Table],"&gt;=41100",BalanceN1[Table],"&lt;42000")
-
SUMIFS(BalanceN1[BS_Credit],BalanceN1[Table],"&gt;=49100",BalanceN1[Table],"&lt;49200")
+
SUMIFS(BalanceN1[BS_Debit],BalanceN1[Table],"&gt;=18500",BalanceN1[Table],"&lt;18600")
+
SUMIFS(BalanceN1[BS_Debit],BalanceN1[Table],"&gt;=42000",BalanceN1[Table],"&lt;47800")
-
SUMIFS(BalanceN1[BS_Credit],BalanceN1[Table],"&gt;=49200",BalanceN1[Table],"&lt;49800")
-
SUMIFS(BalanceN1[BE_Debit],BalanceN1[Table],"&gt;=40900",BalanceN1[Table],"&lt;41100")
+
SUMIFS(BalanceN1[BE_Credit],BalanceN1[Table],"&gt;=49000",BalanceN1[Table],"&lt;49100")
-
SUMIFS(BalanceN1[BE_Debit],BalanceN1[Table],"&gt;=41100",BalanceN1[Table],"&lt;42000")
+
SUMIFS(BalanceN1[BE_Credit],BalanceN1[Table],"&gt;=49100",BalanceN1[Table],"&lt;49200")
-
SUMIFS(BalanceN1[BE_Debit],BalanceN1[Table],"&gt;=18500",BalanceN1[Table],"&lt;18600")
-
SUMIFS(BalanceN1[BE_Debit],BalanceN1[Table],"&gt;=42000",BalanceN1[Table],"&lt;47800")
+
SUMIFS(BalanceN1[BE_Credit],BalanceN1[Table],"&gt;=49200",BalanceN1[Table],"&lt;49800")</f>
        <v>25371738</v>
      </c>
      <c r="F22" s="118"/>
    </row>
    <row r="23" spans="1:6" ht="20.05" customHeight="1">
      <c r="A23" s="1168"/>
      <c r="B23" s="1169" t="s">
        <v>11618</v>
      </c>
      <c r="C23" s="1157" t="s">
        <v>1265</v>
      </c>
      <c r="D23" s="1158">
        <f>-
SUMIFS(BalanceN[BS_Debit],BalanceN[Table],"&gt;=41400",BalanceN[Table],"&lt;41500")
-
SUMIFS(BalanceN[BS_Debit],BalanceN[Table],"&gt;=44940",BalanceN[Table],"&lt;44950")
-
SUMIFS(BalanceN[BS_Debit],BalanceN[Table],"&gt;=45800",BalanceN[Table],"&lt;45900")
-
SUMIFS(BalanceN[BS_Debit],BalanceN[Table],"&gt;=46100",BalanceN[Table],"&lt;46200")
-
SUMIFS(BalanceN[BS_Debit],BalanceN[Table],"&gt;=46700",BalanceN[Table],"&lt;46800")</f>
        <v>0</v>
      </c>
      <c r="E23" s="1159">
        <f>-
SUMIFS(BalanceN1[BS_Debit],BalanceN1[Table],"&gt;=41400",BalanceN1[Table],"&lt;41500")
-
SUMIFS(BalanceN1[BS_Debit],BalanceN1[Table],"&gt;=44940",BalanceN1[Table],"&lt;44950")
-
SUMIFS(BalanceN1[BS_Debit],BalanceN1[Table],"&gt;=45800",BalanceN1[Table],"&lt;45900")
-
SUMIFS(BalanceN1[BS_Debit],BalanceN1[Table],"&gt;=46100",BalanceN1[Table],"&lt;46200")
-
SUMIFS(BalanceN1[BS_Debit],BalanceN1[Table],"&gt;=46700",BalanceN1[Table],"&lt;46800")</f>
        <v>0</v>
      </c>
      <c r="F23" s="118"/>
    </row>
    <row r="24" spans="1:6" ht="20.05" customHeight="1">
      <c r="A24" s="1168"/>
      <c r="B24" s="1169" t="s">
        <v>11619</v>
      </c>
      <c r="C24" s="1157" t="s">
        <v>1262</v>
      </c>
      <c r="D24" s="1158">
        <f>+
SUMIFS(BalanceN[BE_Debit],BalanceN[Table],"&gt;=41400",BalanceN[Table],"&lt;41500")
+
SUMIFS(BalanceN[BE_Debit],BalanceN[Table],"&gt;=44940",BalanceN[Table],"&lt;44950")
+
SUMIFS(BalanceN[BE_Debit],BalanceN[Table],"&gt;=45800",BalanceN[Table],"&lt;45900")
+
SUMIFS(BalanceN[BE_Debit],BalanceN[Table],"&gt;=46100",BalanceN[Table],"&lt;46200")
+
SUMIFS(BalanceN[BE_Debit],BalanceN[Table],"&gt;=46700",BalanceN[Table],"&lt;46800")</f>
        <v>0</v>
      </c>
      <c r="E24" s="1159">
        <f>+
SUMIFS(BalanceN1[BE_Debit],BalanceN1[Table],"&gt;=41400",BalanceN1[Table],"&lt;41500")
+
SUMIFS(BalanceN1[BE_Debit],BalanceN1[Table],"&gt;=44940",BalanceN1[Table],"&lt;44950")
+
SUMIFS(BalanceN1[BE_Debit],BalanceN1[Table],"&gt;=45800",BalanceN1[Table],"&lt;45900")
+
SUMIFS(BalanceN1[BE_Debit],BalanceN1[Table],"&gt;=46100",BalanceN1[Table],"&lt;46200")
+
SUMIFS(BalanceN1[BE_Debit],BalanceN1[Table],"&gt;=46700",BalanceN1[Table],"&lt;46800")</f>
        <v>0</v>
      </c>
      <c r="F24" s="118"/>
    </row>
    <row r="25" spans="1:6" ht="20.05" customHeight="1">
      <c r="A25" s="1168"/>
      <c r="B25" s="1169" t="s">
        <v>11620</v>
      </c>
      <c r="C25" s="1157" t="s">
        <v>1262</v>
      </c>
      <c r="D25" s="1158">
        <f>+
SUMIFS(TFTN[BS_Debit],TFTN[Compte],"&gt;=47811",TFTN[Compte],"&lt;47812")</f>
        <v>15000000</v>
      </c>
      <c r="E25" s="1159">
        <f>+
SUMIFS(TFTN1[BS_Debit],TFTN1[Compte],"&gt;=47811",TFTN1[Compte],"&lt;47812")</f>
        <v>0</v>
      </c>
      <c r="F25" s="118"/>
    </row>
    <row r="26" spans="1:6" ht="20.05" customHeight="1">
      <c r="A26" s="1168"/>
      <c r="B26" s="1169" t="s">
        <v>11621</v>
      </c>
      <c r="C26" s="1157" t="s">
        <v>1265</v>
      </c>
      <c r="D26" s="1158">
        <f>-
SUMIFS(TFTN[BS_Credit],TFTN[Compte],"&gt;=47911",TFTN[Compte],"&lt;47912")</f>
        <v>0</v>
      </c>
      <c r="E26" s="1159">
        <f>-
SUMIFS(TFTN1[BS_Credit],TFTN1[Compte],"&gt;=47911",TFTN1[Compte],"&lt;47912")</f>
        <v>0</v>
      </c>
      <c r="F26" s="118"/>
    </row>
    <row r="27" spans="1:6" ht="20.05" customHeight="1" thickBot="1">
      <c r="A27" s="1175" t="s">
        <v>1371</v>
      </c>
      <c r="B27" s="1176" t="s">
        <v>11622</v>
      </c>
      <c r="C27" s="1177" t="s">
        <v>1265</v>
      </c>
      <c r="D27" s="1178">
        <f>SUM(D22:D26)</f>
        <v>45792222</v>
      </c>
      <c r="E27" s="1178">
        <f>SUM(E22:E26)</f>
        <v>25371738</v>
      </c>
      <c r="F27" s="118"/>
    </row>
    <row r="28" spans="1:6" ht="20.05" customHeight="1">
      <c r="A28" s="1150"/>
      <c r="B28" s="1151" t="s">
        <v>11623</v>
      </c>
      <c r="C28" s="1152" t="s">
        <v>1262</v>
      </c>
      <c r="D28" s="1153">
        <f xml:space="preserve">
SUMIFS(BalanceN[BS_Credit],BalanceN[Table],"&gt;=48100",BalanceN[Table],"&lt;48500")
+
SUMIFS(BalanceN[BS_Credit],BalanceN[Table],"&gt;=49980",BalanceN[Table],"&lt;49990")
+
SUMIFS(BalanceN[BS_Credit],BalanceN[Table],"&gt;=41900",BalanceN[Table],"&lt;42000")
+
SUMIFS(BalanceN[BS_Credit],BalanceN[Table],"&gt;=40100",BalanceN[Table],"&lt;40900")
+
SUMIFS(BalanceN[BS_Credit],BalanceN[Table],"&gt;=42000",BalanceN[Table],"&lt;45000")
+
SUMIFS(BalanceN[BS_Credit],BalanceN[Table],"&gt;=18500",BalanceN[Table],"&lt;18600")
+
SUMIFS(BalanceN[BS_Credit],BalanceN[Table],"&gt;=45000",BalanceN[Table],"&lt;47900")
+
SUMIFS(BalanceN[BS_Credit],BalanceN[Table],"&gt;=49900",BalanceN[Table],"&lt;49980")
+
SUMIFS(BalanceN[BS_Credit],BalanceN[Table],"&gt;=59900",BalanceN[Table],"&lt;60000")
-
SUMIFS(BalanceN[BE_Credit],BalanceN[Table],"&gt;=48100",BalanceN[Table],"&lt;48500")
-
SUMIFS(BalanceN[BE_Credit],BalanceN[Table],"&gt;=49980",BalanceN[Table],"&lt;49990")
-
SUMIFS(BalanceN[BE_Credit],BalanceN[Table],"&gt;=41900",BalanceN[Table],"&lt;42000")
-
SUMIFS(BalanceN[BE_Credit],BalanceN[Table],"&gt;=40100",BalanceN[Table],"&lt;40900")
-
SUMIFS(BalanceN[BE_Credit],BalanceN[Table],"&gt;=42000",BalanceN[Table],"&lt;45000")
-
SUMIFS(BalanceN[BE_Credit],BalanceN[Table],"&gt;=18500",BalanceN[Table],"&lt;18600")
-
SUMIFS(BalanceN[BE_Credit],BalanceN[Table],"&gt;=45000",BalanceN[Table],"&lt;47900")
-
SUMIFS(BalanceN[BE_Credit],BalanceN[Table],"&gt;=49900",BalanceN[Table],"&lt;49980")
-
SUMIFS(BalanceN[BE_Credit],BalanceN[Table],"&gt;=59900",BalanceN[Table],"&lt;60000")</f>
        <v>135195006</v>
      </c>
      <c r="E28" s="1154">
        <f xml:space="preserve">
SUMIFS(BalanceN1[BS_Credit],BalanceN1[Table],"&gt;=48100",BalanceN1[Table],"&lt;48500")
+
SUMIFS(BalanceN1[BS_Credit],BalanceN1[Table],"&gt;=49980",BalanceN1[Table],"&lt;49990")
+
SUMIFS(BalanceN1[BS_Credit],BalanceN1[Table],"&gt;=41900",BalanceN1[Table],"&lt;42000")
+
SUMIFS(BalanceN1[BS_Credit],BalanceN1[Table],"&gt;=40100",BalanceN1[Table],"&lt;40900")
+
SUMIFS(BalanceN1[BS_Credit],BalanceN1[Table],"&gt;=42000",BalanceN1[Table],"&lt;45000")
+
SUMIFS(BalanceN1[BS_Credit],BalanceN1[Table],"&gt;=18500",BalanceN1[Table],"&lt;18600")
+
SUMIFS(BalanceN1[BS_Credit],BalanceN1[Table],"&gt;=45000",BalanceN1[Table],"&lt;47900")
+
SUMIFS(BalanceN1[BS_Credit],BalanceN1[Table],"&gt;=49900",BalanceN1[Table],"&lt;49980")
+
SUMIFS(BalanceN1[BS_Credit],BalanceN1[Table],"&gt;=59900",BalanceN1[Table],"&lt;60000")
-
SUMIFS(BalanceN1[BE_Credit],BalanceN1[Table],"&gt;=48100",BalanceN1[Table],"&lt;48500")
-
SUMIFS(BalanceN1[BE_Credit],BalanceN1[Table],"&gt;=49980",BalanceN1[Table],"&lt;49990")
-
SUMIFS(BalanceN1[BE_Credit],BalanceN1[Table],"&gt;=41900",BalanceN1[Table],"&lt;42000")
-
SUMIFS(BalanceN1[BE_Credit],BalanceN1[Table],"&gt;=40100",BalanceN1[Table],"&lt;40900")
-
SUMIFS(BalanceN1[BE_Credit],BalanceN1[Table],"&gt;=42000",BalanceN1[Table],"&lt;45000")
-
SUMIFS(BalanceN1[BE_Credit],BalanceN1[Table],"&gt;=18500",BalanceN1[Table],"&lt;18600")
-
SUMIFS(BalanceN1[BE_Credit],BalanceN1[Table],"&gt;=45000",BalanceN1[Table],"&lt;47900")
-
SUMIFS(BalanceN1[BE_Credit],BalanceN1[Table],"&gt;=49900",BalanceN1[Table],"&lt;49980")
-
SUMIFS(BalanceN1[BE_Credit],BalanceN1[Table],"&gt;=59900",BalanceN1[Table],"&lt;60000")</f>
        <v>-28420932</v>
      </c>
      <c r="F28" s="118"/>
    </row>
    <row r="29" spans="1:6" ht="20.05" customHeight="1">
      <c r="A29" s="1168"/>
      <c r="B29" s="1169" t="s">
        <v>11624</v>
      </c>
      <c r="C29" s="1157" t="s">
        <v>1265</v>
      </c>
      <c r="D29" s="1158">
        <f>-
SUMIFS(BalanceN[BS_Credit],BalanceN[Table],"&gt;=40400",BalanceN[Table],"&lt;40500")
-
SUMIFS(BalanceN[BS_Credit],BalanceN[Table],"&gt;=46100",BalanceN[Table],"&lt;46200")
-
SUMIFS(BalanceN[BS_Credit],BalanceN[Table],"&gt;=46500",BalanceN[Table],"&lt;46600")
-
SUMIFS(BalanceN[BS_Credit],BalanceN[Table],"&gt;=47260",BalanceN[Table],"&lt;47270")
-
SUMIFS(BalanceN[BS_Credit],BalanceN[Table],"&gt;=48100",BalanceN[Table],"&lt;48300")</f>
        <v>-156649942</v>
      </c>
      <c r="E29" s="1159">
        <f>-
SUMIFS(BalanceN1[BS_Credit],BalanceN1[Table],"&gt;=40400",BalanceN1[Table],"&lt;40500")
-
SUMIFS(BalanceN1[BS_Credit],BalanceN1[Table],"&gt;=46100",BalanceN1[Table],"&lt;46200")
-
SUMIFS(BalanceN1[BS_Credit],BalanceN1[Table],"&gt;=46500",BalanceN1[Table],"&lt;46600")
-
SUMIFS(BalanceN1[BS_Credit],BalanceN1[Table],"&gt;=47260",BalanceN1[Table],"&lt;47270")
-
SUMIFS(BalanceN1[BS_Credit],BalanceN1[Table],"&gt;=48100",BalanceN1[Table],"&lt;48300")</f>
        <v>-399942</v>
      </c>
      <c r="F29" s="118"/>
    </row>
    <row r="30" spans="1:6" ht="20.05" customHeight="1">
      <c r="A30" s="1168"/>
      <c r="B30" s="1169" t="s">
        <v>11625</v>
      </c>
      <c r="C30" s="1157" t="s">
        <v>1262</v>
      </c>
      <c r="D30" s="1158">
        <f>+
SUMIFS(BalanceN[BE_Credit],BalanceN[Table],"&gt;=40400",BalanceN[Table],"&lt;40500")
+
SUMIFS(BalanceN[BE_Credit],BalanceN[Table],"&gt;=46100",BalanceN[Table],"&lt;46200")
+
SUMIFS(BalanceN[BE_Credit],BalanceN[Table],"&gt;=46500",BalanceN[Table],"&lt;46600")
+
SUMIFS(BalanceN[BE_Credit],BalanceN[Table],"&gt;=47260",BalanceN[Table],"&lt;47270")
+
SUMIFS(BalanceN[BE_Credit],BalanceN[Table],"&gt;=48100",BalanceN[Table],"&lt;48300")</f>
        <v>399942</v>
      </c>
      <c r="E30" s="1159">
        <f>+
SUMIFS(BalanceN1[BE_Credit],BalanceN1[Table],"&gt;=40400",BalanceN1[Table],"&lt;40500")
+
SUMIFS(BalanceN1[BE_Credit],BalanceN1[Table],"&gt;=46100",BalanceN1[Table],"&lt;46200")
+
SUMIFS(BalanceN1[BE_Credit],BalanceN1[Table],"&gt;=46500",BalanceN1[Table],"&lt;46600")
+
SUMIFS(BalanceN1[BE_Credit],BalanceN1[Table],"&gt;=47260",BalanceN1[Table],"&lt;47270")
+
SUMIFS(BalanceN1[BE_Credit],BalanceN1[Table],"&gt;=48100",BalanceN1[Table],"&lt;48300")</f>
        <v>1218333</v>
      </c>
      <c r="F30" s="118"/>
    </row>
    <row r="31" spans="1:6" ht="20.05" customHeight="1">
      <c r="A31" s="1168"/>
      <c r="B31" s="1169" t="s">
        <v>11626</v>
      </c>
      <c r="C31" s="1157" t="s">
        <v>1262</v>
      </c>
      <c r="D31" s="1158">
        <f>SUMIFS(BalanceN[BS_Credit],BalanceN[Table],"&gt;=47930",BalanceN[Table],"&lt;47940")</f>
        <v>0</v>
      </c>
      <c r="E31" s="1158">
        <f>SUMIFS(BalanceN1[BS_Credit],BalanceN1[Table],"&gt;=47930",BalanceN1[Table],"&lt;47940")</f>
        <v>0</v>
      </c>
      <c r="F31" s="118"/>
    </row>
    <row r="32" spans="1:6" ht="20.05" customHeight="1">
      <c r="A32" s="1168"/>
      <c r="B32" s="1169" t="s">
        <v>11627</v>
      </c>
      <c r="C32" s="1157" t="s">
        <v>1265</v>
      </c>
      <c r="D32" s="1158">
        <f>-
SUMIFS(BalanceN[BS_Credit],BalanceN[Table],"&gt;=48100",BalanceN[Table],"&lt;47840")</f>
        <v>0</v>
      </c>
      <c r="E32" s="1159">
        <f>-
SUMIFS(BalanceN1[BS_Credit],BalanceN1[Table],"&gt;=48100",BalanceN1[Table],"&lt;47840")</f>
        <v>0</v>
      </c>
      <c r="F32" s="118"/>
    </row>
    <row r="33" spans="1:6" ht="20.05" customHeight="1">
      <c r="A33" s="1168"/>
      <c r="B33" s="1169" t="s">
        <v>11628</v>
      </c>
      <c r="C33" s="1157" t="s">
        <v>1262</v>
      </c>
      <c r="D33" s="1158">
        <f>+
SUMIFS(BalanceN[Mvt_Debit],BalanceN[Table],"&gt;=47520",BalanceN[Table],"&lt;47530")</f>
        <v>0</v>
      </c>
      <c r="E33" s="1159">
        <f>+
SUMIFS(BalanceN1[Mvt_Debit],BalanceN1[Table],"&gt;=47520",BalanceN1[Table],"&lt;47530")</f>
        <v>0</v>
      </c>
      <c r="F33" s="118"/>
    </row>
    <row r="34" spans="1:6" ht="20.05" customHeight="1">
      <c r="A34" s="1168"/>
      <c r="B34" s="1169" t="s">
        <v>11629</v>
      </c>
      <c r="C34" s="1157" t="s">
        <v>1265</v>
      </c>
      <c r="D34" s="1158">
        <f>-
SUMIFS(BalanceN[Mvt_Credit],BalanceN[Table],"&gt;=47520",BalanceN[Table],"&lt;47530")</f>
        <v>0</v>
      </c>
      <c r="E34" s="1159">
        <f>-
SUMIFS(BalanceN1[Mvt_Credit],BalanceN1[Table],"&gt;=47520",BalanceN1[Table],"&lt;47530")</f>
        <v>0</v>
      </c>
      <c r="F34" s="118"/>
    </row>
    <row r="35" spans="1:6" ht="20.05" customHeight="1" thickBot="1">
      <c r="A35" s="1175" t="s">
        <v>1373</v>
      </c>
      <c r="B35" s="1176" t="s">
        <v>11630</v>
      </c>
      <c r="C35" s="1177" t="s">
        <v>1262</v>
      </c>
      <c r="D35" s="1178">
        <f>SUM(D28:D34)</f>
        <v>-21054994</v>
      </c>
      <c r="E35" s="1178">
        <f>SUM(E28:E34)</f>
        <v>-27602541</v>
      </c>
      <c r="F35" s="118"/>
    </row>
    <row r="36" spans="1:6" ht="20.05" customHeight="1" thickBot="1">
      <c r="A36" s="1164"/>
      <c r="B36" s="1165" t="s">
        <v>1375</v>
      </c>
      <c r="C36" s="1184"/>
      <c r="D36" s="1185">
        <f>-D20-D21-D27+D35</f>
        <v>-71538921</v>
      </c>
      <c r="E36" s="1185">
        <f>-E20-E21-E27+E35</f>
        <v>-52028326</v>
      </c>
      <c r="F36" s="118"/>
    </row>
    <row r="37" spans="1:6" ht="20.05" customHeight="1" thickBot="1">
      <c r="A37" s="1164" t="s">
        <v>1027</v>
      </c>
      <c r="B37" s="1165" t="s">
        <v>11631</v>
      </c>
      <c r="C37" s="1166"/>
      <c r="D37" s="1185">
        <f>D36+D17</f>
        <v>170234983</v>
      </c>
      <c r="E37" s="1185">
        <f>E36+E17</f>
        <v>98148770</v>
      </c>
      <c r="F37" s="118"/>
    </row>
    <row r="38" spans="1:6" ht="20.05" customHeight="1">
      <c r="A38" s="1150"/>
      <c r="B38" s="1151" t="s">
        <v>11632</v>
      </c>
      <c r="C38" s="1152" t="s">
        <v>1262</v>
      </c>
      <c r="D38" s="1153">
        <f>SUMIFS(BalanceN[BS_Debit],BalanceN[Table],"&gt;=21000",BalanceN[Table],"&lt;22000")
-
SUMIFS(BalanceN[BE_Debit],BalanceN[Table],"&gt;=21000",BalanceN[Table],"&lt;22000")</f>
        <v>2000000</v>
      </c>
      <c r="E38" s="1154">
        <f>SUMIFS(BalanceN1[BS_Debit],BalanceN1[Table],"&gt;=21000",BalanceN1[Table],"&lt;22000")
-
SUMIFS(BalanceN1[BE_Debit],BalanceN1[Table],"&gt;=21000",BalanceN1[Table],"&lt;22000")</f>
        <v>0</v>
      </c>
      <c r="F38" s="118"/>
    </row>
    <row r="39" spans="1:6" ht="20.05" customHeight="1">
      <c r="A39" s="1168"/>
      <c r="B39" s="1169" t="s">
        <v>11633</v>
      </c>
      <c r="C39" s="1157" t="s">
        <v>1262</v>
      </c>
      <c r="D39" s="1158">
        <f>SUMIFS(BalanceN[Mvt_Debit],BalanceN[Table],"&gt;=25100",BalanceN[Table],"&lt;25200")</f>
        <v>0</v>
      </c>
      <c r="E39" s="1158">
        <f>SUMIFS(BalanceN1[Mvt_Debit],BalanceN1[Table],"&gt;=25100",BalanceN1[Table],"&lt;25200")</f>
        <v>0</v>
      </c>
      <c r="F39" s="118"/>
    </row>
    <row r="40" spans="1:6" ht="20.05" customHeight="1">
      <c r="A40" s="1168"/>
      <c r="B40" s="1169" t="s">
        <v>11634</v>
      </c>
      <c r="C40" s="1157" t="s">
        <v>1265</v>
      </c>
      <c r="D40" s="1158">
        <f>-SUMIFS(BalanceN[Mvt_Credit],BalanceN[Table],"&gt;=25100",BalanceN[Table],"&lt;25200")</f>
        <v>0</v>
      </c>
      <c r="E40" s="1158">
        <f>-SUMIFS(BalanceN1[Mvt_Credit],BalanceN1[Table],"&gt;=25100",BalanceN1[Table],"&lt;25200")</f>
        <v>0</v>
      </c>
      <c r="F40" s="118"/>
    </row>
    <row r="41" spans="1:6" ht="20.05" customHeight="1">
      <c r="A41" s="1168"/>
      <c r="B41" s="1169" t="s">
        <v>11635</v>
      </c>
      <c r="C41" s="1157" t="s">
        <v>1262</v>
      </c>
      <c r="D41" s="1158">
        <f>+
SUMIFS(BalanceN[Mvt_Debit],BalanceN[Table],"&gt;=40410",BalanceN[Table],"&lt;40420")
+
SUMIFS(BalanceN[Mvt_Debit],BalanceN[Table],"&gt;=40460",BalanceN[Table],"&lt;40470")</f>
        <v>0</v>
      </c>
      <c r="E41" s="1158">
        <f>+
SUMIFS(BalanceN1[Mvt_Debit],BalanceN1[Table],"&gt;=40410",BalanceN1[Table],"&lt;40420")
+
SUMIFS(BalanceN1[Mvt_Debit],BalanceN1[Table],"&gt;=40460",BalanceN1[Table],"&lt;40470")</f>
        <v>0</v>
      </c>
      <c r="F41" s="118"/>
    </row>
    <row r="42" spans="1:6" ht="20.05" customHeight="1">
      <c r="A42" s="1168"/>
      <c r="B42" s="1169" t="s">
        <v>11636</v>
      </c>
      <c r="C42" s="1157" t="s">
        <v>1262</v>
      </c>
      <c r="D42" s="1158">
        <f>SUMIFS(BalanceN[Mvt_Debit],BalanceN[Table],"&gt;=48110",BalanceN[Table],"&lt;48120")</f>
        <v>0</v>
      </c>
      <c r="E42" s="1158">
        <f>SUMIFS(BalanceN1[Mvt_Debit],BalanceN1[Table],"&gt;=48110",BalanceN1[Table],"&lt;48120")</f>
        <v>0</v>
      </c>
      <c r="F42" s="118"/>
    </row>
    <row r="43" spans="1:6" ht="20.05" customHeight="1">
      <c r="A43" s="1168"/>
      <c r="B43" s="1169" t="s">
        <v>11637</v>
      </c>
      <c r="C43" s="1157" t="s">
        <v>1262</v>
      </c>
      <c r="D43" s="1158">
        <f>+
SUMIFS(TFTN[Mvt_Debit],TFTN[Compte],"&gt;=48161",TFTN[Compte],"&lt;48162")
+
SUMIFS(TFTN[Mvt_Debit],TFTN[Compte],"&gt;=48171",TFTN[Compte],"&lt;48172")
+
SUMIFS(TFTN[Mvt_Debit],TFTN[Compte],"&gt;=48181",TFTN[Compte],"&lt;48182")</f>
        <v>0</v>
      </c>
      <c r="E43" s="1158">
        <f>+
SUMIFS(TFTN1[Mvt_Debit],TFTN1[Compte],"&gt;=48161",TFTN1[Compte],"&lt;48162")
+
SUMIFS(TFTN1[Mvt_Debit],TFTN1[Compte],"&gt;=48171",TFTN1[Compte],"&lt;48172")
+
SUMIFS(TFTN1[Mvt_Debit],TFTN1[Compte],"&gt;=48181",TFTN1[Compte],"&lt;48182")</f>
        <v>0</v>
      </c>
      <c r="F43" s="118"/>
    </row>
    <row r="44" spans="1:6" ht="20.05" customHeight="1">
      <c r="A44" s="1168"/>
      <c r="B44" s="1169" t="s">
        <v>11638</v>
      </c>
      <c r="C44" s="1157" t="s">
        <v>1262</v>
      </c>
      <c r="D44" s="1158">
        <f>SUMIFS(BalanceN[Mvt_Debit],BalanceN[Table],"&gt;=48210",BalanceN[Table],"&lt;48220")</f>
        <v>0</v>
      </c>
      <c r="E44" s="1158">
        <f>SUMIFS(BalanceN1[Mvt_Debit],BalanceN1[Table],"&gt;=48210",BalanceN1[Table],"&lt;48220")</f>
        <v>0</v>
      </c>
      <c r="F44" s="118"/>
    </row>
    <row r="45" spans="1:6" ht="20.05" customHeight="1">
      <c r="A45" s="1168"/>
      <c r="B45" s="1169" t="s">
        <v>11636</v>
      </c>
      <c r="C45" s="1157" t="s">
        <v>1262</v>
      </c>
      <c r="D45" s="1158">
        <f>SUMIFS(BalanceN[Mvt_Debit],BalanceN[Table],"&gt;=65410",BalanceN[Table],"&lt;65420")</f>
        <v>0</v>
      </c>
      <c r="E45" s="1158">
        <f>SUMIFS(BalanceN1[Mvt_Debit],BalanceN1[Table],"&gt;=65410",BalanceN1[Table],"&lt;65420")</f>
        <v>0</v>
      </c>
      <c r="F45" s="118"/>
    </row>
    <row r="46" spans="1:6" ht="20.05" customHeight="1">
      <c r="A46" s="1168"/>
      <c r="B46" s="1169" t="s">
        <v>11639</v>
      </c>
      <c r="C46" s="1157" t="s">
        <v>1262</v>
      </c>
      <c r="D46" s="1158">
        <f>SUMIFS(BalanceN[Mvt_Debit],BalanceN[Table],"&gt;=28100",BalanceN[Table],"&lt;28200")</f>
        <v>0</v>
      </c>
      <c r="E46" s="1158">
        <f>SUMIFS(BalanceN1[Mvt_Debit],BalanceN1[Table],"&gt;=28100",BalanceN1[Table],"&lt;28200")</f>
        <v>0</v>
      </c>
      <c r="F46" s="118"/>
    </row>
    <row r="47" spans="1:6" ht="20.05" customHeight="1">
      <c r="A47" s="1168"/>
      <c r="B47" s="1169" t="s">
        <v>11640</v>
      </c>
      <c r="C47" s="1157" t="s">
        <v>1265</v>
      </c>
      <c r="D47" s="1158">
        <f>-
SUMIFS(BalanceN[Mvt_Credit],BalanceN[Table],"&gt;=40410",BalanceN[Table],"&lt;40420")
-
SUMIFS(BalanceN[Mvt_Credit],BalanceN[Table],"&gt;=40460",BalanceN[Table],"&lt;40470")</f>
        <v>0</v>
      </c>
      <c r="E47" s="1158">
        <f>-
SUMIFS(BalanceN1[Mvt_Credit],BalanceN1[Table],"&gt;=40410",BalanceN1[Table],"&lt;40420")
-
SUMIFS(BalanceN1[Mvt_Credit],BalanceN1[Table],"&gt;=40460",BalanceN1[Table],"&lt;40470")</f>
        <v>0</v>
      </c>
      <c r="F47" s="118"/>
    </row>
    <row r="48" spans="1:6" ht="20.05" customHeight="1">
      <c r="A48" s="1168"/>
      <c r="B48" s="1169" t="s">
        <v>11641</v>
      </c>
      <c r="C48" s="1157" t="s">
        <v>1265</v>
      </c>
      <c r="D48" s="1158">
        <f>-
SUMIFS(BalanceN[Mvt_Credit],BalanceN[Table],"&gt;=48110",BalanceN[Table],"&lt;48120")</f>
        <v>0</v>
      </c>
      <c r="E48" s="1158">
        <f>-
SUMIFS(BalanceN1[Mvt_Credit],BalanceN1[Table],"&gt;=48110",BalanceN1[Table],"&lt;48120")</f>
        <v>0</v>
      </c>
      <c r="F48" s="118"/>
    </row>
    <row r="49" spans="1:6" ht="20.05" customHeight="1">
      <c r="A49" s="1168"/>
      <c r="B49" s="1169" t="s">
        <v>11642</v>
      </c>
      <c r="C49" s="1157" t="s">
        <v>1265</v>
      </c>
      <c r="D49" s="1158">
        <f>-
SUMIFS(TFTN[Mvt_Credit],TFTN[Compte],"&gt;=48161",TFTN[Compte],"&lt;48162")
-
SUMIFS(TFTN[Mvt_Credit],TFTN[Compte],"&gt;=48171",TFTN[Compte],"&lt;48172")
-
SUMIFS(TFTN[Mvt_Credit],TFTN[Compte],"&gt;=48181",TFTN[Compte],"&lt;48182")</f>
        <v>0</v>
      </c>
      <c r="E49" s="1158">
        <f>-
SUMIFS(TFTN1[Mvt_Credit],TFTN1[Compte],"&gt;=48161",TFTN1[Compte],"&lt;48162")
-
SUMIFS(TFTN1[Mvt_Credit],TFTN1[Compte],"&gt;=48171",TFTN1[Compte],"&lt;48172")
-
SUMIFS(TFTN1[Mvt_Credit],TFTN1[Compte],"&gt;=48181",TFTN1[Compte],"&lt;48182")</f>
        <v>0</v>
      </c>
      <c r="F49" s="118"/>
    </row>
    <row r="50" spans="1:6" ht="20.05" customHeight="1">
      <c r="A50" s="1168"/>
      <c r="B50" s="1169" t="s">
        <v>11643</v>
      </c>
      <c r="C50" s="1157" t="s">
        <v>1265</v>
      </c>
      <c r="D50" s="1158">
        <f>-
SUMIFS(BalanceN[Mvt_Credit],BalanceN[Table],"&gt;=48210",BalanceN[Table],"&lt;48220")</f>
        <v>0</v>
      </c>
      <c r="E50" s="1158">
        <f>-
SUMIFS(BalanceN1[Mvt_Credit],BalanceN1[Table],"&gt;=48210",BalanceN1[Table],"&lt;48220")</f>
        <v>0</v>
      </c>
      <c r="F50" s="118"/>
    </row>
    <row r="51" spans="1:6" ht="20.05" customHeight="1">
      <c r="A51" s="1168"/>
      <c r="B51" s="1169" t="s">
        <v>11644</v>
      </c>
      <c r="C51" s="1157" t="s">
        <v>1262</v>
      </c>
      <c r="D51" s="1158">
        <f>+
SUMIFS(BalanceN[BS_Debit],BalanceN[Table],"&gt;=65410",BalanceN[Table],"&lt;65420")</f>
        <v>0</v>
      </c>
      <c r="E51" s="1158">
        <f>+
SUMIFS(BalanceN1[BS_Debit],BalanceN1[Table],"&gt;=65410",BalanceN1[Table],"&lt;65420")</f>
        <v>0</v>
      </c>
      <c r="F51" s="118"/>
    </row>
    <row r="52" spans="1:6" ht="20.05" customHeight="1">
      <c r="A52" s="1168"/>
      <c r="B52" s="1169" t="s">
        <v>11645</v>
      </c>
      <c r="C52" s="1157" t="s">
        <v>1262</v>
      </c>
      <c r="D52" s="1158">
        <f>SUMIFS(BalanceN[BS_Debit],BalanceN[Table],"&gt;=81100",BalanceN[Table],"&lt;81200")</f>
        <v>0</v>
      </c>
      <c r="E52" s="1158">
        <f>SUMIFS(BalanceN1[BS_Debit],BalanceN1[Table],"&gt;=81100",BalanceN1[Table],"&lt;81200")</f>
        <v>0</v>
      </c>
      <c r="F52" s="118"/>
    </row>
    <row r="53" spans="1:6" ht="20.05" customHeight="1">
      <c r="A53" s="1168"/>
      <c r="B53" s="1169" t="s">
        <v>11646</v>
      </c>
      <c r="C53" s="1157" t="s">
        <v>1265</v>
      </c>
      <c r="D53" s="1158">
        <f>-
SUMIFS(TFTN[Mvt_Credit],TFTN[Compte],"&gt;=10611",TFTN[Compte],"&lt;10612")
-
SUMIFS(TFTN[Mvt_Credit],TFTN[Compte],"&gt;=10621",TFTN[Compte],"&lt;10622")</f>
        <v>0</v>
      </c>
      <c r="E53" s="1158">
        <f>-
SUMIFS(TFTN1[Mvt_Credit],TFTN1[Compte],"&gt;=10611",TFTN1[Compte],"&lt;10612")
-
SUMIFS(TFTN1[Mvt_Credit],TFTN1[Compte],"&gt;=10621",TFTN1[Compte],"&lt;10622")</f>
        <v>0</v>
      </c>
      <c r="F53" s="118"/>
    </row>
    <row r="54" spans="1:6" ht="20.05" customHeight="1">
      <c r="A54" s="1168"/>
      <c r="B54" s="1169" t="s">
        <v>11647</v>
      </c>
      <c r="C54" s="1157" t="s">
        <v>1265</v>
      </c>
      <c r="D54" s="1158">
        <f>-
SUMIFS(TFTN[Mvt_Credit],TFTN[Compte],"&gt;=15410",TFTN[Compte],"&lt;15420")</f>
        <v>0</v>
      </c>
      <c r="E54" s="1158">
        <f>-
SUMIFS(TFTN1[Mvt_Credit],TFTN1[Compte],"&gt;=15410",TFTN1[Compte],"&lt;15420")</f>
        <v>0</v>
      </c>
      <c r="F54" s="118"/>
    </row>
    <row r="55" spans="1:6" ht="20.05" customHeight="1" thickBot="1">
      <c r="A55" s="1175" t="s">
        <v>1379</v>
      </c>
      <c r="B55" s="1176" t="s">
        <v>11648</v>
      </c>
      <c r="C55" s="1177" t="s">
        <v>1265</v>
      </c>
      <c r="D55" s="1178">
        <f>SUM(D38:D54)</f>
        <v>2000000</v>
      </c>
      <c r="E55" s="1178">
        <f>SUM(E38:E54)</f>
        <v>0</v>
      </c>
      <c r="F55" s="118"/>
    </row>
    <row r="56" spans="1:6" ht="20.05" customHeight="1">
      <c r="A56" s="1150"/>
      <c r="B56" s="1151" t="s">
        <v>11649</v>
      </c>
      <c r="C56" s="1152" t="s">
        <v>1262</v>
      </c>
      <c r="D56" s="1153">
        <f>SUMIFS(BalanceN[BS_Debit],BalanceN[Table],"&gt;=22000",BalanceN[Table],"&lt;25000")
-
SUMIFS(BalanceN[BE_Debit],BalanceN[Table],"&gt;=22000",BalanceN[Table],"&lt;25000")</f>
        <v>460975021</v>
      </c>
      <c r="E56" s="1154">
        <f>SUMIFS(BalanceN1[BS_Debit],BalanceN1[Table],"&gt;=22000",BalanceN1[Table],"&lt;25000")
-
SUMIFS(BalanceN1[BE_Debit],BalanceN1[Table],"&gt;=22000",BalanceN1[Table],"&lt;25000")</f>
        <v>16803112</v>
      </c>
      <c r="F56" s="118"/>
    </row>
    <row r="57" spans="1:6" ht="20.05" customHeight="1">
      <c r="A57" s="1168"/>
      <c r="B57" s="1169" t="s">
        <v>11650</v>
      </c>
      <c r="C57" s="1157" t="s">
        <v>1262</v>
      </c>
      <c r="D57" s="1158">
        <f>+SUMIFS(BalanceN[BS_Debit],BalanceN[Table],"&gt;=25200",BalanceN[Table],"&lt;25300")</f>
        <v>20000000</v>
      </c>
      <c r="E57" s="1158">
        <f>+SUMIFS(BalanceN1[BS_Debit],BalanceN1[Table],"&gt;=25200",BalanceN1[Table],"&lt;25300")</f>
        <v>0</v>
      </c>
      <c r="F57" s="118"/>
    </row>
    <row r="58" spans="1:6" ht="20.05" customHeight="1">
      <c r="A58" s="1168"/>
      <c r="B58" s="1169" t="s">
        <v>11651</v>
      </c>
      <c r="C58" s="1157" t="s">
        <v>1265</v>
      </c>
      <c r="D58" s="1158">
        <f>-SUMIFS(BalanceN[BE_Debit],BalanceN[Table],"&gt;=25200",BalanceN[Table],"&lt;25300")</f>
        <v>0</v>
      </c>
      <c r="E58" s="1158">
        <f>-SUMIFS(BalanceN1[BE_Debit],BalanceN1[Table],"&gt;=25200",BalanceN1[Table],"&lt;25300")</f>
        <v>0</v>
      </c>
      <c r="F58" s="118"/>
    </row>
    <row r="59" spans="1:6" ht="20.05" customHeight="1">
      <c r="A59" s="1168"/>
      <c r="B59" s="1169" t="s">
        <v>11652</v>
      </c>
      <c r="C59" s="1157" t="s">
        <v>1262</v>
      </c>
      <c r="D59" s="1158">
        <f>+
SUMIFS(BalanceN[Mvt_Debit],BalanceN[Table],"&gt;=40420",BalanceN[Table],"&lt;40430")
+
SUMIFS(BalanceN[Mvt_Debit],BalanceN[Table],"&gt;=40470",BalanceN[Table],"&lt;40480")</f>
        <v>0</v>
      </c>
      <c r="E59" s="1159">
        <f>+
SUMIFS(BalanceN1[Mvt_Debit],BalanceN1[Table],"&gt;=40420",BalanceN1[Table],"&lt;40430")
+
SUMIFS(BalanceN1[Mvt_Debit],BalanceN1[Table],"&gt;=40470",BalanceN1[Table],"&lt;40480")</f>
        <v>0</v>
      </c>
      <c r="F59" s="118"/>
    </row>
    <row r="60" spans="1:6" ht="20.05" customHeight="1">
      <c r="A60" s="1168"/>
      <c r="B60" s="1169" t="s">
        <v>11653</v>
      </c>
      <c r="C60" s="1157" t="s">
        <v>1262</v>
      </c>
      <c r="D60" s="1158">
        <f>SUMIFS(BalanceN[Mvt_Debit],BalanceN[Table],"&gt;=48120",BalanceN[Table],"&lt;48130")</f>
        <v>7000000</v>
      </c>
      <c r="E60" s="1158">
        <f>SUMIFS(BalanceN1[Mvt_Debit],BalanceN1[Table],"&gt;=48120",BalanceN1[Table],"&lt;48130")</f>
        <v>0</v>
      </c>
      <c r="F60" s="118"/>
    </row>
    <row r="61" spans="1:6" ht="20.05" customHeight="1">
      <c r="A61" s="1168"/>
      <c r="B61" s="1169" t="s">
        <v>11654</v>
      </c>
      <c r="C61" s="1157" t="s">
        <v>1262</v>
      </c>
      <c r="D61" s="1158">
        <f>SUMIFS(TFTN[Mvt_Debit],TFTN[Compte],"&gt;=48162",TFTN[Compte],"&lt;48163")
+
SUMIFS(TFTN[Mvt_Debit],TFTN[Compte],"&gt;=48172",TFTN[Compte],"&lt;48173")
+
SUMIFS(TFTN[Mvt_Debit],TFTN[Compte],"&gt;=48182",TFTN[Compte],"&lt;48183")</f>
        <v>0</v>
      </c>
      <c r="E61" s="1159">
        <f>SUMIFS(TFTN1[Mvt_Debit],TFTN1[Compte],"&gt;=48162",TFTN1[Compte],"&lt;48163")
+
SUMIFS(TFTN1[Mvt_Debit],TFTN1[Compte],"&gt;=48172",TFTN1[Compte],"&lt;48173")
+
SUMIFS(TFTN1[Mvt_Debit],TFTN1[Compte],"&gt;=48182",TFTN1[Compte],"&lt;48183")</f>
        <v>0</v>
      </c>
      <c r="F61" s="118"/>
    </row>
    <row r="62" spans="1:6" ht="20.05" customHeight="1">
      <c r="A62" s="1168"/>
      <c r="B62" s="1169" t="s">
        <v>11655</v>
      </c>
      <c r="C62" s="1157" t="s">
        <v>1262</v>
      </c>
      <c r="D62" s="1158">
        <f>SUMIFS(BalanceN[Mvt_Debit],BalanceN[Table],"&gt;=48220",BalanceN[Table],"&lt;48230")</f>
        <v>0</v>
      </c>
      <c r="E62" s="1158">
        <f>SUMIFS(BalanceN1[Mvt_Debit],BalanceN1[Table],"&gt;=48220",BalanceN1[Table],"&lt;48230")</f>
        <v>1218333</v>
      </c>
      <c r="F62" s="118"/>
    </row>
    <row r="63" spans="1:6" ht="20.05" customHeight="1">
      <c r="A63" s="1168"/>
      <c r="B63" s="1169" t="s">
        <v>11656</v>
      </c>
      <c r="C63" s="1157" t="s">
        <v>1262</v>
      </c>
      <c r="D63" s="1158">
        <f>SUMIFS(BalanceN[Mvt_Debit],BalanceN[Table],"&gt;=28200",BalanceN[Table],"&lt;28500")</f>
        <v>45992979</v>
      </c>
      <c r="E63" s="1158">
        <f>SUMIFS(BalanceN1[Mvt_Debit],BalanceN1[Table],"&gt;=28200",BalanceN1[Table],"&lt;28500")</f>
        <v>58333</v>
      </c>
      <c r="F63" s="118"/>
    </row>
    <row r="64" spans="1:6" ht="20.05" customHeight="1">
      <c r="A64" s="1168"/>
      <c r="B64" s="1169" t="s">
        <v>11657</v>
      </c>
      <c r="C64" s="1157" t="s">
        <v>1265</v>
      </c>
      <c r="D64" s="1158">
        <f>-SUMIFS(BalanceN[Mvt_Credit],BalanceN[Table],"&gt;=17000",BalanceN[Table],"&lt;18000")</f>
        <v>0</v>
      </c>
      <c r="E64" s="1158">
        <f>-SUMIFS(BalanceN1[Mvt_Credit],BalanceN1[Table],"&gt;=17000",BalanceN1[Table],"&lt;18000")</f>
        <v>0</v>
      </c>
      <c r="F64" s="118"/>
    </row>
    <row r="65" spans="1:6" ht="20.05" customHeight="1">
      <c r="A65" s="1168"/>
      <c r="B65" s="1169" t="s">
        <v>11658</v>
      </c>
      <c r="C65" s="1157" t="s">
        <v>1265</v>
      </c>
      <c r="D65" s="1158">
        <f>-
SUMIFS(BalanceN[Mvt_Credit],BalanceN[Table],"&gt;=40420",BalanceN[Table],"&lt;40430")
-
SUMIFS(BalanceN[Mvt_Credit],BalanceN[Table],"&gt;=40470",BalanceN[Table],"&lt;40480")</f>
        <v>0</v>
      </c>
      <c r="E65" s="1159">
        <f>-
SUMIFS(BalanceN1[Mvt_Credit],BalanceN1[Table],"&gt;=40420",BalanceN1[Table],"&lt;40430")
-
SUMIFS(BalanceN1[Mvt_Credit],BalanceN1[Table],"&gt;=40470",BalanceN1[Table],"&lt;40480")</f>
        <v>0</v>
      </c>
      <c r="F65" s="118"/>
    </row>
    <row r="66" spans="1:6" ht="20.05" customHeight="1">
      <c r="A66" s="1168"/>
      <c r="B66" s="1169" t="s">
        <v>11659</v>
      </c>
      <c r="C66" s="1157" t="s">
        <v>1265</v>
      </c>
      <c r="D66" s="1158">
        <f>-
SUMIFS(BalanceN[Mvt_Credit],BalanceN[Table],"&gt;=48120",BalanceN[Table],"&lt;48130")</f>
        <v>-163250000</v>
      </c>
      <c r="E66" s="1159">
        <f>-
SUMIFS(BalanceN1[Mvt_Credit],BalanceN1[Table],"&gt;=48120",BalanceN1[Table],"&lt;48130")</f>
        <v>0</v>
      </c>
      <c r="F66" s="118"/>
    </row>
    <row r="67" spans="1:6" ht="20.05" customHeight="1">
      <c r="A67" s="1168"/>
      <c r="B67" s="1169" t="s">
        <v>11660</v>
      </c>
      <c r="C67" s="1157" t="s">
        <v>1265</v>
      </c>
      <c r="D67" s="1158">
        <f>-
SUMIFS(TFTN[Mvt_Credit],TFTN[Compte],"&gt;=48162",TFTN[Compte],"&lt;48163")
-
SUMIFS(TFTN[Mvt_Credit],TFTN[Compte],"&gt;=48172",TFTN[Compte],"&lt;48173")
-
SUMIFS(TFTN[Mvt_Credit],TFTN[Compte],"&gt;=48182",TFTN[Compte],"&lt;48183")</f>
        <v>0</v>
      </c>
      <c r="E67" s="1159">
        <f>-
SUMIFS(TFTN1[Mvt_Credit],TFTN1[Compte],"&gt;=48162",TFTN1[Compte],"&lt;48163")
-
SUMIFS(TFTN1[Mvt_Credit],TFTN1[Compte],"&gt;=48172",TFTN1[Compte],"&lt;48173")
-
SUMIFS(TFTN1[Mvt_Credit],TFTN1[Compte],"&gt;=48182",TFTN1[Compte],"&lt;48183")</f>
        <v>-399942</v>
      </c>
      <c r="F67" s="118"/>
    </row>
    <row r="68" spans="1:6" ht="20.05" customHeight="1">
      <c r="A68" s="1168"/>
      <c r="B68" s="1169" t="s">
        <v>11661</v>
      </c>
      <c r="C68" s="1157" t="s">
        <v>1265</v>
      </c>
      <c r="D68" s="1158">
        <f>-
SUMIFS(BalanceN[Mvt_Credit],BalanceN[Table],"&gt;=48220",BalanceN[Table],"&lt;48230")</f>
        <v>0</v>
      </c>
      <c r="E68" s="1159">
        <f>-
SUMIFS(BalanceN1[Mvt_Credit],BalanceN1[Table],"&gt;=48220",BalanceN1[Table],"&lt;48230")</f>
        <v>0</v>
      </c>
      <c r="F68" s="118"/>
    </row>
    <row r="69" spans="1:6" ht="20.05" customHeight="1">
      <c r="A69" s="1168"/>
      <c r="B69" s="1169" t="s">
        <v>11662</v>
      </c>
      <c r="C69" s="1157" t="s">
        <v>1265</v>
      </c>
      <c r="D69" s="1158">
        <f>-
SUMIFS(BalanceN[Mvt_Credit],BalanceN[Table],"&gt;=19842",BalanceN[Table],"&lt;19843")</f>
        <v>0</v>
      </c>
      <c r="E69" s="1159">
        <f>-
SUMIFS(BalanceN1[Mvt_Credit],BalanceN1[Table],"&gt;=19842",BalanceN1[Table],"&lt;19843")</f>
        <v>0</v>
      </c>
      <c r="F69" s="118"/>
    </row>
    <row r="70" spans="1:6" ht="20.05" customHeight="1">
      <c r="A70" s="1168"/>
      <c r="B70" s="1169" t="s">
        <v>11663</v>
      </c>
      <c r="C70" s="1157" t="s">
        <v>1265</v>
      </c>
      <c r="D70" s="1158">
        <f>-
SUMIFS(TFTN[Mvt_Credit],TFTN[Compte],"&gt;=10612",TFTN[Compte],"&lt;10613")
-
SUMIFS(TFTN[Mvt_Credit],TFTN[Compte],"&gt;=10622",TFTN[Compte],"&lt;10623")</f>
        <v>-3500000</v>
      </c>
      <c r="E70" s="1159">
        <f>-
SUMIFS(TFTN1[Mvt_Credit],TFTN1[Compte],"&gt;=10612",TFTN1[Compte],"&lt;10613")
-
SUMIFS(TFTN1[Mvt_Credit],TFTN1[Compte],"&gt;=10622",TFTN1[Compte],"&lt;10623")</f>
        <v>0</v>
      </c>
      <c r="F70" s="118"/>
    </row>
    <row r="71" spans="1:6" ht="20.05" customHeight="1">
      <c r="A71" s="1168"/>
      <c r="B71" s="1169" t="s">
        <v>11664</v>
      </c>
      <c r="C71" s="1157" t="s">
        <v>1265</v>
      </c>
      <c r="D71" s="1158">
        <f>-
SUMIFS(TFTN[Mvt_Credit],TFTN[Compte],"&gt;=15420",TFTN[Compte],"&lt;15430")</f>
        <v>-40000000</v>
      </c>
      <c r="E71" s="1159">
        <f>-
SUMIFS(TFTN1[Mvt_Credit],TFTN1[Compte],"&gt;=15420",TFTN1[Compte],"&lt;15430")</f>
        <v>0</v>
      </c>
      <c r="F71" s="118"/>
    </row>
    <row r="72" spans="1:6" ht="20.05" customHeight="1">
      <c r="A72" s="1168"/>
      <c r="B72" s="1169" t="s">
        <v>11665</v>
      </c>
      <c r="C72" s="1157" t="s">
        <v>1262</v>
      </c>
      <c r="D72" s="1158">
        <f>+
SUMIFS(BalanceN[BS_Debit],BalanceN[Table],"&gt;=65420",BalanceN[Table],"&lt;65430")</f>
        <v>0</v>
      </c>
      <c r="E72" s="1159">
        <f>+
SUMIFS(BalanceN1[BS_Debit],BalanceN1[Table],"&gt;=65420",BalanceN1[Table],"&lt;65430")</f>
        <v>0</v>
      </c>
      <c r="F72" s="118"/>
    </row>
    <row r="73" spans="1:6" ht="20.05" customHeight="1">
      <c r="A73" s="1168"/>
      <c r="B73" s="1169" t="s">
        <v>11666</v>
      </c>
      <c r="C73" s="1157" t="s">
        <v>1262</v>
      </c>
      <c r="D73" s="1158">
        <f>SUMIFS(BalanceN[BS_Debit],BalanceN[Table],"&gt;=81200",BalanceN[Table],"&lt;81300")</f>
        <v>0</v>
      </c>
      <c r="E73" s="1158">
        <f>SUMIFS(BalanceN1[BS_Debit],BalanceN1[Table],"&gt;=81200",BalanceN1[Table],"&lt;81300")</f>
        <v>291667</v>
      </c>
      <c r="F73" s="118"/>
    </row>
    <row r="74" spans="1:6" ht="20.05" customHeight="1" thickBot="1">
      <c r="A74" s="1175" t="s">
        <v>1381</v>
      </c>
      <c r="B74" s="1176" t="s">
        <v>11667</v>
      </c>
      <c r="C74" s="1177" t="s">
        <v>1265</v>
      </c>
      <c r="D74" s="1178">
        <f>SUM(D56:D73)</f>
        <v>327218000</v>
      </c>
      <c r="E74" s="1178">
        <f>SUM(E56:E73)</f>
        <v>17971503</v>
      </c>
      <c r="F74" s="118"/>
    </row>
    <row r="75" spans="1:6" ht="20.05" customHeight="1">
      <c r="A75" s="1150"/>
      <c r="B75" s="1151" t="s">
        <v>11668</v>
      </c>
      <c r="C75" s="1152" t="s">
        <v>1262</v>
      </c>
      <c r="D75" s="1153">
        <f>SUMIFS(BalanceN[Mvt_Debit],BalanceN[Table],"&gt;=26000",BalanceN[Table],"&lt;28000")</f>
        <v>601175</v>
      </c>
      <c r="E75" s="1153">
        <f>SUMIFS(BalanceN1[Mvt_Debit],BalanceN1[Table],"&gt;=26000",BalanceN1[Table],"&lt;28000")</f>
        <v>958379</v>
      </c>
      <c r="F75" s="118"/>
    </row>
    <row r="76" spans="1:6" ht="20.05" customHeight="1">
      <c r="A76" s="1168"/>
      <c r="B76" s="1169" t="s">
        <v>11669</v>
      </c>
      <c r="C76" s="1157" t="s">
        <v>1262</v>
      </c>
      <c r="D76" s="1158">
        <f>SUMIFS(BalanceN[Mvt_Debit],BalanceN[Table],"&gt;=48130",BalanceN[Table],"&lt;48140")</f>
        <v>0</v>
      </c>
      <c r="E76" s="1158">
        <f>SUMIFS(BalanceN1[Mvt_Debit],BalanceN1[Table],"&gt;=48130",BalanceN1[Table],"&lt;48140")</f>
        <v>0</v>
      </c>
      <c r="F76" s="118"/>
    </row>
    <row r="77" spans="1:6" ht="20.05" customHeight="1">
      <c r="A77" s="1168"/>
      <c r="B77" s="1169" t="s">
        <v>11670</v>
      </c>
      <c r="C77" s="1157" t="s">
        <v>1265</v>
      </c>
      <c r="D77" s="1158">
        <f>-
SUMIFS(BalanceN[Mvt_Credit],BalanceN[Table],"&gt;=48130",BalanceN[Table],"&lt;48140")</f>
        <v>0</v>
      </c>
      <c r="E77" s="1159">
        <f>-
SUMIFS(BalanceN1[Mvt_Credit],BalanceN1[Table],"&gt;=48130",BalanceN1[Table],"&lt;48140")</f>
        <v>0</v>
      </c>
      <c r="F77" s="118"/>
    </row>
    <row r="78" spans="1:6" ht="20.05" customHeight="1">
      <c r="A78" s="1168"/>
      <c r="B78" s="1169" t="s">
        <v>11671</v>
      </c>
      <c r="C78" s="1157" t="s">
        <v>1265</v>
      </c>
      <c r="D78" s="1158">
        <f>-
SUMIFS(TFTN[Mvt_Credit],TFTN[Compte],"&gt;=10613",TFTN[Compte],"&lt;10614")
-
SUMIFS(TFTN[Mvt_Credit],TFTN[Compte],"&gt;=10623",TFTN[Compte],"&lt;10624")</f>
        <v>0</v>
      </c>
      <c r="E78" s="1159">
        <f>-
SUMIFS(TFTN1[Mvt_Credit],TFTN1[Compte],"&gt;=10613",TFTN1[Compte],"&lt;10614")
-
SUMIFS(TFTN1[Mvt_Credit],TFTN1[Compte],"&gt;=10623",TFTN1[Compte],"&lt;10624")</f>
        <v>0</v>
      </c>
      <c r="F78" s="118"/>
    </row>
    <row r="79" spans="1:6" ht="20.05" customHeight="1">
      <c r="A79" s="1168"/>
      <c r="B79" s="1169" t="s">
        <v>11672</v>
      </c>
      <c r="C79" s="1157" t="s">
        <v>1265</v>
      </c>
      <c r="D79" s="1158">
        <f>-
SUMIFS(TFTN[Mvt_Credit],TFTN[Compte],"&gt;=15430",TFTN[Compte],"&lt;15440")</f>
        <v>0</v>
      </c>
      <c r="E79" s="1159">
        <f>-
SUMIFS(TFTN1[Mvt_Credit],TFTN1[Compte],"&gt;=15430",TFTN1[Compte],"&lt;15440")</f>
        <v>0</v>
      </c>
      <c r="F79" s="118"/>
    </row>
    <row r="80" spans="1:6" ht="20.05" customHeight="1">
      <c r="A80" s="1168"/>
      <c r="B80" s="1169" t="s">
        <v>11673</v>
      </c>
      <c r="C80" s="1157" t="s">
        <v>1262</v>
      </c>
      <c r="D80" s="1158">
        <f>SUMIFS(BalanceN[BS_Debit],BalanceN[Table],"&gt;=47820",BalanceN[Table],"&lt;47830")</f>
        <v>0</v>
      </c>
      <c r="E80" s="1158">
        <f>SUMIFS(BalanceN1[BS_Debit],BalanceN1[Table],"&gt;=47820",BalanceN1[Table],"&lt;47830")</f>
        <v>0</v>
      </c>
      <c r="F80" s="118"/>
    </row>
    <row r="81" spans="1:6" ht="20.05" customHeight="1">
      <c r="A81" s="1168"/>
      <c r="B81" s="1169" t="s">
        <v>11674</v>
      </c>
      <c r="C81" s="1157" t="s">
        <v>1265</v>
      </c>
      <c r="D81" s="1158">
        <f>-
SUMIFS(BalanceN[BS_Debit],BalanceN[Table],"&gt;=47920",BalanceN[Table],"&lt;47930")</f>
        <v>0</v>
      </c>
      <c r="E81" s="1159">
        <f>-
SUMIFS(BalanceN1[BS_Debit],BalanceN1[Table],"&gt;=47920",BalanceN1[Table],"&lt;47930")</f>
        <v>0</v>
      </c>
      <c r="F81" s="118"/>
    </row>
    <row r="82" spans="1:6" ht="20.05" customHeight="1" thickBot="1">
      <c r="A82" s="1175" t="s">
        <v>1383</v>
      </c>
      <c r="B82" s="1176" t="s">
        <v>11675</v>
      </c>
      <c r="C82" s="1177" t="s">
        <v>1265</v>
      </c>
      <c r="D82" s="1178">
        <f>SUM(D75:D81)</f>
        <v>601175</v>
      </c>
      <c r="E82" s="1178">
        <f>SUM(E75:E81)</f>
        <v>958379</v>
      </c>
      <c r="F82" s="118"/>
    </row>
    <row r="83" spans="1:6" ht="20.05" customHeight="1">
      <c r="A83" s="1150"/>
      <c r="B83" s="1151" t="s">
        <v>11676</v>
      </c>
      <c r="C83" s="1152" t="s">
        <v>1262</v>
      </c>
      <c r="D83" s="1153">
        <f>SUMIFS(BalanceN[BS_Credit],BalanceN[Table],"&gt;=75400",BalanceN[Table],"&lt;75500")</f>
        <v>0</v>
      </c>
      <c r="E83" s="1153">
        <f>SUMIFS(BalanceN1[BS_Credit],BalanceN1[Table],"&gt;=75400",BalanceN1[Table],"&lt;75500")</f>
        <v>0</v>
      </c>
      <c r="F83" s="118"/>
    </row>
    <row r="84" spans="1:6" ht="19.8" customHeight="1">
      <c r="A84" s="1168"/>
      <c r="B84" s="1169" t="s">
        <v>11677</v>
      </c>
      <c r="C84" s="1157" t="s">
        <v>1262</v>
      </c>
      <c r="D84" s="1158">
        <f>SUMIFS(BalanceN[BS_Credit],BalanceN[Table],"&gt;=82100",BalanceN[Table],"&lt;82300")</f>
        <v>127119</v>
      </c>
      <c r="E84" s="1158">
        <f>SUMIFS(BalanceN1[BS_Credit],BalanceN1[Table],"&gt;=82100",BalanceN1[Table],"&lt;82300")</f>
        <v>350000</v>
      </c>
      <c r="F84" s="118"/>
    </row>
    <row r="85" spans="1:6" ht="20.05" customHeight="1">
      <c r="A85" s="1168"/>
      <c r="B85" s="1169" t="s">
        <v>11678</v>
      </c>
      <c r="C85" s="1157" t="s">
        <v>1265</v>
      </c>
      <c r="D85" s="1158">
        <f>-
SUMIFS(BalanceN[Mvt_Debit],BalanceN[Table],"&gt;=41400",BalanceN[Table],"&lt;41500")</f>
        <v>0</v>
      </c>
      <c r="E85" s="1159">
        <f>-
SUMIFS(BalanceN1[Mvt_Debit],BalanceN1[Table],"&gt;=41400",BalanceN1[Table],"&lt;41500")</f>
        <v>0</v>
      </c>
      <c r="F85" s="118"/>
    </row>
    <row r="86" spans="1:6" ht="20.05" customHeight="1">
      <c r="A86" s="1168"/>
      <c r="B86" s="1169" t="s">
        <v>11679</v>
      </c>
      <c r="C86" s="1157" t="s">
        <v>1265</v>
      </c>
      <c r="D86" s="1158">
        <f>-SUMIFS(BalanceN[Mvt_Debit],BalanceN[Table],"&gt;=48510",BalanceN[Table],"&lt;48600")</f>
        <v>0</v>
      </c>
      <c r="E86" s="1158">
        <f>-SUMIFS(BalanceN1[Mvt_Debit],BalanceN1[Table],"&gt;=48510",BalanceN1[Table],"&lt;48600")</f>
        <v>0</v>
      </c>
      <c r="F86" s="118"/>
    </row>
    <row r="87" spans="1:6" ht="20.05" customHeight="1">
      <c r="A87" s="1168"/>
      <c r="B87" s="1169" t="s">
        <v>11680</v>
      </c>
      <c r="C87" s="1157" t="s">
        <v>1262</v>
      </c>
      <c r="D87" s="1158">
        <f>SUMIFS(BalanceN[Mvt_Debit],BalanceN[Table],"&gt;=48560",BalanceN[Table],"&lt;48570")</f>
        <v>0</v>
      </c>
      <c r="E87" s="1158">
        <f>SUMIFS(BalanceN1[Mvt_Debit],BalanceN1[Table],"&gt;=48560",BalanceN1[Table],"&lt;48570")</f>
        <v>0</v>
      </c>
      <c r="F87" s="118"/>
    </row>
    <row r="88" spans="1:6" ht="20.05" customHeight="1">
      <c r="A88" s="1168"/>
      <c r="B88" s="1169" t="s">
        <v>11681</v>
      </c>
      <c r="C88" s="1157" t="s">
        <v>1262</v>
      </c>
      <c r="D88" s="1158">
        <f>SUMIFS(BalanceN[Mvt_Credit],BalanceN[Table],"&gt;=41400",BalanceN[Table],"&lt;41500")</f>
        <v>0</v>
      </c>
      <c r="E88" s="1158">
        <f>SUMIFS(BalanceN1[Mvt_Credit],BalanceN1[Table],"&gt;=41400",BalanceN1[Table],"&lt;41500")</f>
        <v>0</v>
      </c>
      <c r="F88" s="118"/>
    </row>
    <row r="89" spans="1:6" ht="20.05" customHeight="1">
      <c r="A89" s="1168"/>
      <c r="B89" s="1169" t="s">
        <v>11682</v>
      </c>
      <c r="C89" s="1157" t="s">
        <v>1262</v>
      </c>
      <c r="D89" s="1158">
        <f>SUMIFS(BalanceN[Mvt_Credit],BalanceN[Table],"&gt;=48510",BalanceN[Table],"&lt;48600")</f>
        <v>240000</v>
      </c>
      <c r="E89" s="1158">
        <f>SUMIFS(BalanceN1[Mvt_Credit],BalanceN1[Table],"&gt;=48510",BalanceN1[Table],"&lt;48600")</f>
        <v>240000</v>
      </c>
      <c r="F89" s="118"/>
    </row>
    <row r="90" spans="1:6" ht="20.05" customHeight="1">
      <c r="A90" s="1168"/>
      <c r="B90" s="1169" t="s">
        <v>11683</v>
      </c>
      <c r="C90" s="1157" t="s">
        <v>1265</v>
      </c>
      <c r="D90" s="1158">
        <f>-SUMIFS(BalanceN[Mvt_Credit],BalanceN[Table],"&gt;=48560",BalanceN[Table],"&lt;48570")</f>
        <v>0</v>
      </c>
      <c r="E90" s="1158">
        <f>-SUMIFS(BalanceN1[Mvt_Credit],BalanceN1[Table],"&gt;=48560",BalanceN1[Table],"&lt;48570")</f>
        <v>0</v>
      </c>
      <c r="F90" s="118"/>
    </row>
    <row r="91" spans="1:6" ht="20.05" customHeight="1" thickBot="1">
      <c r="A91" s="1186" t="s">
        <v>1385</v>
      </c>
      <c r="B91" s="1187" t="s">
        <v>11684</v>
      </c>
      <c r="C91" s="1177" t="s">
        <v>1262</v>
      </c>
      <c r="D91" s="1188">
        <f>SUM(D83:D90)</f>
        <v>367119</v>
      </c>
      <c r="E91" s="1188">
        <f>SUM(E83:E90)</f>
        <v>590000</v>
      </c>
      <c r="F91" s="118"/>
    </row>
    <row r="92" spans="1:6" ht="20.05" customHeight="1">
      <c r="A92" s="1150"/>
      <c r="B92" s="1151" t="s">
        <v>11685</v>
      </c>
      <c r="C92" s="1152" t="s">
        <v>1262</v>
      </c>
      <c r="D92" s="1153">
        <f>SUMIFS(BalanceN[BS_Credit],BalanceN[Table],"&gt;=82600",BalanceN[Table],"&lt;82700")</f>
        <v>0</v>
      </c>
      <c r="E92" s="1153">
        <f>SUMIFS(BalanceN1[BS_Credit],BalanceN1[Table],"&gt;=82600",BalanceN1[Table],"&lt;82700")</f>
        <v>0</v>
      </c>
      <c r="F92" s="118"/>
    </row>
    <row r="93" spans="1:6" ht="20.05" customHeight="1">
      <c r="A93" s="1168"/>
      <c r="B93" s="1169" t="s">
        <v>11686</v>
      </c>
      <c r="C93" s="1157" t="s">
        <v>1262</v>
      </c>
      <c r="D93" s="1158">
        <f>SUMIFS(BalanceN[Mvt_Credit],BalanceN[Table],"&gt;=27000",BalanceN[Table],"&lt;28000")</f>
        <v>730043</v>
      </c>
      <c r="E93" s="1158">
        <f>SUMIFS(BalanceN1[Mvt_Credit],BalanceN1[Table],"&gt;=27000",BalanceN1[Table],"&lt;28000")</f>
        <v>1179865</v>
      </c>
      <c r="F93" s="118"/>
    </row>
    <row r="94" spans="1:6" ht="20.05" customHeight="1">
      <c r="A94" s="1168"/>
      <c r="B94" s="1169" t="s">
        <v>11687</v>
      </c>
      <c r="C94" s="1157" t="s">
        <v>1265</v>
      </c>
      <c r="D94" s="1158">
        <f>-SUMIFS(BalanceN[Mvt_Credit],BalanceN[Table],"&gt;=27660",BalanceN[Table],"&lt;27670")</f>
        <v>0</v>
      </c>
      <c r="E94" s="1158">
        <f>-SUMIFS(BalanceN1[Mvt_Credit],BalanceN1[Table],"&gt;=27660",BalanceN1[Table],"&lt;27670")</f>
        <v>0</v>
      </c>
      <c r="F94" s="118"/>
    </row>
    <row r="95" spans="1:6" ht="20.05" customHeight="1">
      <c r="A95" s="1168"/>
      <c r="B95" s="1169" t="s">
        <v>11680</v>
      </c>
      <c r="C95" s="1157" t="s">
        <v>1265</v>
      </c>
      <c r="D95" s="1158">
        <f>-
SUMIFS(BalanceN[Mvt_Debit],BalanceN[Table],"&gt;=48560",BalanceN[Table],"&lt;48570")</f>
        <v>0</v>
      </c>
      <c r="E95" s="1159">
        <f>-
SUMIFS(BalanceN1[Mvt_Debit],BalanceN1[Table],"&gt;=48560",BalanceN1[Table],"&lt;48570")</f>
        <v>0</v>
      </c>
      <c r="F95" s="118"/>
    </row>
    <row r="96" spans="1:6" ht="20.05" customHeight="1">
      <c r="A96" s="1168"/>
      <c r="B96" s="1169" t="s">
        <v>11688</v>
      </c>
      <c r="C96" s="1157" t="s">
        <v>1262</v>
      </c>
      <c r="D96" s="1158">
        <f>SUMIFS(BalanceN[Mvt_Credit],BalanceN[Table],"&gt;=48560",BalanceN[Table],"&lt;48570")</f>
        <v>0</v>
      </c>
      <c r="E96" s="1158">
        <f>SUMIFS(BalanceN1[Mvt_Credit],BalanceN1[Table],"&gt;=48560",BalanceN1[Table],"&lt;48570")</f>
        <v>0</v>
      </c>
      <c r="F96" s="118"/>
    </row>
    <row r="97" spans="1:6" ht="20.05" customHeight="1" thickBot="1">
      <c r="A97" s="1186" t="s">
        <v>1387</v>
      </c>
      <c r="B97" s="1187" t="s">
        <v>11689</v>
      </c>
      <c r="C97" s="1177" t="s">
        <v>1262</v>
      </c>
      <c r="D97" s="1188">
        <f>SUM(D92:D96)</f>
        <v>730043</v>
      </c>
      <c r="E97" s="1188">
        <f>SUM(E92:E96)</f>
        <v>1179865</v>
      </c>
      <c r="F97" s="118"/>
    </row>
    <row r="98" spans="1:6" ht="20.05" customHeight="1" thickBot="1">
      <c r="A98" s="1164" t="s">
        <v>1029</v>
      </c>
      <c r="B98" s="1165" t="s">
        <v>11690</v>
      </c>
      <c r="C98" s="1166"/>
      <c r="D98" s="1185">
        <f>D97+D91-D82-D74-D55</f>
        <v>-328722013</v>
      </c>
      <c r="E98" s="1185">
        <f>E97+E91-E82-E74-E55</f>
        <v>-17160017</v>
      </c>
      <c r="F98" s="118"/>
    </row>
    <row r="99" spans="1:6" ht="20.05" customHeight="1">
      <c r="A99" s="1150"/>
      <c r="B99" s="1151" t="s">
        <v>11691</v>
      </c>
      <c r="C99" s="1152" t="s">
        <v>1262</v>
      </c>
      <c r="D99" s="1154">
        <f>SUMIFS(BalanceN[BS_Credit],BalanceN[Table],"&gt;=10100",BalanceN[Table],"&lt;10300")
-
SUMIFS(BalanceN[BE_Credit],BalanceN[Table],"&gt;=10100",BalanceN[Table],"&lt;10300")</f>
        <v>300000000</v>
      </c>
      <c r="E99" s="1154">
        <f>SUMIFS(BalanceN1[BS_Credit],BalanceN1[Table],"&gt;=10100",BalanceN1[Table],"&lt;10300")
-
SUMIFS(BalanceN1[BE_Credit],BalanceN1[Table],"&gt;=10100",BalanceN1[Table],"&lt;10300")</f>
        <v>0</v>
      </c>
      <c r="F99" s="118"/>
    </row>
    <row r="100" spans="1:6" ht="20.05" customHeight="1">
      <c r="A100" s="1168"/>
      <c r="B100" s="1169" t="s">
        <v>11692</v>
      </c>
      <c r="C100" s="1157" t="s">
        <v>1262</v>
      </c>
      <c r="D100" s="1158">
        <f>SUMIFS(BalanceN[BS_Credit],BalanceN[Table],"&gt;=10510",BalanceN[Table],"&lt;10520")
-
SUMIFS(BalanceN[BE_Credit],BalanceN[Table],"&gt;=10510",BalanceN[Table],"&lt;10520")</f>
        <v>0</v>
      </c>
      <c r="E100" s="1159">
        <f>SUMIFS(BalanceN1[BS_Credit],BalanceN1[Table],"&gt;=10510",BalanceN1[Table],"&lt;10520")
-
SUMIFS(BalanceN1[BE_Credit],BalanceN1[Table],"&gt;=10510",BalanceN1[Table],"&lt;10520")</f>
        <v>0</v>
      </c>
      <c r="F100" s="118"/>
    </row>
    <row r="101" spans="1:6" ht="20.05" customHeight="1">
      <c r="A101" s="1168"/>
      <c r="B101" s="1169" t="s">
        <v>11693</v>
      </c>
      <c r="C101" s="1157" t="s">
        <v>1265</v>
      </c>
      <c r="D101" s="1158">
        <f>-
SUMIFS(BalanceN[BS_Debit],BalanceN[Table],"&gt;=10900",BalanceN[Table],"&lt;11000")</f>
        <v>-100000000</v>
      </c>
      <c r="E101" s="1159">
        <f>-
SUMIFS(BalanceN1[BS_Debit],BalanceN1[Table],"&gt;=10900",BalanceN1[Table],"&lt;11000")</f>
        <v>0</v>
      </c>
      <c r="F101" s="118"/>
    </row>
    <row r="102" spans="1:6" ht="20.05" customHeight="1">
      <c r="A102" s="1168"/>
      <c r="B102" s="1169" t="s">
        <v>11694</v>
      </c>
      <c r="C102" s="1157" t="s">
        <v>1265</v>
      </c>
      <c r="D102" s="1158">
        <f>-
SUMIFS(BalanceN[BS_Debit],BalanceN[Table],"&gt;=46130",BalanceN[Table],"&lt;46140")</f>
        <v>0</v>
      </c>
      <c r="E102" s="1159">
        <f>-
SUMIFS(BalanceN1[BS_Debit],BalanceN1[Table],"&gt;=46130",BalanceN1[Table],"&lt;46140")</f>
        <v>0</v>
      </c>
      <c r="F102" s="118"/>
    </row>
    <row r="103" spans="1:6" ht="20.05" customHeight="1">
      <c r="A103" s="1168"/>
      <c r="B103" s="1169" t="s">
        <v>11695</v>
      </c>
      <c r="C103" s="1157" t="s">
        <v>1265</v>
      </c>
      <c r="D103" s="1158">
        <f>-
SUMIFS(BalanceN[BS_Debit],BalanceN[Table],"&gt;=46700",BalanceN[Table],"&lt;46800")</f>
        <v>0</v>
      </c>
      <c r="E103" s="1159">
        <f>-
SUMIFS(BalanceN1[BS_Debit],BalanceN1[Table],"&gt;=46700",BalanceN1[Table],"&lt;46800")</f>
        <v>0</v>
      </c>
      <c r="F103" s="118"/>
    </row>
    <row r="104" spans="1:6" ht="20.05" customHeight="1">
      <c r="A104" s="1168"/>
      <c r="B104" s="1169" t="s">
        <v>11696</v>
      </c>
      <c r="C104" s="1157" t="s">
        <v>1265</v>
      </c>
      <c r="D104" s="1158">
        <f>-
SUMIFS(BalanceN[BS_Debit],BalanceN[Table],"&gt;=45810",BalanceN[Table],"&lt;45820")</f>
        <v>0</v>
      </c>
      <c r="E104" s="1159">
        <f>-
SUMIFS(BalanceN1[BS_Debit],BalanceN1[Table],"&gt;=45810",BalanceN1[Table],"&lt;45820")</f>
        <v>0</v>
      </c>
      <c r="F104" s="118"/>
    </row>
    <row r="105" spans="1:6" ht="20.05" customHeight="1">
      <c r="A105" s="1168"/>
      <c r="B105" s="1169" t="s">
        <v>11697</v>
      </c>
      <c r="C105" s="1157" t="s">
        <v>1265</v>
      </c>
      <c r="D105" s="1158">
        <f>-
SUMIFS(BalanceN[Mvt_Debit],BalanceN[Table],"&gt;=11000",BalanceN[Table],"&lt;13200")</f>
        <v>-208619674</v>
      </c>
      <c r="E105" s="1159">
        <f>-
SUMIFS(BalanceN1[Mvt_Debit],BalanceN1[Table],"&gt;=11000",BalanceN1[Table],"&lt;13200")</f>
        <v>-66631518</v>
      </c>
      <c r="F105" s="118"/>
    </row>
    <row r="106" spans="1:6" ht="20.05" customHeight="1">
      <c r="A106" s="1168"/>
      <c r="B106" s="1169" t="s">
        <v>11698</v>
      </c>
      <c r="C106" s="1157" t="s">
        <v>1262</v>
      </c>
      <c r="D106" s="1158">
        <f>SUMIFS(BalanceN[Mvt_Credit],BalanceN[Table],"&gt;=10300",BalanceN[Table],"&lt;10500")</f>
        <v>0</v>
      </c>
      <c r="E106" s="1158">
        <f>SUMIFS(BalanceN1[Mvt_Credit],BalanceN1[Table],"&gt;=10300",BalanceN1[Table],"&lt;10500")</f>
        <v>0</v>
      </c>
      <c r="F106" s="118"/>
    </row>
    <row r="107" spans="1:6" ht="20.05" customHeight="1">
      <c r="A107" s="1168"/>
      <c r="B107" s="1169" t="s">
        <v>11699</v>
      </c>
      <c r="C107" s="1157" t="s">
        <v>1262</v>
      </c>
      <c r="D107" s="1158">
        <f>SUMIFS(BalanceN[Mvt_Credit],BalanceN[Table],"&gt;=11000",BalanceN[Table],"&lt;13000")</f>
        <v>118619674</v>
      </c>
      <c r="E107" s="1158">
        <f>SUMIFS(BalanceN1[Mvt_Credit],BalanceN1[Table],"&gt;=11000",BalanceN1[Table],"&lt;13000")</f>
        <v>26631518</v>
      </c>
      <c r="F107" s="118"/>
    </row>
    <row r="108" spans="1:6" ht="20.05" customHeight="1">
      <c r="A108" s="1168"/>
      <c r="B108" s="1169" t="s">
        <v>11700</v>
      </c>
      <c r="C108" s="1157" t="s">
        <v>1262</v>
      </c>
      <c r="D108" s="1158">
        <f>SUMIFS(BalanceN[Mvt_Credit],BalanceN[Table],"&gt;=13900",BalanceN[Table],"&lt;14000")</f>
        <v>0</v>
      </c>
      <c r="E108" s="1158">
        <f>SUMIFS(BalanceN1[Mvt_Credit],BalanceN1[Table],"&gt;=13900",BalanceN1[Table],"&lt;14000")</f>
        <v>0</v>
      </c>
      <c r="F108" s="118"/>
    </row>
    <row r="109" spans="1:6" ht="20.05" customHeight="1">
      <c r="A109" s="1168"/>
      <c r="B109" s="1169" t="s">
        <v>11701</v>
      </c>
      <c r="C109" s="1157" t="s">
        <v>1262</v>
      </c>
      <c r="D109" s="1158">
        <f>SUMIFS(BalanceN[Mvt_Credit],BalanceN[Table],"&gt;=46190",BalanceN[Table],"&lt;46200")</f>
        <v>0</v>
      </c>
      <c r="E109" s="1158">
        <f>SUMIFS(BalanceN1[Mvt_Credit],BalanceN1[Table],"&gt;=46190",BalanceN1[Table],"&lt;46200")</f>
        <v>0</v>
      </c>
      <c r="F109" s="118"/>
    </row>
    <row r="110" spans="1:6" ht="20.05" customHeight="1">
      <c r="A110" s="1168"/>
      <c r="B110" s="1169" t="s">
        <v>11702</v>
      </c>
      <c r="C110" s="1157" t="s">
        <v>1262</v>
      </c>
      <c r="D110" s="1158">
        <f>SUMIFS(BalanceN[Mvt_Credit],BalanceN[Table],"&gt;=46500",BalanceN[Table],"&lt;46600")</f>
        <v>90000000</v>
      </c>
      <c r="E110" s="1158">
        <f>SUMIFS(BalanceN1[Mvt_Credit],BalanceN1[Table],"&gt;=46500",BalanceN1[Table],"&lt;46600")</f>
        <v>40000000</v>
      </c>
      <c r="F110" s="118"/>
    </row>
    <row r="111" spans="1:6" ht="20.05" customHeight="1" thickBot="1">
      <c r="A111" s="1186" t="s">
        <v>1391</v>
      </c>
      <c r="B111" s="1187" t="s">
        <v>11703</v>
      </c>
      <c r="C111" s="1177" t="s">
        <v>1262</v>
      </c>
      <c r="D111" s="1188">
        <f>IF(SUM(D99:D110)&lt;0,0,SUM(D99:D110))</f>
        <v>200000000</v>
      </c>
      <c r="E111" s="1188">
        <f>IF(SUM(E99:E110)&lt;0,0,SUM(E99:E110))</f>
        <v>0</v>
      </c>
      <c r="F111" s="118"/>
    </row>
    <row r="112" spans="1:6" ht="20.05" customHeight="1">
      <c r="A112" s="1150"/>
      <c r="B112" s="1151" t="s">
        <v>11704</v>
      </c>
      <c r="C112" s="1152" t="s">
        <v>1262</v>
      </c>
      <c r="D112" s="1153">
        <f>SUMIFS(BalanceN[BS_Credit],BalanceN[Table],"&gt;=14000",BalanceN[Table],"&lt;15000")
-
SUMIFS(BalanceN[BE_Credit],BalanceN[Table],"&gt;=14000",BalanceN[Table],"&lt;15000")</f>
        <v>2000000</v>
      </c>
      <c r="E112" s="1154">
        <f>SUMIFS(BalanceN1[BS_Credit],BalanceN1[Table],"&gt;=14000",BalanceN1[Table],"&lt;15000")
-
SUMIFS(BalanceN1[BE_Credit],BalanceN1[Table],"&gt;=14000",BalanceN1[Table],"&lt;15000")</f>
        <v>0</v>
      </c>
      <c r="F112" s="118"/>
    </row>
    <row r="113" spans="1:6" ht="20.05" customHeight="1">
      <c r="A113" s="1168"/>
      <c r="B113" s="1169" t="s">
        <v>11705</v>
      </c>
      <c r="C113" s="1157" t="s">
        <v>1262</v>
      </c>
      <c r="D113" s="1158">
        <f>SUMIFS(BalanceN[BS_Credit],BalanceN[Table],"&gt;=79900",BalanceN[Table],"&lt;80000")</f>
        <v>0</v>
      </c>
      <c r="E113" s="1158">
        <f>SUMIFS(BalanceN1[BS_Credit],BalanceN1[Table],"&gt;=79900",BalanceN1[Table],"&lt;80000")</f>
        <v>0</v>
      </c>
      <c r="F113" s="118"/>
    </row>
    <row r="114" spans="1:6" ht="20.05" customHeight="1">
      <c r="A114" s="1168"/>
      <c r="B114" s="1169" t="s">
        <v>11706</v>
      </c>
      <c r="C114" s="1157" t="s">
        <v>1265</v>
      </c>
      <c r="D114" s="1158">
        <f>-SUMIFS(BalanceN[BS_Debit],BalanceN[Table],"&gt;=45820",BalanceN[Table],"&lt;45830")</f>
        <v>0</v>
      </c>
      <c r="E114" s="1158">
        <f>-SUMIFS(BalanceN1[BS_Debit],BalanceN1[Table],"&gt;=45820",BalanceN1[Table],"&lt;45830")</f>
        <v>0</v>
      </c>
      <c r="F114" s="118"/>
    </row>
    <row r="115" spans="1:6" ht="20.05" customHeight="1">
      <c r="A115" s="1168"/>
      <c r="B115" s="1169" t="s">
        <v>11707</v>
      </c>
      <c r="C115" s="1157" t="s">
        <v>1265</v>
      </c>
      <c r="D115" s="1158">
        <f>-SUMIFS(BalanceN[BS_Debit],BalanceN[Table],"&gt;=44940",BalanceN[Table],"&lt;44950")</f>
        <v>0</v>
      </c>
      <c r="E115" s="1158">
        <f>-SUMIFS(BalanceN1[BS_Debit],BalanceN1[Table],"&gt;=44940",BalanceN1[Table],"&lt;44950")</f>
        <v>0</v>
      </c>
      <c r="F115" s="118"/>
    </row>
    <row r="116" spans="1:6" ht="20.05" customHeight="1" thickBot="1">
      <c r="A116" s="1186" t="s">
        <v>11708</v>
      </c>
      <c r="B116" s="1187" t="s">
        <v>11709</v>
      </c>
      <c r="C116" s="1177" t="s">
        <v>1262</v>
      </c>
      <c r="D116" s="1188">
        <f>IF(SUM(D112:D115)&lt;0,0,SUM(D112:D115))</f>
        <v>2000000</v>
      </c>
      <c r="E116" s="1188">
        <f>IF(SUM(E112:E115)&lt;0,0,SUM(E112:E115))</f>
        <v>0</v>
      </c>
      <c r="F116" s="118"/>
    </row>
    <row r="117" spans="1:6" ht="20.05" customHeight="1">
      <c r="A117" s="1150"/>
      <c r="B117" s="1151" t="s">
        <v>11710</v>
      </c>
      <c r="C117" s="1152" t="s">
        <v>1262</v>
      </c>
      <c r="D117" s="1153">
        <f>SUMIFS(BalanceN[Mvt_Debit],BalanceN[Table],"&gt;=46190",BalanceN[Table],"&lt;46200")</f>
        <v>0</v>
      </c>
      <c r="E117" s="1153">
        <f>SUMIFS(BalanceN1[Mvt_Debit],BalanceN1[Table],"&gt;=46190",BalanceN1[Table],"&lt;46200")</f>
        <v>0</v>
      </c>
      <c r="F117" s="118"/>
    </row>
    <row r="118" spans="1:6" ht="20.05" customHeight="1">
      <c r="A118" s="1168"/>
      <c r="B118" s="1169" t="s">
        <v>11711</v>
      </c>
      <c r="C118" s="1157" t="s">
        <v>1262</v>
      </c>
      <c r="D118" s="1158">
        <f>SUMIFS(BalanceN[BE_Debit],BalanceN[Table],"&gt;=10300",BalanceN[Table],"&lt;10500")</f>
        <v>0</v>
      </c>
      <c r="E118" s="1158">
        <f>SUMIFS(BalanceN1[BE_Debit],BalanceN1[Table],"&gt;=10300",BalanceN1[Table],"&lt;10500")</f>
        <v>0</v>
      </c>
      <c r="F118" s="118"/>
    </row>
    <row r="119" spans="1:6" ht="20.05" customHeight="1" thickBot="1">
      <c r="A119" s="1186" t="s">
        <v>1395</v>
      </c>
      <c r="B119" s="1187" t="s">
        <v>11712</v>
      </c>
      <c r="C119" s="1177" t="s">
        <v>1265</v>
      </c>
      <c r="D119" s="1188">
        <f>-SUM(D117:D118)</f>
        <v>0</v>
      </c>
      <c r="E119" s="1188">
        <f>-SUM(E117:E118)</f>
        <v>0</v>
      </c>
      <c r="F119" s="118"/>
    </row>
    <row r="120" spans="1:6" ht="20.05" customHeight="1" thickBot="1">
      <c r="A120" s="1189"/>
      <c r="B120" s="1190" t="s">
        <v>11713</v>
      </c>
      <c r="C120" s="1191" t="s">
        <v>1262</v>
      </c>
      <c r="D120" s="1192">
        <f>SUMIFS(BalanceN[Mvt_Debit],BalanceN[Table],"&gt;=46500",BalanceN[Table],"&lt;46600")</f>
        <v>90000000</v>
      </c>
      <c r="E120" s="1192">
        <f>SUMIFS(BalanceN1[Mvt_Debit],BalanceN1[Table],"&gt;=46500",BalanceN1[Table],"&lt;46600")</f>
        <v>40000000</v>
      </c>
      <c r="F120" s="118"/>
    </row>
    <row r="121" spans="1:6" ht="20.05" customHeight="1" thickBot="1">
      <c r="A121" s="1186" t="s">
        <v>1397</v>
      </c>
      <c r="B121" s="1187" t="s">
        <v>11714</v>
      </c>
      <c r="C121" s="1177" t="s">
        <v>1265</v>
      </c>
      <c r="D121" s="1188">
        <f>D120</f>
        <v>90000000</v>
      </c>
      <c r="E121" s="1188">
        <f>E120</f>
        <v>40000000</v>
      </c>
      <c r="F121" s="118"/>
    </row>
    <row r="122" spans="1:6" ht="20.05" customHeight="1" thickBot="1">
      <c r="A122" s="1193"/>
      <c r="B122" s="1194" t="s">
        <v>11715</v>
      </c>
      <c r="C122" s="1195" t="s">
        <v>1279</v>
      </c>
      <c r="D122" s="1196">
        <f>D111+D116-D119-D121</f>
        <v>112000000</v>
      </c>
      <c r="E122" s="1196">
        <f>E111+E116-E119-E121</f>
        <v>-40000000</v>
      </c>
      <c r="F122" s="118"/>
    </row>
    <row r="123" spans="1:6" ht="20.05" customHeight="1">
      <c r="A123" s="1150"/>
      <c r="B123" s="1151" t="s">
        <v>11716</v>
      </c>
      <c r="C123" s="1152" t="s">
        <v>1262</v>
      </c>
      <c r="D123" s="1153">
        <f xml:space="preserve">
SUMIFS(BalanceN[Mvt_Credit],BalanceN[Table],"&gt;=16000",BalanceN[Table],"&lt;17000")</f>
        <v>100000000</v>
      </c>
      <c r="E123" s="1154">
        <f xml:space="preserve">
SUMIFS(BalanceN1[Mvt_Credit],BalanceN1[Table],"&gt;=16000",BalanceN1[Table],"&lt;17000")</f>
        <v>0</v>
      </c>
      <c r="F123" s="118"/>
    </row>
    <row r="124" spans="1:6" ht="20.05" customHeight="1">
      <c r="A124" s="1168"/>
      <c r="B124" s="1169" t="s">
        <v>11717</v>
      </c>
      <c r="C124" s="1157" t="s">
        <v>1265</v>
      </c>
      <c r="D124" s="1158">
        <f>-
SUMIFS(BalanceN[Mvt_Debit],BalanceN[Table],"&gt;=47840",BalanceN[Table],"&lt;47850")</f>
        <v>0</v>
      </c>
      <c r="E124" s="1159">
        <f>-
SUMIFS(BalanceN1[Mvt_Debit],BalanceN1[Table],"&gt;=47840",BalanceN1[Table],"&lt;47850")</f>
        <v>0</v>
      </c>
      <c r="F124" s="118"/>
    </row>
    <row r="125" spans="1:6" ht="20.05" customHeight="1" thickBot="1">
      <c r="A125" s="1186" t="s">
        <v>1401</v>
      </c>
      <c r="B125" s="1187" t="s">
        <v>11718</v>
      </c>
      <c r="C125" s="1177" t="s">
        <v>1262</v>
      </c>
      <c r="D125" s="1188">
        <f>SUM(D123:D124)</f>
        <v>100000000</v>
      </c>
      <c r="E125" s="1188">
        <f>SUM(E123:E124)</f>
        <v>0</v>
      </c>
      <c r="F125" s="118"/>
    </row>
    <row r="126" spans="1:6" ht="20.05" customHeight="1">
      <c r="A126" s="1168"/>
      <c r="B126" s="1169" t="s">
        <v>11719</v>
      </c>
      <c r="C126" s="1157" t="s">
        <v>1262</v>
      </c>
      <c r="D126" s="1158">
        <f xml:space="preserve">
SUMIFS(BalanceN[Mvt_Credit],BalanceN[Table],"&gt;=18100",BalanceN[Table],"&lt;18500")</f>
        <v>0</v>
      </c>
      <c r="E126" s="1159">
        <f xml:space="preserve">
SUMIFS(BalanceN1[Mvt_Credit],BalanceN1[Table],"&gt;=18100",BalanceN1[Table],"&lt;18500")</f>
        <v>0</v>
      </c>
      <c r="F126" s="118"/>
    </row>
    <row r="127" spans="1:6" ht="20.05" customHeight="1" thickBot="1">
      <c r="A127" s="1186" t="s">
        <v>1403</v>
      </c>
      <c r="B127" s="1187" t="s">
        <v>1545</v>
      </c>
      <c r="C127" s="1177" t="s">
        <v>1262</v>
      </c>
      <c r="D127" s="1188">
        <f>D126</f>
        <v>0</v>
      </c>
      <c r="E127" s="1188">
        <f>E126</f>
        <v>0</v>
      </c>
      <c r="F127" s="118"/>
    </row>
    <row r="128" spans="1:6" ht="20.05" customHeight="1">
      <c r="A128" s="1168"/>
      <c r="B128" s="1169" t="s">
        <v>11720</v>
      </c>
      <c r="C128" s="1157" t="s">
        <v>1262</v>
      </c>
      <c r="D128" s="1158">
        <f xml:space="preserve">
SUMIFS(BalanceN[Mvt_Debit],BalanceN[Table],"&gt;=16000",BalanceN[Table],"&lt;18500")</f>
        <v>7500925</v>
      </c>
      <c r="E128" s="1159">
        <f xml:space="preserve">
SUMIFS(BalanceN1[Mvt_Debit],BalanceN1[Table],"&gt;=16000",BalanceN1[Table],"&lt;18500")</f>
        <v>0</v>
      </c>
      <c r="F128" s="118"/>
    </row>
    <row r="129" spans="1:6" ht="20.05" customHeight="1">
      <c r="A129" s="1168"/>
      <c r="B129" s="1169" t="s">
        <v>11721</v>
      </c>
      <c r="C129" s="1157" t="s">
        <v>1265</v>
      </c>
      <c r="D129" s="1158">
        <f>-
SUMIFS(BalanceN[BS_Credit],BalanceN[Table],"&gt;=47940",BalanceN[Table],"&lt;47950")</f>
        <v>-2500925</v>
      </c>
      <c r="E129" s="1159">
        <f>-
SUMIFS(BalanceN1[BS_Credit],BalanceN1[Table],"&gt;=47940",BalanceN1[Table],"&lt;47950")</f>
        <v>0</v>
      </c>
      <c r="F129" s="118"/>
    </row>
    <row r="130" spans="1:6" ht="20.05" customHeight="1" thickBot="1">
      <c r="A130" s="1186" t="s">
        <v>1405</v>
      </c>
      <c r="B130" s="1187" t="s">
        <v>11722</v>
      </c>
      <c r="C130" s="1177" t="s">
        <v>1265</v>
      </c>
      <c r="D130" s="1188">
        <f>SUM(D128:D129)</f>
        <v>5000000</v>
      </c>
      <c r="E130" s="1188">
        <f>SUM(E128:E129)</f>
        <v>0</v>
      </c>
      <c r="F130" s="118"/>
    </row>
    <row r="131" spans="1:6" ht="20.05" customHeight="1" thickBot="1">
      <c r="A131" s="1197" t="s">
        <v>1033</v>
      </c>
      <c r="B131" s="1198" t="s">
        <v>11723</v>
      </c>
      <c r="C131" s="1199" t="s">
        <v>1408</v>
      </c>
      <c r="D131" s="1196">
        <f>D125+D127-D130</f>
        <v>95000000</v>
      </c>
      <c r="E131" s="1196">
        <f>E125+E127-E130</f>
        <v>0</v>
      </c>
      <c r="F131" s="118"/>
    </row>
    <row r="132" spans="1:6" ht="20.05" customHeight="1" thickBot="1">
      <c r="A132" s="1164" t="s">
        <v>1034</v>
      </c>
      <c r="B132" s="1165" t="s">
        <v>11724</v>
      </c>
      <c r="C132" s="1166"/>
      <c r="D132" s="1200">
        <f>D122+D131</f>
        <v>207000000</v>
      </c>
      <c r="E132" s="1200">
        <f>E122+E131</f>
        <v>-40000000</v>
      </c>
      <c r="F132" s="118"/>
    </row>
    <row r="133" spans="1:6" ht="20.05" customHeight="1" thickBot="1">
      <c r="A133" s="1164" t="s">
        <v>1038</v>
      </c>
      <c r="B133" s="1165" t="s">
        <v>11725</v>
      </c>
      <c r="C133" s="1201" t="s">
        <v>1412</v>
      </c>
      <c r="D133" s="1200">
        <f>D37+D98+D132</f>
        <v>48512970</v>
      </c>
      <c r="E133" s="1202">
        <f>E37+E98+E132</f>
        <v>40988753</v>
      </c>
      <c r="F133" s="118"/>
    </row>
    <row r="134" spans="1:6" ht="20.05" customHeight="1" thickBot="1">
      <c r="A134" s="1164" t="s">
        <v>1039</v>
      </c>
      <c r="B134" s="1165" t="s">
        <v>11726</v>
      </c>
      <c r="C134" s="1166"/>
      <c r="D134" s="1200">
        <f>D133+D8</f>
        <v>123097127</v>
      </c>
      <c r="E134" s="1202">
        <f>E133+E8</f>
        <v>74584157</v>
      </c>
      <c r="F134" s="118"/>
    </row>
    <row r="135" spans="1:6" ht="20.05" customHeight="1">
      <c r="A135" s="1150"/>
      <c r="B135" s="1151" t="s">
        <v>11727</v>
      </c>
      <c r="C135" s="1203" t="s">
        <v>1262</v>
      </c>
      <c r="D135" s="1154">
        <f>SUMIFS(BalanceN[BS_Debit],BalanceN[Table],"&gt;=50000",BalanceN[Table],"&lt;51000")
+SUMIFS(BalanceN[BS_Debit],BalanceN[Table],"&gt;=51000",BalanceN[Table],"&lt;52000")
+SUMIFS(BalanceN[BS_Debit],BalanceN[Table],"&gt;=52000",BalanceN[Table],"&lt;58000")
+SUMIFS(BalanceN[BS_Debit],BalanceN[Table],"&gt;=58100",BalanceN[Table],"&lt;58300")</f>
        <v>123097127</v>
      </c>
      <c r="E135" s="1154">
        <f>SUMIFS(BalanceN1[BS_Debit],BalanceN1[Table],"&gt;=50000",BalanceN1[Table],"&lt;51000")
+SUMIFS(BalanceN1[BS_Debit],BalanceN1[Table],"&gt;=51000",BalanceN1[Table],"&lt;52000")
+SUMIFS(BalanceN1[BS_Debit],BalanceN1[Table],"&gt;=52000",BalanceN1[Table],"&lt;58000")
+SUMIFS(BalanceN1[BS_Debit],BalanceN1[Table],"&gt;=58100",BalanceN1[Table],"&lt;58300")</f>
        <v>74584157</v>
      </c>
      <c r="F135" s="118"/>
    </row>
    <row r="136" spans="1:6" ht="20.05" customHeight="1">
      <c r="A136" s="1155"/>
      <c r="B136" s="1156" t="s">
        <v>11728</v>
      </c>
      <c r="C136" s="1204" t="s">
        <v>11602</v>
      </c>
      <c r="D136" s="1158">
        <f>-SUMIFS(BalanceN[BS_Credit],BalanceN[Table],"&gt;=47260",BalanceN[Table],"&lt;47270")</f>
        <v>0</v>
      </c>
      <c r="E136" s="1158">
        <f>-SUMIFS(BalanceN1[BS_Credit],BalanceN1[Table],"&gt;=47260",BalanceN1[Table],"&lt;47270")</f>
        <v>0</v>
      </c>
      <c r="F136" s="118"/>
    </row>
    <row r="137" spans="1:6" ht="20.05" customHeight="1" thickBot="1">
      <c r="A137" s="1160"/>
      <c r="B137" s="1161" t="s">
        <v>11729</v>
      </c>
      <c r="C137" s="1205" t="s">
        <v>1265</v>
      </c>
      <c r="D137" s="1163">
        <f>-(SUMIFS(BalanceN[BS_Credit],BalanceN[Table],"&gt;=50000",BalanceN[Table],"&lt;51000")
+SUMIFS(BalanceN[BS_Credit],BalanceN[Table],"&gt;=51000",BalanceN[Table],"&lt;52000")
+SUMIFS(BalanceN[BS_Credit],BalanceN[Table],"&gt;=52000",BalanceN[Table],"&lt;58000")
+SUMIFS(BalanceN[BS_Credit],BalanceN[Table],"&gt;=58100",BalanceN[Table],"&lt;58300"))</f>
        <v>0</v>
      </c>
      <c r="E137" s="1170">
        <f>-(SUMIFS(BalanceN1[BS_Credit],BalanceN1[Table],"&gt;=50000",BalanceN1[Table],"&lt;51000")
+SUMIFS(BalanceN1[BS_Credit],BalanceN1[Table],"&gt;=51000",BalanceN1[Table],"&lt;52000")
+SUMIFS(BalanceN1[BS_Credit],BalanceN1[Table],"&gt;=52000",BalanceN1[Table],"&lt;58000")
+SUMIFS(BalanceN1[BS_Credit],BalanceN1[Table],"&gt;=58100",BalanceN1[Table],"&lt;58300"))</f>
        <v>0</v>
      </c>
      <c r="F137" s="118"/>
    </row>
    <row r="138" spans="1:6" ht="20.05" customHeight="1" thickBot="1">
      <c r="A138" s="1164"/>
      <c r="B138" s="1165" t="s">
        <v>11730</v>
      </c>
      <c r="C138" s="1166"/>
      <c r="D138" s="1200">
        <f>SUM(D135:D137)</f>
        <v>123097127</v>
      </c>
      <c r="E138" s="1200">
        <f>SUM(E135:E137)</f>
        <v>74584157</v>
      </c>
      <c r="F138" s="118"/>
    </row>
    <row r="139" spans="1:6" ht="20.05" customHeight="1" thickBot="1">
      <c r="A139" s="1206"/>
      <c r="B139" s="1207" t="s">
        <v>11731</v>
      </c>
      <c r="C139" s="1208"/>
      <c r="D139" s="1209">
        <f>+D134-D138</f>
        <v>0</v>
      </c>
      <c r="E139" s="1209">
        <f>+E134-E138</f>
        <v>0</v>
      </c>
      <c r="F139" s="118"/>
    </row>
    <row r="140" spans="1:6" ht="20.05" customHeight="1">
      <c r="F140" s="118"/>
    </row>
    <row r="141" spans="1:6" ht="20.05" customHeight="1">
      <c r="F141" s="118"/>
    </row>
    <row r="142" spans="1:6" ht="20.05" customHeight="1">
      <c r="F142" s="118"/>
    </row>
  </sheetData>
  <sheetProtection algorithmName="SHA-512" hashValue="WJVBgOXPRp8w/37O5UooNwWWww9wvj0J7dsvp6eERw4dNyQH6NvEfpJUMhwJnGFi0Zr3JimnG7J5FlACXOIhwg==" saltValue="aAY6nake9pTyo5U7mxMNZw==" spinCount="100000" sheet="1" objects="1" scenarios="1" selectLockedCells="1"/>
  <mergeCells count="1">
    <mergeCell ref="A1:E1"/>
  </mergeCells>
  <printOptions horizontalCentered="1"/>
  <pageMargins left="0.31496062992125984" right="0.31496062992125984" top="0.35433070866141736" bottom="0.15748031496062992" header="0.31496062992125984" footer="0.31496062992125984"/>
  <pageSetup paperSize="9" scale="61"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F77A-972C-49CC-AA5E-81740989C919}">
  <sheetPr codeName="Feuil79"/>
  <dimension ref="A1:H33"/>
  <sheetViews>
    <sheetView showGridLines="0" workbookViewId="0">
      <selection activeCell="A4" sqref="A4"/>
    </sheetView>
  </sheetViews>
  <sheetFormatPr baseColWidth="10" defaultRowHeight="13.8"/>
  <cols>
    <col min="1" max="1" width="26.734375" style="1213" bestFit="1" customWidth="1"/>
    <col min="2" max="2" width="19.1015625" style="1213" bestFit="1" customWidth="1"/>
    <col min="3" max="3" width="32.83984375" style="1213" bestFit="1" customWidth="1"/>
    <col min="4" max="5" width="18.578125" style="1214" customWidth="1"/>
    <col min="6" max="6" width="1.578125" style="1213" customWidth="1"/>
    <col min="7" max="8" width="18.578125" style="1214" customWidth="1"/>
    <col min="9" max="16384" width="10.9453125" style="1213"/>
  </cols>
  <sheetData>
    <row r="1" spans="1:8" ht="37.200000000000003" customHeight="1">
      <c r="A1" s="1211" t="s">
        <v>11734</v>
      </c>
      <c r="B1" s="1211"/>
      <c r="C1" s="1211"/>
      <c r="D1" s="1212"/>
      <c r="E1" s="1212"/>
      <c r="G1" s="1212"/>
      <c r="H1" s="1212"/>
    </row>
    <row r="2" spans="1:8" ht="25" customHeight="1"/>
    <row r="3" spans="1:8" ht="25" customHeight="1" thickBot="1"/>
    <row r="4" spans="1:8" ht="25" customHeight="1" thickBot="1">
      <c r="D4" s="1215" t="s">
        <v>11735</v>
      </c>
      <c r="E4" s="1216" t="s">
        <v>11736</v>
      </c>
      <c r="G4" s="1215" t="s">
        <v>11735</v>
      </c>
      <c r="H4" s="1216" t="s">
        <v>11736</v>
      </c>
    </row>
    <row r="5" spans="1:8" ht="25" customHeight="1">
      <c r="A5" s="1730" t="s">
        <v>11737</v>
      </c>
      <c r="B5" s="1217" t="s">
        <v>11738</v>
      </c>
      <c r="C5" s="1218" t="s">
        <v>11739</v>
      </c>
      <c r="D5" s="1219">
        <f>SUMIFS(BalanceN[Mvt_Debit],BalanceN[Table],"&gt;=69100",BalanceN[Table],"&lt;69500")</f>
        <v>13953199</v>
      </c>
      <c r="E5" s="1220">
        <f>SUMIFS(BalanceN[Mvt_Credit],BalanceN[Table],"&gt;=29000",BalanceN[Table],"&lt;30000")</f>
        <v>0</v>
      </c>
      <c r="G5" s="1219">
        <f>SUMIFS(BalanceN1[Mvt_Debit],BalanceN1[Table],"&gt;=69100",BalanceN1[Table],"&lt;69500")</f>
        <v>11082662</v>
      </c>
      <c r="H5" s="1220">
        <f>SUMIFS(BalanceN1[Mvt_Credit],BalanceN1[Table],"&gt;=29000",BalanceN1[Table],"&lt;30000")</f>
        <v>0</v>
      </c>
    </row>
    <row r="6" spans="1:8" ht="25" customHeight="1">
      <c r="A6" s="1730"/>
      <c r="B6" s="1221" t="s">
        <v>11740</v>
      </c>
      <c r="C6" s="1222" t="s">
        <v>11741</v>
      </c>
      <c r="D6" s="1223">
        <f>SUMIFS(BalanceN[Mvt_Debit],BalanceN[Table],"&gt;=69200",BalanceN[Table],"&lt;69300")</f>
        <v>0</v>
      </c>
      <c r="E6" s="1224">
        <f>SUMIFS(BalanceN[Mvt_Credit],BalanceN[Table],"&gt;=19000",BalanceN[Table],"&lt;20000")</f>
        <v>13953199</v>
      </c>
      <c r="G6" s="1223">
        <f>SUMIFS(BalanceN1[Mvt_Debit],BalanceN1[Table],"&gt;=69200",BalanceN1[Table],"&lt;69300")</f>
        <v>0</v>
      </c>
      <c r="H6" s="1224">
        <f>SUMIFS(BalanceN1[Mvt_Credit],BalanceN1[Table],"&gt;=19000",BalanceN1[Table],"&lt;20000")</f>
        <v>11082662</v>
      </c>
    </row>
    <row r="7" spans="1:8" ht="25" customHeight="1" thickBot="1">
      <c r="A7" s="1730"/>
      <c r="B7" s="1225" t="s">
        <v>11742</v>
      </c>
      <c r="C7" s="1226"/>
      <c r="D7" s="1227">
        <f>SUMIFS(BalanceN[Mvt_Debit],BalanceN[Table],"&gt;=85300",BalanceN[Table],"&lt;85400")</f>
        <v>0</v>
      </c>
      <c r="E7" s="1228"/>
      <c r="G7" s="1227">
        <f>SUMIFS(BalanceN1[Mvt_Debit],BalanceN1[Table],"&gt;=85300",BalanceN1[Table],"&lt;85400")</f>
        <v>0</v>
      </c>
      <c r="H7" s="1228"/>
    </row>
    <row r="8" spans="1:8" ht="25" customHeight="1" thickBot="1">
      <c r="A8" s="1730"/>
      <c r="B8" s="1229"/>
      <c r="C8" s="1230"/>
      <c r="D8" s="1231">
        <f>SUM(D5:D7)-SUM(E5:E7)</f>
        <v>0</v>
      </c>
      <c r="E8" s="1232"/>
      <c r="G8" s="1231"/>
      <c r="H8" s="1232"/>
    </row>
    <row r="9" spans="1:8" ht="25" customHeight="1">
      <c r="A9" s="1730"/>
      <c r="B9" s="1217" t="s">
        <v>11739</v>
      </c>
      <c r="C9" s="1218" t="s">
        <v>11743</v>
      </c>
      <c r="D9" s="1219">
        <f>SUMIFS(BalanceN[Mvt_Debit],BalanceN[Table],"&gt;=29000",BalanceN[Table],"&lt;30000")</f>
        <v>0</v>
      </c>
      <c r="E9" s="1220">
        <f>SUMIFS(BalanceN[Mvt_Credit],BalanceN[Table],"&gt;=79100",BalanceN[Table],"&lt;79200")</f>
        <v>0</v>
      </c>
      <c r="G9" s="1219">
        <f>SUMIFS(BalanceN1[Mvt_Debit],BalanceN1[Table],"&gt;=29000",BalanceN1[Table],"&lt;30000")</f>
        <v>0</v>
      </c>
      <c r="H9" s="1220">
        <f>SUMIFS(BalanceN1[Mvt_Credit],BalanceN1[Table],"&gt;=79100",BalanceN1[Table],"&lt;79200")</f>
        <v>0</v>
      </c>
    </row>
    <row r="10" spans="1:8" ht="25" customHeight="1">
      <c r="A10" s="1730"/>
      <c r="B10" s="1221" t="s">
        <v>11741</v>
      </c>
      <c r="C10" s="1222" t="s">
        <v>11744</v>
      </c>
      <c r="D10" s="1223">
        <f>SUMIFS(BalanceN[Mvt_Debit],BalanceN[Table],"&gt;=19000",BalanceN[Table],"&lt;20000")</f>
        <v>6701530</v>
      </c>
      <c r="E10" s="1224">
        <f>SUMIFS(BalanceN[Mvt_Credit],BalanceN[Table],"&gt;=79700",BalanceN[Table],"&lt;79800")</f>
        <v>0</v>
      </c>
      <c r="G10" s="1223">
        <f>SUMIFS(BalanceN1[Mvt_Debit],BalanceN1[Table],"&gt;=19000",BalanceN1[Table],"&lt;20000")</f>
        <v>3771900</v>
      </c>
      <c r="H10" s="1224">
        <f>SUMIFS(BalanceN1[Mvt_Credit],BalanceN1[Table],"&gt;=79700",BalanceN1[Table],"&lt;79800")</f>
        <v>0</v>
      </c>
    </row>
    <row r="11" spans="1:8" ht="25" customHeight="1" thickBot="1">
      <c r="A11" s="1730"/>
      <c r="B11" s="1225"/>
      <c r="C11" s="1226" t="s">
        <v>11745</v>
      </c>
      <c r="D11" s="1227"/>
      <c r="E11" s="1228">
        <f>SUMIFS(BalanceN[Mvt_Credit],BalanceN[Table],"&gt;=86300",BalanceN[Table],"&lt;76400")</f>
        <v>0</v>
      </c>
      <c r="G11" s="1227"/>
      <c r="H11" s="1228">
        <f>SUMIFS(BalanceN1[Mvt_Credit],BalanceN1[Table],"&gt;=86300",BalanceN1[Table],"&lt;76400")</f>
        <v>0</v>
      </c>
    </row>
    <row r="12" spans="1:8" ht="25" customHeight="1" thickBot="1">
      <c r="A12" s="1730"/>
      <c r="B12" s="1229"/>
      <c r="C12" s="1230"/>
      <c r="D12" s="1231">
        <f>SUM(D9:D11)-SUM(E9:E11)</f>
        <v>6701530</v>
      </c>
      <c r="E12" s="1232"/>
      <c r="G12" s="1231"/>
      <c r="H12" s="1232"/>
    </row>
    <row r="13" spans="1:8" ht="25" customHeight="1">
      <c r="A13" s="1730"/>
      <c r="B13" s="1217" t="s">
        <v>11746</v>
      </c>
      <c r="C13" s="1218" t="s">
        <v>11747</v>
      </c>
      <c r="D13" s="1219">
        <f>SUMIFS(BalanceN[Mvt_Debit],BalanceN[Table],"&gt;=65900",BalanceN[Table],"&lt;66000")</f>
        <v>0</v>
      </c>
      <c r="E13" s="1220">
        <f>SUMIFS(BalanceN[Mvt_Credit],BalanceN[Table],"&gt;=39000",BalanceN[Table],"&lt;40000")</f>
        <v>0</v>
      </c>
      <c r="G13" s="1219">
        <f>SUMIFS(BalanceN1[Mvt_Debit],BalanceN1[Table],"&gt;=65900",BalanceN1[Table],"&lt;66000")</f>
        <v>0</v>
      </c>
      <c r="H13" s="1220">
        <f>SUMIFS(BalanceN1[Mvt_Credit],BalanceN1[Table],"&gt;=39000",BalanceN1[Table],"&lt;40000")</f>
        <v>0</v>
      </c>
    </row>
    <row r="14" spans="1:8" ht="25" customHeight="1" thickBot="1">
      <c r="A14" s="1730"/>
      <c r="B14" s="1225" t="s">
        <v>11748</v>
      </c>
      <c r="C14" s="1226" t="s">
        <v>11749</v>
      </c>
      <c r="D14" s="1227">
        <f>SUMIFS(BalanceN[Mvt_Debit],BalanceN[Table],"&gt;=83900",BalanceN[Table],"&lt;84000")</f>
        <v>0</v>
      </c>
      <c r="E14" s="1228">
        <f>SUMIFS(BalanceN[Mvt_Credit],BalanceN[Table],"&gt;=49000",BalanceN[Table],"&lt;50000")</f>
        <v>0</v>
      </c>
      <c r="G14" s="1227">
        <f>SUMIFS(BalanceN1[Mvt_Debit],BalanceN1[Table],"&gt;=83900",BalanceN1[Table],"&lt;84000")</f>
        <v>0</v>
      </c>
      <c r="H14" s="1228">
        <f>SUMIFS(BalanceN1[Mvt_Credit],BalanceN1[Table],"&gt;=49000",BalanceN1[Table],"&lt;50000")</f>
        <v>0</v>
      </c>
    </row>
    <row r="15" spans="1:8" ht="25" customHeight="1">
      <c r="A15" s="1730"/>
      <c r="B15" s="1233"/>
      <c r="C15" s="1234"/>
      <c r="D15" s="1235">
        <f>SUM(D13:D14)-SUM(E13:E14)</f>
        <v>0</v>
      </c>
      <c r="E15" s="1236"/>
      <c r="G15" s="1235"/>
      <c r="H15" s="1236"/>
    </row>
    <row r="16" spans="1:8" ht="25" customHeight="1" thickBot="1">
      <c r="A16" s="1730"/>
      <c r="B16" s="1237"/>
      <c r="C16" s="1238"/>
      <c r="D16" s="1239"/>
      <c r="E16" s="1240"/>
      <c r="G16" s="1239"/>
      <c r="H16" s="1240"/>
    </row>
    <row r="17" spans="1:8" ht="25" customHeight="1">
      <c r="A17" s="1730"/>
      <c r="B17" s="1217" t="s">
        <v>11747</v>
      </c>
      <c r="C17" s="1218" t="s">
        <v>11750</v>
      </c>
      <c r="D17" s="1219">
        <f>SUMIFS(BalanceN[Mvt_Debit],BalanceN[Table],"&gt;=39000",BalanceN[Table],"&lt;40000")</f>
        <v>0</v>
      </c>
      <c r="E17" s="1220">
        <f>SUMIFS(BalanceN[Mvt_Credit],BalanceN[Table],"&gt;=86300",BalanceN[Table],"&lt;76400")</f>
        <v>0</v>
      </c>
      <c r="G17" s="1219">
        <f>SUMIFS(BalanceN1[Mvt_Debit],BalanceN1[Table],"&gt;=39000",BalanceN1[Table],"&lt;40000")</f>
        <v>0</v>
      </c>
      <c r="H17" s="1220">
        <f>SUMIFS(BalanceN1[Mvt_Credit],BalanceN1[Table],"&gt;=86300",BalanceN1[Table],"&lt;76400")</f>
        <v>0</v>
      </c>
    </row>
    <row r="18" spans="1:8" ht="25" customHeight="1" thickBot="1">
      <c r="A18" s="1730"/>
      <c r="B18" s="1225" t="s">
        <v>11749</v>
      </c>
      <c r="C18" s="1226" t="s">
        <v>11751</v>
      </c>
      <c r="D18" s="1227">
        <f>SUMIFS(BalanceN[Mvt_Debit],BalanceN[Table],"&gt;=49000",BalanceN[Table],"&lt;50000")</f>
        <v>0</v>
      </c>
      <c r="E18" s="1228">
        <f>SUMIFS(BalanceN[Mvt_Credit],BalanceN[Table],"&gt;=86300",BalanceN[Table],"&lt;76400")</f>
        <v>0</v>
      </c>
      <c r="G18" s="1227">
        <f>SUMIFS(BalanceN1[Mvt_Debit],BalanceN1[Table],"&gt;=49000",BalanceN1[Table],"&lt;50000")</f>
        <v>0</v>
      </c>
      <c r="H18" s="1228">
        <f>SUMIFS(BalanceN1[Mvt_Credit],BalanceN1[Table],"&gt;=86300",BalanceN1[Table],"&lt;76400")</f>
        <v>0</v>
      </c>
    </row>
    <row r="19" spans="1:8" ht="25" customHeight="1" thickBot="1">
      <c r="A19" s="1730"/>
      <c r="B19" s="1229"/>
      <c r="C19" s="1230"/>
      <c r="D19" s="1231">
        <f>SUM(D17:D18)-SUM(E17:E18)</f>
        <v>0</v>
      </c>
      <c r="E19" s="1232"/>
      <c r="G19" s="1231"/>
      <c r="H19" s="1232"/>
    </row>
    <row r="20" spans="1:8" ht="25" customHeight="1">
      <c r="A20" s="1730"/>
      <c r="B20" s="1217" t="s">
        <v>11752</v>
      </c>
      <c r="C20" s="1218" t="s">
        <v>11753</v>
      </c>
      <c r="D20" s="1219">
        <f>SUMIFS(BalanceN[Mvt_Debit],BalanceN[Table],"&gt;=67900",BalanceN[Table],"&lt;68000")</f>
        <v>0</v>
      </c>
      <c r="E20" s="1220">
        <f>SUMIFS(BalanceN[Mvt_Credit],BalanceN[Table],"&gt;=59000",BalanceN[Table],"&lt;60000")</f>
        <v>0</v>
      </c>
      <c r="G20" s="1219">
        <f>SUMIFS(BalanceN1[Mvt_Debit],BalanceN1[Table],"&gt;=67900",BalanceN1[Table],"&lt;68000")</f>
        <v>0</v>
      </c>
      <c r="H20" s="1220">
        <f>SUMIFS(BalanceN1[Mvt_Credit],BalanceN1[Table],"&gt;=59000",BalanceN1[Table],"&lt;60000")</f>
        <v>0</v>
      </c>
    </row>
    <row r="21" spans="1:8" ht="25" customHeight="1" thickBot="1">
      <c r="A21" s="1730"/>
      <c r="B21" s="1225" t="s">
        <v>11753</v>
      </c>
      <c r="C21" s="1226" t="s">
        <v>11754</v>
      </c>
      <c r="D21" s="1227">
        <f>SUMIFS(BalanceN[Mvt_Debit],BalanceN[Table],"&gt;=59000",BalanceN[Table],"&lt;60000")</f>
        <v>0</v>
      </c>
      <c r="E21" s="1228">
        <f>SUMIFS(BalanceN[Mvt_Credit],BalanceN[Table],"&gt;=77900",BalanceN[Table],"&lt;78000")</f>
        <v>0</v>
      </c>
      <c r="G21" s="1227">
        <f>SUMIFS(BalanceN1[Mvt_Debit],BalanceN1[Table],"&gt;=59000",BalanceN1[Table],"&lt;60000")</f>
        <v>0</v>
      </c>
      <c r="H21" s="1228">
        <f>SUMIFS(BalanceN1[Mvt_Credit],BalanceN1[Table],"&gt;=77900",BalanceN1[Table],"&lt;78000")</f>
        <v>0</v>
      </c>
    </row>
    <row r="22" spans="1:8" ht="25" customHeight="1">
      <c r="B22" s="1233"/>
      <c r="C22" s="1234"/>
      <c r="D22" s="1235">
        <f>SUM(D20:D21)-SUM(E20:E21)</f>
        <v>0</v>
      </c>
      <c r="E22" s="1236"/>
      <c r="G22" s="1235"/>
      <c r="H22" s="1236"/>
    </row>
    <row r="23" spans="1:8" ht="25" customHeight="1" thickBot="1">
      <c r="B23" s="1237"/>
      <c r="C23" s="1238"/>
      <c r="D23" s="1239"/>
      <c r="E23" s="1240"/>
      <c r="G23" s="1239"/>
      <c r="H23" s="1240"/>
    </row>
    <row r="24" spans="1:8" ht="25" customHeight="1" thickBot="1">
      <c r="A24" s="1213" t="s">
        <v>11755</v>
      </c>
      <c r="B24" s="1241" t="s">
        <v>11756</v>
      </c>
      <c r="C24" s="1242" t="s">
        <v>11757</v>
      </c>
      <c r="D24" s="1243">
        <f>SUMIFS(BalanceN[BS_Debit],BalanceN[Table],"&gt;=68000",BalanceN[Table],"&lt;69000")</f>
        <v>19259644</v>
      </c>
      <c r="E24" s="1244">
        <f>SUMIFS(BalanceN[Mvt_Credit],BalanceN[Table],"&gt;=28000",BalanceN[Table],"&lt;29000")</f>
        <v>19259644</v>
      </c>
      <c r="G24" s="1243">
        <f>SUMIFS(BalanceN1[Mvt_Debit],BalanceN1[Table],"&gt;=68000",BalanceN1[Table],"&lt;69000")</f>
        <v>47569542</v>
      </c>
      <c r="H24" s="1244">
        <f>SUMIFS(BalanceN1[Mvt_Credit],BalanceN1[Table],"&gt;=28000",BalanceN1[Table],"&lt;29000")</f>
        <v>24304993</v>
      </c>
    </row>
    <row r="25" spans="1:8" ht="25" customHeight="1" thickBot="1">
      <c r="B25" s="1229"/>
      <c r="C25" s="1230"/>
      <c r="D25" s="1231">
        <f>D24-E24</f>
        <v>0</v>
      </c>
      <c r="E25" s="1232"/>
      <c r="G25" s="1231"/>
      <c r="H25" s="1232"/>
    </row>
    <row r="26" spans="1:8" ht="25" customHeight="1">
      <c r="A26" s="1213" t="s">
        <v>11758</v>
      </c>
      <c r="B26" s="1217" t="s">
        <v>11757</v>
      </c>
      <c r="C26" s="1218" t="s">
        <v>11759</v>
      </c>
      <c r="D26" s="1219">
        <f>SUMIFS(BalanceN[Mvt_Debit],BalanceN[Table],"&gt;=28000",BalanceN[Table],"&lt;29000")</f>
        <v>45992979</v>
      </c>
      <c r="E26" s="1220">
        <f>SUMIFS(BalanceN[Mvt_Credit],BalanceN[Table],"&gt;=21000",BalanceN[Table],"&lt;25000")
+SUMIFS(BalanceN[Mvt_Credit],BalanceN[Table],"&gt;=26000",BalanceN[Table],"&lt;28000")
-SUMIFS(BalanceN[Mvt_Credit],BalanceN[Table],"&gt;=27400",BalanceN[Table],"&lt;27500")</f>
        <v>46723022</v>
      </c>
      <c r="G26" s="1219">
        <f>SUMIFS(BalanceN1[Mvt_Debit],BalanceN1[Table],"&gt;=28000",BalanceN1[Table],"&lt;29000")</f>
        <v>58333</v>
      </c>
      <c r="H26" s="1245">
        <f>SUMIFS(BalanceN1[Mvt_Credit],BalanceN1[Table],"&gt;=21000",BalanceN1[Table],"&lt;25000")
+SUMIFS(BalanceN1[Mvt_Credit],BalanceN1[Table],"&gt;=26000",BalanceN1[Table],"&lt;28000")
-SUMIFS(BalanceN1[Mvt_Credit],BalanceN1[Table],"&gt;=27400",BalanceN1[Table],"&lt;27500")</f>
        <v>1529865</v>
      </c>
    </row>
    <row r="27" spans="1:8" ht="25" customHeight="1" thickBot="1">
      <c r="B27" s="1225" t="s">
        <v>11760</v>
      </c>
      <c r="C27" s="1226"/>
      <c r="D27" s="1227">
        <f>SUMIFS(BalanceN[Mvt_Debit],BalanceN[Table],"&gt;=81000",BalanceN[Table],"&lt;82000")</f>
        <v>45992979</v>
      </c>
      <c r="E27" s="1228"/>
      <c r="G27" s="1227">
        <f>SUMIFS(BalanceN1[Mvt_Debit],BalanceN1[Table],"&gt;=81000",BalanceN1[Table],"&lt;82000")</f>
        <v>350000</v>
      </c>
      <c r="H27" s="1228"/>
    </row>
    <row r="28" spans="1:8" ht="25" customHeight="1" thickBot="1">
      <c r="B28" s="1237"/>
      <c r="C28" s="1238"/>
      <c r="D28" s="1239">
        <f>SUM(D25:D27)-SUM(E25:E27)</f>
        <v>45262936</v>
      </c>
      <c r="E28" s="1240"/>
      <c r="G28" s="1239"/>
      <c r="H28" s="1240"/>
    </row>
    <row r="29" spans="1:8" ht="25" customHeight="1"/>
    <row r="30" spans="1:8" ht="25" customHeight="1"/>
    <row r="31" spans="1:8" ht="25" customHeight="1"/>
    <row r="32" spans="1:8" ht="25" customHeight="1"/>
    <row r="33" ht="25" customHeight="1"/>
  </sheetData>
  <sheetProtection algorithmName="SHA-512" hashValue="gTh1DwaJUwRXngkOQa5rcV2fzDlWcMc244FBW3EIsezMhowLqPy+Czwoauz8iMNbnpdlDmar7A0Q4iUBZq+uKw==" saltValue="bpOrCifjK87iPv+RRYk1bw==" spinCount="100000" sheet="1" objects="1" scenarios="1" selectLockedCells="1"/>
  <mergeCells count="1">
    <mergeCell ref="A5:A21"/>
  </mergeCells>
  <conditionalFormatting sqref="D5:H28">
    <cfRule type="cellIs" dxfId="214" priority="1" operator="equal">
      <formula>0</formula>
    </cfRule>
  </conditionalFormatting>
  <pageMargins left="0.7" right="0.7" top="0.75" bottom="0.75" header="0.3" footer="0.3"/>
  <pageSetup paperSize="9" orientation="portrait" horizontalDpi="200" verticalDpi="2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41579-9AE8-4067-8E9A-90659717F4B6}">
  <sheetPr codeName="Feuil15">
    <tabColor theme="0" tint="-0.499984740745262"/>
  </sheetPr>
  <dimension ref="A1:J65"/>
  <sheetViews>
    <sheetView showGridLines="0" showRowColHeaders="0" zoomScaleNormal="100" workbookViewId="0">
      <selection activeCell="W46" sqref="W46"/>
    </sheetView>
  </sheetViews>
  <sheetFormatPr baseColWidth="10" defaultColWidth="11.5234375" defaultRowHeight="14.4"/>
  <cols>
    <col min="1" max="1" width="13.3125" style="103" customWidth="1"/>
    <col min="2" max="2" width="19" style="103" customWidth="1"/>
    <col min="3" max="3" width="10.1015625" style="103" customWidth="1"/>
    <col min="4" max="4" width="6.3125" style="103" customWidth="1"/>
    <col min="5" max="5" width="17" style="103" customWidth="1"/>
    <col min="6" max="6" width="9.41796875" style="103" customWidth="1"/>
    <col min="7" max="7" width="2.1015625" style="103" customWidth="1"/>
    <col min="8" max="8" width="20.41796875" style="103" customWidth="1"/>
    <col min="9" max="10" width="6.89453125" style="103" customWidth="1"/>
    <col min="11" max="16384" width="11.5234375" style="103"/>
  </cols>
  <sheetData>
    <row r="1" spans="1:10">
      <c r="A1" s="1276" t="str">
        <f>"- "&amp;Code!K14&amp;" -"</f>
        <v>- 16 -</v>
      </c>
      <c r="B1" s="1276"/>
      <c r="C1" s="1276"/>
      <c r="D1" s="1276"/>
      <c r="E1" s="1276"/>
      <c r="F1" s="1276"/>
      <c r="G1" s="1276"/>
      <c r="H1" s="1276"/>
      <c r="I1" s="1276"/>
      <c r="J1" s="1276"/>
    </row>
    <row r="2" spans="1:10" ht="22.5" customHeight="1">
      <c r="A2" s="299"/>
      <c r="B2" s="299"/>
      <c r="C2" s="299"/>
      <c r="D2" s="125"/>
      <c r="E2" s="125"/>
      <c r="F2" s="125"/>
      <c r="G2" s="307"/>
      <c r="H2" s="307"/>
      <c r="I2" s="1278" t="s">
        <v>1421</v>
      </c>
      <c r="J2" s="1279"/>
    </row>
    <row r="3" spans="1:10">
      <c r="A3" s="125" t="s">
        <v>50</v>
      </c>
      <c r="B3" s="125"/>
      <c r="C3" s="1547" t="str">
        <f>TFT!C3</f>
        <v>OHADA</v>
      </c>
      <c r="D3" s="1547"/>
      <c r="E3" s="1547"/>
      <c r="F3" s="1547"/>
      <c r="G3" s="1547"/>
      <c r="H3" s="1547"/>
      <c r="I3" s="1547"/>
      <c r="J3" s="1547"/>
    </row>
    <row r="4" spans="1:10">
      <c r="A4" s="125" t="s">
        <v>51</v>
      </c>
      <c r="B4" s="1647" t="str">
        <f>TFT!C4</f>
        <v/>
      </c>
      <c r="C4" s="1647"/>
      <c r="D4" s="1647"/>
      <c r="E4" s="1647"/>
      <c r="F4" s="1647"/>
      <c r="G4" s="1647"/>
      <c r="H4" s="901" t="s">
        <v>1021</v>
      </c>
      <c r="I4" s="1742" t="str">
        <f>TFT!J4</f>
        <v/>
      </c>
      <c r="J4" s="1742"/>
    </row>
    <row r="5" spans="1:10">
      <c r="A5" s="317" t="s">
        <v>53</v>
      </c>
      <c r="B5" s="125"/>
      <c r="C5" s="1647" t="str">
        <f>TFT!C5</f>
        <v/>
      </c>
      <c r="D5" s="1647"/>
      <c r="E5" s="902" t="s">
        <v>54</v>
      </c>
      <c r="F5" s="1622">
        <f>TFT!F5</f>
        <v>0</v>
      </c>
      <c r="G5" s="1622"/>
      <c r="H5" s="307" t="s">
        <v>55</v>
      </c>
      <c r="I5" s="1741">
        <f>TFT!J5</f>
        <v>1</v>
      </c>
      <c r="J5" s="1741"/>
    </row>
    <row r="6" spans="1:10">
      <c r="A6" s="317" t="s">
        <v>56</v>
      </c>
      <c r="B6" s="125"/>
      <c r="C6" s="1275" t="str">
        <f>TFT!C6</f>
        <v/>
      </c>
      <c r="D6" s="1275"/>
      <c r="E6" s="1683"/>
      <c r="F6" s="750"/>
      <c r="G6" s="750"/>
      <c r="H6" s="749"/>
      <c r="I6" s="751"/>
      <c r="J6" s="751"/>
    </row>
    <row r="7" spans="1:10" ht="22.5" customHeight="1">
      <c r="A7" s="1273" t="s">
        <v>1422</v>
      </c>
      <c r="B7" s="1273"/>
      <c r="C7" s="1273"/>
      <c r="D7" s="1273"/>
      <c r="E7" s="1273"/>
      <c r="F7" s="1273"/>
      <c r="G7" s="1273"/>
      <c r="H7" s="1273"/>
      <c r="I7" s="1273"/>
      <c r="J7" s="1273"/>
    </row>
    <row r="8" spans="1:10" ht="18.75" customHeight="1">
      <c r="A8" s="752" t="s">
        <v>1423</v>
      </c>
      <c r="B8" s="1738" t="s">
        <v>1424</v>
      </c>
      <c r="C8" s="1739"/>
      <c r="D8" s="1739"/>
      <c r="E8" s="1739"/>
      <c r="F8" s="1739"/>
      <c r="G8" s="1739"/>
      <c r="H8" s="1740"/>
      <c r="I8" s="753" t="s">
        <v>1261</v>
      </c>
      <c r="J8" s="754" t="s">
        <v>1425</v>
      </c>
    </row>
    <row r="9" spans="1:10" s="756" customFormat="1" ht="12.75" customHeight="1">
      <c r="A9" s="903" t="s">
        <v>1426</v>
      </c>
      <c r="B9" s="1731" t="s">
        <v>1427</v>
      </c>
      <c r="C9" s="1731"/>
      <c r="D9" s="1731"/>
      <c r="E9" s="1731"/>
      <c r="F9" s="1731"/>
      <c r="G9" s="1731"/>
      <c r="H9" s="1731"/>
      <c r="I9" s="343" t="str">
        <f>IF(Sommaire!D19=TRUE,"x","")</f>
        <v/>
      </c>
      <c r="J9" s="343" t="str">
        <f>IF(Sommaire!D19=FALSE,"x","")</f>
        <v>x</v>
      </c>
    </row>
    <row r="10" spans="1:10" s="756" customFormat="1" ht="12.75" customHeight="1">
      <c r="A10" s="903" t="s">
        <v>1428</v>
      </c>
      <c r="B10" s="1731" t="s">
        <v>1429</v>
      </c>
      <c r="C10" s="1731"/>
      <c r="D10" s="1731"/>
      <c r="E10" s="1731"/>
      <c r="F10" s="1731"/>
      <c r="G10" s="1731"/>
      <c r="H10" s="1731"/>
      <c r="I10" s="343" t="str">
        <f>IF(Sommaire!D20=TRUE,"x","")</f>
        <v/>
      </c>
      <c r="J10" s="343" t="str">
        <f>IF(Sommaire!D20=FALSE,"x","")</f>
        <v>x</v>
      </c>
    </row>
    <row r="11" spans="1:10" s="756" customFormat="1" ht="12.75" customHeight="1">
      <c r="A11" s="903" t="s">
        <v>1430</v>
      </c>
      <c r="B11" s="1731" t="s">
        <v>1431</v>
      </c>
      <c r="C11" s="1731"/>
      <c r="D11" s="1731"/>
      <c r="E11" s="1731"/>
      <c r="F11" s="1731"/>
      <c r="G11" s="1731"/>
      <c r="H11" s="1731"/>
      <c r="I11" s="343" t="str">
        <f>IF(Sommaire!D21=TRUE,"x","")</f>
        <v>x</v>
      </c>
      <c r="J11" s="343" t="str">
        <f>IF(Sommaire!D21=FALSE,"x","")</f>
        <v/>
      </c>
    </row>
    <row r="12" spans="1:10" s="756" customFormat="1" ht="12.75" customHeight="1">
      <c r="A12" s="903" t="s">
        <v>1432</v>
      </c>
      <c r="B12" s="1731" t="s">
        <v>1433</v>
      </c>
      <c r="C12" s="1731"/>
      <c r="D12" s="1731"/>
      <c r="E12" s="1731"/>
      <c r="F12" s="1731"/>
      <c r="G12" s="1731"/>
      <c r="H12" s="1731"/>
      <c r="I12" s="343" t="str">
        <f>IF(Sommaire!D22=TRUE,"x","")</f>
        <v/>
      </c>
      <c r="J12" s="343" t="str">
        <f>IF(Sommaire!D22=FALSE,"x","")</f>
        <v>x</v>
      </c>
    </row>
    <row r="13" spans="1:10" s="756" customFormat="1" ht="12.75" customHeight="1">
      <c r="A13" s="903" t="s">
        <v>1434</v>
      </c>
      <c r="B13" s="1731" t="s">
        <v>1435</v>
      </c>
      <c r="C13" s="1731"/>
      <c r="D13" s="1731"/>
      <c r="E13" s="1731"/>
      <c r="F13" s="1731"/>
      <c r="G13" s="1731"/>
      <c r="H13" s="1731"/>
      <c r="I13" s="343" t="str">
        <f>IF(Sommaire!D23=TRUE,"x","")</f>
        <v>x</v>
      </c>
      <c r="J13" s="343" t="str">
        <f>IF(Sommaire!D23=FALSE,"x","")</f>
        <v/>
      </c>
    </row>
    <row r="14" spans="1:10" s="756" customFormat="1" ht="12.75" customHeight="1">
      <c r="A14" s="903" t="s">
        <v>1436</v>
      </c>
      <c r="B14" s="1734" t="s">
        <v>1437</v>
      </c>
      <c r="C14" s="1735"/>
      <c r="D14" s="1735"/>
      <c r="E14" s="1735"/>
      <c r="F14" s="1735"/>
      <c r="G14" s="1735"/>
      <c r="H14" s="1736"/>
      <c r="I14" s="343" t="str">
        <f>IF(Sommaire!D24=TRUE,"x","")</f>
        <v/>
      </c>
      <c r="J14" s="343" t="str">
        <f>IF(Sommaire!D24=FALSE,"x","")</f>
        <v>x</v>
      </c>
    </row>
    <row r="15" spans="1:10" s="756" customFormat="1" ht="12.75" customHeight="1">
      <c r="A15" s="903" t="s">
        <v>1438</v>
      </c>
      <c r="B15" s="1731" t="s">
        <v>1439</v>
      </c>
      <c r="C15" s="1731"/>
      <c r="D15" s="1731"/>
      <c r="E15" s="1731"/>
      <c r="F15" s="1731"/>
      <c r="G15" s="1731"/>
      <c r="H15" s="1731"/>
      <c r="I15" s="343" t="str">
        <f>IF(Sommaire!D25=TRUE,"x","")</f>
        <v/>
      </c>
      <c r="J15" s="343" t="str">
        <f>IF(Sommaire!D25=FALSE,"x","")</f>
        <v>x</v>
      </c>
    </row>
    <row r="16" spans="1:10" s="756" customFormat="1" ht="12.75" customHeight="1">
      <c r="A16" s="903" t="s">
        <v>1440</v>
      </c>
      <c r="B16" s="1731" t="s">
        <v>1441</v>
      </c>
      <c r="C16" s="1731"/>
      <c r="D16" s="1731"/>
      <c r="E16" s="1731"/>
      <c r="F16" s="1731"/>
      <c r="G16" s="1731"/>
      <c r="H16" s="1731"/>
      <c r="I16" s="343" t="str">
        <f>IF(Sommaire!I4=TRUE,"x","")</f>
        <v/>
      </c>
      <c r="J16" s="343" t="str">
        <f>IF(Sommaire!I4=FALSE,"x","")</f>
        <v>x</v>
      </c>
    </row>
    <row r="17" spans="1:10" s="756" customFormat="1" ht="12.75" customHeight="1">
      <c r="A17" s="903" t="s">
        <v>1442</v>
      </c>
      <c r="B17" s="1731" t="s">
        <v>1241</v>
      </c>
      <c r="C17" s="1731"/>
      <c r="D17" s="1731"/>
      <c r="E17" s="1731"/>
      <c r="F17" s="1731"/>
      <c r="G17" s="1731"/>
      <c r="H17" s="1731"/>
      <c r="I17" s="343" t="str">
        <f>IF(Sommaire!I5=TRUE,"x","")</f>
        <v/>
      </c>
      <c r="J17" s="343" t="str">
        <f>IF(Sommaire!I5=FALSE,"x","")</f>
        <v>x</v>
      </c>
    </row>
    <row r="18" spans="1:10" s="756" customFormat="1" ht="12.75" customHeight="1">
      <c r="A18" s="903" t="s">
        <v>1443</v>
      </c>
      <c r="B18" s="1731" t="s">
        <v>1444</v>
      </c>
      <c r="C18" s="1731"/>
      <c r="D18" s="1731"/>
      <c r="E18" s="1731"/>
      <c r="F18" s="1731"/>
      <c r="G18" s="1731"/>
      <c r="H18" s="1731"/>
      <c r="I18" s="343" t="str">
        <f>IF(Sommaire!I6=TRUE,"x","")</f>
        <v/>
      </c>
      <c r="J18" s="343" t="str">
        <f>IF(Sommaire!I6=FALSE,"x","")</f>
        <v>x</v>
      </c>
    </row>
    <row r="19" spans="1:10" s="756" customFormat="1" ht="12.75" customHeight="1">
      <c r="A19" s="903" t="s">
        <v>1445</v>
      </c>
      <c r="B19" s="1731" t="s">
        <v>1190</v>
      </c>
      <c r="C19" s="1731"/>
      <c r="D19" s="1731"/>
      <c r="E19" s="1731"/>
      <c r="F19" s="1731"/>
      <c r="G19" s="1731"/>
      <c r="H19" s="1731"/>
      <c r="I19" s="343" t="str">
        <f>IF(Sommaire!I7=TRUE,"x","")</f>
        <v/>
      </c>
      <c r="J19" s="343" t="str">
        <f>IF(Sommaire!I7=FALSE,"x","")</f>
        <v>x</v>
      </c>
    </row>
    <row r="20" spans="1:10" s="756" customFormat="1" ht="12.75" customHeight="1">
      <c r="A20" s="903" t="s">
        <v>1446</v>
      </c>
      <c r="B20" s="1731" t="s">
        <v>1447</v>
      </c>
      <c r="C20" s="1731"/>
      <c r="D20" s="1731"/>
      <c r="E20" s="1731"/>
      <c r="F20" s="1731"/>
      <c r="G20" s="1731"/>
      <c r="H20" s="1731"/>
      <c r="I20" s="343" t="str">
        <f>IF(Sommaire!I8=TRUE,"x","")</f>
        <v/>
      </c>
      <c r="J20" s="343" t="str">
        <f>IF(Sommaire!I8=FALSE,"x","")</f>
        <v>x</v>
      </c>
    </row>
    <row r="21" spans="1:10" s="756" customFormat="1" ht="12.75" customHeight="1">
      <c r="A21" s="903" t="s">
        <v>1448</v>
      </c>
      <c r="B21" s="1731" t="s">
        <v>1449</v>
      </c>
      <c r="C21" s="1731"/>
      <c r="D21" s="1731"/>
      <c r="E21" s="1731"/>
      <c r="F21" s="1731"/>
      <c r="G21" s="1731"/>
      <c r="H21" s="1731"/>
      <c r="I21" s="343" t="str">
        <f>IF(Sommaire!I9=TRUE,"x","")</f>
        <v/>
      </c>
      <c r="J21" s="343" t="str">
        <f>IF(Sommaire!I9=FALSE,"x","")</f>
        <v>x</v>
      </c>
    </row>
    <row r="22" spans="1:10" s="756" customFormat="1" ht="12.75" customHeight="1">
      <c r="A22" s="903" t="s">
        <v>1450</v>
      </c>
      <c r="B22" s="1731" t="s">
        <v>1451</v>
      </c>
      <c r="C22" s="1731"/>
      <c r="D22" s="1731"/>
      <c r="E22" s="1731"/>
      <c r="F22" s="1731"/>
      <c r="G22" s="1731"/>
      <c r="H22" s="1731"/>
      <c r="I22" s="343" t="str">
        <f>IF(Sommaire!I10=TRUE,"x","")</f>
        <v/>
      </c>
      <c r="J22" s="343" t="str">
        <f>IF(Sommaire!I10=FALSE,"x","")</f>
        <v>x</v>
      </c>
    </row>
    <row r="23" spans="1:10" s="756" customFormat="1" ht="12.75" customHeight="1">
      <c r="A23" s="903" t="s">
        <v>1452</v>
      </c>
      <c r="B23" s="1734" t="s">
        <v>1453</v>
      </c>
      <c r="C23" s="1735"/>
      <c r="D23" s="1735"/>
      <c r="E23" s="1735"/>
      <c r="F23" s="1735"/>
      <c r="G23" s="1735"/>
      <c r="H23" s="1736"/>
      <c r="I23" s="343" t="str">
        <f>IF(Sommaire!I11=TRUE,"x","")</f>
        <v/>
      </c>
      <c r="J23" s="343" t="str">
        <f>IF(Sommaire!I11=FALSE,"x","")</f>
        <v>x</v>
      </c>
    </row>
    <row r="24" spans="1:10" s="756" customFormat="1" ht="12.75" customHeight="1">
      <c r="A24" s="903" t="s">
        <v>1454</v>
      </c>
      <c r="B24" s="904" t="s">
        <v>1455</v>
      </c>
      <c r="C24" s="905"/>
      <c r="D24" s="905"/>
      <c r="E24" s="905"/>
      <c r="F24" s="905"/>
      <c r="G24" s="905"/>
      <c r="H24" s="906"/>
      <c r="I24" s="343" t="str">
        <f>IF(Sommaire!I12=TRUE,"x","")</f>
        <v/>
      </c>
      <c r="J24" s="343" t="str">
        <f>IF(Sommaire!I12=FALSE,"x","")</f>
        <v>x</v>
      </c>
    </row>
    <row r="25" spans="1:10" s="756" customFormat="1" ht="12.75" customHeight="1">
      <c r="A25" s="903" t="s">
        <v>1456</v>
      </c>
      <c r="B25" s="1731" t="s">
        <v>1457</v>
      </c>
      <c r="C25" s="1731"/>
      <c r="D25" s="1731"/>
      <c r="E25" s="1731"/>
      <c r="F25" s="1731"/>
      <c r="G25" s="1731"/>
      <c r="H25" s="1731"/>
      <c r="I25" s="343" t="str">
        <f>IF(Sommaire!I13=TRUE,"x","")</f>
        <v/>
      </c>
      <c r="J25" s="343" t="str">
        <f>IF(Sommaire!I13=FALSE,"x","")</f>
        <v>x</v>
      </c>
    </row>
    <row r="26" spans="1:10" s="756" customFormat="1" ht="12.75" customHeight="1">
      <c r="A26" s="903" t="s">
        <v>1458</v>
      </c>
      <c r="B26" s="1731" t="s">
        <v>1459</v>
      </c>
      <c r="C26" s="1731"/>
      <c r="D26" s="1731"/>
      <c r="E26" s="1731"/>
      <c r="F26" s="1731"/>
      <c r="G26" s="1731"/>
      <c r="H26" s="1731"/>
      <c r="I26" s="343" t="str">
        <f>IF(Sommaire!I14=TRUE,"x","")</f>
        <v/>
      </c>
      <c r="J26" s="343" t="str">
        <f>IF(Sommaire!I14=FALSE,"x","")</f>
        <v>x</v>
      </c>
    </row>
    <row r="27" spans="1:10" s="756" customFormat="1" ht="12.75" customHeight="1">
      <c r="A27" s="903" t="s">
        <v>1460</v>
      </c>
      <c r="B27" s="1731" t="s">
        <v>1461</v>
      </c>
      <c r="C27" s="1731"/>
      <c r="D27" s="1731"/>
      <c r="E27" s="1731"/>
      <c r="F27" s="1731"/>
      <c r="G27" s="1731"/>
      <c r="H27" s="1731"/>
      <c r="I27" s="343" t="str">
        <f>IF(Sommaire!I15=TRUE,"x","")</f>
        <v>x</v>
      </c>
      <c r="J27" s="343" t="str">
        <f>IF(Sommaire!I15=FALSE,"x","")</f>
        <v/>
      </c>
    </row>
    <row r="28" spans="1:10" s="756" customFormat="1" ht="12.75" customHeight="1">
      <c r="A28" s="903" t="s">
        <v>1462</v>
      </c>
      <c r="B28" s="1731" t="s">
        <v>1463</v>
      </c>
      <c r="C28" s="1731"/>
      <c r="D28" s="1731"/>
      <c r="E28" s="1731"/>
      <c r="F28" s="1731"/>
      <c r="G28" s="1731"/>
      <c r="H28" s="1731"/>
      <c r="I28" s="343" t="str">
        <f>IF(Sommaire!I16=TRUE,"x","")</f>
        <v/>
      </c>
      <c r="J28" s="343" t="str">
        <f>IF(Sommaire!I16=FALSE,"x","")</f>
        <v>x</v>
      </c>
    </row>
    <row r="29" spans="1:10" s="756" customFormat="1" ht="12.75" customHeight="1">
      <c r="A29" s="903" t="s">
        <v>1464</v>
      </c>
      <c r="B29" s="1731" t="s">
        <v>1465</v>
      </c>
      <c r="C29" s="1731"/>
      <c r="D29" s="1731"/>
      <c r="E29" s="1731"/>
      <c r="F29" s="1731"/>
      <c r="G29" s="1731"/>
      <c r="H29" s="1731"/>
      <c r="I29" s="343" t="str">
        <f>IF(Sommaire!I17=TRUE,"x","")</f>
        <v>x</v>
      </c>
      <c r="J29" s="343" t="str">
        <f>IF(Sommaire!I17=FALSE,"x","")</f>
        <v/>
      </c>
    </row>
    <row r="30" spans="1:10" s="756" customFormat="1" ht="12.75" customHeight="1">
      <c r="A30" s="903" t="s">
        <v>1466</v>
      </c>
      <c r="B30" s="1731" t="s">
        <v>1467</v>
      </c>
      <c r="C30" s="1731"/>
      <c r="D30" s="1731"/>
      <c r="E30" s="1731"/>
      <c r="F30" s="1731"/>
      <c r="G30" s="1731"/>
      <c r="H30" s="1731"/>
      <c r="I30" s="343" t="str">
        <f>IF(Sommaire!I18=TRUE,"x","")</f>
        <v>x</v>
      </c>
      <c r="J30" s="343" t="str">
        <f>IF(Sommaire!I18=FALSE,"x","")</f>
        <v/>
      </c>
    </row>
    <row r="31" spans="1:10" s="756" customFormat="1" ht="12.75" customHeight="1">
      <c r="A31" s="903" t="s">
        <v>1468</v>
      </c>
      <c r="B31" s="1731" t="s">
        <v>1469</v>
      </c>
      <c r="C31" s="1731"/>
      <c r="D31" s="1731"/>
      <c r="E31" s="1731"/>
      <c r="F31" s="1731"/>
      <c r="G31" s="1731"/>
      <c r="H31" s="1731"/>
      <c r="I31" s="343" t="str">
        <f>IF(Sommaire!I19=TRUE,"x","")</f>
        <v/>
      </c>
      <c r="J31" s="343" t="str">
        <f>IF(Sommaire!I19=FALSE,"x","")</f>
        <v>x</v>
      </c>
    </row>
    <row r="32" spans="1:10" s="756" customFormat="1" ht="12.75" customHeight="1">
      <c r="A32" s="903" t="s">
        <v>1470</v>
      </c>
      <c r="B32" s="1731" t="s">
        <v>1471</v>
      </c>
      <c r="C32" s="1731"/>
      <c r="D32" s="1731"/>
      <c r="E32" s="1731"/>
      <c r="F32" s="1731"/>
      <c r="G32" s="1731"/>
      <c r="H32" s="1731"/>
      <c r="I32" s="343" t="str">
        <f>IF(Sommaire!I20=TRUE,"x","")</f>
        <v/>
      </c>
      <c r="J32" s="343" t="str">
        <f>IF(Sommaire!I20=FALSE,"x","")</f>
        <v>x</v>
      </c>
    </row>
    <row r="33" spans="1:10" s="756" customFormat="1" ht="12.75" customHeight="1">
      <c r="A33" s="903" t="s">
        <v>1472</v>
      </c>
      <c r="B33" s="1731" t="s">
        <v>1473</v>
      </c>
      <c r="C33" s="1731"/>
      <c r="D33" s="1731"/>
      <c r="E33" s="1731"/>
      <c r="F33" s="1731"/>
      <c r="G33" s="1731"/>
      <c r="H33" s="1731"/>
      <c r="I33" s="343" t="str">
        <f>IF(Sommaire!I21=TRUE,"x","")</f>
        <v>x</v>
      </c>
      <c r="J33" s="343" t="str">
        <f>IF(Sommaire!I21=FALSE,"x","")</f>
        <v/>
      </c>
    </row>
    <row r="34" spans="1:10" s="756" customFormat="1" ht="12.75" customHeight="1">
      <c r="A34" s="903" t="s">
        <v>1474</v>
      </c>
      <c r="B34" s="1731" t="s">
        <v>1475</v>
      </c>
      <c r="C34" s="1731"/>
      <c r="D34" s="1731"/>
      <c r="E34" s="1731"/>
      <c r="F34" s="1731"/>
      <c r="G34" s="1731"/>
      <c r="H34" s="1731"/>
      <c r="I34" s="343" t="str">
        <f>IF(Sommaire!I22=TRUE,"x","")</f>
        <v/>
      </c>
      <c r="J34" s="343" t="str">
        <f>IF(Sommaire!I22=FALSE,"x","")</f>
        <v>x</v>
      </c>
    </row>
    <row r="35" spans="1:10" s="756" customFormat="1" ht="12.75" customHeight="1">
      <c r="A35" s="903" t="s">
        <v>1476</v>
      </c>
      <c r="B35" s="1731" t="s">
        <v>1477</v>
      </c>
      <c r="C35" s="1731"/>
      <c r="D35" s="1731"/>
      <c r="E35" s="1731"/>
      <c r="F35" s="1731"/>
      <c r="G35" s="1731"/>
      <c r="H35" s="1731"/>
      <c r="I35" s="343" t="str">
        <f>IF(Sommaire!I23=TRUE,"x","")</f>
        <v/>
      </c>
      <c r="J35" s="343" t="str">
        <f>IF(Sommaire!I23=FALSE,"x","")</f>
        <v>x</v>
      </c>
    </row>
    <row r="36" spans="1:10" s="756" customFormat="1" ht="12.75" customHeight="1">
      <c r="A36" s="903" t="s">
        <v>1478</v>
      </c>
      <c r="B36" s="1731" t="s">
        <v>1479</v>
      </c>
      <c r="C36" s="1731"/>
      <c r="D36" s="1731"/>
      <c r="E36" s="1731"/>
      <c r="F36" s="1731"/>
      <c r="G36" s="1731"/>
      <c r="H36" s="1731"/>
      <c r="I36" s="343" t="str">
        <f>IF(Sommaire!I24=TRUE,"x","")</f>
        <v/>
      </c>
      <c r="J36" s="343" t="str">
        <f>IF(Sommaire!I24=FALSE,"x","")</f>
        <v>x</v>
      </c>
    </row>
    <row r="37" spans="1:10" s="756" customFormat="1" ht="12.75" customHeight="1">
      <c r="A37" s="903" t="s">
        <v>1480</v>
      </c>
      <c r="B37" s="1731" t="s">
        <v>1481</v>
      </c>
      <c r="C37" s="1731"/>
      <c r="D37" s="1731"/>
      <c r="E37" s="1731"/>
      <c r="F37" s="1731"/>
      <c r="G37" s="1731"/>
      <c r="H37" s="1731"/>
      <c r="I37" s="343" t="str">
        <f>IF(Sommaire!I25=TRUE,"x","")</f>
        <v>x</v>
      </c>
      <c r="J37" s="343" t="str">
        <f>IF(Sommaire!I25=FALSE,"x","")</f>
        <v/>
      </c>
    </row>
    <row r="38" spans="1:10" s="756" customFormat="1" ht="12.75" customHeight="1">
      <c r="A38" s="903" t="s">
        <v>1482</v>
      </c>
      <c r="B38" s="1731" t="s">
        <v>1483</v>
      </c>
      <c r="C38" s="1731"/>
      <c r="D38" s="1731"/>
      <c r="E38" s="1731"/>
      <c r="F38" s="1731"/>
      <c r="G38" s="1731"/>
      <c r="H38" s="1731"/>
      <c r="I38" s="343" t="str">
        <f>IF(Sommaire!M4=TRUE,"x","")</f>
        <v>x</v>
      </c>
      <c r="J38" s="343" t="str">
        <f>IF(Sommaire!M4=FALSE,"x","")</f>
        <v/>
      </c>
    </row>
    <row r="39" spans="1:10" s="756" customFormat="1" ht="12.75" customHeight="1">
      <c r="A39" s="903" t="s">
        <v>1484</v>
      </c>
      <c r="B39" s="1731" t="s">
        <v>1485</v>
      </c>
      <c r="C39" s="1731"/>
      <c r="D39" s="1731"/>
      <c r="E39" s="1731"/>
      <c r="F39" s="1731"/>
      <c r="G39" s="1731"/>
      <c r="H39" s="1731"/>
      <c r="I39" s="343" t="str">
        <f>IF(Sommaire!M5=TRUE,"x","")</f>
        <v/>
      </c>
      <c r="J39" s="343" t="str">
        <f>IF(Sommaire!M5=FALSE,"x","")</f>
        <v>x</v>
      </c>
    </row>
    <row r="40" spans="1:10" s="756" customFormat="1" ht="12.75" customHeight="1">
      <c r="A40" s="903" t="s">
        <v>1486</v>
      </c>
      <c r="B40" s="1731" t="s">
        <v>1487</v>
      </c>
      <c r="C40" s="1731"/>
      <c r="D40" s="1731"/>
      <c r="E40" s="1731"/>
      <c r="F40" s="1731"/>
      <c r="G40" s="1731"/>
      <c r="H40" s="1731"/>
      <c r="I40" s="343" t="str">
        <f>IF(Sommaire!M6=TRUE,"x","")</f>
        <v>x</v>
      </c>
      <c r="J40" s="343" t="str">
        <f>IF(Sommaire!M6=FALSE,"x","")</f>
        <v/>
      </c>
    </row>
    <row r="41" spans="1:10" s="756" customFormat="1" ht="12.75" customHeight="1">
      <c r="A41" s="903" t="s">
        <v>1488</v>
      </c>
      <c r="B41" s="1731" t="s">
        <v>1489</v>
      </c>
      <c r="C41" s="1731"/>
      <c r="D41" s="1731"/>
      <c r="E41" s="1731"/>
      <c r="F41" s="1731"/>
      <c r="G41" s="1731"/>
      <c r="H41" s="1731"/>
      <c r="I41" s="343" t="str">
        <f>IF(Sommaire!M7=TRUE,"x","")</f>
        <v>x</v>
      </c>
      <c r="J41" s="343" t="str">
        <f>IF(Sommaire!M7=FALSE,"x","")</f>
        <v/>
      </c>
    </row>
    <row r="42" spans="1:10" s="756" customFormat="1" ht="12.75" customHeight="1">
      <c r="A42" s="903" t="s">
        <v>1490</v>
      </c>
      <c r="B42" s="1731" t="s">
        <v>1491</v>
      </c>
      <c r="C42" s="1731"/>
      <c r="D42" s="1731"/>
      <c r="E42" s="1731"/>
      <c r="F42" s="1731"/>
      <c r="G42" s="1731"/>
      <c r="H42" s="1731"/>
      <c r="I42" s="343" t="str">
        <f>IF(Sommaire!M8=TRUE,"x","")</f>
        <v>x</v>
      </c>
      <c r="J42" s="343" t="str">
        <f>IF(Sommaire!M8=FALSE,"x","")</f>
        <v/>
      </c>
    </row>
    <row r="43" spans="1:10" s="756" customFormat="1" ht="12.75" customHeight="1">
      <c r="A43" s="903" t="s">
        <v>1492</v>
      </c>
      <c r="B43" s="1731" t="s">
        <v>1493</v>
      </c>
      <c r="C43" s="1731"/>
      <c r="D43" s="1731"/>
      <c r="E43" s="1731"/>
      <c r="F43" s="1731"/>
      <c r="G43" s="1731"/>
      <c r="H43" s="1731"/>
      <c r="I43" s="343" t="str">
        <f>IF(Sommaire!M9=TRUE,"x","")</f>
        <v>x</v>
      </c>
      <c r="J43" s="343" t="str">
        <f>IF(Sommaire!M9=FALSE,"x","")</f>
        <v/>
      </c>
    </row>
    <row r="44" spans="1:10" s="756" customFormat="1" ht="12.75" customHeight="1">
      <c r="A44" s="903" t="s">
        <v>1494</v>
      </c>
      <c r="B44" s="1731" t="s">
        <v>1495</v>
      </c>
      <c r="C44" s="1731"/>
      <c r="D44" s="1731"/>
      <c r="E44" s="1731"/>
      <c r="F44" s="1731"/>
      <c r="G44" s="1731"/>
      <c r="H44" s="1731"/>
      <c r="I44" s="343" t="str">
        <f>IF(Sommaire!M10=TRUE,"x","")</f>
        <v>x</v>
      </c>
      <c r="J44" s="343" t="str">
        <f>IF(Sommaire!M10=FALSE,"x","")</f>
        <v/>
      </c>
    </row>
    <row r="45" spans="1:10" s="756" customFormat="1" ht="12.75" customHeight="1">
      <c r="A45" s="903" t="s">
        <v>1496</v>
      </c>
      <c r="B45" s="1731" t="s">
        <v>1497</v>
      </c>
      <c r="C45" s="1731"/>
      <c r="D45" s="1731"/>
      <c r="E45" s="1731"/>
      <c r="F45" s="1731"/>
      <c r="G45" s="1731"/>
      <c r="H45" s="1731"/>
      <c r="I45" s="343" t="str">
        <f>IF(Sommaire!M11=TRUE,"x","")</f>
        <v>x</v>
      </c>
      <c r="J45" s="343" t="str">
        <f>IF(Sommaire!M11=FALSE,"x","")</f>
        <v/>
      </c>
    </row>
    <row r="46" spans="1:10" s="756" customFormat="1" ht="12.75" customHeight="1">
      <c r="A46" s="903" t="s">
        <v>1498</v>
      </c>
      <c r="B46" s="1731" t="s">
        <v>1499</v>
      </c>
      <c r="C46" s="1731"/>
      <c r="D46" s="1731"/>
      <c r="E46" s="1731"/>
      <c r="F46" s="1731"/>
      <c r="G46" s="1731"/>
      <c r="H46" s="1731"/>
      <c r="I46" s="343" t="str">
        <f>IF(Sommaire!M12=TRUE,"x","")</f>
        <v/>
      </c>
      <c r="J46" s="343" t="str">
        <f>IF(Sommaire!M12=FALSE,"x","")</f>
        <v>x</v>
      </c>
    </row>
    <row r="47" spans="1:10" s="756" customFormat="1" ht="12.75" customHeight="1">
      <c r="A47" s="903" t="s">
        <v>1500</v>
      </c>
      <c r="B47" s="1731" t="s">
        <v>1501</v>
      </c>
      <c r="C47" s="1731"/>
      <c r="D47" s="1731"/>
      <c r="E47" s="1731"/>
      <c r="F47" s="1731"/>
      <c r="G47" s="1731"/>
      <c r="H47" s="1731"/>
      <c r="I47" s="343" t="str">
        <f>IF(Sommaire!M13=TRUE,"x","")</f>
        <v>x</v>
      </c>
      <c r="J47" s="343" t="str">
        <f>IF(Sommaire!M13=FALSE,"x","")</f>
        <v/>
      </c>
    </row>
    <row r="48" spans="1:10" s="756" customFormat="1" ht="12.75" customHeight="1">
      <c r="A48" s="903" t="s">
        <v>1502</v>
      </c>
      <c r="B48" s="1731" t="s">
        <v>1503</v>
      </c>
      <c r="C48" s="1731"/>
      <c r="D48" s="1731"/>
      <c r="E48" s="1731"/>
      <c r="F48" s="1731"/>
      <c r="G48" s="1731"/>
      <c r="H48" s="1731"/>
      <c r="I48" s="343" t="str">
        <f>IF(Sommaire!M14=TRUE,"x","")</f>
        <v>x</v>
      </c>
      <c r="J48" s="343" t="str">
        <f>IF(Sommaire!M14=FALSE,"x","")</f>
        <v/>
      </c>
    </row>
    <row r="49" spans="1:10" s="756" customFormat="1" ht="12.75" customHeight="1">
      <c r="A49" s="903" t="s">
        <v>1504</v>
      </c>
      <c r="B49" s="1731" t="s">
        <v>1505</v>
      </c>
      <c r="C49" s="1731"/>
      <c r="D49" s="1731"/>
      <c r="E49" s="1731"/>
      <c r="F49" s="1731"/>
      <c r="G49" s="1731"/>
      <c r="H49" s="1731"/>
      <c r="I49" s="343" t="str">
        <f>IF(Sommaire!M15=TRUE,"x","")</f>
        <v>x</v>
      </c>
      <c r="J49" s="343" t="str">
        <f>IF(Sommaire!M15=FALSE,"x","")</f>
        <v/>
      </c>
    </row>
    <row r="50" spans="1:10" s="756" customFormat="1" ht="12.75" customHeight="1">
      <c r="A50" s="903" t="s">
        <v>1506</v>
      </c>
      <c r="B50" s="1731" t="s">
        <v>1507</v>
      </c>
      <c r="C50" s="1731"/>
      <c r="D50" s="1731"/>
      <c r="E50" s="1731"/>
      <c r="F50" s="1731"/>
      <c r="G50" s="1731"/>
      <c r="H50" s="1731"/>
      <c r="I50" s="343" t="str">
        <f>IF(Sommaire!M16=TRUE,"x","")</f>
        <v/>
      </c>
      <c r="J50" s="343" t="str">
        <f>IF(Sommaire!M16=FALSE,"x","")</f>
        <v>x</v>
      </c>
    </row>
    <row r="51" spans="1:10" s="756" customFormat="1" ht="12.75" customHeight="1">
      <c r="A51" s="903" t="s">
        <v>1508</v>
      </c>
      <c r="B51" s="1731" t="s">
        <v>1509</v>
      </c>
      <c r="C51" s="1731"/>
      <c r="D51" s="1731"/>
      <c r="E51" s="1731"/>
      <c r="F51" s="1731"/>
      <c r="G51" s="1731"/>
      <c r="H51" s="1731"/>
      <c r="I51" s="343" t="str">
        <f>IF(Sommaire!M17=TRUE,"x","")</f>
        <v/>
      </c>
      <c r="J51" s="343" t="str">
        <f>IF(Sommaire!M17=FALSE,"x","")</f>
        <v>x</v>
      </c>
    </row>
    <row r="52" spans="1:10" s="758" customFormat="1" ht="12.75" customHeight="1">
      <c r="A52" s="907" t="s">
        <v>1510</v>
      </c>
      <c r="B52" s="1737" t="s">
        <v>1511</v>
      </c>
      <c r="C52" s="1737"/>
      <c r="D52" s="1737"/>
      <c r="E52" s="1737"/>
      <c r="F52" s="1737"/>
      <c r="G52" s="1737"/>
      <c r="H52" s="1737"/>
      <c r="I52" s="344" t="str">
        <f>IF(Sommaire!M18=TRUE,"x","")</f>
        <v>x</v>
      </c>
      <c r="J52" s="344" t="str">
        <f>IF(Sommaire!M18=FALSE,"x","")</f>
        <v/>
      </c>
    </row>
    <row r="53" spans="1:10" s="756" customFormat="1" ht="12.75" customHeight="1">
      <c r="A53" s="903" t="s">
        <v>1512</v>
      </c>
      <c r="B53" s="1731" t="s">
        <v>1513</v>
      </c>
      <c r="C53" s="1731"/>
      <c r="D53" s="1731"/>
      <c r="E53" s="1731"/>
      <c r="F53" s="1731"/>
      <c r="G53" s="1731"/>
      <c r="H53" s="1731"/>
      <c r="I53" s="343" t="str">
        <f>IF(Sommaire!M19=TRUE,"x","")</f>
        <v/>
      </c>
      <c r="J53" s="343" t="str">
        <f>IF(Sommaire!M19=FALSE,"x","")</f>
        <v>x</v>
      </c>
    </row>
    <row r="54" spans="1:10" s="756" customFormat="1" ht="12.75" customHeight="1">
      <c r="A54" s="903" t="s">
        <v>1514</v>
      </c>
      <c r="B54" s="1731" t="s">
        <v>1515</v>
      </c>
      <c r="C54" s="1731"/>
      <c r="D54" s="1731"/>
      <c r="E54" s="1731"/>
      <c r="F54" s="1731"/>
      <c r="G54" s="1731"/>
      <c r="H54" s="1731"/>
      <c r="I54" s="343" t="str">
        <f>IF(Sommaire!M20=TRUE,"x","")</f>
        <v/>
      </c>
      <c r="J54" s="343" t="str">
        <f>IF(Sommaire!M20=FALSE,"x","")</f>
        <v>x</v>
      </c>
    </row>
    <row r="55" spans="1:10" s="756" customFormat="1" ht="12.75" customHeight="1">
      <c r="A55" s="903" t="s">
        <v>1516</v>
      </c>
      <c r="B55" s="1731" t="s">
        <v>1517</v>
      </c>
      <c r="C55" s="1731"/>
      <c r="D55" s="1731"/>
      <c r="E55" s="1731"/>
      <c r="F55" s="1731"/>
      <c r="G55" s="1731"/>
      <c r="H55" s="1731"/>
      <c r="I55" s="343" t="str">
        <f>IF(Sommaire!M21=TRUE,"x","")</f>
        <v>x</v>
      </c>
      <c r="J55" s="343" t="str">
        <f>IF(Sommaire!M21=FALSE,"x","")</f>
        <v/>
      </c>
    </row>
    <row r="56" spans="1:10" s="756" customFormat="1" ht="12.75" customHeight="1">
      <c r="A56" s="903" t="s">
        <v>1518</v>
      </c>
      <c r="B56" s="1731" t="s">
        <v>1519</v>
      </c>
      <c r="C56" s="1731"/>
      <c r="D56" s="1731"/>
      <c r="E56" s="1731"/>
      <c r="F56" s="1731"/>
      <c r="G56" s="1731"/>
      <c r="H56" s="1731"/>
      <c r="I56" s="343" t="str">
        <f>IF(Sommaire!M22=TRUE,"x","")</f>
        <v/>
      </c>
      <c r="J56" s="343" t="str">
        <f>IF(Sommaire!M22=FALSE,"x","")</f>
        <v>x</v>
      </c>
    </row>
    <row r="57" spans="1:10" s="756" customFormat="1" ht="12.75" customHeight="1">
      <c r="A57" s="903" t="s">
        <v>1520</v>
      </c>
      <c r="B57" s="1731" t="s">
        <v>1521</v>
      </c>
      <c r="C57" s="1731"/>
      <c r="D57" s="1731"/>
      <c r="E57" s="1731"/>
      <c r="F57" s="1731"/>
      <c r="G57" s="1731"/>
      <c r="H57" s="1731"/>
      <c r="I57" s="343" t="str">
        <f>IF(Sommaire!D8=TRUE,"x","")</f>
        <v>x</v>
      </c>
      <c r="J57" s="343" t="str">
        <f>IF(Sommaire!D8=FALSE,"x","")</f>
        <v/>
      </c>
    </row>
    <row r="58" spans="1:10" s="756" customFormat="1" ht="12.75" customHeight="1">
      <c r="A58" s="903" t="s">
        <v>1522</v>
      </c>
      <c r="B58" s="1733" t="s">
        <v>1523</v>
      </c>
      <c r="C58" s="1731"/>
      <c r="D58" s="1731"/>
      <c r="E58" s="1731"/>
      <c r="F58" s="1731"/>
      <c r="G58" s="1731"/>
      <c r="H58" s="1731"/>
      <c r="I58" s="343" t="str">
        <f>IF(Sommaire!M23=TRUE,"x","")</f>
        <v>x</v>
      </c>
      <c r="J58" s="343" t="str">
        <f>IF(Sommaire!M23=FALSE,"x","")</f>
        <v/>
      </c>
    </row>
    <row r="59" spans="1:10" s="756" customFormat="1" ht="12.75" customHeight="1">
      <c r="A59" s="903" t="s">
        <v>1524</v>
      </c>
      <c r="B59" s="1731" t="s">
        <v>1525</v>
      </c>
      <c r="C59" s="1731"/>
      <c r="D59" s="1731"/>
      <c r="E59" s="1731"/>
      <c r="F59" s="1731"/>
      <c r="G59" s="1731"/>
      <c r="H59" s="1731"/>
      <c r="I59" s="343" t="str">
        <f>IF(Sommaire!M24=TRUE,"x","")</f>
        <v/>
      </c>
      <c r="J59" s="343" t="str">
        <f>IF(Sommaire!M24=FALSE,"x","")</f>
        <v>x</v>
      </c>
    </row>
    <row r="60" spans="1:10" s="756" customFormat="1" ht="12.75" customHeight="1">
      <c r="A60" s="903" t="s">
        <v>1526</v>
      </c>
      <c r="B60" s="1734" t="s">
        <v>1527</v>
      </c>
      <c r="C60" s="1735"/>
      <c r="D60" s="1735"/>
      <c r="E60" s="1735"/>
      <c r="F60" s="1735"/>
      <c r="G60" s="1735"/>
      <c r="H60" s="1736"/>
      <c r="I60" s="343" t="str">
        <f>IF(Sommaire!M25=TRUE,"x","")</f>
        <v/>
      </c>
      <c r="J60" s="343" t="str">
        <f>IF(Sommaire!M25=FALSE,"x","")</f>
        <v>x</v>
      </c>
    </row>
    <row r="61" spans="1:10" s="756" customFormat="1" ht="12.75" customHeight="1">
      <c r="A61" s="903" t="s">
        <v>1528</v>
      </c>
      <c r="B61" s="1731" t="s">
        <v>1529</v>
      </c>
      <c r="C61" s="1731"/>
      <c r="D61" s="1731"/>
      <c r="E61" s="1731"/>
      <c r="F61" s="1731"/>
      <c r="G61" s="1731"/>
      <c r="H61" s="1731"/>
      <c r="I61" s="343" t="str">
        <f>IF(Sommaire!R4=TRUE,"x","")</f>
        <v>x</v>
      </c>
      <c r="J61" s="343" t="str">
        <f>IF(Sommaire!R4=FALSE,"x","")</f>
        <v/>
      </c>
    </row>
    <row r="62" spans="1:10" ht="3.75" customHeight="1"/>
    <row r="63" spans="1:10" s="759" customFormat="1" ht="35.25" customHeight="1">
      <c r="A63" s="1732" t="s">
        <v>9225</v>
      </c>
      <c r="B63" s="1732"/>
      <c r="C63" s="1732"/>
      <c r="D63" s="1732"/>
      <c r="E63" s="1732"/>
      <c r="F63" s="1732"/>
      <c r="G63" s="1732"/>
      <c r="H63" s="1732"/>
      <c r="I63" s="1732"/>
      <c r="J63" s="1732"/>
    </row>
    <row r="64" spans="1:10" s="759" customFormat="1" ht="10.5" customHeight="1">
      <c r="A64" s="908" t="s">
        <v>1530</v>
      </c>
      <c r="B64" s="909"/>
      <c r="C64" s="909"/>
      <c r="D64" s="909"/>
      <c r="E64" s="909"/>
      <c r="F64" s="909"/>
      <c r="G64" s="909"/>
      <c r="H64" s="909"/>
      <c r="I64" s="909"/>
      <c r="J64" s="909"/>
    </row>
    <row r="65" spans="1:10" s="759" customFormat="1" ht="14.25" customHeight="1">
      <c r="A65" s="908" t="s">
        <v>1531</v>
      </c>
      <c r="B65" s="909"/>
      <c r="C65" s="909"/>
      <c r="D65" s="909"/>
      <c r="E65" s="909"/>
      <c r="F65" s="909"/>
      <c r="G65" s="909"/>
      <c r="H65" s="909"/>
      <c r="I65" s="909"/>
      <c r="J65" s="909"/>
    </row>
  </sheetData>
  <sheetProtection algorithmName="SHA-512" hashValue="Q+7yxTtIbsbAmDBWH514SGfQdHWHBnEPW0iN+KorkTfTNQLTvLL16cGeIwWiv+gKAgtP1XCj2b10/kmAjLiG8Q==" saltValue="SEA5QqgZ/TsIkOjWOeM69A==" spinCount="100000" sheet="1" objects="1" scenarios="1" selectLockedCells="1"/>
  <mergeCells count="64">
    <mergeCell ref="C5:D5"/>
    <mergeCell ref="F5:G5"/>
    <mergeCell ref="I5:J5"/>
    <mergeCell ref="A1:J1"/>
    <mergeCell ref="I2:J2"/>
    <mergeCell ref="C3:J3"/>
    <mergeCell ref="B4:G4"/>
    <mergeCell ref="I4:J4"/>
    <mergeCell ref="B17:H17"/>
    <mergeCell ref="C6:E6"/>
    <mergeCell ref="A7:J7"/>
    <mergeCell ref="B8:H8"/>
    <mergeCell ref="B9:H9"/>
    <mergeCell ref="B10:H10"/>
    <mergeCell ref="B11:H11"/>
    <mergeCell ref="B12:H12"/>
    <mergeCell ref="B13:H13"/>
    <mergeCell ref="B14:H14"/>
    <mergeCell ref="B15:H15"/>
    <mergeCell ref="B16:H16"/>
    <mergeCell ref="B30:H30"/>
    <mergeCell ref="B18:H18"/>
    <mergeCell ref="B19:H19"/>
    <mergeCell ref="B20:H20"/>
    <mergeCell ref="B21:H21"/>
    <mergeCell ref="B22:H22"/>
    <mergeCell ref="B23:H23"/>
    <mergeCell ref="B25:H25"/>
    <mergeCell ref="B26:H26"/>
    <mergeCell ref="B27:H27"/>
    <mergeCell ref="B28:H28"/>
    <mergeCell ref="B29:H29"/>
    <mergeCell ref="B42:H42"/>
    <mergeCell ref="B31:H31"/>
    <mergeCell ref="B32:H32"/>
    <mergeCell ref="B33:H33"/>
    <mergeCell ref="B34:H34"/>
    <mergeCell ref="B35:H35"/>
    <mergeCell ref="B36:H36"/>
    <mergeCell ref="B37:H37"/>
    <mergeCell ref="B38:H38"/>
    <mergeCell ref="B39:H39"/>
    <mergeCell ref="B40:H40"/>
    <mergeCell ref="B41:H41"/>
    <mergeCell ref="B54:H54"/>
    <mergeCell ref="B43:H43"/>
    <mergeCell ref="B44:H44"/>
    <mergeCell ref="B45:H45"/>
    <mergeCell ref="B46:H46"/>
    <mergeCell ref="B47:H47"/>
    <mergeCell ref="B48:H48"/>
    <mergeCell ref="B49:H49"/>
    <mergeCell ref="B50:H50"/>
    <mergeCell ref="B51:H51"/>
    <mergeCell ref="B52:H52"/>
    <mergeCell ref="B53:H53"/>
    <mergeCell ref="B61:H61"/>
    <mergeCell ref="A63:J63"/>
    <mergeCell ref="B55:H55"/>
    <mergeCell ref="B56:H56"/>
    <mergeCell ref="B57:H57"/>
    <mergeCell ref="B58:H58"/>
    <mergeCell ref="B59:H59"/>
    <mergeCell ref="B60:H60"/>
  </mergeCells>
  <printOptions horizontalCentered="1"/>
  <pageMargins left="0.19685039370078741" right="0.31496062992125984" top="0.35433070866141736" bottom="0.35433070866141736" header="0.31496062992125984" footer="0.31496062992125984"/>
  <pageSetup paperSize="9" scale="82"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24331-E2D8-4296-8D3D-E094FA1F9CB7}">
  <sheetPr codeName="Feuil16">
    <tabColor theme="9" tint="0.39997558519241921"/>
    <pageSetUpPr fitToPage="1"/>
  </sheetPr>
  <dimension ref="A1:K53"/>
  <sheetViews>
    <sheetView showGridLines="0" showRowColHeaders="0" topLeftCell="A25" zoomScaleNormal="100" workbookViewId="0">
      <selection activeCell="F11" sqref="F11"/>
    </sheetView>
  </sheetViews>
  <sheetFormatPr baseColWidth="10" defaultColWidth="11.41796875" defaultRowHeight="10.5"/>
  <cols>
    <col min="1" max="1" width="8.89453125" style="653" customWidth="1"/>
    <col min="2" max="2" width="20.41796875" style="653" customWidth="1"/>
    <col min="3" max="3" width="8.41796875" style="653" customWidth="1"/>
    <col min="4" max="4" width="10.3125" style="653" customWidth="1"/>
    <col min="5" max="5" width="6.89453125" style="653" customWidth="1"/>
    <col min="6" max="9" width="15.68359375" style="653" customWidth="1"/>
    <col min="10" max="16384" width="11.41796875" style="653"/>
  </cols>
  <sheetData>
    <row r="1" spans="1:9" ht="12.3">
      <c r="A1" s="1276" t="str">
        <f>"- "&amp;Code!K15&amp;" -"</f>
        <v>- 16 -</v>
      </c>
      <c r="B1" s="1276"/>
      <c r="C1" s="1276"/>
      <c r="D1" s="1276"/>
      <c r="E1" s="1276"/>
      <c r="F1" s="1276"/>
      <c r="G1" s="1276"/>
      <c r="H1" s="1276"/>
      <c r="I1" s="1276"/>
    </row>
    <row r="2" spans="1:9" ht="24.9" customHeight="1">
      <c r="A2" s="576"/>
      <c r="B2" s="576"/>
      <c r="C2" s="576"/>
      <c r="D2" s="576"/>
      <c r="E2" s="576"/>
      <c r="F2" s="576"/>
      <c r="G2" s="576"/>
      <c r="H2" s="1278" t="s">
        <v>1532</v>
      </c>
      <c r="I2" s="1765"/>
    </row>
    <row r="3" spans="1:9" s="844" customFormat="1" ht="15.75" customHeight="1">
      <c r="A3" s="317" t="s">
        <v>50</v>
      </c>
      <c r="B3" s="317"/>
      <c r="C3" s="1280" t="str">
        <f>'FICHE R4'!C3</f>
        <v>OHADA</v>
      </c>
      <c r="D3" s="1280"/>
      <c r="E3" s="1280"/>
      <c r="F3" s="1280"/>
      <c r="G3" s="1280"/>
      <c r="H3" s="1280"/>
      <c r="I3" s="1280"/>
    </row>
    <row r="4" spans="1:9" s="844" customFormat="1" ht="15.75" customHeight="1">
      <c r="A4" s="317" t="s">
        <v>51</v>
      </c>
      <c r="B4" s="1280" t="str">
        <f>'FICHE R4'!B4</f>
        <v/>
      </c>
      <c r="C4" s="1280"/>
      <c r="D4" s="1281"/>
      <c r="E4" s="1281"/>
      <c r="F4" s="1281"/>
      <c r="G4" s="1281"/>
      <c r="H4" s="627" t="s">
        <v>1021</v>
      </c>
      <c r="I4" s="630" t="str">
        <f>'FICHE R4'!I4</f>
        <v/>
      </c>
    </row>
    <row r="5" spans="1:9" s="844" customFormat="1" ht="15.75" customHeight="1">
      <c r="A5" s="317" t="s">
        <v>53</v>
      </c>
      <c r="B5" s="317"/>
      <c r="C5" s="1281" t="str">
        <f>'FICHE R4'!C5</f>
        <v/>
      </c>
      <c r="D5" s="1281"/>
      <c r="E5" s="1281"/>
      <c r="F5" s="642" t="s">
        <v>54</v>
      </c>
      <c r="G5" s="869">
        <f>'FICHE R4'!F5</f>
        <v>0</v>
      </c>
      <c r="H5" s="627" t="s">
        <v>55</v>
      </c>
      <c r="I5" s="795">
        <f>'FICHE R4'!I5</f>
        <v>1</v>
      </c>
    </row>
    <row r="6" spans="1:9" s="844" customFormat="1" ht="15.75" customHeight="1">
      <c r="A6" s="317" t="s">
        <v>1533</v>
      </c>
      <c r="B6" s="317"/>
      <c r="C6" s="1275" t="str">
        <f>'FICHE R4'!C6</f>
        <v/>
      </c>
      <c r="D6" s="1275"/>
      <c r="E6" s="1275"/>
      <c r="F6" s="638"/>
      <c r="G6" s="869"/>
      <c r="H6" s="629"/>
      <c r="I6" s="630"/>
    </row>
    <row r="7" spans="1:9" ht="35.25" customHeight="1">
      <c r="A7" s="1273" t="s">
        <v>1534</v>
      </c>
      <c r="B7" s="1273"/>
      <c r="C7" s="1273"/>
      <c r="D7" s="1273"/>
      <c r="E7" s="1273"/>
      <c r="F7" s="1273"/>
      <c r="G7" s="1273"/>
      <c r="H7" s="1273"/>
      <c r="I7" s="1273"/>
    </row>
    <row r="8" spans="1:9" ht="18.75" customHeight="1">
      <c r="A8" s="1754" t="s">
        <v>1254</v>
      </c>
      <c r="B8" s="1755"/>
      <c r="C8" s="1755"/>
      <c r="D8" s="1756"/>
      <c r="E8" s="1760" t="s">
        <v>1535</v>
      </c>
      <c r="F8" s="1760" t="s">
        <v>1536</v>
      </c>
      <c r="G8" s="1762" t="s">
        <v>1537</v>
      </c>
      <c r="H8" s="1763"/>
      <c r="I8" s="1764"/>
    </row>
    <row r="9" spans="1:9" ht="18" customHeight="1">
      <c r="A9" s="1757"/>
      <c r="B9" s="1758"/>
      <c r="C9" s="1758"/>
      <c r="D9" s="1759"/>
      <c r="E9" s="1761"/>
      <c r="F9" s="1761"/>
      <c r="G9" s="379" t="s">
        <v>1538</v>
      </c>
      <c r="H9" s="379" t="s">
        <v>1539</v>
      </c>
      <c r="I9" s="865" t="s">
        <v>1540</v>
      </c>
    </row>
    <row r="10" spans="1:9" ht="15.9" customHeight="1">
      <c r="A10" s="1753" t="s">
        <v>1541</v>
      </c>
      <c r="B10" s="1753"/>
      <c r="C10" s="1753"/>
      <c r="D10" s="1753"/>
      <c r="E10" s="583">
        <v>16</v>
      </c>
      <c r="F10" s="339"/>
      <c r="G10" s="339"/>
      <c r="H10" s="339"/>
      <c r="I10" s="339"/>
    </row>
    <row r="11" spans="1:9" ht="15.9" customHeight="1">
      <c r="A11" s="1748" t="s">
        <v>1542</v>
      </c>
      <c r="B11" s="1748"/>
      <c r="C11" s="1748"/>
      <c r="D11" s="1748"/>
      <c r="E11" s="583"/>
      <c r="F11" s="345"/>
      <c r="G11" s="345"/>
      <c r="H11" s="345"/>
      <c r="I11" s="345"/>
    </row>
    <row r="12" spans="1:9" ht="15.9" customHeight="1">
      <c r="A12" s="1748" t="s">
        <v>1543</v>
      </c>
      <c r="B12" s="1748"/>
      <c r="C12" s="1748"/>
      <c r="D12" s="1748"/>
      <c r="E12" s="583"/>
      <c r="F12" s="345"/>
      <c r="G12" s="345"/>
      <c r="H12" s="345"/>
      <c r="I12" s="345"/>
    </row>
    <row r="13" spans="1:9" ht="15.9" customHeight="1">
      <c r="A13" s="1748" t="s">
        <v>1544</v>
      </c>
      <c r="B13" s="1748"/>
      <c r="C13" s="1748"/>
      <c r="D13" s="1748"/>
      <c r="E13" s="583"/>
      <c r="F13" s="345"/>
      <c r="G13" s="345"/>
      <c r="H13" s="345"/>
      <c r="I13" s="345"/>
    </row>
    <row r="14" spans="1:9" ht="15.9" customHeight="1">
      <c r="A14" s="1748" t="s">
        <v>1545</v>
      </c>
      <c r="B14" s="1748"/>
      <c r="C14" s="1748"/>
      <c r="D14" s="1748"/>
      <c r="E14" s="583"/>
      <c r="F14" s="345"/>
      <c r="G14" s="345"/>
      <c r="H14" s="345"/>
      <c r="I14" s="345"/>
    </row>
    <row r="15" spans="1:9" ht="15.9" customHeight="1">
      <c r="A15" s="1750" t="s">
        <v>1546</v>
      </c>
      <c r="B15" s="1750"/>
      <c r="C15" s="1750"/>
      <c r="D15" s="1750"/>
      <c r="E15" s="898"/>
      <c r="F15" s="582">
        <f>SUM(F11:F14)</f>
        <v>0</v>
      </c>
      <c r="G15" s="339"/>
      <c r="H15" s="339"/>
      <c r="I15" s="339"/>
    </row>
    <row r="16" spans="1:9" ht="15.9" customHeight="1">
      <c r="A16" s="1753" t="s">
        <v>1547</v>
      </c>
      <c r="B16" s="1753"/>
      <c r="C16" s="1753"/>
      <c r="D16" s="1753"/>
      <c r="E16" s="583">
        <v>16</v>
      </c>
      <c r="F16" s="581"/>
      <c r="G16" s="581"/>
      <c r="H16" s="581"/>
      <c r="I16" s="581"/>
    </row>
    <row r="17" spans="1:9" ht="15.9" customHeight="1">
      <c r="A17" s="1748" t="s">
        <v>1548</v>
      </c>
      <c r="B17" s="1748"/>
      <c r="C17" s="1748"/>
      <c r="D17" s="1748"/>
      <c r="E17" s="583"/>
      <c r="F17" s="345"/>
      <c r="G17" s="345"/>
      <c r="H17" s="345"/>
      <c r="I17" s="345"/>
    </row>
    <row r="18" spans="1:9" ht="15.9" customHeight="1">
      <c r="A18" s="1748" t="s">
        <v>1549</v>
      </c>
      <c r="B18" s="1748"/>
      <c r="C18" s="1748"/>
      <c r="D18" s="1748"/>
      <c r="E18" s="583"/>
      <c r="F18" s="345"/>
      <c r="G18" s="345"/>
      <c r="H18" s="345"/>
      <c r="I18" s="345"/>
    </row>
    <row r="19" spans="1:9" ht="15.9" customHeight="1">
      <c r="A19" s="1748" t="s">
        <v>1550</v>
      </c>
      <c r="B19" s="1748"/>
      <c r="C19" s="1748"/>
      <c r="D19" s="1748"/>
      <c r="E19" s="583"/>
      <c r="F19" s="345"/>
      <c r="G19" s="345"/>
      <c r="H19" s="345"/>
      <c r="I19" s="345"/>
    </row>
    <row r="20" spans="1:9" ht="15.9" customHeight="1">
      <c r="A20" s="1748" t="s">
        <v>1551</v>
      </c>
      <c r="B20" s="1748"/>
      <c r="C20" s="1748"/>
      <c r="D20" s="1748"/>
      <c r="E20" s="583"/>
      <c r="F20" s="345"/>
      <c r="G20" s="345"/>
      <c r="H20" s="345"/>
      <c r="I20" s="345"/>
    </row>
    <row r="21" spans="1:9" ht="15.9" customHeight="1">
      <c r="A21" s="1750" t="s">
        <v>1552</v>
      </c>
      <c r="B21" s="1750"/>
      <c r="C21" s="1750"/>
      <c r="D21" s="1750"/>
      <c r="E21" s="898"/>
      <c r="F21" s="582">
        <f>SUM(F17:F20)</f>
        <v>0</v>
      </c>
      <c r="G21" s="339"/>
      <c r="H21" s="339"/>
      <c r="I21" s="339"/>
    </row>
    <row r="22" spans="1:9" ht="15.9" customHeight="1">
      <c r="A22" s="1753" t="s">
        <v>1553</v>
      </c>
      <c r="B22" s="1753"/>
      <c r="C22" s="1753"/>
      <c r="D22" s="1753"/>
      <c r="E22" s="583"/>
      <c r="F22" s="581"/>
      <c r="G22" s="581"/>
      <c r="H22" s="581"/>
      <c r="I22" s="581"/>
    </row>
    <row r="23" spans="1:9" ht="15.9" customHeight="1">
      <c r="A23" s="1748" t="s">
        <v>1554</v>
      </c>
      <c r="B23" s="1748"/>
      <c r="C23" s="1748"/>
      <c r="D23" s="1748"/>
      <c r="E23" s="583">
        <v>17</v>
      </c>
      <c r="F23" s="345"/>
      <c r="G23" s="345"/>
      <c r="H23" s="345"/>
      <c r="I23" s="345"/>
    </row>
    <row r="24" spans="1:9" ht="15.9" customHeight="1">
      <c r="A24" s="1748" t="s">
        <v>1202</v>
      </c>
      <c r="B24" s="1748"/>
      <c r="C24" s="1748"/>
      <c r="D24" s="1748"/>
      <c r="E24" s="583">
        <v>7</v>
      </c>
      <c r="F24" s="345"/>
      <c r="G24" s="345"/>
      <c r="H24" s="345"/>
      <c r="I24" s="345"/>
    </row>
    <row r="25" spans="1:9" ht="15.9" customHeight="1">
      <c r="A25" s="1748" t="s">
        <v>1555</v>
      </c>
      <c r="B25" s="1748"/>
      <c r="C25" s="1748"/>
      <c r="D25" s="1748"/>
      <c r="E25" s="583">
        <v>18</v>
      </c>
      <c r="F25" s="345"/>
      <c r="G25" s="345"/>
      <c r="H25" s="345"/>
      <c r="I25" s="345"/>
    </row>
    <row r="26" spans="1:9" ht="15.9" customHeight="1">
      <c r="A26" s="1748" t="s">
        <v>1556</v>
      </c>
      <c r="B26" s="1748"/>
      <c r="C26" s="1748"/>
      <c r="D26" s="1748"/>
      <c r="E26" s="583">
        <v>18</v>
      </c>
      <c r="F26" s="345"/>
      <c r="G26" s="345"/>
      <c r="H26" s="345"/>
      <c r="I26" s="345"/>
    </row>
    <row r="27" spans="1:9" ht="15.9" customHeight="1">
      <c r="A27" s="1748" t="s">
        <v>1557</v>
      </c>
      <c r="B27" s="1748"/>
      <c r="C27" s="1748"/>
      <c r="D27" s="1748"/>
      <c r="E27" s="583">
        <v>18</v>
      </c>
      <c r="F27" s="345"/>
      <c r="G27" s="345"/>
      <c r="H27" s="345"/>
      <c r="I27" s="345"/>
    </row>
    <row r="28" spans="1:9" ht="15.9" customHeight="1">
      <c r="A28" s="1748" t="s">
        <v>1558</v>
      </c>
      <c r="B28" s="1748"/>
      <c r="C28" s="1748"/>
      <c r="D28" s="1748"/>
      <c r="E28" s="583">
        <v>19</v>
      </c>
      <c r="F28" s="345"/>
      <c r="G28" s="345"/>
      <c r="H28" s="345"/>
      <c r="I28" s="345"/>
    </row>
    <row r="29" spans="1:9" ht="15.9" customHeight="1">
      <c r="A29" s="1748" t="s">
        <v>1559</v>
      </c>
      <c r="B29" s="1748"/>
      <c r="C29" s="1748"/>
      <c r="D29" s="1748"/>
      <c r="E29" s="583">
        <v>19</v>
      </c>
      <c r="F29" s="345"/>
      <c r="G29" s="345"/>
      <c r="H29" s="345"/>
      <c r="I29" s="345"/>
    </row>
    <row r="30" spans="1:9" ht="15.9" customHeight="1">
      <c r="A30" s="1748" t="s">
        <v>1560</v>
      </c>
      <c r="B30" s="1748"/>
      <c r="C30" s="1748"/>
      <c r="D30" s="1748"/>
      <c r="E30" s="583">
        <v>19</v>
      </c>
      <c r="F30" s="345"/>
      <c r="G30" s="345"/>
      <c r="H30" s="345"/>
      <c r="I30" s="345"/>
    </row>
    <row r="31" spans="1:9" ht="15.9" customHeight="1">
      <c r="A31" s="1750" t="s">
        <v>1561</v>
      </c>
      <c r="B31" s="1750"/>
      <c r="C31" s="1750"/>
      <c r="D31" s="1750"/>
      <c r="E31" s="898"/>
      <c r="F31" s="582">
        <f>SUM(F23:F30)</f>
        <v>0</v>
      </c>
      <c r="G31" s="339"/>
      <c r="H31" s="339"/>
      <c r="I31" s="339"/>
    </row>
    <row r="32" spans="1:9" ht="15.9" customHeight="1">
      <c r="A32" s="1746" t="s">
        <v>1562</v>
      </c>
      <c r="B32" s="1746"/>
      <c r="C32" s="1746"/>
      <c r="D32" s="1746"/>
      <c r="E32" s="899"/>
      <c r="F32" s="348">
        <f>F15+F21+F31</f>
        <v>0</v>
      </c>
      <c r="G32" s="339"/>
      <c r="H32" s="339"/>
      <c r="I32" s="339"/>
    </row>
    <row r="33" spans="1:11" ht="25.5" customHeight="1">
      <c r="A33" s="1751" t="s">
        <v>1563</v>
      </c>
      <c r="B33" s="1751"/>
      <c r="C33" s="1751"/>
      <c r="D33" s="1751"/>
      <c r="E33" s="1751"/>
      <c r="F33" s="1752"/>
      <c r="G33" s="900" t="s">
        <v>1564</v>
      </c>
      <c r="H33" s="900" t="s">
        <v>1565</v>
      </c>
      <c r="I33" s="900" t="s">
        <v>1566</v>
      </c>
    </row>
    <row r="34" spans="1:11" ht="15.9" customHeight="1">
      <c r="A34" s="1748" t="s">
        <v>1567</v>
      </c>
      <c r="B34" s="1748"/>
      <c r="C34" s="1748"/>
      <c r="D34" s="1748"/>
      <c r="E34" s="1748"/>
      <c r="F34" s="1749"/>
      <c r="G34" s="885"/>
      <c r="H34" s="796"/>
      <c r="I34" s="796"/>
    </row>
    <row r="35" spans="1:11" ht="15.9" customHeight="1">
      <c r="A35" s="1748" t="s">
        <v>1568</v>
      </c>
      <c r="B35" s="1748"/>
      <c r="C35" s="1748"/>
      <c r="D35" s="1748"/>
      <c r="E35" s="1748"/>
      <c r="F35" s="1749"/>
      <c r="G35" s="885"/>
      <c r="H35" s="796"/>
      <c r="I35" s="796"/>
    </row>
    <row r="36" spans="1:11" ht="15.9" customHeight="1">
      <c r="A36" s="1748" t="s">
        <v>1569</v>
      </c>
      <c r="B36" s="1748"/>
      <c r="C36" s="1748"/>
      <c r="D36" s="1748"/>
      <c r="E36" s="1748"/>
      <c r="F36" s="1749"/>
      <c r="G36" s="885"/>
      <c r="H36" s="796"/>
      <c r="I36" s="796"/>
    </row>
    <row r="37" spans="1:11" ht="15.9" customHeight="1">
      <c r="A37" s="1748" t="s">
        <v>1570</v>
      </c>
      <c r="B37" s="1748"/>
      <c r="C37" s="1748"/>
      <c r="D37" s="1748"/>
      <c r="E37" s="1748"/>
      <c r="F37" s="1749"/>
      <c r="G37" s="885"/>
      <c r="H37" s="796"/>
      <c r="I37" s="796"/>
    </row>
    <row r="38" spans="1:11" ht="15.9" customHeight="1">
      <c r="A38" s="1748" t="s">
        <v>1571</v>
      </c>
      <c r="B38" s="1748"/>
      <c r="C38" s="1748"/>
      <c r="D38" s="1748"/>
      <c r="E38" s="1748"/>
      <c r="F38" s="1749"/>
      <c r="G38" s="885"/>
      <c r="H38" s="796"/>
      <c r="I38" s="796"/>
    </row>
    <row r="39" spans="1:11" ht="15.9" customHeight="1">
      <c r="A39" s="1748" t="s">
        <v>1572</v>
      </c>
      <c r="B39" s="1748"/>
      <c r="C39" s="1748"/>
      <c r="D39" s="1748"/>
      <c r="E39" s="1748"/>
      <c r="F39" s="1749"/>
      <c r="G39" s="885"/>
      <c r="H39" s="796"/>
      <c r="I39" s="796"/>
    </row>
    <row r="40" spans="1:11" ht="15.9" customHeight="1">
      <c r="A40" s="1748" t="s">
        <v>1573</v>
      </c>
      <c r="B40" s="1748"/>
      <c r="C40" s="1748"/>
      <c r="D40" s="1748"/>
      <c r="E40" s="1748"/>
      <c r="F40" s="1749"/>
      <c r="G40" s="885"/>
      <c r="H40" s="796"/>
      <c r="I40" s="796"/>
    </row>
    <row r="41" spans="1:11" ht="15.9" customHeight="1">
      <c r="A41" s="1744" t="s">
        <v>1574</v>
      </c>
      <c r="B41" s="1744"/>
      <c r="C41" s="1744"/>
      <c r="D41" s="1744"/>
      <c r="E41" s="1744"/>
      <c r="F41" s="1745"/>
      <c r="G41" s="885"/>
      <c r="H41" s="796"/>
      <c r="I41" s="796"/>
    </row>
    <row r="42" spans="1:11" ht="15.9" customHeight="1">
      <c r="A42" s="1744" t="s">
        <v>1575</v>
      </c>
      <c r="B42" s="1744"/>
      <c r="C42" s="1744"/>
      <c r="D42" s="1744"/>
      <c r="E42" s="1744"/>
      <c r="F42" s="1745"/>
      <c r="G42" s="885"/>
      <c r="H42" s="796"/>
      <c r="I42" s="796"/>
    </row>
    <row r="43" spans="1:11" ht="15.9" customHeight="1">
      <c r="A43" s="1744" t="s">
        <v>1576</v>
      </c>
      <c r="B43" s="1744"/>
      <c r="C43" s="1744"/>
      <c r="D43" s="1744"/>
      <c r="E43" s="1744"/>
      <c r="F43" s="1745"/>
      <c r="G43" s="885"/>
      <c r="H43" s="796"/>
      <c r="I43" s="796"/>
    </row>
    <row r="44" spans="1:11" ht="15.9" customHeight="1">
      <c r="A44" s="1744" t="s">
        <v>1577</v>
      </c>
      <c r="B44" s="1744"/>
      <c r="C44" s="1744"/>
      <c r="D44" s="1744"/>
      <c r="E44" s="1744"/>
      <c r="F44" s="1745"/>
      <c r="G44" s="885"/>
      <c r="H44" s="796"/>
      <c r="I44" s="796"/>
    </row>
    <row r="45" spans="1:11" ht="15.9" customHeight="1">
      <c r="A45" s="1746" t="s">
        <v>1578</v>
      </c>
      <c r="B45" s="1746"/>
      <c r="C45" s="1746"/>
      <c r="D45" s="1746"/>
      <c r="E45" s="1746"/>
      <c r="F45" s="1747"/>
      <c r="G45" s="347">
        <f>SUM(G34:G44)</f>
        <v>0</v>
      </c>
      <c r="H45" s="347">
        <f>SUM(H34:H44)</f>
        <v>0</v>
      </c>
      <c r="I45" s="347">
        <f>SUM(I34:I44)</f>
        <v>0</v>
      </c>
    </row>
    <row r="46" spans="1:11">
      <c r="A46" s="1743" t="s">
        <v>1579</v>
      </c>
      <c r="B46" s="1743"/>
      <c r="C46" s="1743"/>
      <c r="D46" s="1743"/>
      <c r="E46" s="1743"/>
      <c r="F46" s="1743"/>
      <c r="G46" s="1743"/>
      <c r="H46" s="1743"/>
      <c r="I46" s="1743"/>
      <c r="J46" s="816"/>
      <c r="K46" s="816"/>
    </row>
    <row r="47" spans="1:11">
      <c r="A47" s="1743" t="s">
        <v>1580</v>
      </c>
      <c r="B47" s="1743"/>
      <c r="C47" s="1743"/>
      <c r="D47" s="1743"/>
      <c r="E47" s="1743"/>
      <c r="F47" s="1743"/>
      <c r="G47" s="1743"/>
      <c r="H47" s="1743"/>
      <c r="I47" s="1743"/>
      <c r="J47" s="816"/>
      <c r="K47" s="816"/>
    </row>
    <row r="48" spans="1:11">
      <c r="A48" s="636" t="s">
        <v>1581</v>
      </c>
      <c r="B48" s="636"/>
      <c r="C48" s="636"/>
      <c r="D48" s="636"/>
      <c r="E48" s="636"/>
      <c r="F48" s="636"/>
      <c r="G48" s="636"/>
      <c r="H48" s="636"/>
      <c r="I48" s="636"/>
      <c r="J48" s="636"/>
      <c r="K48" s="636"/>
    </row>
    <row r="49" spans="1:11">
      <c r="A49" s="636" t="s">
        <v>1582</v>
      </c>
      <c r="B49" s="636"/>
      <c r="C49" s="636"/>
      <c r="D49" s="636"/>
      <c r="E49" s="636"/>
      <c r="F49" s="636"/>
      <c r="G49" s="636"/>
      <c r="H49" s="636"/>
      <c r="I49" s="636"/>
      <c r="J49" s="636"/>
      <c r="K49" s="636"/>
    </row>
    <row r="50" spans="1:11">
      <c r="A50" s="636" t="s">
        <v>1583</v>
      </c>
      <c r="B50" s="636"/>
      <c r="C50" s="636"/>
      <c r="D50" s="636"/>
      <c r="E50" s="636"/>
      <c r="F50" s="636"/>
      <c r="G50" s="636"/>
      <c r="H50" s="636"/>
      <c r="I50" s="636"/>
      <c r="J50" s="636"/>
      <c r="K50" s="636"/>
    </row>
    <row r="51" spans="1:11">
      <c r="A51" s="636" t="s">
        <v>1584</v>
      </c>
      <c r="B51" s="636"/>
      <c r="C51" s="636"/>
      <c r="D51" s="636"/>
      <c r="E51" s="636"/>
      <c r="F51" s="636"/>
      <c r="G51" s="636"/>
      <c r="H51" s="636"/>
      <c r="I51" s="636"/>
      <c r="J51" s="636"/>
      <c r="K51" s="636"/>
    </row>
    <row r="52" spans="1:11">
      <c r="A52" s="636" t="s">
        <v>1585</v>
      </c>
      <c r="B52" s="636"/>
      <c r="C52" s="636"/>
      <c r="D52" s="636"/>
      <c r="E52" s="636"/>
      <c r="F52" s="636"/>
      <c r="G52" s="636"/>
      <c r="H52" s="636"/>
      <c r="I52" s="636"/>
      <c r="J52" s="636"/>
      <c r="K52" s="636"/>
    </row>
    <row r="53" spans="1:11">
      <c r="A53" s="636" t="s">
        <v>1586</v>
      </c>
      <c r="B53" s="636"/>
      <c r="C53" s="636"/>
      <c r="D53" s="636"/>
      <c r="E53" s="636"/>
      <c r="F53" s="636"/>
      <c r="G53" s="636"/>
      <c r="H53" s="636"/>
      <c r="I53" s="636"/>
      <c r="J53" s="636"/>
      <c r="K53" s="636"/>
    </row>
  </sheetData>
  <sheetProtection algorithmName="SHA-512" hashValue="vdEJWM4OY6aGEE/Hh/O8oLiiNzm/RlZHTV4VK/JyoiUp/yM09n34mx8ocdr6PdLPXtplg5vlDudKrwjCWDpthw==" saltValue="nQCTxM8I+ZckBI9aJ+JaFg==" spinCount="100000" sheet="1" objects="1" scenarios="1" selectLockedCells="1"/>
  <mergeCells count="49">
    <mergeCell ref="C6:E6"/>
    <mergeCell ref="A1:I1"/>
    <mergeCell ref="H2:I2"/>
    <mergeCell ref="C3:I3"/>
    <mergeCell ref="B4:G4"/>
    <mergeCell ref="C5:E5"/>
    <mergeCell ref="A16:D16"/>
    <mergeCell ref="A7:I7"/>
    <mergeCell ref="A8:D9"/>
    <mergeCell ref="E8:E9"/>
    <mergeCell ref="F8:F9"/>
    <mergeCell ref="G8:I8"/>
    <mergeCell ref="A10:D10"/>
    <mergeCell ref="A11:D11"/>
    <mergeCell ref="A12:D12"/>
    <mergeCell ref="A13:D13"/>
    <mergeCell ref="A14:D14"/>
    <mergeCell ref="A15:D15"/>
    <mergeCell ref="A28:D28"/>
    <mergeCell ref="A17:D17"/>
    <mergeCell ref="A18:D18"/>
    <mergeCell ref="A19:D19"/>
    <mergeCell ref="A20:D20"/>
    <mergeCell ref="A21:D21"/>
    <mergeCell ref="A22:D22"/>
    <mergeCell ref="A23:D23"/>
    <mergeCell ref="A24:D24"/>
    <mergeCell ref="A25:D25"/>
    <mergeCell ref="A26:D26"/>
    <mergeCell ref="A27:D27"/>
    <mergeCell ref="A40:F40"/>
    <mergeCell ref="A29:D29"/>
    <mergeCell ref="A30:D30"/>
    <mergeCell ref="A31:D31"/>
    <mergeCell ref="A32:D32"/>
    <mergeCell ref="A33:F33"/>
    <mergeCell ref="A34:F34"/>
    <mergeCell ref="A35:F35"/>
    <mergeCell ref="A36:F36"/>
    <mergeCell ref="A37:F37"/>
    <mergeCell ref="A38:F38"/>
    <mergeCell ref="A39:F39"/>
    <mergeCell ref="A47:I47"/>
    <mergeCell ref="A41:F41"/>
    <mergeCell ref="A42:F42"/>
    <mergeCell ref="A43:F43"/>
    <mergeCell ref="A44:F44"/>
    <mergeCell ref="A45:F45"/>
    <mergeCell ref="A46:I46"/>
  </mergeCells>
  <conditionalFormatting sqref="F11:I30">
    <cfRule type="cellIs" dxfId="213" priority="5" operator="equal">
      <formula>0</formula>
    </cfRule>
  </conditionalFormatting>
  <conditionalFormatting sqref="F31:I32">
    <cfRule type="cellIs" dxfId="212" priority="1" operator="equal">
      <formula>0</formula>
    </cfRule>
  </conditionalFormatting>
  <conditionalFormatting sqref="G34:I44">
    <cfRule type="cellIs" dxfId="211" priority="3" operator="equal">
      <formula>0</formula>
    </cfRule>
  </conditionalFormatting>
  <conditionalFormatting sqref="G45:I45">
    <cfRule type="cellIs" dxfId="210" priority="2" operator="equal">
      <formula>0</formula>
    </cfRule>
  </conditionalFormatting>
  <dataValidations count="1">
    <dataValidation type="whole" allowBlank="1" showInputMessage="1" showErrorMessage="1" errorTitle="Attention !" error="Valeur numérique attendue" sqref="F11:F14 F17:F20 F23:F30 H34:I44" xr:uid="{7D50D3F0-D58E-4E3F-9C93-D08D03A8731B}">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2C4D-555E-44A4-8326-006F2D5D1326}">
  <sheetPr codeName="Feuil17">
    <tabColor theme="9" tint="0.39997558519241921"/>
    <pageSetUpPr fitToPage="1"/>
  </sheetPr>
  <dimension ref="A1:I20"/>
  <sheetViews>
    <sheetView showGridLines="0" showRowColHeaders="0" zoomScaleNormal="100" workbookViewId="0">
      <selection activeCell="A11" sqref="A11:I11"/>
    </sheetView>
  </sheetViews>
  <sheetFormatPr baseColWidth="10" defaultColWidth="11.5234375" defaultRowHeight="14.4"/>
  <cols>
    <col min="1" max="1" width="11.5234375" style="103"/>
    <col min="2" max="2" width="16.41796875" style="103" customWidth="1"/>
    <col min="3" max="3" width="7" style="103" customWidth="1"/>
    <col min="4" max="4" width="5.68359375" style="103" customWidth="1"/>
    <col min="5" max="5" width="5.89453125" style="103" customWidth="1"/>
    <col min="6" max="7" width="13.41796875" style="103" customWidth="1"/>
    <col min="8" max="8" width="17.89453125" style="103" customWidth="1"/>
    <col min="9" max="16384" width="11.5234375" style="103"/>
  </cols>
  <sheetData>
    <row r="1" spans="1:9">
      <c r="A1" s="1276" t="str">
        <f>"- "&amp;Code!K16&amp;" -"</f>
        <v>- 16 -</v>
      </c>
      <c r="B1" s="1276"/>
      <c r="C1" s="1276"/>
      <c r="D1" s="1276"/>
      <c r="E1" s="1276"/>
      <c r="F1" s="1276"/>
      <c r="G1" s="1276"/>
      <c r="H1" s="1276"/>
      <c r="I1" s="1276"/>
    </row>
    <row r="2" spans="1:9" ht="24.9" customHeight="1">
      <c r="A2" s="576"/>
      <c r="B2" s="576"/>
      <c r="C2" s="576"/>
      <c r="D2" s="576"/>
      <c r="E2" s="896"/>
      <c r="F2" s="576"/>
      <c r="G2" s="576"/>
      <c r="H2" s="1278" t="s">
        <v>1587</v>
      </c>
      <c r="I2" s="1765"/>
    </row>
    <row r="3" spans="1:9" s="844" customFormat="1" ht="15" customHeight="1">
      <c r="A3" s="317" t="s">
        <v>50</v>
      </c>
      <c r="B3" s="897"/>
      <c r="C3" s="1280" t="str">
        <f>'NOTE 1'!C3</f>
        <v>OHADA</v>
      </c>
      <c r="D3" s="1280"/>
      <c r="E3" s="1280"/>
      <c r="F3" s="1280"/>
      <c r="G3" s="1280"/>
      <c r="H3" s="1280"/>
      <c r="I3" s="1280"/>
    </row>
    <row r="4" spans="1:9" s="844" customFormat="1" ht="15" customHeight="1">
      <c r="A4" s="317" t="s">
        <v>51</v>
      </c>
      <c r="B4" s="1281" t="str">
        <f>'NOTE 1'!B4</f>
        <v/>
      </c>
      <c r="C4" s="1281"/>
      <c r="D4" s="1281"/>
      <c r="E4" s="1281"/>
      <c r="F4" s="1281"/>
      <c r="G4" s="1281"/>
      <c r="H4" s="627" t="s">
        <v>1021</v>
      </c>
      <c r="I4" s="630" t="str">
        <f>'NOTE 1'!I4</f>
        <v/>
      </c>
    </row>
    <row r="5" spans="1:9" s="844" customFormat="1" ht="15" customHeight="1">
      <c r="A5" s="317" t="s">
        <v>53</v>
      </c>
      <c r="B5" s="317"/>
      <c r="C5" s="1281" t="str">
        <f>'NOTE 1'!C5</f>
        <v/>
      </c>
      <c r="D5" s="1281"/>
      <c r="E5" s="1281"/>
      <c r="F5" s="642" t="s">
        <v>54</v>
      </c>
      <c r="G5" s="869">
        <f>'NOTE 1'!G5</f>
        <v>0</v>
      </c>
      <c r="H5" s="627" t="s">
        <v>55</v>
      </c>
      <c r="I5" s="795">
        <f>'NOTE 1'!I5</f>
        <v>1</v>
      </c>
    </row>
    <row r="6" spans="1:9" s="844" customFormat="1" ht="15" customHeight="1">
      <c r="A6" s="317" t="s">
        <v>1533</v>
      </c>
      <c r="B6" s="317"/>
      <c r="C6" s="1275" t="str">
        <f>'NOTE 1'!C6</f>
        <v/>
      </c>
      <c r="D6" s="1275"/>
      <c r="E6" s="1275"/>
      <c r="F6" s="638"/>
      <c r="G6" s="630"/>
      <c r="H6" s="629"/>
      <c r="I6" s="630"/>
    </row>
    <row r="7" spans="1:9" ht="35.25" customHeight="1">
      <c r="A7" s="1273" t="s">
        <v>1588</v>
      </c>
      <c r="B7" s="1273"/>
      <c r="C7" s="1273"/>
      <c r="D7" s="1273"/>
      <c r="E7" s="1273"/>
      <c r="F7" s="1273"/>
      <c r="G7" s="1273"/>
      <c r="H7" s="1273"/>
      <c r="I7" s="1273"/>
    </row>
    <row r="8" spans="1:9" ht="19.5" customHeight="1">
      <c r="A8" s="1770" t="s">
        <v>9668</v>
      </c>
      <c r="B8" s="1771"/>
      <c r="C8" s="1771"/>
      <c r="D8" s="1771"/>
      <c r="E8" s="1771"/>
      <c r="F8" s="1771"/>
      <c r="G8" s="1771"/>
      <c r="H8" s="1771"/>
      <c r="I8" s="1772"/>
    </row>
    <row r="9" spans="1:9" ht="119.25" customHeight="1">
      <c r="A9" s="1767"/>
      <c r="B9" s="1768"/>
      <c r="C9" s="1768"/>
      <c r="D9" s="1768"/>
      <c r="E9" s="1768"/>
      <c r="F9" s="1768"/>
      <c r="G9" s="1768"/>
      <c r="H9" s="1768"/>
      <c r="I9" s="1769"/>
    </row>
    <row r="10" spans="1:9" ht="19.5" customHeight="1">
      <c r="A10" s="1770" t="s">
        <v>9669</v>
      </c>
      <c r="B10" s="1771"/>
      <c r="C10" s="1771"/>
      <c r="D10" s="1771"/>
      <c r="E10" s="1771"/>
      <c r="F10" s="1771"/>
      <c r="G10" s="1771"/>
      <c r="H10" s="1771"/>
      <c r="I10" s="1772"/>
    </row>
    <row r="11" spans="1:9" ht="119.25" customHeight="1">
      <c r="A11" s="1767"/>
      <c r="B11" s="1768"/>
      <c r="C11" s="1768"/>
      <c r="D11" s="1768"/>
      <c r="E11" s="1768"/>
      <c r="F11" s="1768"/>
      <c r="G11" s="1768"/>
      <c r="H11" s="1768"/>
      <c r="I11" s="1769"/>
    </row>
    <row r="12" spans="1:9" ht="19.5" customHeight="1">
      <c r="A12" s="1770" t="s">
        <v>9670</v>
      </c>
      <c r="B12" s="1771"/>
      <c r="C12" s="1771"/>
      <c r="D12" s="1771"/>
      <c r="E12" s="1771"/>
      <c r="F12" s="1771"/>
      <c r="G12" s="1771"/>
      <c r="H12" s="1771"/>
      <c r="I12" s="1772"/>
    </row>
    <row r="13" spans="1:9" ht="119.25" customHeight="1">
      <c r="A13" s="1767"/>
      <c r="B13" s="1768"/>
      <c r="C13" s="1768"/>
      <c r="D13" s="1768"/>
      <c r="E13" s="1768"/>
      <c r="F13" s="1768"/>
      <c r="G13" s="1768"/>
      <c r="H13" s="1768"/>
      <c r="I13" s="1769"/>
    </row>
    <row r="14" spans="1:9" ht="32.25" customHeight="1">
      <c r="A14" s="1770" t="s">
        <v>9671</v>
      </c>
      <c r="B14" s="1771"/>
      <c r="C14" s="1771"/>
      <c r="D14" s="1771"/>
      <c r="E14" s="1771"/>
      <c r="F14" s="1771"/>
      <c r="G14" s="1771"/>
      <c r="H14" s="1771"/>
      <c r="I14" s="1772"/>
    </row>
    <row r="15" spans="1:9" ht="119.25" customHeight="1">
      <c r="A15" s="1773"/>
      <c r="B15" s="1774"/>
      <c r="C15" s="1774"/>
      <c r="D15" s="1774"/>
      <c r="E15" s="1774"/>
      <c r="F15" s="1774"/>
      <c r="G15" s="1774"/>
      <c r="H15" s="1774"/>
      <c r="I15" s="1775"/>
    </row>
    <row r="16" spans="1:9" ht="5.25" customHeight="1">
      <c r="A16" s="129"/>
      <c r="B16" s="129"/>
      <c r="C16" s="129"/>
      <c r="D16" s="129"/>
      <c r="E16" s="129"/>
      <c r="F16" s="129"/>
      <c r="G16" s="129"/>
      <c r="H16" s="129"/>
      <c r="I16" s="129"/>
    </row>
    <row r="17" spans="1:9">
      <c r="A17" s="1776" t="s">
        <v>1592</v>
      </c>
      <c r="B17" s="1776"/>
      <c r="C17" s="1776"/>
      <c r="D17" s="1776"/>
      <c r="E17" s="1776"/>
      <c r="F17" s="816"/>
      <c r="G17" s="816"/>
      <c r="H17" s="816"/>
      <c r="I17" s="816"/>
    </row>
    <row r="18" spans="1:9">
      <c r="A18" s="1766" t="s">
        <v>1593</v>
      </c>
      <c r="B18" s="1766"/>
      <c r="C18" s="1766"/>
      <c r="D18" s="1766"/>
      <c r="E18" s="1766"/>
      <c r="F18" s="1766"/>
      <c r="G18" s="1766"/>
      <c r="H18" s="1766"/>
      <c r="I18" s="1766"/>
    </row>
    <row r="19" spans="1:9" ht="27" customHeight="1">
      <c r="A19" s="1766" t="s">
        <v>1594</v>
      </c>
      <c r="B19" s="1766"/>
      <c r="C19" s="1766"/>
      <c r="D19" s="1766"/>
      <c r="E19" s="1766"/>
      <c r="F19" s="1766"/>
      <c r="G19" s="1766"/>
      <c r="H19" s="1766"/>
      <c r="I19" s="1766"/>
    </row>
    <row r="20" spans="1:9" ht="36" customHeight="1">
      <c r="A20" s="1766" t="s">
        <v>1595</v>
      </c>
      <c r="B20" s="1766"/>
      <c r="C20" s="1766"/>
      <c r="D20" s="1766"/>
      <c r="E20" s="1766"/>
      <c r="F20" s="1766"/>
      <c r="G20" s="1766"/>
      <c r="H20" s="1766"/>
      <c r="I20" s="1766"/>
    </row>
  </sheetData>
  <sheetProtection algorithmName="SHA-512" hashValue="XD/+T8LDpGdhSfhdhWSK7myRBRPJKUqJZbncNMcUFXlFqxWYcoQtpRUVwX9K2o5bpnKsqBSWwd8SDKuCXbt2WA==" saltValue="T8th86LXlvLaZQNCJ43tTQ==" spinCount="100000" sheet="1" objects="1" scenarios="1" selectLockedCells="1"/>
  <mergeCells count="19">
    <mergeCell ref="A12:I12"/>
    <mergeCell ref="A1:I1"/>
    <mergeCell ref="H2:I2"/>
    <mergeCell ref="C3:I3"/>
    <mergeCell ref="B4:G4"/>
    <mergeCell ref="C5:E5"/>
    <mergeCell ref="C6:E6"/>
    <mergeCell ref="A7:I7"/>
    <mergeCell ref="A8:I8"/>
    <mergeCell ref="A9:I9"/>
    <mergeCell ref="A10:I10"/>
    <mergeCell ref="A11:I11"/>
    <mergeCell ref="A20:I20"/>
    <mergeCell ref="A13:I13"/>
    <mergeCell ref="A14:I14"/>
    <mergeCell ref="A15:I15"/>
    <mergeCell ref="A17:E17"/>
    <mergeCell ref="A18:I18"/>
    <mergeCell ref="A19:I19"/>
  </mergeCells>
  <dataValidations count="1">
    <dataValidation type="textLength" operator="lessThan" allowBlank="1" showInputMessage="1" showErrorMessage="1" sqref="A9:I9 A11:I11 A13:I13 A15:I15" xr:uid="{88E981FB-0A82-40DB-9A20-590EF628F8B6}">
      <formula1>2000</formula1>
    </dataValidation>
  </dataValidations>
  <printOptions horizontalCentered="1"/>
  <pageMargins left="0.31496062992125984" right="0.31496062992125984" top="0.35433070866141736" bottom="0.35433070866141736" header="0.31496062992125984" footer="0.31496062992125984"/>
  <pageSetup paperSize="9" scale="94"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4776-4398-4BB7-BB27-00F45A4DADC0}">
  <sheetPr codeName="Feuil18">
    <tabColor theme="9" tint="0.39997558519241921"/>
    <pageSetUpPr fitToPage="1"/>
  </sheetPr>
  <dimension ref="A1:K38"/>
  <sheetViews>
    <sheetView showGridLines="0" topLeftCell="A19" zoomScaleNormal="100" workbookViewId="0">
      <selection activeCell="F12" sqref="F12"/>
    </sheetView>
  </sheetViews>
  <sheetFormatPr baseColWidth="10" defaultColWidth="11.5234375" defaultRowHeight="14.4"/>
  <cols>
    <col min="1" max="1" width="11.5234375" style="103"/>
    <col min="2" max="2" width="16.41796875" style="103" customWidth="1"/>
    <col min="3" max="3" width="27.41796875" style="103" customWidth="1"/>
    <col min="4" max="10" width="16.68359375" style="103" customWidth="1"/>
    <col min="11" max="16384" width="11.5234375" style="103"/>
  </cols>
  <sheetData>
    <row r="1" spans="1:11">
      <c r="A1" s="1276" t="str">
        <f>"- "&amp;Code!K17&amp;" -"</f>
        <v>- 17 -</v>
      </c>
      <c r="B1" s="1276"/>
      <c r="C1" s="1276"/>
      <c r="D1" s="1276"/>
      <c r="E1" s="1276"/>
      <c r="F1" s="1276"/>
      <c r="G1" s="1276"/>
      <c r="H1" s="1276"/>
      <c r="I1" s="1276"/>
      <c r="J1" s="1276"/>
    </row>
    <row r="2" spans="1:11" ht="24.9" customHeight="1">
      <c r="A2" s="576"/>
      <c r="B2" s="576"/>
      <c r="C2" s="576"/>
      <c r="D2" s="576"/>
      <c r="E2" s="576"/>
      <c r="F2" s="576"/>
      <c r="G2" s="576"/>
      <c r="I2" s="1278" t="s">
        <v>1596</v>
      </c>
      <c r="J2" s="1279"/>
    </row>
    <row r="3" spans="1:11" s="844" customFormat="1" ht="15" customHeight="1">
      <c r="A3" s="317" t="s">
        <v>50</v>
      </c>
      <c r="B3" s="317"/>
      <c r="C3" s="1280" t="str">
        <f>'NOTE 1'!C3</f>
        <v>OHADA</v>
      </c>
      <c r="D3" s="1280"/>
      <c r="E3" s="1280"/>
      <c r="F3" s="1280"/>
      <c r="G3" s="1280"/>
      <c r="H3" s="1280"/>
      <c r="I3" s="1280"/>
      <c r="J3" s="1280"/>
    </row>
    <row r="4" spans="1:11" s="844" customFormat="1" ht="15" customHeight="1">
      <c r="A4" s="317" t="s">
        <v>51</v>
      </c>
      <c r="B4" s="1280" t="str">
        <f>'NOTE 1'!B4</f>
        <v/>
      </c>
      <c r="C4" s="1280"/>
      <c r="D4" s="1280"/>
      <c r="E4" s="1280"/>
      <c r="F4" s="1280"/>
      <c r="G4" s="1280"/>
      <c r="H4" s="1280"/>
      <c r="I4" s="627" t="s">
        <v>1021</v>
      </c>
      <c r="J4" s="628" t="str">
        <f>'NOTE 1'!I4</f>
        <v/>
      </c>
    </row>
    <row r="5" spans="1:11" s="844" customFormat="1" ht="15" customHeight="1">
      <c r="A5" s="317" t="s">
        <v>1597</v>
      </c>
      <c r="B5" s="317"/>
      <c r="C5" s="1280" t="str">
        <f>'NOTE 1'!C5</f>
        <v/>
      </c>
      <c r="D5" s="1280"/>
      <c r="E5" s="1280"/>
      <c r="F5" s="642" t="s">
        <v>54</v>
      </c>
      <c r="G5" s="1806">
        <f>'NOTE 1'!G5</f>
        <v>0</v>
      </c>
      <c r="H5" s="1806"/>
      <c r="I5" s="627" t="s">
        <v>55</v>
      </c>
      <c r="J5" s="630">
        <f>'NOTE 1'!I5</f>
        <v>1</v>
      </c>
    </row>
    <row r="6" spans="1:11" s="844" customFormat="1" ht="15" customHeight="1">
      <c r="A6" s="317" t="s">
        <v>1533</v>
      </c>
      <c r="B6" s="317"/>
      <c r="C6" s="1275" t="str">
        <f>'NOTE 1'!C6</f>
        <v/>
      </c>
      <c r="D6" s="1275"/>
      <c r="E6" s="1275"/>
      <c r="F6" s="1275"/>
      <c r="G6" s="1275"/>
      <c r="H6" s="1275"/>
      <c r="I6" s="1275"/>
      <c r="J6" s="1275"/>
    </row>
    <row r="7" spans="1:11" ht="35.25" customHeight="1">
      <c r="A7" s="1788" t="s">
        <v>1598</v>
      </c>
      <c r="B7" s="1788"/>
      <c r="C7" s="1788"/>
      <c r="D7" s="1788"/>
      <c r="E7" s="1788"/>
      <c r="F7" s="1788"/>
      <c r="G7" s="1788"/>
      <c r="H7" s="1788"/>
      <c r="I7" s="1788"/>
      <c r="J7" s="1788"/>
    </row>
    <row r="8" spans="1:11" s="653" customFormat="1" ht="15" customHeight="1">
      <c r="A8" s="1789" t="s">
        <v>1599</v>
      </c>
      <c r="B8" s="1789"/>
      <c r="C8" s="1789"/>
      <c r="D8" s="894" t="s">
        <v>1261</v>
      </c>
      <c r="E8" s="1790" t="s">
        <v>1600</v>
      </c>
      <c r="F8" s="1791"/>
      <c r="G8" s="1792"/>
      <c r="H8" s="1790" t="s">
        <v>1601</v>
      </c>
      <c r="I8" s="1792"/>
      <c r="J8" s="895" t="s">
        <v>1602</v>
      </c>
    </row>
    <row r="9" spans="1:11" s="653" customFormat="1" ht="32.25" customHeight="1">
      <c r="A9" s="1793"/>
      <c r="B9" s="1793"/>
      <c r="C9" s="1793"/>
      <c r="D9" s="1794" t="s">
        <v>1603</v>
      </c>
      <c r="E9" s="1796" t="s">
        <v>1604</v>
      </c>
      <c r="F9" s="1798" t="s">
        <v>1605</v>
      </c>
      <c r="G9" s="1794" t="s">
        <v>1606</v>
      </c>
      <c r="H9" s="1796" t="s">
        <v>1607</v>
      </c>
      <c r="I9" s="1794" t="s">
        <v>1605</v>
      </c>
      <c r="J9" s="1796" t="s">
        <v>1608</v>
      </c>
    </row>
    <row r="10" spans="1:11" s="653" customFormat="1" ht="24" customHeight="1">
      <c r="A10" s="1803" t="s">
        <v>1609</v>
      </c>
      <c r="B10" s="1804"/>
      <c r="C10" s="1805"/>
      <c r="D10" s="1795"/>
      <c r="E10" s="1797"/>
      <c r="F10" s="1799"/>
      <c r="G10" s="1795"/>
      <c r="H10" s="1797"/>
      <c r="I10" s="1795"/>
      <c r="J10" s="1797"/>
    </row>
    <row r="11" spans="1:11" ht="15.9" customHeight="1">
      <c r="A11" s="1780" t="s">
        <v>1236</v>
      </c>
      <c r="B11" s="1781"/>
      <c r="C11" s="1782"/>
      <c r="D11" s="349">
        <f t="shared" ref="D11:J11" si="0">SUM(D12:D15)</f>
        <v>2650000</v>
      </c>
      <c r="E11" s="350">
        <f t="shared" si="0"/>
        <v>2000000</v>
      </c>
      <c r="F11" s="580">
        <f t="shared" si="0"/>
        <v>0</v>
      </c>
      <c r="G11" s="349">
        <f t="shared" si="0"/>
        <v>0</v>
      </c>
      <c r="H11" s="350">
        <f t="shared" si="0"/>
        <v>0</v>
      </c>
      <c r="I11" s="351">
        <f t="shared" si="0"/>
        <v>0</v>
      </c>
      <c r="J11" s="352">
        <f t="shared" si="0"/>
        <v>4650000</v>
      </c>
    </row>
    <row r="12" spans="1:11" ht="17.25" customHeight="1">
      <c r="A12" s="1786" t="s">
        <v>1610</v>
      </c>
      <c r="B12" s="1787"/>
      <c r="C12" s="1787"/>
      <c r="D12" s="353">
        <f>SUMIFS(BalanceN[BE_Debit],BalanceN[Table],"&gt;=21100",BalanceN[Table],"&lt;21200")+SUMIFS(BalanceN[BE_Debit],BalanceN[Table],"&gt;=21810",BalanceN[Table],"&lt;21820")+SUMIFS(BalanceN[BE_Debit],BalanceN[Table],"&gt;=21910",BalanceN[Table],"&lt;21920")</f>
        <v>0</v>
      </c>
      <c r="E12" s="578">
        <f>SUMIFS(BalanceN[Mvt_Debit],BalanceN[Table],"&gt;=21100",BalanceN[Table],"&lt;21200")+SUMIFS(BalanceN[Mvt_Debit],BalanceN[Table],"&gt;=21810",BalanceN[Table],"&lt;21820")+SUMIFS(BalanceN[Mvt_Debit],BalanceN[Table],"&gt;=21910",BalanceN[Table],"&lt;21920")-F12-G12</f>
        <v>0</v>
      </c>
      <c r="F12" s="345"/>
      <c r="G12" s="354"/>
      <c r="H12" s="578">
        <f>SUMIFS(BalanceN[Mvt_Credit],BalanceN[Table],"&gt;=21100",BalanceN[Table],"&lt;21200")+SUMIFS(BalanceN[Mvt_Credit],BalanceN[Table],"&gt;=21810",BalanceN[Table],"&lt;21820")+SUMIFS(BalanceN[Mvt_Credit],BalanceN[Table],"&gt;=21910",BalanceN[Table],"&lt;21920")-I12</f>
        <v>0</v>
      </c>
      <c r="I12" s="579"/>
      <c r="J12" s="355">
        <f>D12+E12+F12+G12-H12-I12</f>
        <v>0</v>
      </c>
      <c r="K12" s="1101" t="str">
        <f>IF((SUMIFS(BalanceN[BS_Debit],BalanceN[Table],"&gt;=21100",BalanceN[Table],"&lt;21200")+SUMIFS(BalanceN[BS_Debit],BalanceN[Table],"&gt;=21810",BalanceN[Table],"&lt;21820")+SUMIFS(BalanceN[BS_Debit],BalanceN[Table],"&gt;=21910",BalanceN[Table],"&lt;21920"))=J12,"","Veuillez vérifier les immobilisations "&amp;A12)</f>
        <v/>
      </c>
    </row>
    <row r="13" spans="1:11" ht="17.25" customHeight="1">
      <c r="A13" s="1786" t="s">
        <v>1611</v>
      </c>
      <c r="B13" s="1787"/>
      <c r="C13" s="1787"/>
      <c r="D13" s="353">
        <f>SUMIFS(BalanceN[BE_Debit],BalanceN[Table],"&gt;=21200",BalanceN[Table],"&lt;21500")+SUMIFS(BalanceN[BE_Debit],BalanceN[Table],"&gt;=21930",BalanceN[Table],"&lt;21940")</f>
        <v>1050000</v>
      </c>
      <c r="E13" s="578">
        <f>SUMIFS(BalanceN[Mvt_Debit],BalanceN[Table],"&gt;=21200",BalanceN[Table],"&lt;21500")+SUMIFS(BalanceN[Mvt_Debit],BalanceN[Table],"&gt;=21930",BalanceN[Table],"&lt;21940")-F13-G13</f>
        <v>2000000</v>
      </c>
      <c r="F13" s="345"/>
      <c r="G13" s="354"/>
      <c r="H13" s="578">
        <f>SUMIFS(BalanceN[Mvt_Credit],BalanceN[Table],"&gt;=21200",BalanceN[Table],"&lt;21500")+SUMIFS(BalanceN[Mvt_Credit],BalanceN[Table],"&gt;=21930",BalanceN[Table],"&lt;21940")-I13</f>
        <v>0</v>
      </c>
      <c r="I13" s="579"/>
      <c r="J13" s="355">
        <f t="shared" ref="J13:J29" si="1">D13+E13+F13+G13-H13-I13</f>
        <v>3050000</v>
      </c>
      <c r="K13" s="1101" t="str">
        <f>IF((SUMIFS(BalanceN[BS_Debit],BalanceN[Table],"&gt;=21200",BalanceN[Table],"&lt;21500")+SUMIFS(BalanceN[BS_Debit],BalanceN[Table],"&gt;=21930",BalanceN[Table],"&lt;21940"))=J13,"","Veuillez vérifier les immobilisations "&amp;A13)</f>
        <v/>
      </c>
    </row>
    <row r="14" spans="1:11" ht="17.25" customHeight="1">
      <c r="A14" s="1786" t="s">
        <v>1135</v>
      </c>
      <c r="B14" s="1787"/>
      <c r="C14" s="1787"/>
      <c r="D14" s="353">
        <f>SUMIFS(BalanceN[BE_Debit],BalanceN[Table],"&gt;=21500",BalanceN[Table],"&lt;21700")</f>
        <v>1600000</v>
      </c>
      <c r="E14" s="578">
        <f>SUMIFS(BalanceN[Mvt_Debit],BalanceN[Table],"&gt;=21500",BalanceN[Table],"&lt;21700")-F14-G14</f>
        <v>0</v>
      </c>
      <c r="F14" s="345"/>
      <c r="G14" s="354"/>
      <c r="H14" s="578">
        <f>SUMIFS(BalanceN[Mvt_Credit],BalanceN[Table],"&gt;=21500",BalanceN[Table],"&lt;21700")-I14</f>
        <v>0</v>
      </c>
      <c r="I14" s="579"/>
      <c r="J14" s="355">
        <f t="shared" si="1"/>
        <v>1600000</v>
      </c>
      <c r="K14" s="103" t="str">
        <f>IF(SUMIFS(BalanceN[BS_Debit],BalanceN[Table],"&gt;=21500",BalanceN[Table],"&lt;21700")=J14,"","Veuillez vérifier les immobilisations "&amp;A14)</f>
        <v/>
      </c>
    </row>
    <row r="15" spans="1:11" ht="17.25" customHeight="1">
      <c r="A15" s="1785" t="s">
        <v>1238</v>
      </c>
      <c r="B15" s="1655"/>
      <c r="C15" s="1655"/>
      <c r="D15" s="353">
        <f>SUMIFS(BalanceN[BE_Debit],BalanceN[Table],"&gt;=21700",BalanceN[Table],"&lt;21800")+SUMIFS(BalanceN[BE_Debit],BalanceN[Table],"&gt;=21820",BalanceN[Table],"&lt;21900")+SUMIFS(BalanceN[BE_Debit],BalanceN[Table],"&gt;=21980",BalanceN[Table],"&lt;21990")</f>
        <v>0</v>
      </c>
      <c r="E15" s="578">
        <f>SUMIFS(BalanceN[Mvt_Debit],BalanceN[Table],"&gt;=21700",BalanceN[Table],"&lt;21800")+SUMIFS(BalanceN[Mvt_Debit],BalanceN[Table],"&gt;=21820",BalanceN[Table],"&lt;21900")+SUMIFS(BalanceN[Mvt_Debit],BalanceN[Table],"&gt;=21980",BalanceN[Table],"&lt;21990")-F15-G15</f>
        <v>0</v>
      </c>
      <c r="F15" s="345"/>
      <c r="G15" s="354"/>
      <c r="H15" s="578">
        <f>SUMIFS(BalanceN[Mvt_Credit],BalanceN[Table],"&gt;=21700",BalanceN[Table],"&lt;21800")+SUMIFS(BalanceN[Mvt_Credit],BalanceN[Table],"&gt;=21820",BalanceN[Table],"&lt;21900")+SUMIFS(BalanceN[Mvt_Credit],BalanceN[Table],"&gt;=21980",BalanceN[Table],"&lt;21990")-I15</f>
        <v>0</v>
      </c>
      <c r="I15" s="579"/>
      <c r="J15" s="355">
        <f t="shared" si="1"/>
        <v>0</v>
      </c>
      <c r="K15" s="1101" t="str">
        <f>IF((SUMIFS(BalanceN[BS_Debit],BalanceN[Table],"&gt;=21700",BalanceN[Table],"&lt;21800")+SUMIFS(BalanceN[BS_Debit],BalanceN[Table],"&gt;=21820",BalanceN[Table],"&lt;21900")+SUMIFS(BalanceN[BS_Debit],BalanceN[Table],"&gt;=21980",BalanceN[Table],"&lt;21990"))=J15,"","Veuillez vérifier les immobilisations "&amp;A15)</f>
        <v/>
      </c>
    </row>
    <row r="16" spans="1:11" ht="17.25" customHeight="1">
      <c r="A16" s="1780" t="s">
        <v>1239</v>
      </c>
      <c r="B16" s="1781"/>
      <c r="C16" s="1782"/>
      <c r="D16" s="349">
        <f t="shared" ref="D16:I16" si="2">SUM(D17:D23)</f>
        <v>551435323</v>
      </c>
      <c r="E16" s="350">
        <f t="shared" si="2"/>
        <v>506968000</v>
      </c>
      <c r="F16" s="580">
        <f t="shared" si="2"/>
        <v>0</v>
      </c>
      <c r="G16" s="349">
        <f t="shared" si="2"/>
        <v>0</v>
      </c>
      <c r="H16" s="350">
        <f t="shared" si="2"/>
        <v>45992979</v>
      </c>
      <c r="I16" s="351">
        <f t="shared" si="2"/>
        <v>0</v>
      </c>
      <c r="J16" s="352">
        <f>D16+E16+F16+G16-H16-I16</f>
        <v>1012410344</v>
      </c>
    </row>
    <row r="17" spans="1:11" ht="17.25" customHeight="1">
      <c r="A17" s="1785" t="s">
        <v>1612</v>
      </c>
      <c r="B17" s="1655"/>
      <c r="C17" s="1655"/>
      <c r="D17" s="353">
        <f>SUMIFS(BalanceN[BE_Debit],BalanceN[Table],"&gt;=22000",BalanceN[Table],"&lt;23000")-SUMIFS(BalanceN[BE_Debit],BalanceN[Table],"&gt;=22810",BalanceN[Table],"&lt;22820")</f>
        <v>35173950</v>
      </c>
      <c r="E17" s="578">
        <f>SUMIFS(BalanceN[Mvt_Debit],BalanceN[Table],"&gt;=22000",BalanceN[Table],"&lt;23000")-SUMIFS(BalanceN[Mvt_Debit],BalanceN[Table],"&gt;=22810",BalanceN[Table],"&lt;22820")-F17-G17</f>
        <v>3500000</v>
      </c>
      <c r="F17" s="345"/>
      <c r="G17" s="354"/>
      <c r="H17" s="578">
        <f>SUMIFS(BalanceN[Mvt_Credit],BalanceN[Table],"&gt;=22000",BalanceN[Table],"&lt;23000")-SUMIFS(BalanceN[Mvt_Credit],BalanceN[Table],"&gt;=22810",BalanceN[Table],"&lt;22820")-I17</f>
        <v>0</v>
      </c>
      <c r="I17" s="579"/>
      <c r="J17" s="355">
        <f t="shared" si="1"/>
        <v>38673950</v>
      </c>
      <c r="K17" s="1101" t="str">
        <f>IF((SUMIFS(BalanceN[BS_Debit],BalanceN[Table],"&gt;=22000",BalanceN[Table],"&lt;23000")-SUMIFS(BalanceN[BS_Debit],BalanceN[Table],"&gt;=22810",BalanceN[Table],"&lt;22820"))=J17,"","Veuillez vérifier les immobilisations "&amp;A17)</f>
        <v/>
      </c>
    </row>
    <row r="18" spans="1:11" ht="17.25" customHeight="1">
      <c r="A18" s="1785" t="s">
        <v>1613</v>
      </c>
      <c r="B18" s="1655"/>
      <c r="C18" s="1655"/>
      <c r="D18" s="353">
        <f>SUMIFS(BalanceN[BE_Debit],BalanceN[Table],"&gt;=22810",BalanceN[Table],"&lt;22820")</f>
        <v>0</v>
      </c>
      <c r="E18" s="578">
        <f>SUMIFS(BalanceN[Mvt_Debit],BalanceN[Table],"&gt;=22810",BalanceN[Table],"&lt;22820")-F18-G18</f>
        <v>0</v>
      </c>
      <c r="F18" s="345"/>
      <c r="G18" s="354"/>
      <c r="H18" s="578">
        <f>SUMIFS(BalanceN[Mvt_Credit],BalanceN[Table],"&gt;=22810",BalanceN[Table],"&lt;22820")-I18</f>
        <v>0</v>
      </c>
      <c r="I18" s="579"/>
      <c r="J18" s="355">
        <f t="shared" si="1"/>
        <v>0</v>
      </c>
      <c r="K18" s="103" t="str">
        <f>IF(SUMIFS(BalanceN[BS_Debit],BalanceN[Table],"&gt;=22810",BalanceN[Table],"&lt;22820")=J18,"","Veuillez vérifier les immobilisations "&amp;A18)</f>
        <v/>
      </c>
    </row>
    <row r="19" spans="1:11" ht="17.25" customHeight="1">
      <c r="A19" s="1785" t="s">
        <v>1614</v>
      </c>
      <c r="B19" s="1655"/>
      <c r="C19" s="1655"/>
      <c r="D19" s="353">
        <f>SUMIFS(BalanceN[BE_Debit],BalanceN[Table],"&gt;=23100",BalanceN[Table],"&lt;23400")+SUMIFS(BalanceN[BE_Debit],BalanceN[Table],"&gt;=23700",BalanceN[Table],"&lt;23800")+SUMIFS(BalanceN[BE_Debit],BalanceN[Table],"&gt;=23910",BalanceN[Table],"&lt;23920")-(SUMIFS(BalanceN[BE_Debit],BalanceN[Table],"&gt;=23150",BalanceN[Table],"&lt;23160")+SUMIFS(BalanceN[BE_Debit],BalanceN[Table],"&gt;=23250",BalanceN[Table],"&lt;23260"))</f>
        <v>286411100</v>
      </c>
      <c r="E19" s="578">
        <f>SUMIFS(BalanceN[Mvt_Debit],BalanceN[Table],"&gt;=23100",BalanceN[Table],"&lt;23400")+SUMIFS(BalanceN[Mvt_Debit],BalanceN[Table],"&gt;=23700",BalanceN[Table],"&lt;23800")+SUMIFS(BalanceN[Mvt_Debit],BalanceN[Table],"&gt;=23910",BalanceN[Table],"&lt;23920")-(SUMIFS(BalanceN[Mvt_Debit],BalanceN[Table],"&gt;=23150",BalanceN[Table],"&lt;23160")+SUMIFS(BalanceN[Mvt_Debit],BalanceN[Table],"&gt;=23250",BalanceN[Table],"&lt;23260"))-F19-G19</f>
        <v>455000000</v>
      </c>
      <c r="F19" s="345"/>
      <c r="G19" s="354"/>
      <c r="H19" s="578">
        <f>SUMIFS(BalanceN[Mvt_Credit],BalanceN[Table],"&gt;=23100",BalanceN[Table],"&lt;23400")+SUMIFS(BalanceN[Mvt_Credit],BalanceN[Table],"&gt;=23700",BalanceN[Table],"&lt;23800")+SUMIFS(BalanceN[Mvt_Credit],BalanceN[Table],"&gt;=23910",BalanceN[Table],"&lt;23920")-(SUMIFS(BalanceN[Mvt_Credit],BalanceN[Table],"&gt;=23150",BalanceN[Table],"&lt;23160")+SUMIFS(BalanceN[Mvt_Credit],BalanceN[Table],"&gt;=23250",BalanceN[Table],"&lt;23260"))-I19</f>
        <v>0</v>
      </c>
      <c r="I19" s="579"/>
      <c r="J19" s="355">
        <f t="shared" si="1"/>
        <v>741411100</v>
      </c>
      <c r="K19" s="1101" t="str">
        <f>IF((SUMIFS(BalanceN[BS_Debit],BalanceN[Table],"&gt;=23100",BalanceN[Table],"&lt;23400")+SUMIFS(BalanceN[BS_Debit],BalanceN[Table],"&gt;=23700",BalanceN[Table],"&lt;23800")+SUMIFS(BalanceN[BS_Debit],BalanceN[Table],"&gt;=23910",BalanceN[Table],"&lt;23920")-(SUMIFS(BalanceN[BS_Debit],BalanceN[Table],"&gt;=23150",BalanceN[Table],"&lt;23160")+SUMIFS(BalanceN[BS_Debit],BalanceN[Table],"&gt;=23250",BalanceN[Table],"&lt;23260")))=J19,"","Veuillez vérifier les immobilisations "&amp;A19)</f>
        <v/>
      </c>
    </row>
    <row r="20" spans="1:11" ht="17.25" customHeight="1">
      <c r="A20" s="1785" t="s">
        <v>1615</v>
      </c>
      <c r="B20" s="1655"/>
      <c r="C20" s="1655"/>
      <c r="D20" s="353">
        <f>SUMIFS(BalanceN[BE_Debit],BalanceN[Table],"&gt;=23150",BalanceN[Table],"&lt;23160")+SUMIFS(BalanceN[BE_Debit],BalanceN[Table],"&gt;=23250",BalanceN[Table],"&lt;23260")</f>
        <v>0</v>
      </c>
      <c r="E20" s="578">
        <f>SUMIFS(BalanceN[Mvt_Debit],BalanceN[Table],"&gt;=23150",BalanceN[Table],"&lt;23160")+SUMIFS(BalanceN[Mvt_Debit],BalanceN[Table],"&gt;=23250",BalanceN[Table],"&lt;23260")-F20-G20</f>
        <v>0</v>
      </c>
      <c r="F20" s="345"/>
      <c r="G20" s="354"/>
      <c r="H20" s="578">
        <f>SUMIFS(BalanceN[Mvt_Credit],BalanceN[Table],"&gt;=23150",BalanceN[Table],"&lt;23160")+SUMIFS(BalanceN[Mvt_Credit],BalanceN[Table],"&gt;=23250",BalanceN[Table],"&lt;23260")-I20</f>
        <v>0</v>
      </c>
      <c r="I20" s="579"/>
      <c r="J20" s="355">
        <f t="shared" si="1"/>
        <v>0</v>
      </c>
      <c r="K20" s="1101" t="str">
        <f>IF((SUMIFS(BalanceN[BS_Debit],BalanceN[Table],"&gt;=23150",BalanceN[Table],"&lt;23160")+SUMIFS(BalanceN[BS_Debit],BalanceN[Table],"&gt;=23250",BalanceN[Table],"&lt;23260"))=J20,"","Veuillez vérifier les immobilisations "&amp;A20)</f>
        <v/>
      </c>
    </row>
    <row r="21" spans="1:11" ht="17.25" customHeight="1">
      <c r="A21" s="1785" t="s">
        <v>1240</v>
      </c>
      <c r="B21" s="1655"/>
      <c r="C21" s="1655"/>
      <c r="D21" s="353">
        <f>SUMIFS(BalanceN[BE_Debit],BalanceN[Table],"&gt;=23400",BalanceN[Table],"&lt;23600")+SUMIFS(BalanceN[BE_Debit],BalanceN[Table],"&gt;=23800",BalanceN[Table],"&lt;23900")+SUMIFS(BalanceN[BE_Debit],BalanceN[Table],"&gt;=23920",BalanceN[Table],"&lt;24000")</f>
        <v>71328267</v>
      </c>
      <c r="E21" s="578">
        <f>SUMIFS(BalanceN[Mvt_Debit],BalanceN[Table],"&gt;=23400",BalanceN[Table],"&lt;23600")+SUMIFS(BalanceN[Mvt_Debit],BalanceN[Table],"&gt;=23800",BalanceN[Table],"&lt;23900")+SUMIFS(BalanceN[Mvt_Debit],BalanceN[Table],"&gt;=23920",BalanceN[Table],"&lt;24000")-F21-G21</f>
        <v>2000000</v>
      </c>
      <c r="F21" s="345"/>
      <c r="G21" s="354"/>
      <c r="H21" s="578">
        <f>SUMIFS(BalanceN[Mvt_Credit],BalanceN[Table],"&gt;=23400",BalanceN[Table],"&lt;23600")+SUMIFS(BalanceN[Mvt_Credit],BalanceN[Table],"&gt;=23800",BalanceN[Table],"&lt;23900")+SUMIFS(BalanceN[Mvt_Credit],BalanceN[Table],"&gt;=23920",BalanceN[Table],"&lt;24000")-I21</f>
        <v>0</v>
      </c>
      <c r="I21" s="579"/>
      <c r="J21" s="355">
        <f t="shared" si="1"/>
        <v>73328267</v>
      </c>
      <c r="K21" s="1101" t="str">
        <f>IF((SUMIFS(BalanceN[BS_Debit],BalanceN[Table],"&gt;=23400",BalanceN[Table],"&lt;23600")+SUMIFS(BalanceN[BS_Debit],BalanceN[Table],"&gt;=23800",BalanceN[Table],"&lt;23900")+SUMIFS(BalanceN[BS_Debit],BalanceN[Table],"&gt;=23920",BalanceN[Table],"&lt;24000"))=J21,"","Veuillez vérifier les immobilisations "&amp;A21)</f>
        <v/>
      </c>
    </row>
    <row r="22" spans="1:11" ht="17.25" customHeight="1">
      <c r="A22" s="1785" t="s">
        <v>1158</v>
      </c>
      <c r="B22" s="1655"/>
      <c r="C22" s="1655"/>
      <c r="D22" s="353">
        <f>SUMIFS(BalanceN[BE_Debit],BalanceN[Table],"&gt;=24000",BalanceN[Table],"&lt;24500")+SUMIFS(BalanceN[BE_Debit],BalanceN[Table],"&gt;=24600",BalanceN[Table],"&lt;24950")+SUMIFS(BalanceN[BE_Debit],BalanceN[Table],"&gt;=24960",BalanceN[Table],"&lt;25000")</f>
        <v>104472006</v>
      </c>
      <c r="E22" s="578">
        <f>SUMIFS(BalanceN[Mvt_Debit],BalanceN[Table],"&gt;=24000",BalanceN[Table],"&lt;24500")+SUMIFS(BalanceN[Mvt_Debit],BalanceN[Table],"&gt;=24600",BalanceN[Table],"&lt;24950")+SUMIFS(BalanceN[Mvt_Debit],BalanceN[Table],"&gt;=24960",BalanceN[Table],"&lt;25000")-F22-G22</f>
        <v>24468000</v>
      </c>
      <c r="F22" s="345"/>
      <c r="G22" s="354"/>
      <c r="H22" s="578">
        <f>SUMIFS(BalanceN[Mvt_Credit],BalanceN[Table],"&gt;=24000",BalanceN[Table],"&lt;24500")+SUMIFS(BalanceN[Mvt_Credit],BalanceN[Table],"&gt;=24600",BalanceN[Table],"&lt;24950")+SUMIFS(BalanceN[Mvt_Credit],BalanceN[Table],"&gt;=24960",BalanceN[Table],"&lt;25000")-I22</f>
        <v>45992979</v>
      </c>
      <c r="I22" s="579"/>
      <c r="J22" s="355">
        <f t="shared" si="1"/>
        <v>82947027</v>
      </c>
      <c r="K22" s="1101" t="str">
        <f>IF((SUMIFS(BalanceN[BS_Debit],BalanceN[Table],"&gt;=24000",BalanceN[Table],"&lt;24500")+SUMIFS(BalanceN[BS_Debit],BalanceN[Table],"&gt;=24600",BalanceN[Table],"&lt;24950")+SUMIFS(BalanceN[BS_Debit],BalanceN[Table],"&gt;=24960",BalanceN[Table],"&lt;25000"))=J22,"","Veuillez vérifier les immobilisations "&amp;A22)</f>
        <v/>
      </c>
    </row>
    <row r="23" spans="1:11" ht="17.25" customHeight="1">
      <c r="A23" s="1785" t="s">
        <v>1162</v>
      </c>
      <c r="B23" s="1655"/>
      <c r="C23" s="1655"/>
      <c r="D23" s="353">
        <f>SUMIFS(BalanceN[BE_Debit],BalanceN[Table],"&gt;=24500",BalanceN[Table],"&lt;24600")+SUMIFS(BalanceN[BE_Debit],BalanceN[Table],"&gt;=24950",BalanceN[Table],"&lt;24960")</f>
        <v>54050000</v>
      </c>
      <c r="E23" s="578">
        <f>SUMIFS(BalanceN[Mvt_Debit],BalanceN[Table],"&gt;=24500",BalanceN[Table],"&lt;24600")+SUMIFS(BalanceN[Mvt_Debit],BalanceN[Table],"&gt;=24950",BalanceN[Table],"&lt;24960")-F23-G23</f>
        <v>22000000</v>
      </c>
      <c r="F23" s="345"/>
      <c r="G23" s="354"/>
      <c r="H23" s="578">
        <f>SUMIFS(BalanceN[Mvt_Credit],BalanceN[Table],"&gt;=24500",BalanceN[Table],"&lt;24600")+SUMIFS(BalanceN[Mvt_Credit],BalanceN[Table],"&gt;=24950",BalanceN[Table],"&lt;24960")-I23</f>
        <v>0</v>
      </c>
      <c r="I23" s="579"/>
      <c r="J23" s="355">
        <f t="shared" si="1"/>
        <v>76050000</v>
      </c>
      <c r="K23" s="1101" t="str">
        <f>IF((SUMIFS(BalanceN[BS_Debit],BalanceN[Table],"&gt;=24500",BalanceN[Table],"&lt;24600")+SUMIFS(BalanceN[BS_Debit],BalanceN[Table],"&gt;=24950",BalanceN[Table],"&lt;24960"))=J23,"","Veuillez vérifier les immobilisations "&amp;A23)</f>
        <v/>
      </c>
    </row>
    <row r="24" spans="1:11" ht="17.25" customHeight="1">
      <c r="A24" s="1780" t="s">
        <v>1166</v>
      </c>
      <c r="B24" s="1781"/>
      <c r="C24" s="1782"/>
      <c r="D24" s="349">
        <f t="shared" ref="D24:I24" si="3">SUM(D25:D26)</f>
        <v>0</v>
      </c>
      <c r="E24" s="350">
        <f t="shared" si="3"/>
        <v>25000000</v>
      </c>
      <c r="F24" s="580">
        <f t="shared" si="3"/>
        <v>0</v>
      </c>
      <c r="G24" s="349">
        <f t="shared" si="3"/>
        <v>0</v>
      </c>
      <c r="H24" s="350">
        <f t="shared" si="3"/>
        <v>5000000</v>
      </c>
      <c r="I24" s="351">
        <f t="shared" si="3"/>
        <v>0</v>
      </c>
      <c r="J24" s="352">
        <f>D24+E24+F24+G24-H24-I24</f>
        <v>20000000</v>
      </c>
    </row>
    <row r="25" spans="1:11" s="593" customFormat="1" ht="17.25" customHeight="1">
      <c r="A25" s="1777" t="s">
        <v>1616</v>
      </c>
      <c r="B25" s="1778"/>
      <c r="C25" s="1779"/>
      <c r="D25" s="353">
        <f>SUMIFS(BalanceN[BE_Debit],BalanceN[Table],"&gt;=25100",BalanceN[Table],"&lt;25200")</f>
        <v>0</v>
      </c>
      <c r="E25" s="578">
        <f>SUMIFS(BalanceN[Mvt_Debit],BalanceN[Table],"&gt;=25100",BalanceN[Table],"&lt;25200")-F25-G25</f>
        <v>0</v>
      </c>
      <c r="F25" s="345"/>
      <c r="G25" s="354"/>
      <c r="H25" s="578">
        <f>SUMIFS(BalanceN[Mvt_Credit],BalanceN[Table],"&gt;=25100",BalanceN[Table],"&lt;25200")-I25</f>
        <v>0</v>
      </c>
      <c r="I25" s="579"/>
      <c r="J25" s="355">
        <f>D25+E25+F25+G25-H25-I25</f>
        <v>0</v>
      </c>
      <c r="K25" s="103" t="str">
        <f>IF(SUMIFS(BalanceN[BS_Debit],BalanceN[Table],"&gt;=25100",BalanceN[Table],"&lt;25200")=J25,"","Veuillez vérifier les immobilisations "&amp;A25)</f>
        <v/>
      </c>
    </row>
    <row r="26" spans="1:11" s="593" customFormat="1" ht="17.25" customHeight="1">
      <c r="A26" s="1777" t="s">
        <v>1617</v>
      </c>
      <c r="B26" s="1778"/>
      <c r="C26" s="1779"/>
      <c r="D26" s="353">
        <f>SUMIFS(BalanceN[BE_Debit],BalanceN[Table],"&gt;=25200",BalanceN[Table],"&lt;25300")</f>
        <v>0</v>
      </c>
      <c r="E26" s="578">
        <f>SUMIFS(BalanceN[Mvt_Debit],BalanceN[Table],"&gt;=25200",BalanceN[Table],"&lt;25300")-F26-G26</f>
        <v>25000000</v>
      </c>
      <c r="F26" s="345"/>
      <c r="G26" s="354"/>
      <c r="H26" s="578">
        <f>SUMIFS(BalanceN[Mvt_Credit],BalanceN[Table],"&gt;=25200",BalanceN[Table],"&lt;25300")-I26</f>
        <v>5000000</v>
      </c>
      <c r="I26" s="579"/>
      <c r="J26" s="355">
        <f t="shared" si="1"/>
        <v>20000000</v>
      </c>
      <c r="K26" s="103" t="str">
        <f>IF(SUMIFS(BalanceN[BS_Debit],BalanceN[Table],"&gt;=25200",BalanceN[Table],"&lt;25300")=J26,"","Veuillez vérifier les immobilisations "&amp;A26)</f>
        <v/>
      </c>
    </row>
    <row r="27" spans="1:11" ht="17.25" customHeight="1">
      <c r="A27" s="1780" t="s">
        <v>1241</v>
      </c>
      <c r="B27" s="1781"/>
      <c r="C27" s="1782"/>
      <c r="D27" s="349">
        <f t="shared" ref="D27:I27" si="4">SUM(D28:D29)</f>
        <v>4548658</v>
      </c>
      <c r="E27" s="350">
        <f t="shared" si="4"/>
        <v>601175</v>
      </c>
      <c r="F27" s="580">
        <f t="shared" si="4"/>
        <v>0</v>
      </c>
      <c r="G27" s="349">
        <f t="shared" si="4"/>
        <v>0</v>
      </c>
      <c r="H27" s="350">
        <f t="shared" si="4"/>
        <v>730043</v>
      </c>
      <c r="I27" s="351">
        <f t="shared" si="4"/>
        <v>0</v>
      </c>
      <c r="J27" s="352">
        <f t="shared" si="1"/>
        <v>4419790</v>
      </c>
    </row>
    <row r="28" spans="1:11" ht="17.25" customHeight="1">
      <c r="A28" s="1749" t="s">
        <v>1174</v>
      </c>
      <c r="B28" s="1783"/>
      <c r="C28" s="1784"/>
      <c r="D28" s="353">
        <f>SUMIFS(BalanceN[BE_Debit],BalanceN[Table],"&gt;=26000",BalanceN[Table],"&lt;27000")</f>
        <v>0</v>
      </c>
      <c r="E28" s="578">
        <f>SUMIFS(BalanceN[Mvt_Debit],BalanceN[Table],"&gt;=26000",BalanceN[Table],"&lt;27000")-F28-G28</f>
        <v>0</v>
      </c>
      <c r="F28" s="345"/>
      <c r="G28" s="354"/>
      <c r="H28" s="578">
        <f>SUMIFS(BalanceN[Mvt_Credit],BalanceN[Table],"&gt;=26000",BalanceN[Table],"&lt;27000")-I28</f>
        <v>0</v>
      </c>
      <c r="I28" s="579"/>
      <c r="J28" s="355">
        <f t="shared" si="1"/>
        <v>0</v>
      </c>
      <c r="K28" s="103" t="str">
        <f>IF(SUMIFS(BalanceN[BS_Debit],BalanceN[Table],"&gt;=26000",BalanceN[Table],"&lt;27000")=J28,"","Veuillez vérifier les immobilisations "&amp;A28)</f>
        <v/>
      </c>
    </row>
    <row r="29" spans="1:11" ht="17.25" customHeight="1">
      <c r="A29" s="1785" t="s">
        <v>1242</v>
      </c>
      <c r="B29" s="1655"/>
      <c r="C29" s="1655"/>
      <c r="D29" s="353">
        <f>SUMIFS(BalanceN[BE_Debit],BalanceN[Table],"&gt;=27000",BalanceN[Table],"&lt;28000")</f>
        <v>4548658</v>
      </c>
      <c r="E29" s="578">
        <f>SUMIFS(BalanceN[Mvt_Debit],BalanceN[Table],"&gt;=27000",BalanceN[Table],"&lt;28000")-F29-G29</f>
        <v>601175</v>
      </c>
      <c r="F29" s="345"/>
      <c r="G29" s="354"/>
      <c r="H29" s="578">
        <f>SUMIFS(BalanceN[Mvt_Credit],BalanceN[Table],"&gt;=27000",BalanceN[Table],"&lt;28000")-I29</f>
        <v>730043</v>
      </c>
      <c r="I29" s="579"/>
      <c r="J29" s="355">
        <f t="shared" si="1"/>
        <v>4419790</v>
      </c>
      <c r="K29" s="103" t="str">
        <f>IF(SUMIFS(BalanceN[BS_Debit],BalanceN[Table],"&gt;=27000",BalanceN[Table],"&lt;28000")=J29,"","Veuillez vérifier les immobilisations "&amp;A29)</f>
        <v/>
      </c>
    </row>
    <row r="30" spans="1:11" ht="17.25" customHeight="1">
      <c r="A30" s="1800" t="s">
        <v>1232</v>
      </c>
      <c r="B30" s="1801"/>
      <c r="C30" s="1802"/>
      <c r="D30" s="356">
        <f t="shared" ref="D30:J30" si="5">D11+D16+ D24 +D27</f>
        <v>558633981</v>
      </c>
      <c r="E30" s="356">
        <f t="shared" si="5"/>
        <v>534569175</v>
      </c>
      <c r="F30" s="356">
        <f t="shared" si="5"/>
        <v>0</v>
      </c>
      <c r="G30" s="356">
        <f t="shared" si="5"/>
        <v>0</v>
      </c>
      <c r="H30" s="356">
        <f t="shared" si="5"/>
        <v>51723022</v>
      </c>
      <c r="I30" s="356">
        <f t="shared" si="5"/>
        <v>0</v>
      </c>
      <c r="J30" s="356">
        <f t="shared" si="5"/>
        <v>1041480134</v>
      </c>
    </row>
    <row r="31" spans="1:11" s="653" customFormat="1" ht="10.5">
      <c r="A31" s="798" t="s">
        <v>1618</v>
      </c>
    </row>
    <row r="32" spans="1:11" s="653" customFormat="1" ht="12" customHeight="1">
      <c r="A32" s="866" t="s">
        <v>1619</v>
      </c>
      <c r="E32" s="866" t="s">
        <v>1620</v>
      </c>
    </row>
    <row r="33" spans="1:5" s="653" customFormat="1" ht="12" customHeight="1">
      <c r="A33" s="866" t="s">
        <v>1621</v>
      </c>
      <c r="E33" s="866" t="s">
        <v>1622</v>
      </c>
    </row>
    <row r="34" spans="1:5" s="653" customFormat="1" ht="12" customHeight="1">
      <c r="A34" s="866" t="s">
        <v>1623</v>
      </c>
      <c r="E34" s="866" t="s">
        <v>1624</v>
      </c>
    </row>
    <row r="35" spans="1:5" s="653" customFormat="1" ht="12" customHeight="1">
      <c r="A35" s="866" t="s">
        <v>1625</v>
      </c>
      <c r="E35" s="866" t="s">
        <v>1626</v>
      </c>
    </row>
    <row r="36" spans="1:5" s="653" customFormat="1" ht="12" customHeight="1">
      <c r="A36" s="878" t="s">
        <v>1627</v>
      </c>
      <c r="B36" s="793"/>
      <c r="C36" s="793"/>
    </row>
    <row r="37" spans="1:5" s="653" customFormat="1" ht="12" customHeight="1">
      <c r="A37" s="878" t="s">
        <v>1628</v>
      </c>
      <c r="B37" s="793"/>
      <c r="C37" s="793"/>
    </row>
    <row r="38" spans="1:5" s="653" customFormat="1" ht="12" customHeight="1">
      <c r="A38" s="878" t="s">
        <v>1629</v>
      </c>
      <c r="B38" s="793"/>
      <c r="C38" s="793"/>
    </row>
  </sheetData>
  <sheetProtection algorithmName="SHA-512" hashValue="36AGf/knO1fdf58zXrxpju65RGVIgblWtJAYtQhtls4z9HZiJetp6O5ahldADM4dJB3PtB7pd2tp1WtAigDtQA==" saltValue="WDygBYu8ESo1h0OuWLoWrA==" spinCount="100000" sheet="1" objects="1" scenarios="1" selectLockedCells="1"/>
  <mergeCells count="40">
    <mergeCell ref="A1:J1"/>
    <mergeCell ref="I2:J2"/>
    <mergeCell ref="C3:J3"/>
    <mergeCell ref="B4:H4"/>
    <mergeCell ref="C5:E5"/>
    <mergeCell ref="G5:H5"/>
    <mergeCell ref="I9:I10"/>
    <mergeCell ref="J9:J10"/>
    <mergeCell ref="A10:C10"/>
    <mergeCell ref="A11:C11"/>
    <mergeCell ref="A12:C12"/>
    <mergeCell ref="A30:C30"/>
    <mergeCell ref="A25:C25"/>
    <mergeCell ref="A14:C14"/>
    <mergeCell ref="A15:C15"/>
    <mergeCell ref="A16:C16"/>
    <mergeCell ref="A17:C17"/>
    <mergeCell ref="A18:C18"/>
    <mergeCell ref="A19:C19"/>
    <mergeCell ref="A20:C20"/>
    <mergeCell ref="A21:C21"/>
    <mergeCell ref="A22:C22"/>
    <mergeCell ref="A23:C23"/>
    <mergeCell ref="A24:C24"/>
    <mergeCell ref="C6:J6"/>
    <mergeCell ref="A26:C26"/>
    <mergeCell ref="A27:C27"/>
    <mergeCell ref="A28:C28"/>
    <mergeCell ref="A29:C29"/>
    <mergeCell ref="A13:C13"/>
    <mergeCell ref="A7:J7"/>
    <mergeCell ref="A8:C8"/>
    <mergeCell ref="E8:G8"/>
    <mergeCell ref="H8:I8"/>
    <mergeCell ref="A9:C9"/>
    <mergeCell ref="D9:D10"/>
    <mergeCell ref="E9:E10"/>
    <mergeCell ref="F9:F10"/>
    <mergeCell ref="G9:G10"/>
    <mergeCell ref="H9:H10"/>
  </mergeCells>
  <conditionalFormatting sqref="D11:J30">
    <cfRule type="cellIs" dxfId="209" priority="1" operator="equal">
      <formula>0</formula>
    </cfRule>
  </conditionalFormatting>
  <dataValidations count="1">
    <dataValidation type="whole" allowBlank="1" showInputMessage="1" showErrorMessage="1" errorTitle="Attention !" error="Valeur numérique attendue" sqref="D12:I15 D17:I26 D28:I29" xr:uid="{4E10FC9A-755C-4473-B5BC-29295D4912F1}">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1"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AB09C-A7F3-4C8B-94DE-0892C9BD9192}">
  <sheetPr codeName="Feuil19">
    <tabColor theme="9" tint="0.39997558519241921"/>
    <pageSetUpPr fitToPage="1"/>
  </sheetPr>
  <dimension ref="A1:L18"/>
  <sheetViews>
    <sheetView showGridLines="0" showRowColHeaders="0" zoomScaleNormal="100" workbookViewId="0">
      <selection activeCell="E11" sqref="E11"/>
    </sheetView>
  </sheetViews>
  <sheetFormatPr baseColWidth="10" defaultColWidth="11.5234375" defaultRowHeight="14.4"/>
  <cols>
    <col min="1" max="1" width="11.5234375" style="103"/>
    <col min="2" max="2" width="15.41796875" style="103" customWidth="1"/>
    <col min="3" max="3" width="5.3125" style="103" customWidth="1"/>
    <col min="4" max="4" width="17.41796875" style="103" customWidth="1"/>
    <col min="5" max="5" width="9.3125" style="103" customWidth="1"/>
    <col min="6" max="6" width="15.68359375" style="103" customWidth="1"/>
    <col min="7" max="12" width="14.89453125" style="103" customWidth="1"/>
    <col min="13" max="16384" width="11.5234375" style="103"/>
  </cols>
  <sheetData>
    <row r="1" spans="1:12">
      <c r="A1" s="1276" t="str">
        <f>"- "&amp;Code!K18&amp;" -"</f>
        <v>- 17 -</v>
      </c>
      <c r="B1" s="1276"/>
      <c r="C1" s="1276"/>
      <c r="D1" s="1276"/>
      <c r="E1" s="1276"/>
      <c r="F1" s="1276"/>
      <c r="G1" s="1276"/>
      <c r="H1" s="1276"/>
      <c r="I1" s="1276"/>
      <c r="J1" s="1276"/>
      <c r="K1" s="1277"/>
      <c r="L1" s="1277"/>
    </row>
    <row r="2" spans="1:12" ht="24.9" customHeight="1">
      <c r="A2" s="576"/>
      <c r="B2" s="576"/>
      <c r="C2" s="576"/>
      <c r="D2" s="576"/>
      <c r="E2" s="576"/>
      <c r="F2" s="576"/>
      <c r="G2" s="576"/>
      <c r="K2" s="1278" t="s">
        <v>1630</v>
      </c>
      <c r="L2" s="1279"/>
    </row>
    <row r="3" spans="1:12" s="844" customFormat="1" ht="15" customHeight="1">
      <c r="A3" s="317" t="s">
        <v>50</v>
      </c>
      <c r="B3" s="317"/>
      <c r="C3" s="1280" t="str">
        <f>'NOTE 1'!C3</f>
        <v>OHADA</v>
      </c>
      <c r="D3" s="1280"/>
      <c r="E3" s="1280"/>
      <c r="F3" s="1280"/>
      <c r="G3" s="1280"/>
      <c r="H3" s="1280"/>
      <c r="I3" s="1280"/>
      <c r="J3" s="1280"/>
      <c r="K3" s="1280"/>
      <c r="L3" s="1280"/>
    </row>
    <row r="4" spans="1:12" s="844" customFormat="1" ht="15" customHeight="1">
      <c r="A4" s="317" t="s">
        <v>51</v>
      </c>
      <c r="B4" s="1280" t="str">
        <f>'NOTE 1'!B4</f>
        <v/>
      </c>
      <c r="C4" s="1280"/>
      <c r="D4" s="1280"/>
      <c r="E4" s="1280"/>
      <c r="F4" s="1280"/>
      <c r="G4" s="1280"/>
      <c r="H4" s="1280"/>
      <c r="I4" s="1280"/>
      <c r="J4" s="1280"/>
      <c r="K4" s="627" t="s">
        <v>1021</v>
      </c>
      <c r="L4" s="628" t="str">
        <f>'NOTE 1'!I4</f>
        <v/>
      </c>
    </row>
    <row r="5" spans="1:12" s="844" customFormat="1" ht="15" customHeight="1">
      <c r="A5" s="317" t="s">
        <v>1597</v>
      </c>
      <c r="B5" s="317"/>
      <c r="C5" s="1280" t="str">
        <f>'NOTE 1'!C5</f>
        <v/>
      </c>
      <c r="D5" s="1280"/>
      <c r="E5" s="1280"/>
      <c r="F5" s="1280"/>
      <c r="G5" s="1280"/>
      <c r="H5" s="642" t="s">
        <v>54</v>
      </c>
      <c r="I5" s="1806">
        <f>'NOTE 1'!G5</f>
        <v>0</v>
      </c>
      <c r="J5" s="1806"/>
      <c r="K5" s="627" t="s">
        <v>55</v>
      </c>
      <c r="L5" s="630">
        <f>'NOTE 1'!I5</f>
        <v>1</v>
      </c>
    </row>
    <row r="6" spans="1:12" s="844" customFormat="1" ht="15" customHeight="1">
      <c r="A6" s="317" t="s">
        <v>1533</v>
      </c>
      <c r="B6" s="317"/>
      <c r="C6" s="1275" t="str">
        <f>'NOTE 1'!C6</f>
        <v/>
      </c>
      <c r="D6" s="1275"/>
      <c r="E6" s="1275"/>
      <c r="F6" s="1275"/>
      <c r="G6" s="1275"/>
      <c r="H6" s="638"/>
      <c r="I6" s="869"/>
      <c r="J6" s="630"/>
      <c r="K6" s="629"/>
      <c r="L6" s="630"/>
    </row>
    <row r="7" spans="1:12" ht="35.25" customHeight="1">
      <c r="A7" s="1273" t="s">
        <v>1631</v>
      </c>
      <c r="B7" s="1273"/>
      <c r="C7" s="1273"/>
      <c r="D7" s="1273"/>
      <c r="E7" s="1273"/>
      <c r="F7" s="1273"/>
      <c r="G7" s="1273"/>
      <c r="H7" s="1273"/>
      <c r="I7" s="1273"/>
      <c r="J7" s="1273"/>
      <c r="K7" s="1273"/>
      <c r="L7" s="1273"/>
    </row>
    <row r="8" spans="1:12" ht="15" customHeight="1">
      <c r="A8" s="1810" t="s">
        <v>1599</v>
      </c>
      <c r="B8" s="1811"/>
      <c r="C8" s="1811"/>
      <c r="D8" s="1811"/>
      <c r="E8" s="890"/>
      <c r="F8" s="870" t="s">
        <v>1261</v>
      </c>
      <c r="G8" s="1812" t="s">
        <v>1632</v>
      </c>
      <c r="H8" s="1812"/>
      <c r="I8" s="1812"/>
      <c r="J8" s="1812" t="s">
        <v>1633</v>
      </c>
      <c r="K8" s="1812"/>
      <c r="L8" s="870" t="s">
        <v>1602</v>
      </c>
    </row>
    <row r="9" spans="1:12" ht="53.25" customHeight="1">
      <c r="A9" s="1807"/>
      <c r="B9" s="1808"/>
      <c r="C9" s="1808"/>
      <c r="D9" s="1808"/>
      <c r="E9" s="1809" t="s">
        <v>1634</v>
      </c>
      <c r="F9" s="1798" t="s">
        <v>1603</v>
      </c>
      <c r="G9" s="1798" t="s">
        <v>1635</v>
      </c>
      <c r="H9" s="1798" t="s">
        <v>1636</v>
      </c>
      <c r="I9" s="1798" t="s">
        <v>1637</v>
      </c>
      <c r="J9" s="1798" t="s">
        <v>1607</v>
      </c>
      <c r="K9" s="1798" t="s">
        <v>1636</v>
      </c>
      <c r="L9" s="1798" t="s">
        <v>1608</v>
      </c>
    </row>
    <row r="10" spans="1:12" ht="12.75" customHeight="1">
      <c r="A10" s="1803" t="s">
        <v>1609</v>
      </c>
      <c r="B10" s="1804"/>
      <c r="C10" s="1804"/>
      <c r="D10" s="1805"/>
      <c r="E10" s="1799"/>
      <c r="F10" s="1799"/>
      <c r="G10" s="1799"/>
      <c r="H10" s="1799"/>
      <c r="I10" s="1799"/>
      <c r="J10" s="1799"/>
      <c r="K10" s="1799"/>
      <c r="L10" s="1799"/>
    </row>
    <row r="11" spans="1:12" ht="17.25" customHeight="1">
      <c r="A11" s="1785" t="s">
        <v>1638</v>
      </c>
      <c r="B11" s="1655"/>
      <c r="C11" s="1655"/>
      <c r="D11" s="1655"/>
      <c r="E11" s="357"/>
      <c r="F11" s="346"/>
      <c r="G11" s="346"/>
      <c r="H11" s="346"/>
      <c r="I11" s="346"/>
      <c r="J11" s="346"/>
      <c r="K11" s="346"/>
      <c r="L11" s="358">
        <f>F11+G11+H11+I11-J11-K11</f>
        <v>0</v>
      </c>
    </row>
    <row r="12" spans="1:12" ht="17.25" customHeight="1">
      <c r="A12" s="1785" t="s">
        <v>1639</v>
      </c>
      <c r="B12" s="1655"/>
      <c r="C12" s="1655"/>
      <c r="D12" s="1655"/>
      <c r="E12" s="357"/>
      <c r="F12" s="346"/>
      <c r="G12" s="346"/>
      <c r="H12" s="346"/>
      <c r="I12" s="346"/>
      <c r="J12" s="346"/>
      <c r="K12" s="346"/>
      <c r="L12" s="358">
        <f>F12+G12+H12+I12-J12-K12</f>
        <v>0</v>
      </c>
    </row>
    <row r="13" spans="1:12" ht="17.25" customHeight="1">
      <c r="A13" s="1785" t="s">
        <v>1640</v>
      </c>
      <c r="B13" s="1655"/>
      <c r="C13" s="1655"/>
      <c r="D13" s="1655"/>
      <c r="E13" s="357"/>
      <c r="F13" s="346"/>
      <c r="G13" s="346"/>
      <c r="H13" s="346"/>
      <c r="I13" s="346"/>
      <c r="J13" s="346"/>
      <c r="K13" s="346"/>
      <c r="L13" s="358">
        <f>F13+G13+H13+I13-J13-K13</f>
        <v>0</v>
      </c>
    </row>
    <row r="14" spans="1:12" ht="17.25" customHeight="1">
      <c r="A14" s="1785" t="s">
        <v>1162</v>
      </c>
      <c r="B14" s="1655"/>
      <c r="C14" s="1655"/>
      <c r="D14" s="1655"/>
      <c r="E14" s="357"/>
      <c r="F14" s="346"/>
      <c r="G14" s="346"/>
      <c r="H14" s="346"/>
      <c r="I14" s="346"/>
      <c r="J14" s="346"/>
      <c r="K14" s="346"/>
      <c r="L14" s="358">
        <f>F14+G14+H14+I14-J14-K14</f>
        <v>0</v>
      </c>
    </row>
    <row r="15" spans="1:12" ht="15.75" customHeight="1">
      <c r="A15" s="1800" t="s">
        <v>1641</v>
      </c>
      <c r="B15" s="1801"/>
      <c r="C15" s="1801"/>
      <c r="D15" s="1802"/>
      <c r="E15" s="339"/>
      <c r="F15" s="359">
        <f>SUM(F11:F14)</f>
        <v>0</v>
      </c>
      <c r="G15" s="359">
        <f t="shared" ref="G15:L15" si="0">SUM(G11:G14)</f>
        <v>0</v>
      </c>
      <c r="H15" s="359">
        <f t="shared" si="0"/>
        <v>0</v>
      </c>
      <c r="I15" s="359">
        <f t="shared" si="0"/>
        <v>0</v>
      </c>
      <c r="J15" s="359">
        <f t="shared" si="0"/>
        <v>0</v>
      </c>
      <c r="K15" s="359">
        <f t="shared" si="0"/>
        <v>0</v>
      </c>
      <c r="L15" s="359">
        <f t="shared" si="0"/>
        <v>0</v>
      </c>
    </row>
    <row r="16" spans="1:12" s="653" customFormat="1" ht="10.5">
      <c r="A16" s="891" t="s">
        <v>1642</v>
      </c>
      <c r="B16" s="892"/>
      <c r="C16" s="892"/>
      <c r="D16" s="892"/>
      <c r="E16" s="892"/>
      <c r="F16" s="892"/>
      <c r="G16" s="892"/>
      <c r="H16" s="892"/>
      <c r="I16" s="892"/>
      <c r="J16" s="892"/>
      <c r="K16" s="892"/>
      <c r="L16" s="892"/>
    </row>
    <row r="17" spans="1:1" s="653" customFormat="1" ht="10.5">
      <c r="A17" s="886" t="s">
        <v>1643</v>
      </c>
    </row>
    <row r="18" spans="1:1" s="653" customFormat="1" ht="10.5">
      <c r="A18" s="893" t="s">
        <v>1644</v>
      </c>
    </row>
  </sheetData>
  <sheetProtection algorithmName="SHA-512" hashValue="wHd/S6l/gx9mzlyaQgVLbekOJycguE869XccKktm/AIXz7onOsPiwZydw7vbp1mbXaa5i9KpDqeJFf69TOLb5g==" saltValue="twIZpKaSYhW08D7UsuduXA==" spinCount="100000" sheet="1" objects="1" scenarios="1" selectLockedCells="1"/>
  <mergeCells count="26">
    <mergeCell ref="A1:L1"/>
    <mergeCell ref="K2:L2"/>
    <mergeCell ref="C3:L3"/>
    <mergeCell ref="B4:J4"/>
    <mergeCell ref="C5:G5"/>
    <mergeCell ref="I5:J5"/>
    <mergeCell ref="C6:G6"/>
    <mergeCell ref="A7:L7"/>
    <mergeCell ref="A8:D8"/>
    <mergeCell ref="G8:I8"/>
    <mergeCell ref="J8:K8"/>
    <mergeCell ref="J9:J10"/>
    <mergeCell ref="K9:K10"/>
    <mergeCell ref="L9:L10"/>
    <mergeCell ref="A10:D10"/>
    <mergeCell ref="A11:D11"/>
    <mergeCell ref="A9:D9"/>
    <mergeCell ref="E9:E10"/>
    <mergeCell ref="F9:F10"/>
    <mergeCell ref="G9:G10"/>
    <mergeCell ref="H9:H10"/>
    <mergeCell ref="A12:D12"/>
    <mergeCell ref="A13:D13"/>
    <mergeCell ref="A14:D14"/>
    <mergeCell ref="A15:D15"/>
    <mergeCell ref="I9:I10"/>
  </mergeCells>
  <conditionalFormatting sqref="F15:K15 L11:L15">
    <cfRule type="cellIs" dxfId="208" priority="1" operator="equal">
      <formula>0</formula>
    </cfRule>
  </conditionalFormatting>
  <dataValidations count="1">
    <dataValidation type="whole" allowBlank="1" showInputMessage="1" showErrorMessage="1" errorTitle="Attention !" error="Valeur numérique attendue" sqref="F11:K14" xr:uid="{1368A710-C64E-4E5C-9E67-3711FA6C23D9}">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5"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32FA381-14DB-47DA-B1B0-343DE8459B2C}">
          <x14:formula1>
            <xm:f>Referentiels!$H$3:$H$5</xm:f>
          </x14:formula1>
          <xm:sqref>E11:E14</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84498-C478-4D12-8041-AEEEEE4CE3EC}">
  <sheetPr codeName="Feuil20">
    <tabColor theme="9" tint="0.39997558519241921"/>
    <pageSetUpPr fitToPage="1"/>
  </sheetPr>
  <dimension ref="A1:Q28"/>
  <sheetViews>
    <sheetView showGridLines="0" showRowColHeaders="0" topLeftCell="A11" zoomScaleNormal="100" workbookViewId="0">
      <selection activeCell="J11" sqref="J11:K11"/>
    </sheetView>
  </sheetViews>
  <sheetFormatPr baseColWidth="10" defaultColWidth="11.5234375" defaultRowHeight="14.4"/>
  <cols>
    <col min="1" max="1" width="11.5234375" style="103"/>
    <col min="2" max="2" width="16.41796875" style="103" customWidth="1"/>
    <col min="3" max="3" width="20.41796875" style="103" customWidth="1"/>
    <col min="4" max="15" width="9" style="103" customWidth="1"/>
    <col min="16" max="16" width="11.68359375" style="103" bestFit="1" customWidth="1"/>
    <col min="17" max="16384" width="11.5234375" style="103"/>
  </cols>
  <sheetData>
    <row r="1" spans="1:17">
      <c r="A1" s="1276" t="str">
        <f>"- "&amp;Code!K19&amp;" -"</f>
        <v>- 18 -</v>
      </c>
      <c r="B1" s="1276"/>
      <c r="C1" s="1276"/>
      <c r="D1" s="1276"/>
      <c r="E1" s="1276"/>
      <c r="F1" s="1276"/>
      <c r="G1" s="1276"/>
      <c r="H1" s="1276"/>
      <c r="I1" s="1276"/>
      <c r="J1" s="1276"/>
      <c r="K1" s="1277"/>
      <c r="L1" s="1277"/>
      <c r="M1" s="1277"/>
      <c r="N1" s="1277"/>
      <c r="O1" s="1277"/>
    </row>
    <row r="2" spans="1:17" ht="24.9" customHeight="1">
      <c r="A2" s="576"/>
      <c r="B2" s="576"/>
      <c r="C2" s="576"/>
      <c r="D2" s="576"/>
      <c r="E2" s="576"/>
      <c r="F2" s="576"/>
      <c r="G2" s="576"/>
      <c r="N2" s="1278" t="s">
        <v>1645</v>
      </c>
      <c r="O2" s="1279"/>
    </row>
    <row r="3" spans="1:17" s="593" customFormat="1">
      <c r="A3" s="317" t="s">
        <v>50</v>
      </c>
      <c r="B3" s="317"/>
      <c r="C3" s="1842" t="str">
        <f>'NOTE 1'!C3</f>
        <v>OHADA</v>
      </c>
      <c r="D3" s="1842"/>
      <c r="E3" s="1842"/>
      <c r="F3" s="1842"/>
      <c r="G3" s="1842"/>
      <c r="H3" s="1842"/>
      <c r="I3" s="1842"/>
      <c r="J3" s="1842"/>
      <c r="K3" s="1842"/>
      <c r="L3" s="1280"/>
      <c r="M3" s="1280"/>
      <c r="N3" s="1280"/>
      <c r="O3" s="1280"/>
    </row>
    <row r="4" spans="1:17" s="593" customFormat="1">
      <c r="A4" s="317" t="s">
        <v>51</v>
      </c>
      <c r="B4" s="1697" t="str">
        <f>'NOTE 1'!B4</f>
        <v/>
      </c>
      <c r="C4" s="1697"/>
      <c r="D4" s="1697"/>
      <c r="E4" s="1697"/>
      <c r="F4" s="1697"/>
      <c r="G4" s="1697"/>
      <c r="H4" s="1697"/>
      <c r="I4" s="1697"/>
      <c r="J4" s="1697"/>
      <c r="K4" s="1697"/>
      <c r="L4" s="1843" t="s">
        <v>1021</v>
      </c>
      <c r="M4" s="1843"/>
      <c r="N4" s="1489" t="str">
        <f>'NOTE 1'!I4</f>
        <v/>
      </c>
      <c r="O4" s="1489"/>
    </row>
    <row r="5" spans="1:17" s="593" customFormat="1">
      <c r="A5" s="317" t="s">
        <v>1597</v>
      </c>
      <c r="B5" s="317"/>
      <c r="C5" s="1280" t="str">
        <f>'NOTE 1'!C5</f>
        <v/>
      </c>
      <c r="D5" s="1280"/>
      <c r="E5" s="1280"/>
      <c r="F5" s="1280"/>
      <c r="G5" s="1280"/>
      <c r="H5" s="1848" t="s">
        <v>54</v>
      </c>
      <c r="I5" s="1848"/>
      <c r="J5" s="1282">
        <f>'NOTE 1'!G5</f>
        <v>0</v>
      </c>
      <c r="K5" s="1282"/>
      <c r="L5" s="1848" t="s">
        <v>55</v>
      </c>
      <c r="M5" s="1848"/>
      <c r="N5" s="1489">
        <f>'NOTE 1'!I5</f>
        <v>1</v>
      </c>
      <c r="O5" s="1489"/>
    </row>
    <row r="6" spans="1:17" s="593" customFormat="1">
      <c r="A6" s="317" t="s">
        <v>1533</v>
      </c>
      <c r="B6" s="317"/>
      <c r="C6" s="1275" t="str">
        <f>'NOTE 1'!C6</f>
        <v/>
      </c>
      <c r="D6" s="1275"/>
      <c r="E6" s="1275"/>
      <c r="F6" s="1275"/>
      <c r="G6" s="1275"/>
      <c r="H6" s="1275"/>
      <c r="I6" s="1275"/>
      <c r="J6" s="1275"/>
      <c r="K6" s="629"/>
      <c r="L6" s="629"/>
      <c r="M6" s="629"/>
      <c r="N6" s="630"/>
      <c r="O6" s="630"/>
    </row>
    <row r="7" spans="1:17" ht="35.25" customHeight="1">
      <c r="A7" s="1273" t="s">
        <v>1646</v>
      </c>
      <c r="B7" s="1273"/>
      <c r="C7" s="1273"/>
      <c r="D7" s="1273"/>
      <c r="E7" s="1273"/>
      <c r="F7" s="1273"/>
      <c r="G7" s="1273"/>
      <c r="H7" s="1273"/>
      <c r="I7" s="1273"/>
      <c r="J7" s="1273"/>
      <c r="K7" s="1273"/>
      <c r="L7" s="1273"/>
      <c r="M7" s="1273"/>
      <c r="N7" s="1273"/>
      <c r="O7" s="1273"/>
    </row>
    <row r="8" spans="1:17">
      <c r="A8" s="1844" t="s">
        <v>1599</v>
      </c>
      <c r="B8" s="1845"/>
      <c r="C8" s="1846"/>
      <c r="D8" s="1847" t="s">
        <v>1261</v>
      </c>
      <c r="E8" s="1847"/>
      <c r="F8" s="1847" t="s">
        <v>1273</v>
      </c>
      <c r="G8" s="1847"/>
      <c r="H8" s="1770" t="s">
        <v>1276</v>
      </c>
      <c r="I8" s="1771"/>
      <c r="J8" s="1771"/>
      <c r="K8" s="1772"/>
      <c r="L8" s="1770" t="s">
        <v>1279</v>
      </c>
      <c r="M8" s="1772"/>
      <c r="N8" s="1847" t="s">
        <v>1647</v>
      </c>
      <c r="O8" s="1847"/>
    </row>
    <row r="9" spans="1:17" ht="15" customHeight="1">
      <c r="A9" s="1832"/>
      <c r="B9" s="1833"/>
      <c r="C9" s="1834"/>
      <c r="D9" s="1754" t="s">
        <v>1648</v>
      </c>
      <c r="E9" s="1756"/>
      <c r="F9" s="1835" t="s">
        <v>1649</v>
      </c>
      <c r="G9" s="1836"/>
      <c r="H9" s="1835" t="s">
        <v>1650</v>
      </c>
      <c r="I9" s="1837"/>
      <c r="J9" s="1837"/>
      <c r="K9" s="1836"/>
      <c r="L9" s="1754" t="s">
        <v>1605</v>
      </c>
      <c r="M9" s="1756"/>
      <c r="N9" s="1838" t="s">
        <v>1651</v>
      </c>
      <c r="O9" s="1838"/>
    </row>
    <row r="10" spans="1:17" ht="54.75" customHeight="1">
      <c r="A10" s="1839" t="s">
        <v>1609</v>
      </c>
      <c r="B10" s="1840"/>
      <c r="C10" s="1841"/>
      <c r="D10" s="1757"/>
      <c r="E10" s="1759"/>
      <c r="F10" s="1762" t="s">
        <v>1652</v>
      </c>
      <c r="G10" s="1764"/>
      <c r="H10" s="1757" t="s">
        <v>1653</v>
      </c>
      <c r="I10" s="1759"/>
      <c r="J10" s="1757" t="s">
        <v>1654</v>
      </c>
      <c r="K10" s="1759"/>
      <c r="L10" s="1757"/>
      <c r="M10" s="1759"/>
      <c r="N10" s="1838"/>
      <c r="O10" s="1838"/>
    </row>
    <row r="11" spans="1:17" ht="17.25" customHeight="1">
      <c r="A11" s="1829" t="s">
        <v>1610</v>
      </c>
      <c r="B11" s="1830"/>
      <c r="C11" s="1831"/>
      <c r="D11" s="1823">
        <f>SUMIFS(BalanceN[BE_Credit],BalanceN[Table],"&gt;=28100",BalanceN[Table],"&lt;28120")+SUMIFS(BalanceN[BE_Credit],BalanceN[Table],"&gt;=28181",BalanceN[Table],"&lt;28182")+SUMIFS(BalanceN[BE_Credit],BalanceN[Table],"&gt;=28191",BalanceN[Table],"&lt;28192")</f>
        <v>0</v>
      </c>
      <c r="E11" s="1824"/>
      <c r="F11" s="1823">
        <f>SUMIFS(BalanceN[Mvt_Credit],BalanceN[Table],"&gt;=28100",BalanceN[Table],"&lt;28120")+SUMIFS(BalanceN[Mvt_Credit],BalanceN[Table],"&gt;=28181",BalanceN[Table],"&lt;28182")+SUMIFS(BalanceN[Mvt_Credit],BalanceN[Table],"&gt;=28191",BalanceN[Table],"&lt;28192")</f>
        <v>0</v>
      </c>
      <c r="G11" s="1824"/>
      <c r="H11" s="1823">
        <f>SUMIFS(BalanceN[Mvt_Debit],BalanceN[Table],"&gt;=28100",BalanceN[Table],"&lt;28120")+SUMIFS(BalanceN[Mvt_Debit],BalanceN[Table],"&gt;=28181",BalanceN[Table],"&lt;28182")+SUMIFS(BalanceN[Mvt_Debit],BalanceN[Table],"&gt;=28191",BalanceN[Table],"&lt;28192")-J11-L11</f>
        <v>0</v>
      </c>
      <c r="I11" s="1824"/>
      <c r="J11" s="1826"/>
      <c r="K11" s="1827"/>
      <c r="L11" s="1828"/>
      <c r="M11" s="1827"/>
      <c r="N11" s="1823">
        <f>D11+F11-H11-J11-L11</f>
        <v>0</v>
      </c>
      <c r="O11" s="1824"/>
      <c r="P11" s="103" t="str">
        <f>IF((SUMIFS(BalanceN[BS_Credit],BalanceN[Table],"&gt;=28100",BalanceN[Table],"&lt;28120")+SUMIFS(BalanceN[BS_Credit],BalanceN[Table],"&gt;=28181",BalanceN[Table],"&lt;28182")+SUMIFS(BalanceN[BS_Credit],BalanceN[Table],"&gt;=28191",BalanceN[Table],"&lt;28192"))=N11,"","Veuillez vérifier les amortissements des "&amp;A11)</f>
        <v/>
      </c>
    </row>
    <row r="12" spans="1:17" ht="17.25" customHeight="1">
      <c r="A12" s="1785" t="s">
        <v>1655</v>
      </c>
      <c r="B12" s="1655"/>
      <c r="C12" s="1825"/>
      <c r="D12" s="1823">
        <f>SUMIFS(BalanceN[BE_Credit],BalanceN[Table],"&gt;=28120",BalanceN[Table],"&lt;28150")+SUMIFS(BalanceN[BE_Credit],BalanceN[Table],"&gt;=28192",BalanceN[Table],"&lt;28195")</f>
        <v>0</v>
      </c>
      <c r="E12" s="1824"/>
      <c r="F12" s="1823">
        <f>SUMIFS(BalanceN[Mvt_Credit],BalanceN[Table],"&gt;=28120",BalanceN[Table],"&lt;28150")+SUMIFS(BalanceN[Mvt_Credit],BalanceN[Table],"&gt;=28192",BalanceN[Table],"&lt;28195")</f>
        <v>0</v>
      </c>
      <c r="G12" s="1824"/>
      <c r="H12" s="1823">
        <f>SUMIFS(BalanceN[Mvt_Debit],BalanceN[Table],"&gt;=28120",BalanceN[Table],"&lt;28150")+SUMIFS(BalanceN[Mvt_Debit],BalanceN[Table],"&gt;=28192",BalanceN[Table],"&lt;28195")-J12-L12</f>
        <v>0</v>
      </c>
      <c r="I12" s="1824"/>
      <c r="J12" s="1826"/>
      <c r="K12" s="1827"/>
      <c r="L12" s="1828"/>
      <c r="M12" s="1827"/>
      <c r="N12" s="1823">
        <f>D12+F12-H12-J12-L12</f>
        <v>0</v>
      </c>
      <c r="O12" s="1824"/>
      <c r="P12" s="103" t="str">
        <f>IF((SUMIFS(BalanceN[BS_Credit],BalanceN[Table],"&gt;=28120",BalanceN[Table],"&lt;28150")+SUMIFS(BalanceN[BS_Credit],BalanceN[Table],"&gt;=28192",BalanceN[Table],"&lt;28195"))=N12,"","Veuillez vérifier les amortissements des "&amp;A12)</f>
        <v/>
      </c>
    </row>
    <row r="13" spans="1:17" ht="17.25" customHeight="1">
      <c r="A13" s="1785" t="s">
        <v>1135</v>
      </c>
      <c r="B13" s="1655"/>
      <c r="C13" s="1825"/>
      <c r="D13" s="1823">
        <f>SUMIFS(BalanceN[BE_Credit],BalanceN[Table],"&gt;=28150",BalanceN[Table],"&lt;28170")</f>
        <v>0</v>
      </c>
      <c r="E13" s="1824"/>
      <c r="F13" s="1823">
        <f>SUMIFS(BalanceN[Mvt_Credit],BalanceN[Table],"&gt;=28150",BalanceN[Table],"&lt;28170")</f>
        <v>0</v>
      </c>
      <c r="G13" s="1824"/>
      <c r="H13" s="1823">
        <f>SUMIFS(BalanceN[Mvt_Debit],BalanceN[Table],"&gt;=28150",BalanceN[Table],"&lt;28170")-J13-L13</f>
        <v>0</v>
      </c>
      <c r="I13" s="1824"/>
      <c r="J13" s="1826"/>
      <c r="K13" s="1827"/>
      <c r="L13" s="1828"/>
      <c r="M13" s="1827"/>
      <c r="N13" s="1823">
        <f>D13+F13-H13-J13-L13</f>
        <v>0</v>
      </c>
      <c r="O13" s="1824"/>
      <c r="P13" s="103" t="str">
        <f>IF(SUMIFS(BalanceN[BS_Credit],BalanceN[Table],"&gt;=28150",BalanceN[Table],"&lt;28170")=N13,"","Veuillez vérifier les amortissements des "&amp;A13)</f>
        <v/>
      </c>
    </row>
    <row r="14" spans="1:17" ht="17.25" customHeight="1">
      <c r="A14" s="1785" t="s">
        <v>1238</v>
      </c>
      <c r="B14" s="1655"/>
      <c r="C14" s="1825"/>
      <c r="D14" s="1823">
        <f>SUMIFS(BalanceN[BE_Credit],BalanceN[Table],"&gt;=28170",BalanceN[Table],"&lt;28180")+SUMIFS(BalanceN[BE_Credit],BalanceN[Table],"&gt;=28182",BalanceN[Table],"&lt;28190")+SUMIFS(BalanceN[BE_Credit],BalanceN[Table],"&gt;=28198",BalanceN[Table],"&lt;28199")</f>
        <v>0</v>
      </c>
      <c r="E14" s="1824"/>
      <c r="F14" s="1823">
        <f>SUMIFS(BalanceN[Mvt_Credit],BalanceN[Table],"&gt;=28170",BalanceN[Table],"&lt;28180")+SUMIFS(BalanceN[Mvt_Credit],BalanceN[Table],"&gt;=28182",BalanceN[Table],"&lt;28190")+SUMIFS(BalanceN[Mvt_Credit],BalanceN[Table],"&gt;=28198",BalanceN[Table],"&lt;28199")</f>
        <v>0</v>
      </c>
      <c r="G14" s="1824"/>
      <c r="H14" s="1823">
        <f>SUMIFS(BalanceN[Mvt_Debit],BalanceN[Table],"&gt;=28170",BalanceN[Table],"&lt;28180")+SUMIFS(BalanceN[Mvt_Debit],BalanceN[Table],"&gt;=28182",BalanceN[Table],"&lt;28190")+SUMIFS(BalanceN[Mvt_Debit],BalanceN[Table],"&gt;=28198",BalanceN[Table],"&lt;28199")-J14-L14</f>
        <v>0</v>
      </c>
      <c r="I14" s="1824"/>
      <c r="J14" s="1826"/>
      <c r="K14" s="1827"/>
      <c r="L14" s="1828"/>
      <c r="M14" s="1827"/>
      <c r="N14" s="1823">
        <f>D14+F14-H14-J14-L14</f>
        <v>0</v>
      </c>
      <c r="O14" s="1824"/>
      <c r="P14" s="103" t="str">
        <f>IF((SUMIFS(BalanceN[BS_Credit],BalanceN[Table],"&gt;=28170",BalanceN[Table],"&lt;28180")+SUMIFS(BalanceN[BS_Credit],BalanceN[Table],"&gt;=28182",BalanceN[Table],"&lt;28190")+SUMIFS(BalanceN[BS_Credit],BalanceN[Table],"&gt;=28198",BalanceN[Table],"&lt;28199"))=N14,"","Veuillez vérifier les amortissements des "&amp;A14)</f>
        <v/>
      </c>
    </row>
    <row r="15" spans="1:17" ht="17.25" customHeight="1">
      <c r="A15" s="1820" t="s">
        <v>1236</v>
      </c>
      <c r="B15" s="1821"/>
      <c r="C15" s="1822"/>
      <c r="D15" s="1813">
        <f>SUM(D11:E14)</f>
        <v>0</v>
      </c>
      <c r="E15" s="1814"/>
      <c r="F15" s="1813">
        <f>SUM(F11:G14)</f>
        <v>0</v>
      </c>
      <c r="G15" s="1814"/>
      <c r="H15" s="1813">
        <f>SUM(H11:I14)</f>
        <v>0</v>
      </c>
      <c r="I15" s="1814"/>
      <c r="J15" s="1813">
        <f>SUM(J11:K14)</f>
        <v>0</v>
      </c>
      <c r="K15" s="1814"/>
      <c r="L15" s="1813">
        <f>SUM(L11:M14)</f>
        <v>0</v>
      </c>
      <c r="M15" s="1814"/>
      <c r="N15" s="1813">
        <f>SUM(N11:O14)</f>
        <v>0</v>
      </c>
      <c r="O15" s="1814"/>
      <c r="P15" s="124">
        <f>F15-SUMIFS(BalanceN[BS_Debit],BalanceN[Table],"&gt;=68120",BalanceN[Table],"&lt;68130")</f>
        <v>0</v>
      </c>
      <c r="Q15" s="1107">
        <f>J15-SUMIFS(BalanceN[BS_Debit],BalanceN[Table],"&gt;=86200",BalanceN[Table],"&lt;86300")</f>
        <v>0</v>
      </c>
    </row>
    <row r="16" spans="1:17" ht="17.25" customHeight="1">
      <c r="A16" s="1785" t="s">
        <v>1656</v>
      </c>
      <c r="B16" s="1655"/>
      <c r="C16" s="1825"/>
      <c r="D16" s="1823">
        <f>SUMIFS(BalanceN[BE_Credit],BalanceN[Table],"&gt;=28200",BalanceN[Table],"&lt;28300")-(SUMIFS(BalanceN[BS_Credit],BalanceN[Table],"&gt;=28281",BalanceN[Table],"&lt;28282"))</f>
        <v>0</v>
      </c>
      <c r="E16" s="1824"/>
      <c r="F16" s="1823">
        <f>SUMIFS(BalanceN[Mvt_Credit],BalanceN[Table],"&gt;=28200",BalanceN[Table],"&lt;28300")-(SUMIFS(BalanceN[Mvt_Credit],BalanceN[Table],"&gt;=28281",BalanceN[Table],"&lt;28282"))</f>
        <v>0</v>
      </c>
      <c r="G16" s="1824"/>
      <c r="H16" s="1823">
        <f>SUMIFS(BalanceN[Mvt_Debit],BalanceN[Table],"&gt;=28200",BalanceN[Table],"&lt;28300")-(SUMIFS(BalanceN[Mvt_Debit],BalanceN[Table],"&gt;=28281",BalanceN[Table],"&lt;28282"))-J16-L16</f>
        <v>0</v>
      </c>
      <c r="I16" s="1824"/>
      <c r="J16" s="1826"/>
      <c r="K16" s="1827"/>
      <c r="L16" s="1828"/>
      <c r="M16" s="1827"/>
      <c r="N16" s="1823">
        <f>D16+F16-H16-J16-L16</f>
        <v>0</v>
      </c>
      <c r="O16" s="1824"/>
      <c r="P16" s="103" t="str">
        <f>IF((SUMIFS(BalanceN[BS_Credit],BalanceN[Table],"&gt;=28200",BalanceN[Table],"&lt;28300")-(SUMIFS(BalanceN[BS_Credit],BalanceN[Table],"&gt;=28281",BalanceN[Table],"&lt;28282")))=N16,"","Veuillez vérifier les amortissements des "&amp;A16)</f>
        <v/>
      </c>
    </row>
    <row r="17" spans="1:17" ht="17.25" customHeight="1">
      <c r="A17" s="1785" t="s">
        <v>1657</v>
      </c>
      <c r="B17" s="1655"/>
      <c r="C17" s="1825"/>
      <c r="D17" s="1823">
        <f>SUMIFS(BalanceN[BE_Credit],BalanceN[Table],"&gt;=28281",BalanceN[Table],"&lt;28282")</f>
        <v>0</v>
      </c>
      <c r="E17" s="1824"/>
      <c r="F17" s="1823">
        <f>SUMIFS(BalanceN[Mvt_Credit],BalanceN[Table],"&gt;=28281",BalanceN[Table],"&lt;28282")</f>
        <v>0</v>
      </c>
      <c r="G17" s="1824"/>
      <c r="H17" s="1823">
        <f>SUMIFS(BalanceN[Mvt_Debit],BalanceN[Table],"&gt;=28281",BalanceN[Table],"&lt;28282")-J17-L17</f>
        <v>0</v>
      </c>
      <c r="I17" s="1824"/>
      <c r="J17" s="1826"/>
      <c r="K17" s="1827"/>
      <c r="L17" s="1828"/>
      <c r="M17" s="1827"/>
      <c r="N17" s="1823">
        <f t="shared" ref="N17:N22" si="0">D17+F17-H17-J17-L17</f>
        <v>0</v>
      </c>
      <c r="O17" s="1824"/>
      <c r="P17" s="103" t="str">
        <f>IF(SUMIFS(BalanceN[BS_Credit],BalanceN[Table],"&gt;=28281",BalanceN[Table],"&lt;28282")=N17,"","Veuillez vérifier les amortissements des "&amp;A17)</f>
        <v/>
      </c>
    </row>
    <row r="18" spans="1:17" ht="17.25" customHeight="1">
      <c r="A18" s="1785" t="s">
        <v>1658</v>
      </c>
      <c r="B18" s="1655"/>
      <c r="C18" s="1825"/>
      <c r="D18" s="1823">
        <f>SUMIFS(BalanceN[BE_Credit],BalanceN[Table],"&gt;=28310",BalanceN[Table],"&lt;28340")+SUMIFS(BalanceN[BE_Credit],BalanceN[Table],"&gt;=28370",BalanceN[Table],"&lt;28380")+SUMIFS(BalanceN[BE_Credit],BalanceN[Table],"&gt;=28391",BalanceN[Table],"&lt;28392")-(SUMIFS(BalanceN[BS_Credit],BalanceN[Table],"&gt;=28315",BalanceN[Table],"&lt;28316")+SUMIFS(BalanceN[BS_Credit],BalanceN[Table],"&gt;=28325",BalanceN[Table],"&lt;28326"))</f>
        <v>150313959</v>
      </c>
      <c r="E18" s="1824"/>
      <c r="F18" s="1823">
        <f>SUMIFS(BalanceN[Mvt_Credit],BalanceN[Table],"&gt;=28310",BalanceN[Table],"&lt;28340")+SUMIFS(BalanceN[Mvt_Credit],BalanceN[Table],"&gt;=28370",BalanceN[Table],"&lt;28380")+SUMIFS(BalanceN[Mvt_Credit],BalanceN[Table],"&gt;=28391",BalanceN[Table],"&lt;28392")-(SUMIFS(BalanceN[Mvt_Credit],BalanceN[Table],"&gt;=28315",BalanceN[Table],"&lt;28316")+SUMIFS(BalanceN[Mvt_Credit],BalanceN[Table],"&gt;=28325",BalanceN[Table],"&lt;28326"))</f>
        <v>9734682</v>
      </c>
      <c r="G18" s="1824"/>
      <c r="H18" s="1823">
        <f>SUMIFS(BalanceN[Mvt_Debit],BalanceN[Table],"&gt;=28310",BalanceN[Table],"&lt;28340")+SUMIFS(BalanceN[Mvt_Debit],BalanceN[Table],"&gt;=28370",BalanceN[Table],"&lt;28380")+SUMIFS(BalanceN[Mvt_Debit],BalanceN[Table],"&gt;=28391",BalanceN[Table],"&lt;28392")-(SUMIFS(BalanceN[Mvt_Debit],BalanceN[Table],"&gt;=28315",BalanceN[Table],"&lt;28316")+SUMIFS(BalanceN[Mvt_Debit],BalanceN[Table],"&gt;=28325",BalanceN[Table],"&lt;28326"))-J18-L18</f>
        <v>0</v>
      </c>
      <c r="I18" s="1824"/>
      <c r="J18" s="1826"/>
      <c r="K18" s="1827"/>
      <c r="L18" s="1828"/>
      <c r="M18" s="1827"/>
      <c r="N18" s="1823">
        <f t="shared" si="0"/>
        <v>160048641</v>
      </c>
      <c r="O18" s="1824"/>
      <c r="P18" s="103" t="str">
        <f>IF((SUMIFS(BalanceN[BS_Credit],BalanceN[Table],"&gt;=28310",BalanceN[Table],"&lt;28340")+SUMIFS(BalanceN[BS_Credit],BalanceN[Table],"&gt;=28370",BalanceN[Table],"&lt;28380")+SUMIFS(BalanceN[BS_Credit],BalanceN[Table],"&gt;=28391",BalanceN[Table],"&lt;28392")-(SUMIFS(BalanceN[BS_Credit],BalanceN[Table],"&gt;=28315",BalanceN[Table],"&lt;28316")+SUMIFS(BalanceN[BS_Credit],BalanceN[Table],"&gt;=28325",BalanceN[Table],"&lt;28326")))=N18,"","Veuillez vérifier les amortissements des "&amp;A18)</f>
        <v/>
      </c>
    </row>
    <row r="19" spans="1:17" ht="17.25" customHeight="1">
      <c r="A19" s="1785" t="s">
        <v>1659</v>
      </c>
      <c r="B19" s="1655"/>
      <c r="C19" s="1825"/>
      <c r="D19" s="1823">
        <f>SUMIFS(BalanceN[BE_Credit],BalanceN[Table],"&gt;=28315",BalanceN[Table],"&lt;28316")+SUMIFS(BalanceN[BS_Credit],BalanceN[Table],"&gt;=28325",BalanceN[Table],"&lt;28326")</f>
        <v>0</v>
      </c>
      <c r="E19" s="1824"/>
      <c r="F19" s="1823">
        <f>SUMIFS(BalanceN[Mvt_Credit],BalanceN[Table],"&gt;=28315",BalanceN[Table],"&lt;28316")+SUMIFS(BalanceN[Mvt_Credit],BalanceN[Table],"&gt;=28325",BalanceN[Table],"&lt;28326")</f>
        <v>0</v>
      </c>
      <c r="G19" s="1824"/>
      <c r="H19" s="1823">
        <f>SUMIFS(BalanceN[Mvt_Debit],BalanceN[Table],"&gt;=28315",BalanceN[Table],"&lt;28316")+SUMIFS(BalanceN[Mvt_Debit],BalanceN[Table],"&gt;=28325",BalanceN[Table],"&lt;28326")-J19-L19</f>
        <v>0</v>
      </c>
      <c r="I19" s="1824"/>
      <c r="J19" s="1826"/>
      <c r="K19" s="1827"/>
      <c r="L19" s="1828"/>
      <c r="M19" s="1827"/>
      <c r="N19" s="1823">
        <f t="shared" si="0"/>
        <v>0</v>
      </c>
      <c r="O19" s="1824"/>
      <c r="P19" s="103" t="str">
        <f>IF((SUMIFS(BalanceN[BS_Credit],BalanceN[Table],"&gt;=28315",BalanceN[Table],"&lt;28316")+SUMIFS(BalanceN[BS_Credit],BalanceN[Table],"&gt;=28325",BalanceN[Table],"&lt;28326"))=N19,"","Veuillez vérifier les amortissements des "&amp;A19)</f>
        <v/>
      </c>
    </row>
    <row r="20" spans="1:17" ht="17.25" customHeight="1">
      <c r="A20" s="1785" t="s">
        <v>1660</v>
      </c>
      <c r="B20" s="1655"/>
      <c r="C20" s="1825"/>
      <c r="D20" s="1823">
        <f>SUMIFS(BalanceN[BE_Credit],BalanceN[Table],"&gt;=28340",BalanceN[Table],"&lt;28360")+SUMIFS(BalanceN[BE_Credit],BalanceN[Table],"&gt;=28380",BalanceN[Table],"&lt;28390")+SUMIFS(BalanceN[BE_Credit],BalanceN[Table],"&gt;=28392",BalanceN[Table],"&lt;28400")</f>
        <v>71328267</v>
      </c>
      <c r="E20" s="1824"/>
      <c r="F20" s="1823">
        <f>SUMIFS(BalanceN[Mvt_Credit],BalanceN[Table],"&gt;=28340",BalanceN[Table],"&lt;28360")+SUMIFS(BalanceN[Mvt_Credit],BalanceN[Table],"&gt;=28380",BalanceN[Table],"&lt;28390")+SUMIFS(BalanceN[Mvt_Credit],BalanceN[Table],"&gt;=28392",BalanceN[Table],"&lt;28400")</f>
        <v>0</v>
      </c>
      <c r="G20" s="1824"/>
      <c r="H20" s="1823">
        <f>SUMIFS(BalanceN[Mvt_Debit],BalanceN[Table],"&gt;=28340",BalanceN[Table],"&lt;28360")+SUMIFS(BalanceN[Mvt_Debit],BalanceN[Table],"&gt;=28380",BalanceN[Table],"&lt;28390")+SUMIFS(BalanceN[Mvt_Debit],BalanceN[Table],"&gt;=28392",BalanceN[Table],"&lt;28400")-J20-L20</f>
        <v>0</v>
      </c>
      <c r="I20" s="1824"/>
      <c r="J20" s="1826"/>
      <c r="K20" s="1827"/>
      <c r="L20" s="1828"/>
      <c r="M20" s="1827"/>
      <c r="N20" s="1823">
        <f t="shared" si="0"/>
        <v>71328267</v>
      </c>
      <c r="O20" s="1824"/>
      <c r="P20" s="103" t="str">
        <f>IF((SUMIFS(BalanceN[BS_Credit],BalanceN[Table],"&gt;=28340",BalanceN[Table],"&lt;28360")+SUMIFS(BalanceN[BS_Credit],BalanceN[Table],"&gt;=28380",BalanceN[Table],"&lt;28390")+SUMIFS(BalanceN[BS_Credit],BalanceN[Table],"&gt;=28392",BalanceN[Table],"&lt;28400"))=N20,"","Veuillez vérifier les amortissements des "&amp;A20)</f>
        <v/>
      </c>
    </row>
    <row r="21" spans="1:17" ht="17.25" customHeight="1">
      <c r="A21" s="1785" t="s">
        <v>1158</v>
      </c>
      <c r="B21" s="1655"/>
      <c r="C21" s="1825"/>
      <c r="D21" s="1823">
        <f>SUMIFS(BalanceN[BE_Credit],BalanceN[Table],"&gt;=28400",BalanceN[Table],"&lt;28450")+SUMIFS(BalanceN[BE_Credit],BalanceN[Table],"&gt;=28460",BalanceN[Table],"&lt;28495")+SUMIFS(BalanceN[BE_Credit],BalanceN[Table],"&gt;=28496",BalanceN[Table],"&lt;28500")</f>
        <v>72385970</v>
      </c>
      <c r="E21" s="1824"/>
      <c r="F21" s="1823">
        <f>SUMIFS(BalanceN[Mvt_Credit],BalanceN[Table],"&gt;=28400",BalanceN[Table],"&lt;28450")+SUMIFS(BalanceN[Mvt_Credit],BalanceN[Table],"&gt;=28460",BalanceN[Table],"&lt;28495")+SUMIFS(BalanceN[Mvt_Credit],BalanceN[Table],"&gt;=28496",BalanceN[Table],"&lt;28500")</f>
        <v>9147462</v>
      </c>
      <c r="G21" s="1824"/>
      <c r="H21" s="1823">
        <f>SUMIFS(BalanceN[Mvt_Debit],BalanceN[Table],"&gt;=28400",BalanceN[Table],"&lt;28450")+SUMIFS(BalanceN[Mvt_Debit],BalanceN[Table],"&gt;=28460",BalanceN[Table],"&lt;28495")+SUMIFS(BalanceN[Mvt_Debit],BalanceN[Table],"&gt;=28496",BalanceN[Table],"&lt;28500")-J21-L21</f>
        <v>45992979</v>
      </c>
      <c r="I21" s="1824"/>
      <c r="J21" s="1826"/>
      <c r="K21" s="1827"/>
      <c r="L21" s="1828"/>
      <c r="M21" s="1827"/>
      <c r="N21" s="1823">
        <f t="shared" si="0"/>
        <v>35540453</v>
      </c>
      <c r="O21" s="1824"/>
      <c r="P21" s="103" t="str">
        <f>IF((SUMIFS(BalanceN[BS_Credit],BalanceN[Table],"&gt;=28400",BalanceN[Table],"&lt;28450")+SUMIFS(BalanceN[BS_Credit],BalanceN[Table],"&gt;=28460",BalanceN[Table],"&lt;28495")+SUMIFS(BalanceN[BS_Credit],BalanceN[Table],"&gt;=28496",BalanceN[Table],"&lt;28500"))=N21,"","Veuillez vérifier les amortissements des "&amp;A21)</f>
        <v/>
      </c>
    </row>
    <row r="22" spans="1:17" ht="17.25" customHeight="1">
      <c r="A22" s="1785" t="s">
        <v>1162</v>
      </c>
      <c r="B22" s="1655"/>
      <c r="C22" s="1825"/>
      <c r="D22" s="1823">
        <f>SUMIFS(BalanceN[BE_Credit],BalanceN[Table],"&gt;=28450",BalanceN[Table],"&lt;28460")+SUMIFS(BalanceN[BE_Credit],BalanceN[Table],"&gt;=28495",BalanceN[Table],"&lt;28496")</f>
        <v>53862500</v>
      </c>
      <c r="E22" s="1824"/>
      <c r="F22" s="1823">
        <f>SUMIFS(BalanceN[Mvt_Credit],BalanceN[Table],"&gt;=28450",BalanceN[Table],"&lt;28460")+SUMIFS(BalanceN[Mvt_Credit],BalanceN[Table],"&gt;=28495",BalanceN[Table],"&lt;28496")</f>
        <v>377500</v>
      </c>
      <c r="G22" s="1824"/>
      <c r="H22" s="1823">
        <f>SUMIFS(BalanceN[Mvt_Debit],BalanceN[Table],"&gt;=28450",BalanceN[Table],"&lt;28460")+SUMIFS(BalanceN[Mvt_Debit],BalanceN[Table],"&gt;=28495",BalanceN[Table],"&lt;28496")-J22-L22</f>
        <v>0</v>
      </c>
      <c r="I22" s="1824"/>
      <c r="J22" s="1826"/>
      <c r="K22" s="1827"/>
      <c r="L22" s="1828"/>
      <c r="M22" s="1827"/>
      <c r="N22" s="1823">
        <f t="shared" si="0"/>
        <v>54240000</v>
      </c>
      <c r="O22" s="1824"/>
      <c r="P22" s="103" t="str">
        <f>IF((SUMIFS(BalanceN[BS_Credit],BalanceN[Table],"&gt;=28450",BalanceN[Table],"&lt;28460")+SUMIFS(BalanceN[BS_Credit],BalanceN[Table],"&gt;=28495",BalanceN[Table],"&lt;28496"))=N22,"","Veuillez vérifier les amortissements des "&amp;A22)</f>
        <v/>
      </c>
    </row>
    <row r="23" spans="1:17" ht="17.25" customHeight="1">
      <c r="A23" s="1820" t="s">
        <v>1239</v>
      </c>
      <c r="B23" s="1821"/>
      <c r="C23" s="1822"/>
      <c r="D23" s="1813">
        <f>SUM(D16:E22)</f>
        <v>347890696</v>
      </c>
      <c r="E23" s="1814"/>
      <c r="F23" s="1813">
        <f>SUM(F16:G22)</f>
        <v>19259644</v>
      </c>
      <c r="G23" s="1814"/>
      <c r="H23" s="1813">
        <f>SUM(H16:I22)</f>
        <v>45992979</v>
      </c>
      <c r="I23" s="1814"/>
      <c r="J23" s="1813">
        <f>SUM(J16:K22)</f>
        <v>0</v>
      </c>
      <c r="K23" s="1814"/>
      <c r="L23" s="1813">
        <f>SUM(L16:M22)</f>
        <v>0</v>
      </c>
      <c r="M23" s="1814"/>
      <c r="N23" s="1813">
        <f>SUM(N16:O22)</f>
        <v>321157361</v>
      </c>
      <c r="O23" s="1814"/>
      <c r="P23" s="1107">
        <f>F23-SUMIFS(BalanceN[BS_Debit],BalanceN[Table],"&gt;=68130",BalanceN[Table],"&lt;68140")</f>
        <v>0</v>
      </c>
    </row>
    <row r="24" spans="1:17" ht="15.75" customHeight="1">
      <c r="A24" s="1815" t="s">
        <v>1232</v>
      </c>
      <c r="B24" s="1816"/>
      <c r="C24" s="1817"/>
      <c r="D24" s="1818">
        <f>D15+D23</f>
        <v>347890696</v>
      </c>
      <c r="E24" s="1819"/>
      <c r="F24" s="1818">
        <f>F15+F23</f>
        <v>19259644</v>
      </c>
      <c r="G24" s="1819"/>
      <c r="H24" s="1818">
        <f>H15+H23</f>
        <v>45992979</v>
      </c>
      <c r="I24" s="1819"/>
      <c r="J24" s="1818">
        <f>J15+J23</f>
        <v>0</v>
      </c>
      <c r="K24" s="1819"/>
      <c r="L24" s="1818">
        <f>L15+L23</f>
        <v>0</v>
      </c>
      <c r="M24" s="1819"/>
      <c r="N24" s="1818">
        <f>N15+N23</f>
        <v>321157361</v>
      </c>
      <c r="O24" s="1819"/>
      <c r="Q24" s="103">
        <f>J24-SUMIFS(BalanceN[BS_Debit],BalanceN[Table],"&gt;=86200",BalanceN[Table],"&lt;86300")</f>
        <v>0</v>
      </c>
    </row>
    <row r="25" spans="1:17" s="653" customFormat="1" ht="10.5">
      <c r="A25" s="798" t="s">
        <v>1618</v>
      </c>
    </row>
    <row r="26" spans="1:17" s="653" customFormat="1" ht="10.5">
      <c r="A26" s="817" t="s">
        <v>1661</v>
      </c>
    </row>
    <row r="27" spans="1:17" s="653" customFormat="1" ht="9.75" customHeight="1">
      <c r="A27" s="889" t="s">
        <v>1662</v>
      </c>
      <c r="B27" s="793"/>
      <c r="G27" s="1131"/>
    </row>
    <row r="28" spans="1:17" s="653" customFormat="1" ht="10.5">
      <c r="A28" s="889" t="s">
        <v>1663</v>
      </c>
      <c r="B28" s="793"/>
    </row>
  </sheetData>
  <sheetProtection algorithmName="SHA-512" hashValue="MH3ij0c/gGyIBRBwozSHB2G3U2bhx38HvcC0pLUJ4xa6xyae8K1bOCcdW7/7jXD+dY9BGFAsxRKR4iehVQOM7A==" saltValue="d7Zuvc38QTwsyYnXjpeR7g==" spinCount="100000" sheet="1" objects="1" scenarios="1" selectLockedCells="1"/>
  <mergeCells count="127">
    <mergeCell ref="A1:O1"/>
    <mergeCell ref="N2:O2"/>
    <mergeCell ref="C3:O3"/>
    <mergeCell ref="B4:K4"/>
    <mergeCell ref="L4:M4"/>
    <mergeCell ref="N4:O4"/>
    <mergeCell ref="A8:C8"/>
    <mergeCell ref="D8:E8"/>
    <mergeCell ref="F8:G8"/>
    <mergeCell ref="H8:K8"/>
    <mergeCell ref="L8:M8"/>
    <mergeCell ref="N8:O8"/>
    <mergeCell ref="C5:G5"/>
    <mergeCell ref="H5:I5"/>
    <mergeCell ref="J5:K5"/>
    <mergeCell ref="L5:M5"/>
    <mergeCell ref="N5:O5"/>
    <mergeCell ref="A7:O7"/>
    <mergeCell ref="C6:J6"/>
    <mergeCell ref="A9:C9"/>
    <mergeCell ref="D9:E10"/>
    <mergeCell ref="F9:G9"/>
    <mergeCell ref="H9:K9"/>
    <mergeCell ref="L9:M10"/>
    <mergeCell ref="N9:O10"/>
    <mergeCell ref="A10:C10"/>
    <mergeCell ref="F10:G10"/>
    <mergeCell ref="H10:I10"/>
    <mergeCell ref="J10:K10"/>
    <mergeCell ref="N11:O11"/>
    <mergeCell ref="A12:C12"/>
    <mergeCell ref="D12:E12"/>
    <mergeCell ref="F12:G12"/>
    <mergeCell ref="H12:I12"/>
    <mergeCell ref="J12:K12"/>
    <mergeCell ref="L12:M12"/>
    <mergeCell ref="N12:O12"/>
    <mergeCell ref="A11:C11"/>
    <mergeCell ref="D11:E11"/>
    <mergeCell ref="F11:G11"/>
    <mergeCell ref="H11:I11"/>
    <mergeCell ref="J11:K11"/>
    <mergeCell ref="L11:M11"/>
    <mergeCell ref="N13:O13"/>
    <mergeCell ref="A14:C14"/>
    <mergeCell ref="D14:E14"/>
    <mergeCell ref="F14:G14"/>
    <mergeCell ref="H14:I14"/>
    <mergeCell ref="J14:K14"/>
    <mergeCell ref="L14:M14"/>
    <mergeCell ref="N14:O14"/>
    <mergeCell ref="A13:C13"/>
    <mergeCell ref="D13:E13"/>
    <mergeCell ref="F13:G13"/>
    <mergeCell ref="H13:I13"/>
    <mergeCell ref="J13:K13"/>
    <mergeCell ref="L13:M13"/>
    <mergeCell ref="N15:O15"/>
    <mergeCell ref="A16:C16"/>
    <mergeCell ref="D16:E16"/>
    <mergeCell ref="F16:G16"/>
    <mergeCell ref="H16:I16"/>
    <mergeCell ref="J16:K16"/>
    <mergeCell ref="L16:M16"/>
    <mergeCell ref="N16:O16"/>
    <mergeCell ref="A15:C15"/>
    <mergeCell ref="D15:E15"/>
    <mergeCell ref="F15:G15"/>
    <mergeCell ref="H15:I15"/>
    <mergeCell ref="J15:K15"/>
    <mergeCell ref="L15:M15"/>
    <mergeCell ref="N17:O17"/>
    <mergeCell ref="A18:C18"/>
    <mergeCell ref="D18:E18"/>
    <mergeCell ref="F18:G18"/>
    <mergeCell ref="H18:I18"/>
    <mergeCell ref="J18:K18"/>
    <mergeCell ref="L18:M18"/>
    <mergeCell ref="N18:O18"/>
    <mergeCell ref="A17:C17"/>
    <mergeCell ref="D17:E17"/>
    <mergeCell ref="F17:G17"/>
    <mergeCell ref="H17:I17"/>
    <mergeCell ref="J17:K17"/>
    <mergeCell ref="L17:M17"/>
    <mergeCell ref="N19:O19"/>
    <mergeCell ref="A20:C20"/>
    <mergeCell ref="D20:E20"/>
    <mergeCell ref="F20:G20"/>
    <mergeCell ref="H20:I20"/>
    <mergeCell ref="J20:K20"/>
    <mergeCell ref="L20:M20"/>
    <mergeCell ref="N20:O20"/>
    <mergeCell ref="A19:C19"/>
    <mergeCell ref="D19:E19"/>
    <mergeCell ref="F19:G19"/>
    <mergeCell ref="H19:I19"/>
    <mergeCell ref="J19:K19"/>
    <mergeCell ref="L19:M19"/>
    <mergeCell ref="N21:O21"/>
    <mergeCell ref="A22:C22"/>
    <mergeCell ref="D22:E22"/>
    <mergeCell ref="F22:G22"/>
    <mergeCell ref="H22:I22"/>
    <mergeCell ref="J22:K22"/>
    <mergeCell ref="L22:M22"/>
    <mergeCell ref="N22:O22"/>
    <mergeCell ref="A21:C21"/>
    <mergeCell ref="D21:E21"/>
    <mergeCell ref="F21:G21"/>
    <mergeCell ref="H21:I21"/>
    <mergeCell ref="J21:K21"/>
    <mergeCell ref="L21:M21"/>
    <mergeCell ref="N23:O23"/>
    <mergeCell ref="A24:C24"/>
    <mergeCell ref="D24:E24"/>
    <mergeCell ref="F24:G24"/>
    <mergeCell ref="H24:I24"/>
    <mergeCell ref="J24:K24"/>
    <mergeCell ref="L24:M24"/>
    <mergeCell ref="N24:O24"/>
    <mergeCell ref="A23:C23"/>
    <mergeCell ref="D23:E23"/>
    <mergeCell ref="F23:G23"/>
    <mergeCell ref="H23:I23"/>
    <mergeCell ref="J23:K23"/>
    <mergeCell ref="L23:M23"/>
  </mergeCells>
  <conditionalFormatting sqref="D11:M24">
    <cfRule type="cellIs" dxfId="207" priority="4" operator="equal">
      <formula>0</formula>
    </cfRule>
  </conditionalFormatting>
  <conditionalFormatting sqref="N11:O24">
    <cfRule type="cellIs" dxfId="206" priority="3" operator="equal">
      <formula>0</formula>
    </cfRule>
  </conditionalFormatting>
  <conditionalFormatting sqref="P15:Q23">
    <cfRule type="cellIs" dxfId="205" priority="2" operator="equal">
      <formula>0</formula>
    </cfRule>
  </conditionalFormatting>
  <conditionalFormatting sqref="P24:Q24">
    <cfRule type="cellIs" dxfId="204" priority="1" operator="equal">
      <formula>0</formula>
    </cfRule>
  </conditionalFormatting>
  <dataValidations count="1">
    <dataValidation type="whole" allowBlank="1" showInputMessage="1" showErrorMessage="1" errorTitle="Attention !" error="Valeur numérique attendue" sqref="D11:J14 L16:L22 D16:J22 L11:L14" xr:uid="{731B95A2-7F91-4A37-AD83-EB1EE6AA5F5A}">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ignoredErrors>
    <ignoredError sqref="N15" formula="1"/>
  </ignoredError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A322-4AC7-4119-8895-D3404A466AFB}">
  <sheetPr codeName="Feuil55">
    <tabColor theme="9" tint="0.39997558519241921"/>
    <pageSetUpPr fitToPage="1"/>
  </sheetPr>
  <dimension ref="A1:L26"/>
  <sheetViews>
    <sheetView showGridLines="0" showRowColHeaders="0" topLeftCell="A11" zoomScaleNormal="100" zoomScalePageLayoutView="120" workbookViewId="0">
      <selection activeCell="L23" sqref="L23"/>
    </sheetView>
  </sheetViews>
  <sheetFormatPr baseColWidth="10" defaultColWidth="11.5234375" defaultRowHeight="14.4"/>
  <cols>
    <col min="1" max="1" width="11.5234375" style="103"/>
    <col min="2" max="2" width="16.41796875" style="103" customWidth="1"/>
    <col min="3" max="3" width="20.41796875" style="103" customWidth="1"/>
    <col min="4" max="11" width="13.3125" style="103" customWidth="1"/>
    <col min="12" max="16384" width="11.5234375" style="103"/>
  </cols>
  <sheetData>
    <row r="1" spans="1:12">
      <c r="A1" s="1276" t="str">
        <f>"- "&amp;Code!K20&amp;" -"</f>
        <v>- 18 -</v>
      </c>
      <c r="B1" s="1276"/>
      <c r="C1" s="1276"/>
      <c r="D1" s="1276"/>
      <c r="E1" s="1276"/>
      <c r="F1" s="1276"/>
      <c r="G1" s="1276"/>
      <c r="H1" s="1276"/>
      <c r="I1" s="1276"/>
      <c r="J1" s="1276"/>
      <c r="K1" s="1277"/>
    </row>
    <row r="2" spans="1:12" ht="24.9" customHeight="1">
      <c r="A2" s="576"/>
      <c r="B2" s="576"/>
      <c r="C2" s="576"/>
      <c r="D2" s="576"/>
      <c r="E2" s="576"/>
      <c r="F2" s="576"/>
      <c r="G2" s="576"/>
      <c r="H2" s="118"/>
      <c r="I2" s="118"/>
      <c r="J2" s="1278" t="s">
        <v>1664</v>
      </c>
      <c r="K2" s="1279"/>
    </row>
    <row r="3" spans="1:12">
      <c r="A3" s="317" t="s">
        <v>50</v>
      </c>
      <c r="B3" s="317"/>
      <c r="C3" s="1842" t="str">
        <f>'NOTE 1'!C3</f>
        <v>OHADA</v>
      </c>
      <c r="D3" s="1842"/>
      <c r="E3" s="1842"/>
      <c r="F3" s="1842"/>
      <c r="G3" s="1842"/>
      <c r="H3" s="1842"/>
      <c r="I3" s="1842"/>
      <c r="J3" s="1280"/>
      <c r="K3" s="1280"/>
    </row>
    <row r="4" spans="1:12">
      <c r="A4" s="317" t="s">
        <v>51</v>
      </c>
      <c r="B4" s="1699" t="str">
        <f>'NOTE 1'!B4</f>
        <v/>
      </c>
      <c r="C4" s="1697"/>
      <c r="D4" s="1697"/>
      <c r="E4" s="1697"/>
      <c r="F4" s="1697"/>
      <c r="G4" s="1697"/>
      <c r="H4" s="1697"/>
      <c r="I4" s="1697"/>
      <c r="J4" s="887" t="s">
        <v>1021</v>
      </c>
      <c r="K4" s="628" t="str">
        <f>'NOTE 1'!I4</f>
        <v/>
      </c>
    </row>
    <row r="5" spans="1:12">
      <c r="A5" s="317" t="s">
        <v>1597</v>
      </c>
      <c r="B5" s="317"/>
      <c r="C5" s="1280" t="str">
        <f>'NOTE 1'!C5</f>
        <v/>
      </c>
      <c r="D5" s="1280"/>
      <c r="E5" s="1677" t="s">
        <v>54</v>
      </c>
      <c r="F5" s="1677"/>
      <c r="G5" s="1849">
        <f>'NOTE 1'!G5</f>
        <v>0</v>
      </c>
      <c r="H5" s="1849"/>
      <c r="I5" s="1849"/>
      <c r="J5" s="627" t="s">
        <v>1665</v>
      </c>
      <c r="K5" s="628">
        <f>'NOTE 1'!I5</f>
        <v>1</v>
      </c>
    </row>
    <row r="6" spans="1:12">
      <c r="A6" s="317" t="s">
        <v>1533</v>
      </c>
      <c r="B6" s="317"/>
      <c r="C6" s="1275" t="str">
        <f>'NOTE 1'!C6</f>
        <v/>
      </c>
      <c r="D6" s="1275"/>
      <c r="E6" s="629"/>
      <c r="F6" s="869"/>
      <c r="G6" s="630"/>
      <c r="H6" s="629"/>
      <c r="I6" s="629"/>
      <c r="J6" s="630"/>
      <c r="K6" s="630"/>
    </row>
    <row r="7" spans="1:12" ht="35.25" customHeight="1">
      <c r="A7" s="1273" t="s">
        <v>1666</v>
      </c>
      <c r="B7" s="1273"/>
      <c r="C7" s="1273"/>
      <c r="D7" s="1273"/>
      <c r="E7" s="1273"/>
      <c r="F7" s="1273"/>
      <c r="G7" s="1273"/>
      <c r="H7" s="1273"/>
      <c r="I7" s="1273"/>
      <c r="J7" s="1273"/>
      <c r="K7" s="1273"/>
    </row>
    <row r="8" spans="1:12">
      <c r="A8" s="1844" t="s">
        <v>1599</v>
      </c>
      <c r="B8" s="1845"/>
      <c r="C8" s="1846"/>
      <c r="D8" s="1847" t="s">
        <v>1261</v>
      </c>
      <c r="E8" s="1847"/>
      <c r="F8" s="1847" t="s">
        <v>1273</v>
      </c>
      <c r="G8" s="1847"/>
      <c r="H8" s="1770" t="s">
        <v>1276</v>
      </c>
      <c r="I8" s="1772"/>
      <c r="J8" s="1847" t="s">
        <v>1602</v>
      </c>
      <c r="K8" s="1847"/>
    </row>
    <row r="9" spans="1:12">
      <c r="A9" s="1832"/>
      <c r="B9" s="1833"/>
      <c r="C9" s="1834"/>
      <c r="D9" s="1838" t="s">
        <v>1667</v>
      </c>
      <c r="E9" s="1838"/>
      <c r="F9" s="1838" t="s">
        <v>1668</v>
      </c>
      <c r="G9" s="1838"/>
      <c r="H9" s="1838" t="s">
        <v>1669</v>
      </c>
      <c r="I9" s="1838"/>
      <c r="J9" s="1838" t="s">
        <v>1670</v>
      </c>
      <c r="K9" s="1838"/>
    </row>
    <row r="10" spans="1:12" ht="46.5" customHeight="1">
      <c r="A10" s="1839" t="s">
        <v>1609</v>
      </c>
      <c r="B10" s="1840"/>
      <c r="C10" s="1841"/>
      <c r="D10" s="1838"/>
      <c r="E10" s="1838"/>
      <c r="F10" s="1838"/>
      <c r="G10" s="1838"/>
      <c r="H10" s="1838"/>
      <c r="I10" s="1838"/>
      <c r="J10" s="1838"/>
      <c r="K10" s="1838"/>
    </row>
    <row r="11" spans="1:12" ht="17.25" customHeight="1">
      <c r="A11" s="1829" t="s">
        <v>1610</v>
      </c>
      <c r="B11" s="1830"/>
      <c r="C11" s="1831"/>
      <c r="D11" s="1823">
        <f>SUMIFS(BalanceN[BE_Credit],BalanceN[Table],"&gt;=29100",BalanceN[Table],"&lt;29120")+SUMIFS(BalanceN[BE_Credit],BalanceN[Table],"&gt;=29181",BalanceN[Table],"&lt;29182")+SUMIFS(BalanceN[BE_Credit],BalanceN[Table],"&gt;=29191",BalanceN[Table],"&lt;29192")</f>
        <v>0</v>
      </c>
      <c r="E11" s="1824"/>
      <c r="F11" s="1823">
        <f>SUMIFS(BalanceN[Mvt_Credit],BalanceN[Table],"&gt;=29100",BalanceN[Table],"&lt;29120")+SUMIFS(BalanceN[Mvt_Credit],BalanceN[Table],"&gt;=29181",BalanceN[Table],"&lt;29182")+SUMIFS(BalanceN[Mvt_Credit],BalanceN[Table],"&gt;=29191",BalanceN[Table],"&lt;29192")</f>
        <v>0</v>
      </c>
      <c r="G11" s="1824"/>
      <c r="H11" s="1823">
        <f>SUMIFS(BalanceN[Mvt_Debit],BalanceN[Table],"&gt;=29100",BalanceN[Table],"&lt;29120")+SUMIFS(BalanceN[Mvt_Debit],BalanceN[Table],"&gt;=29181",BalanceN[Table],"&lt;29182")+SUMIFS(BalanceN[Mvt_Debit],BalanceN[Table],"&gt;=29191",BalanceN[Table],"&lt;29192")</f>
        <v>0</v>
      </c>
      <c r="I11" s="1824"/>
      <c r="J11" s="1823"/>
      <c r="K11" s="1824"/>
    </row>
    <row r="12" spans="1:12" ht="17.25" customHeight="1">
      <c r="A12" s="1785" t="s">
        <v>1655</v>
      </c>
      <c r="B12" s="1655"/>
      <c r="C12" s="1825"/>
      <c r="D12" s="1823">
        <f>SUMIFS(BalanceN[BE_Credit],BalanceN[Table],"&gt;=29120",BalanceN[Table],"&lt;29150")+SUMIFS(BalanceN[BE_Credit],BalanceN[Table],"&gt;=29193",BalanceN[Table],"&lt;29194")</f>
        <v>0</v>
      </c>
      <c r="E12" s="1824"/>
      <c r="F12" s="1823">
        <f>SUMIFS(BalanceN[Mvt_Credit],BalanceN[Table],"&gt;=29120",BalanceN[Table],"&lt;29150")+SUMIFS(BalanceN[Mvt_Credit],BalanceN[Table],"&gt;=29193",BalanceN[Table],"&lt;29194")</f>
        <v>0</v>
      </c>
      <c r="G12" s="1824"/>
      <c r="H12" s="1823">
        <f>SUMIFS(BalanceN[Mvt_Debit],BalanceN[Table],"&gt;=29120",BalanceN[Table],"&lt;29150")+SUMIFS(BalanceN[Mvt_Debit],BalanceN[Table],"&gt;=29193",BalanceN[Table],"&lt;29194")</f>
        <v>0</v>
      </c>
      <c r="I12" s="1824"/>
      <c r="J12" s="1823">
        <f>D12+F12-H12</f>
        <v>0</v>
      </c>
      <c r="K12" s="1824"/>
    </row>
    <row r="13" spans="1:12" ht="17.25" customHeight="1">
      <c r="A13" s="1785" t="s">
        <v>1135</v>
      </c>
      <c r="B13" s="1655"/>
      <c r="C13" s="1825"/>
      <c r="D13" s="1823">
        <f>SUMIFS(BalanceN[BE_Credit],BalanceN[Table],"&gt;=29150",BalanceN[Table],"&lt;29170")</f>
        <v>0</v>
      </c>
      <c r="E13" s="1824"/>
      <c r="F13" s="1823">
        <f>SUMIFS(BalanceN[Mvt_Credit],BalanceN[Table],"&gt;=29150",BalanceN[Table],"&lt;29170")</f>
        <v>0</v>
      </c>
      <c r="G13" s="1824"/>
      <c r="H13" s="1823">
        <f>SUMIFS(BalanceN[Mvt_Debit],BalanceN[Table],"&gt;=29150",BalanceN[Table],"&lt;29170")</f>
        <v>0</v>
      </c>
      <c r="I13" s="1824"/>
      <c r="J13" s="1823">
        <f>D13+F13-H13</f>
        <v>0</v>
      </c>
      <c r="K13" s="1824"/>
    </row>
    <row r="14" spans="1:12" ht="17.25" customHeight="1">
      <c r="A14" s="1785" t="s">
        <v>1238</v>
      </c>
      <c r="B14" s="1655"/>
      <c r="C14" s="1825"/>
      <c r="D14" s="1823">
        <f>SUMIFS(BalanceN[BE_Credit],BalanceN[Table],"&gt;=29170",BalanceN[Table],"&lt;29180")+SUMIFS(BalanceN[BE_Credit],BalanceN[Table],"&gt;=29182",BalanceN[Table],"&lt;29190")+SUMIFS(BalanceN[BE_Credit],BalanceN[Table],"&gt;=29198",BalanceN[Table],"&lt;29199")</f>
        <v>0</v>
      </c>
      <c r="E14" s="1824"/>
      <c r="F14" s="1823">
        <f>SUMIFS(BalanceN[Mvt_Credit],BalanceN[Table],"&gt;=29170",BalanceN[Table],"&lt;29180")+SUMIFS(BalanceN[Mvt_Credit],BalanceN[Table],"&gt;=29182",BalanceN[Table],"&lt;29190")+SUMIFS(BalanceN[Mvt_Credit],BalanceN[Table],"&gt;=29198",BalanceN[Table],"&lt;29199")</f>
        <v>0</v>
      </c>
      <c r="G14" s="1824"/>
      <c r="H14" s="1823">
        <f>SUMIFS(BalanceN[Mvt_Debit],BalanceN[Table],"&gt;=29170",BalanceN[Table],"&lt;29180")+SUMIFS(BalanceN[Mvt_Debit],BalanceN[Table],"&gt;=29182",BalanceN[Table],"&lt;29190")+SUMIFS(BalanceN[Mvt_Debit],BalanceN[Table],"&gt;=29198",BalanceN[Table],"&lt;29199")</f>
        <v>0</v>
      </c>
      <c r="I14" s="1824"/>
      <c r="J14" s="1823">
        <f>D14+F14-H14</f>
        <v>0</v>
      </c>
      <c r="K14" s="1824"/>
    </row>
    <row r="15" spans="1:12" ht="17.25" customHeight="1">
      <c r="A15" s="1820" t="s">
        <v>1236</v>
      </c>
      <c r="B15" s="1821"/>
      <c r="C15" s="1822"/>
      <c r="D15" s="1813">
        <f>SUM(D11:E14)</f>
        <v>0</v>
      </c>
      <c r="E15" s="1814"/>
      <c r="F15" s="1813">
        <f>SUM(F11:G14)</f>
        <v>0</v>
      </c>
      <c r="G15" s="1814"/>
      <c r="H15" s="1813">
        <f>SUM(H11:I14)</f>
        <v>0</v>
      </c>
      <c r="I15" s="1814"/>
      <c r="J15" s="1813">
        <f>SUM(J11:K14)</f>
        <v>0</v>
      </c>
      <c r="K15" s="1814"/>
      <c r="L15" s="103" t="str">
        <f>IF(F15=SUMIFS(BalanceN[BS_Debit],BalanceN[Table],"&gt;=69130",BalanceN[Table],"&lt;69140"),"","Veuiller vérifier les dépréciations des "&amp;A15)</f>
        <v/>
      </c>
    </row>
    <row r="16" spans="1:12" ht="17.25" customHeight="1">
      <c r="A16" s="1785" t="s">
        <v>1656</v>
      </c>
      <c r="B16" s="1655"/>
      <c r="C16" s="1825"/>
      <c r="D16" s="1823">
        <f>SUMIFS(BalanceN[BE_Credit],BalanceN[Table],"&gt;=29200",BalanceN[Table],"&lt;29300")-(SUMIFS(BalanceN[BS_Credit],BalanceN[Table],"&gt;=29821",BalanceN[Table],"&lt;29282"))</f>
        <v>0</v>
      </c>
      <c r="E16" s="1824"/>
      <c r="F16" s="1823">
        <f>SUMIFS(BalanceN[Mvt_Credit],BalanceN[Table],"&gt;=29200",BalanceN[Table],"&lt;29300")-(SUMIFS(BalanceN[Mvt_Credit],BalanceN[Table],"&gt;=29821",BalanceN[Table],"&lt;29282"))</f>
        <v>0</v>
      </c>
      <c r="G16" s="1824"/>
      <c r="H16" s="1823">
        <f>SUMIFS(BalanceN[Mvt_Debit],BalanceN[Table],"&gt;=29200",BalanceN[Table],"&lt;29300")-(SUMIFS(BalanceN[Mvt_Debit],BalanceN[Table],"&gt;=29821",BalanceN[Table],"&lt;29282"))</f>
        <v>0</v>
      </c>
      <c r="I16" s="1824"/>
      <c r="J16" s="1823">
        <f>D16+F16-H16</f>
        <v>0</v>
      </c>
      <c r="K16" s="1824"/>
    </row>
    <row r="17" spans="1:12" ht="17.25" customHeight="1">
      <c r="A17" s="1785" t="s">
        <v>1657</v>
      </c>
      <c r="B17" s="1655"/>
      <c r="C17" s="1825"/>
      <c r="D17" s="1823">
        <f>SUMIFS(BalanceN[BS_Credit],BalanceN[Table],"&gt;=29821",BalanceN[Table],"&lt;29282")</f>
        <v>0</v>
      </c>
      <c r="E17" s="1824"/>
      <c r="F17" s="1823">
        <f>SUMIFS(BalanceN[Mvt_Credit],BalanceN[Table],"&gt;=29821",BalanceN[Table],"&lt;29282")</f>
        <v>0</v>
      </c>
      <c r="G17" s="1824"/>
      <c r="H17" s="1823">
        <f>SUMIFS(BalanceN[Mvt_Debit],BalanceN[Table],"&gt;=29821",BalanceN[Table],"&lt;29282")</f>
        <v>0</v>
      </c>
      <c r="I17" s="1824"/>
      <c r="J17" s="1823">
        <f t="shared" ref="J17:J22" si="0">D17+F17-H17</f>
        <v>0</v>
      </c>
      <c r="K17" s="1824"/>
    </row>
    <row r="18" spans="1:12" ht="17.25" customHeight="1">
      <c r="A18" s="1785" t="s">
        <v>1658</v>
      </c>
      <c r="B18" s="1655"/>
      <c r="C18" s="1825"/>
      <c r="D18" s="1823">
        <f>SUMIFS(BalanceN[BE_Credit],BalanceN[Table],"&gt;=29310",BalanceN[Table],"&lt;29340")+SUMIFS(BalanceN[BE_Credit],BalanceN[Table],"&gt;=29370",BalanceN[Table],"&lt;29380")+SUMIFS(BalanceN[BE_Credit],BalanceN[Table],"&gt;=29391",BalanceN[Table],"&lt;29392")-(SUMIFS(BalanceN[BS_Credit],BalanceN[Table],"&gt;=29315",BalanceN[Table],"&lt;29316")+SUMIFS(BalanceN[BS_Credit],BalanceN[Table],"&gt;=29325",BalanceN[Table],"&lt;29326"))</f>
        <v>0</v>
      </c>
      <c r="E18" s="1824"/>
      <c r="F18" s="1823">
        <f>SUMIFS(BalanceN[Mvt_Credit],BalanceN[Table],"&gt;=29310",BalanceN[Table],"&lt;29340")+SUMIFS(BalanceN[Mvt_Credit],BalanceN[Table],"&gt;=29370",BalanceN[Table],"&lt;29380")+SUMIFS(BalanceN[Mvt_Credit],BalanceN[Table],"&gt;=29391",BalanceN[Table],"&lt;29392")-(SUMIFS(BalanceN[Mvt_Credit],BalanceN[Table],"&gt;=29315",BalanceN[Table],"&lt;29316")+SUMIFS(BalanceN[Mvt_Credit],BalanceN[Table],"&gt;=29325",BalanceN[Table],"&lt;29326"))</f>
        <v>0</v>
      </c>
      <c r="G18" s="1824"/>
      <c r="H18" s="1823">
        <f>SUMIFS(BalanceN[Mvt_Debit],BalanceN[Table],"&gt;=29310",BalanceN[Table],"&lt;29340")+SUMIFS(BalanceN[Mvt_Debit],BalanceN[Table],"&gt;=29370",BalanceN[Table],"&lt;29380")+SUMIFS(BalanceN[Mvt_Debit],BalanceN[Table],"&gt;=29391",BalanceN[Table],"&lt;29392")-(SUMIFS(BalanceN[Mvt_Debit],BalanceN[Table],"&gt;=29315",BalanceN[Table],"&lt;29316")+SUMIFS(BalanceN[Mvt_Debit],BalanceN[Table],"&gt;=29325",BalanceN[Table],"&lt;29326"))</f>
        <v>0</v>
      </c>
      <c r="I18" s="1824"/>
      <c r="J18" s="1823">
        <f t="shared" si="0"/>
        <v>0</v>
      </c>
      <c r="K18" s="1824"/>
    </row>
    <row r="19" spans="1:12" ht="17.25" customHeight="1">
      <c r="A19" s="1785" t="s">
        <v>1659</v>
      </c>
      <c r="B19" s="1655"/>
      <c r="C19" s="1825"/>
      <c r="D19" s="1823">
        <f>SUMIFS(BalanceN[BS_Credit],BalanceN[Table],"&gt;=29315",BalanceN[Table],"&lt;29316")+SUMIFS(BalanceN[BS_Credit],BalanceN[Table],"&gt;=29325",BalanceN[Table],"&lt;29326")</f>
        <v>0</v>
      </c>
      <c r="E19" s="1824"/>
      <c r="F19" s="1823">
        <f>SUMIFS(BalanceN[Mvt_Credit],BalanceN[Table],"&gt;=29315",BalanceN[Table],"&lt;29316")+SUMIFS(BalanceN[Mvt_Credit],BalanceN[Table],"&gt;=29325",BalanceN[Table],"&lt;29326")</f>
        <v>0</v>
      </c>
      <c r="G19" s="1824"/>
      <c r="H19" s="1823">
        <f>SUMIFS(BalanceN[Mvt_Debit],BalanceN[Table],"&gt;=29315",BalanceN[Table],"&lt;29316")+SUMIFS(BalanceN[Mvt_Debit],BalanceN[Table],"&gt;=29325",BalanceN[Table],"&lt;29326")</f>
        <v>0</v>
      </c>
      <c r="I19" s="1824"/>
      <c r="J19" s="1823">
        <f t="shared" si="0"/>
        <v>0</v>
      </c>
      <c r="K19" s="1824"/>
    </row>
    <row r="20" spans="1:12" ht="17.25" customHeight="1">
      <c r="A20" s="1785" t="s">
        <v>1660</v>
      </c>
      <c r="B20" s="1655"/>
      <c r="C20" s="1825"/>
      <c r="D20" s="1823">
        <f>SUMIFS(BalanceN[BE_Credit],BalanceN[Table],"&gt;=29340",BalanceN[Table],"&lt;29360")+SUMIFS(BalanceN[BE_Credit],BalanceN[Table],"&gt;=29380",BalanceN[Table],"&lt;29390")+SUMIFS(BalanceN[BE_Credit],BalanceN[Table],"&gt;=29392",BalanceN[Table],"&lt;29400")</f>
        <v>0</v>
      </c>
      <c r="E20" s="1824"/>
      <c r="F20" s="1823">
        <f>SUMIFS(BalanceN[Mvt_Credit],BalanceN[Table],"&gt;=29340",BalanceN[Table],"&lt;29360")+SUMIFS(BalanceN[Mvt_Credit],BalanceN[Table],"&gt;=29380",BalanceN[Table],"&lt;29390")+SUMIFS(BalanceN[Mvt_Credit],BalanceN[Table],"&gt;=29392",BalanceN[Table],"&lt;29400")</f>
        <v>0</v>
      </c>
      <c r="G20" s="1824"/>
      <c r="H20" s="1823">
        <f>SUMIFS(BalanceN[Mvt_Debit],BalanceN[Table],"&gt;=29340",BalanceN[Table],"&lt;29360")+SUMIFS(BalanceN[Mvt_Debit],BalanceN[Table],"&gt;=29380",BalanceN[Table],"&lt;29390")+SUMIFS(BalanceN[Mvt_Debit],BalanceN[Table],"&gt;=29392",BalanceN[Table],"&lt;29400")</f>
        <v>0</v>
      </c>
      <c r="I20" s="1824"/>
      <c r="J20" s="1823">
        <f t="shared" si="0"/>
        <v>0</v>
      </c>
      <c r="K20" s="1824"/>
    </row>
    <row r="21" spans="1:12" ht="17.25" customHeight="1">
      <c r="A21" s="1785" t="s">
        <v>1158</v>
      </c>
      <c r="B21" s="1655"/>
      <c r="C21" s="1825"/>
      <c r="D21" s="1823">
        <f>SUMIFS(BalanceN[BE_Credit],BalanceN[Table],"&gt;=29400",BalanceN[Table],"&lt;29450")+SUMIFS(BalanceN[BE_Credit],BalanceN[Table],"&gt;=29460",BalanceN[Table],"&lt;29495")+SUMIFS(BalanceN[BE_Credit],BalanceN[Table],"&gt;=29496",BalanceN[Table],"&lt;29500")</f>
        <v>0</v>
      </c>
      <c r="E21" s="1824"/>
      <c r="F21" s="1823">
        <f>SUMIFS(BalanceN[Mvt_Credit],BalanceN[Table],"&gt;=29400",BalanceN[Table],"&lt;29450")+SUMIFS(BalanceN[Mvt_Credit],BalanceN[Table],"&gt;=29460",BalanceN[Table],"&lt;29495")+SUMIFS(BalanceN[Mvt_Credit],BalanceN[Table],"&gt;=29496",BalanceN[Table],"&lt;29500")</f>
        <v>0</v>
      </c>
      <c r="G21" s="1824"/>
      <c r="H21" s="1823">
        <f>SUMIFS(BalanceN[Mvt_Debit],BalanceN[Table],"&gt;=29400",BalanceN[Table],"&lt;29450")+SUMIFS(BalanceN[Mvt_Debit],BalanceN[Table],"&gt;=29460",BalanceN[Table],"&lt;29495")+SUMIFS(BalanceN[Mvt_Debit],BalanceN[Table],"&gt;=29496",BalanceN[Table],"&lt;29500")</f>
        <v>0</v>
      </c>
      <c r="I21" s="1824"/>
      <c r="J21" s="1823">
        <f t="shared" si="0"/>
        <v>0</v>
      </c>
      <c r="K21" s="1824"/>
    </row>
    <row r="22" spans="1:12" ht="17.25" customHeight="1">
      <c r="A22" s="1785" t="s">
        <v>1162</v>
      </c>
      <c r="B22" s="1655"/>
      <c r="C22" s="1825"/>
      <c r="D22" s="1823">
        <f>SUMIFS(BalanceN[BE_Credit],BalanceN[Table],"&gt;=29450",BalanceN[Table],"&lt;29460")+SUMIFS(BalanceN[BE_Credit],BalanceN[Table],"&gt;=29495",BalanceN[Table],"&lt;29496")</f>
        <v>0</v>
      </c>
      <c r="E22" s="1824"/>
      <c r="F22" s="1823">
        <f>SUMIFS(BalanceN[Mvt_Credit],BalanceN[Table],"&gt;=29450",BalanceN[Table],"&lt;29460")+SUMIFS(BalanceN[Mvt_Credit],BalanceN[Table],"&gt;=29495",BalanceN[Table],"&lt;29496")</f>
        <v>0</v>
      </c>
      <c r="G22" s="1824"/>
      <c r="H22" s="1823">
        <f>SUMIFS(BalanceN[Mvt_Debit],BalanceN[Table],"&gt;=29450",BalanceN[Table],"&lt;29460")+SUMIFS(BalanceN[Mvt_Debit],BalanceN[Table],"&gt;=29495",BalanceN[Table],"&lt;29496")</f>
        <v>0</v>
      </c>
      <c r="I22" s="1824"/>
      <c r="J22" s="1823">
        <f t="shared" si="0"/>
        <v>0</v>
      </c>
      <c r="K22" s="1824"/>
    </row>
    <row r="23" spans="1:12" ht="17.25" customHeight="1">
      <c r="A23" s="1820" t="s">
        <v>1239</v>
      </c>
      <c r="B23" s="1821"/>
      <c r="C23" s="1822"/>
      <c r="D23" s="1813">
        <f>SUM(D16:E22)</f>
        <v>0</v>
      </c>
      <c r="E23" s="1814"/>
      <c r="F23" s="1813">
        <f>SUM(F16:G22)</f>
        <v>0</v>
      </c>
      <c r="G23" s="1814"/>
      <c r="H23" s="1813">
        <f>SUM(H16:I22)</f>
        <v>0</v>
      </c>
      <c r="I23" s="1814"/>
      <c r="J23" s="1813">
        <f>SUM(J16:K22)</f>
        <v>0</v>
      </c>
      <c r="K23" s="1814"/>
      <c r="L23" s="103" t="str">
        <f>IF(F23=SUMIFS(BalanceN[BS_Debit],BalanceN[Table],"&gt;=69140",BalanceN[Table],"&lt;69150"),"","Veuiller vérifier les dépréciations des "&amp;A23)</f>
        <v/>
      </c>
    </row>
    <row r="24" spans="1:12" ht="17.25" customHeight="1">
      <c r="A24" s="1815" t="s">
        <v>1232</v>
      </c>
      <c r="B24" s="1816"/>
      <c r="C24" s="1817"/>
      <c r="D24" s="1818">
        <f>D15+D23</f>
        <v>0</v>
      </c>
      <c r="E24" s="1819"/>
      <c r="F24" s="1818">
        <f>F15+F23</f>
        <v>0</v>
      </c>
      <c r="G24" s="1819"/>
      <c r="H24" s="1818">
        <f>H15+H23</f>
        <v>0</v>
      </c>
      <c r="I24" s="1819"/>
      <c r="J24" s="1818">
        <f>J15+J23</f>
        <v>0</v>
      </c>
      <c r="K24" s="1819"/>
    </row>
    <row r="25" spans="1:12" s="653" customFormat="1" ht="10.5">
      <c r="A25" s="798" t="s">
        <v>1618</v>
      </c>
      <c r="B25" s="793"/>
      <c r="C25" s="793"/>
      <c r="D25" s="793"/>
      <c r="E25" s="793"/>
      <c r="F25" s="793"/>
      <c r="G25" s="793"/>
      <c r="H25" s="793"/>
      <c r="I25" s="793"/>
      <c r="J25" s="793"/>
      <c r="K25" s="793"/>
    </row>
    <row r="26" spans="1:12" s="653" customFormat="1" ht="10.5">
      <c r="A26" s="888" t="s">
        <v>1671</v>
      </c>
      <c r="B26" s="793"/>
      <c r="C26" s="793"/>
      <c r="D26" s="793"/>
      <c r="E26" s="793"/>
      <c r="F26" s="793"/>
      <c r="G26" s="793"/>
      <c r="H26" s="793"/>
      <c r="I26" s="793"/>
      <c r="J26" s="793"/>
      <c r="K26" s="793"/>
    </row>
  </sheetData>
  <sheetProtection algorithmName="SHA-512" hashValue="0LQewnceZf7nDUeWbrBlnZRBpghK52XmbO7bc+xAJL8PWOZyQHSnZS0XtCilQEV4cMqJIqRyTPKGkya8CAOHgA==" saltValue="DnVUTU4yVuDsu5LwFHXM9g==" spinCount="100000" sheet="1" objects="1" scenarios="1" selectLockedCells="1"/>
  <mergeCells count="90">
    <mergeCell ref="A1:K1"/>
    <mergeCell ref="J2:K2"/>
    <mergeCell ref="C3:K3"/>
    <mergeCell ref="B4:I4"/>
    <mergeCell ref="C5:D5"/>
    <mergeCell ref="E5:F5"/>
    <mergeCell ref="G5:I5"/>
    <mergeCell ref="C6:D6"/>
    <mergeCell ref="A7:K7"/>
    <mergeCell ref="A8:C8"/>
    <mergeCell ref="D8:E8"/>
    <mergeCell ref="F8:G8"/>
    <mergeCell ref="H8:I8"/>
    <mergeCell ref="J8:K8"/>
    <mergeCell ref="A9:C9"/>
    <mergeCell ref="D9:E10"/>
    <mergeCell ref="F9:G10"/>
    <mergeCell ref="H9:I10"/>
    <mergeCell ref="J9:K10"/>
    <mergeCell ref="A10:C10"/>
    <mergeCell ref="A12:C12"/>
    <mergeCell ref="D12:E12"/>
    <mergeCell ref="F12:G12"/>
    <mergeCell ref="H12:I12"/>
    <mergeCell ref="J12:K12"/>
    <mergeCell ref="A11:C11"/>
    <mergeCell ref="D11:E11"/>
    <mergeCell ref="F11:G11"/>
    <mergeCell ref="H11:I11"/>
    <mergeCell ref="J11:K11"/>
    <mergeCell ref="A14:C14"/>
    <mergeCell ref="D14:E14"/>
    <mergeCell ref="F14:G14"/>
    <mergeCell ref="H14:I14"/>
    <mergeCell ref="J14:K14"/>
    <mergeCell ref="A13:C13"/>
    <mergeCell ref="D13:E13"/>
    <mergeCell ref="F13:G13"/>
    <mergeCell ref="H13:I13"/>
    <mergeCell ref="J13:K13"/>
    <mergeCell ref="A16:C16"/>
    <mergeCell ref="D16:E16"/>
    <mergeCell ref="F16:G16"/>
    <mergeCell ref="H16:I16"/>
    <mergeCell ref="J16:K16"/>
    <mergeCell ref="A15:C15"/>
    <mergeCell ref="D15:E15"/>
    <mergeCell ref="F15:G15"/>
    <mergeCell ref="H15:I15"/>
    <mergeCell ref="J15:K15"/>
    <mergeCell ref="A18:C18"/>
    <mergeCell ref="D18:E18"/>
    <mergeCell ref="F18:G18"/>
    <mergeCell ref="H18:I18"/>
    <mergeCell ref="J18:K18"/>
    <mergeCell ref="A17:C17"/>
    <mergeCell ref="D17:E17"/>
    <mergeCell ref="F17:G17"/>
    <mergeCell ref="H17:I17"/>
    <mergeCell ref="J17:K17"/>
    <mergeCell ref="A20:C20"/>
    <mergeCell ref="D20:E20"/>
    <mergeCell ref="F20:G20"/>
    <mergeCell ref="H20:I20"/>
    <mergeCell ref="J20:K20"/>
    <mergeCell ref="A19:C19"/>
    <mergeCell ref="D19:E19"/>
    <mergeCell ref="F19:G19"/>
    <mergeCell ref="H19:I19"/>
    <mergeCell ref="J19:K19"/>
    <mergeCell ref="A22:C22"/>
    <mergeCell ref="D22:E22"/>
    <mergeCell ref="F22:G22"/>
    <mergeCell ref="H22:I22"/>
    <mergeCell ref="J22:K22"/>
    <mergeCell ref="A21:C21"/>
    <mergeCell ref="D21:E21"/>
    <mergeCell ref="F21:G21"/>
    <mergeCell ref="H21:I21"/>
    <mergeCell ref="J21:K21"/>
    <mergeCell ref="A24:C24"/>
    <mergeCell ref="D24:E24"/>
    <mergeCell ref="F24:G24"/>
    <mergeCell ref="H24:I24"/>
    <mergeCell ref="J24:K24"/>
    <mergeCell ref="A23:C23"/>
    <mergeCell ref="D23:E23"/>
    <mergeCell ref="F23:G23"/>
    <mergeCell ref="H23:I23"/>
    <mergeCell ref="J23:K23"/>
  </mergeCells>
  <conditionalFormatting sqref="D11:K14">
    <cfRule type="cellIs" dxfId="203" priority="3" operator="equal">
      <formula>0</formula>
    </cfRule>
  </conditionalFormatting>
  <conditionalFormatting sqref="D16:I22">
    <cfRule type="cellIs" dxfId="202" priority="2" operator="equal">
      <formula>0</formula>
    </cfRule>
  </conditionalFormatting>
  <conditionalFormatting sqref="D11:K24">
    <cfRule type="cellIs" dxfId="201" priority="1" operator="equal">
      <formula>0</formula>
    </cfRule>
  </conditionalFormatting>
  <dataValidations count="1">
    <dataValidation type="whole" allowBlank="1" showInputMessage="1" showErrorMessage="1" errorTitle="Attention !" error="Valeur numérique attendue" sqref="D11:I14 D16:I22" xr:uid="{DD1D5DCA-C1B8-4318-9248-EFADA9EA459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landscape" r:id="rId1"/>
  <ignoredErrors>
    <ignoredError sqref="J15" 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EA0CE-0C09-4136-902E-93E566B4C3F8}">
  <sheetPr codeName="Feuil21">
    <tabColor theme="9" tint="0.39997558519241921"/>
    <pageSetUpPr fitToPage="1"/>
  </sheetPr>
  <dimension ref="A1:J26"/>
  <sheetViews>
    <sheetView showGridLines="0" showRowColHeaders="0" zoomScaleNormal="100" workbookViewId="0">
      <selection activeCell="G13" sqref="G13"/>
    </sheetView>
  </sheetViews>
  <sheetFormatPr baseColWidth="10" defaultColWidth="11.5234375" defaultRowHeight="14.4"/>
  <cols>
    <col min="1" max="1" width="11.5234375" style="103"/>
    <col min="2" max="2" width="17" style="103" customWidth="1"/>
    <col min="3" max="3" width="27.68359375" style="103" customWidth="1"/>
    <col min="4" max="8" width="17.3125" style="103" customWidth="1"/>
    <col min="9" max="16384" width="11.5234375" style="103"/>
  </cols>
  <sheetData>
    <row r="1" spans="1:10">
      <c r="A1" s="1276" t="str">
        <f>"- "&amp;Code!K21&amp;" -"</f>
        <v>- 18 -</v>
      </c>
      <c r="B1" s="1276"/>
      <c r="C1" s="1276"/>
      <c r="D1" s="1276"/>
      <c r="E1" s="1276"/>
      <c r="F1" s="1276"/>
      <c r="G1" s="1276"/>
      <c r="H1" s="1276"/>
    </row>
    <row r="2" spans="1:10" ht="24.9" customHeight="1">
      <c r="A2" s="576"/>
      <c r="B2" s="576"/>
      <c r="C2" s="576"/>
      <c r="D2" s="576"/>
      <c r="E2" s="576"/>
      <c r="F2" s="576"/>
      <c r="G2" s="1278" t="s">
        <v>1672</v>
      </c>
      <c r="H2" s="1279"/>
    </row>
    <row r="3" spans="1:10" s="844" customFormat="1" ht="15" customHeight="1">
      <c r="A3" s="317" t="s">
        <v>50</v>
      </c>
      <c r="B3" s="317"/>
      <c r="C3" s="1280" t="str">
        <f>'NOTE 1'!C3</f>
        <v>OHADA</v>
      </c>
      <c r="D3" s="1280"/>
      <c r="E3" s="1280"/>
      <c r="F3" s="1280"/>
      <c r="G3" s="1280"/>
      <c r="H3" s="1280"/>
    </row>
    <row r="4" spans="1:10" s="844" customFormat="1" ht="15" customHeight="1">
      <c r="A4" s="317" t="s">
        <v>51</v>
      </c>
      <c r="B4" s="1280" t="str">
        <f>'NOTE 1'!B4</f>
        <v/>
      </c>
      <c r="C4" s="1280"/>
      <c r="D4" s="1280"/>
      <c r="E4" s="1280"/>
      <c r="F4" s="1280"/>
      <c r="G4" s="627" t="s">
        <v>1021</v>
      </c>
      <c r="H4" s="628" t="str">
        <f>'NOTE 1'!I4</f>
        <v/>
      </c>
    </row>
    <row r="5" spans="1:10" s="844" customFormat="1" ht="15" customHeight="1">
      <c r="A5" s="317" t="s">
        <v>1597</v>
      </c>
      <c r="B5" s="317"/>
      <c r="C5" s="879" t="str">
        <f>'NOTE 1'!C5</f>
        <v/>
      </c>
      <c r="D5" s="642" t="s">
        <v>54</v>
      </c>
      <c r="E5" s="1648">
        <f>'NOTE 1'!G5</f>
        <v>0</v>
      </c>
      <c r="F5" s="1648"/>
      <c r="G5" s="627" t="s">
        <v>55</v>
      </c>
      <c r="H5" s="630">
        <f>'NOTE 1'!I5</f>
        <v>1</v>
      </c>
    </row>
    <row r="6" spans="1:10" s="844" customFormat="1" ht="15" customHeight="1">
      <c r="A6" s="317" t="s">
        <v>56</v>
      </c>
      <c r="B6" s="317"/>
      <c r="C6" s="1683" t="str">
        <f>'NOTE 1'!C6</f>
        <v/>
      </c>
      <c r="D6" s="1683"/>
      <c r="E6" s="1683"/>
      <c r="F6" s="1683"/>
      <c r="G6" s="1683"/>
      <c r="H6" s="1683"/>
    </row>
    <row r="7" spans="1:10" ht="35.25" customHeight="1">
      <c r="A7" s="1788" t="s">
        <v>1673</v>
      </c>
      <c r="B7" s="1788"/>
      <c r="C7" s="1788"/>
      <c r="D7" s="1788"/>
      <c r="E7" s="1788"/>
      <c r="F7" s="1788"/>
      <c r="G7" s="1788"/>
      <c r="H7" s="1788"/>
      <c r="I7" s="844"/>
      <c r="J7" s="844"/>
    </row>
    <row r="8" spans="1:10" s="653" customFormat="1" ht="37.5" customHeight="1">
      <c r="A8" s="1810" t="s">
        <v>1599</v>
      </c>
      <c r="B8" s="1811"/>
      <c r="C8" s="1850"/>
      <c r="D8" s="884" t="s">
        <v>1674</v>
      </c>
      <c r="E8" s="884" t="s">
        <v>1675</v>
      </c>
      <c r="F8" s="884" t="s">
        <v>1676</v>
      </c>
      <c r="G8" s="884" t="s">
        <v>1677</v>
      </c>
      <c r="H8" s="884" t="s">
        <v>1678</v>
      </c>
      <c r="I8" s="844"/>
      <c r="J8" s="844"/>
    </row>
    <row r="9" spans="1:10" s="653" customFormat="1" ht="20.25" customHeight="1">
      <c r="A9" s="1803" t="s">
        <v>1609</v>
      </c>
      <c r="B9" s="1804"/>
      <c r="C9" s="1805"/>
      <c r="D9" s="870" t="s">
        <v>1261</v>
      </c>
      <c r="E9" s="870" t="s">
        <v>1273</v>
      </c>
      <c r="F9" s="870" t="s">
        <v>1679</v>
      </c>
      <c r="G9" s="870" t="s">
        <v>1279</v>
      </c>
      <c r="H9" s="870" t="s">
        <v>1680</v>
      </c>
    </row>
    <row r="10" spans="1:10" s="593" customFormat="1" ht="17.25" customHeight="1">
      <c r="A10" s="1785" t="s">
        <v>1127</v>
      </c>
      <c r="B10" s="1655"/>
      <c r="C10" s="1825"/>
      <c r="D10" s="358">
        <f>'NOTE 3A'!H12</f>
        <v>0</v>
      </c>
      <c r="E10" s="358">
        <f>'NOTE 3C'!H11</f>
        <v>0</v>
      </c>
      <c r="F10" s="358">
        <f>D10-E10</f>
        <v>0</v>
      </c>
      <c r="G10" s="346"/>
      <c r="H10" s="358">
        <f>G10-F10</f>
        <v>0</v>
      </c>
    </row>
    <row r="11" spans="1:10" s="593" customFormat="1" ht="17.25" customHeight="1">
      <c r="A11" s="1785" t="s">
        <v>1655</v>
      </c>
      <c r="B11" s="1655"/>
      <c r="C11" s="1825"/>
      <c r="D11" s="358">
        <f>'NOTE 3A'!H13</f>
        <v>0</v>
      </c>
      <c r="E11" s="358">
        <f>'NOTE 3C'!H12</f>
        <v>0</v>
      </c>
      <c r="F11" s="358">
        <f>D11-E11</f>
        <v>0</v>
      </c>
      <c r="G11" s="346"/>
      <c r="H11" s="358">
        <f>G11-F11</f>
        <v>0</v>
      </c>
    </row>
    <row r="12" spans="1:10" s="593" customFormat="1" ht="17.25" customHeight="1">
      <c r="A12" s="1785" t="s">
        <v>1135</v>
      </c>
      <c r="B12" s="1655"/>
      <c r="C12" s="1825"/>
      <c r="D12" s="358">
        <f>'NOTE 3A'!H14</f>
        <v>0</v>
      </c>
      <c r="E12" s="358">
        <f>'NOTE 3C'!H13</f>
        <v>0</v>
      </c>
      <c r="F12" s="358">
        <f>D12-E12</f>
        <v>0</v>
      </c>
      <c r="G12" s="346"/>
      <c r="H12" s="358">
        <f>G12-F12</f>
        <v>0</v>
      </c>
    </row>
    <row r="13" spans="1:10" s="593" customFormat="1" ht="17.25" customHeight="1">
      <c r="A13" s="1785" t="s">
        <v>1238</v>
      </c>
      <c r="B13" s="1655"/>
      <c r="C13" s="1825"/>
      <c r="D13" s="358">
        <f>'NOTE 3A'!H15</f>
        <v>0</v>
      </c>
      <c r="E13" s="358">
        <f>'NOTE 3C'!H14</f>
        <v>0</v>
      </c>
      <c r="F13" s="358">
        <f>D13-E13</f>
        <v>0</v>
      </c>
      <c r="G13" s="346"/>
      <c r="H13" s="358">
        <f>G13-F13</f>
        <v>0</v>
      </c>
    </row>
    <row r="14" spans="1:10" s="593" customFormat="1" ht="17.25" customHeight="1">
      <c r="A14" s="1820" t="s">
        <v>1236</v>
      </c>
      <c r="B14" s="1821"/>
      <c r="C14" s="1822"/>
      <c r="D14" s="360">
        <f>SUM(D10:D13)</f>
        <v>0</v>
      </c>
      <c r="E14" s="360">
        <f>SUM(E10:E13)</f>
        <v>0</v>
      </c>
      <c r="F14" s="360">
        <f>SUM(F10:F13)</f>
        <v>0</v>
      </c>
      <c r="G14" s="360">
        <f>SUM(G10:G13)</f>
        <v>0</v>
      </c>
      <c r="H14" s="360">
        <f>SUM(H10:H13)</f>
        <v>0</v>
      </c>
      <c r="I14" s="593" t="str">
        <f>IF(F14=SUMIFS(BalanceN[BS_Debit],BalanceN[Table],"&gt;=81100",BalanceN[Table],"&lt;81200"),"","Veuillez vérifier les prix de cessions des "&amp;A14)</f>
        <v/>
      </c>
    </row>
    <row r="15" spans="1:10" s="593" customFormat="1" ht="17.25" customHeight="1">
      <c r="A15" s="1785" t="s">
        <v>1638</v>
      </c>
      <c r="B15" s="1655"/>
      <c r="C15" s="1825"/>
      <c r="D15" s="358">
        <f>'NOTE 3A'!H17+'NOTE 3A'!H18</f>
        <v>0</v>
      </c>
      <c r="E15" s="358">
        <f>'NOTE 3C'!H16+'NOTE 3C'!H17</f>
        <v>0</v>
      </c>
      <c r="F15" s="358">
        <f>D15-E15</f>
        <v>0</v>
      </c>
      <c r="G15" s="346"/>
      <c r="H15" s="358">
        <f>G15-F15</f>
        <v>0</v>
      </c>
    </row>
    <row r="16" spans="1:10" s="593" customFormat="1" ht="17.25" customHeight="1">
      <c r="A16" s="1785" t="s">
        <v>1639</v>
      </c>
      <c r="B16" s="1655"/>
      <c r="C16" s="1825"/>
      <c r="D16" s="358">
        <f>'NOTE 3A'!H19+'NOTE 3A'!H20</f>
        <v>0</v>
      </c>
      <c r="E16" s="358">
        <f>'NOTE 3C'!H18+'NOTE 3C'!H19</f>
        <v>0</v>
      </c>
      <c r="F16" s="358">
        <f>D16-E16</f>
        <v>0</v>
      </c>
      <c r="G16" s="346"/>
      <c r="H16" s="358">
        <f>G16-F16</f>
        <v>0</v>
      </c>
    </row>
    <row r="17" spans="1:9" s="593" customFormat="1" ht="17.25" customHeight="1">
      <c r="A17" s="1785" t="s">
        <v>1660</v>
      </c>
      <c r="B17" s="1655"/>
      <c r="C17" s="1825"/>
      <c r="D17" s="358">
        <f>'NOTE 3A'!H21</f>
        <v>0</v>
      </c>
      <c r="E17" s="358">
        <f>'NOTE 3C'!H20</f>
        <v>0</v>
      </c>
      <c r="F17" s="358">
        <f>D17-E17</f>
        <v>0</v>
      </c>
      <c r="G17" s="346"/>
      <c r="H17" s="358">
        <f>G17-F17</f>
        <v>0</v>
      </c>
    </row>
    <row r="18" spans="1:9" s="593" customFormat="1" ht="17.25" customHeight="1">
      <c r="A18" s="1785" t="s">
        <v>1158</v>
      </c>
      <c r="B18" s="1655"/>
      <c r="C18" s="1825"/>
      <c r="D18" s="358">
        <f>'NOTE 3A'!H22</f>
        <v>45992979</v>
      </c>
      <c r="E18" s="358">
        <f>'NOTE 3C'!H21</f>
        <v>45992979</v>
      </c>
      <c r="F18" s="358">
        <f>D18-E18</f>
        <v>0</v>
      </c>
      <c r="G18" s="346"/>
      <c r="H18" s="358">
        <f>G18-F18</f>
        <v>0</v>
      </c>
    </row>
    <row r="19" spans="1:9" s="593" customFormat="1" ht="17.25" customHeight="1">
      <c r="A19" s="1785" t="s">
        <v>1162</v>
      </c>
      <c r="B19" s="1655"/>
      <c r="C19" s="1825"/>
      <c r="D19" s="358">
        <f>'NOTE 3A'!H23</f>
        <v>0</v>
      </c>
      <c r="E19" s="358">
        <f>'NOTE 3C'!H22</f>
        <v>0</v>
      </c>
      <c r="F19" s="358">
        <f>D19-E19</f>
        <v>0</v>
      </c>
      <c r="G19" s="346"/>
      <c r="H19" s="358">
        <f>G19-F19</f>
        <v>0</v>
      </c>
    </row>
    <row r="20" spans="1:9" s="593" customFormat="1" ht="17.25" customHeight="1">
      <c r="A20" s="1820" t="s">
        <v>1239</v>
      </c>
      <c r="B20" s="1821"/>
      <c r="C20" s="1822"/>
      <c r="D20" s="360">
        <f>SUM(D15:D19)</f>
        <v>45992979</v>
      </c>
      <c r="E20" s="360">
        <f>SUM(E15:E19)</f>
        <v>45992979</v>
      </c>
      <c r="F20" s="360">
        <f>SUM(F15:F19)</f>
        <v>0</v>
      </c>
      <c r="G20" s="360">
        <f>SUM(G15:G19)</f>
        <v>0</v>
      </c>
      <c r="H20" s="360">
        <f>SUM(H15:H19)</f>
        <v>0</v>
      </c>
      <c r="I20" s="593" t="str">
        <f>IF(F20=SUMIFS(BalanceN[BS_Debit],BalanceN[Table],"&gt;=81200",BalanceN[Table],"&lt;81300"),"","Veuillez vérifier les prix de cessions des "&amp;A20)</f>
        <v/>
      </c>
    </row>
    <row r="21" spans="1:9" s="593" customFormat="1" ht="17.25" customHeight="1">
      <c r="A21" s="1785" t="s">
        <v>1681</v>
      </c>
      <c r="B21" s="1655"/>
      <c r="C21" s="1825"/>
      <c r="D21" s="358">
        <f>'NOTE 3A'!H28</f>
        <v>0</v>
      </c>
      <c r="E21" s="358">
        <f>'NOTE 3A'!H28</f>
        <v>0</v>
      </c>
      <c r="F21" s="358">
        <f>D21-E21</f>
        <v>0</v>
      </c>
      <c r="G21" s="346"/>
      <c r="H21" s="358">
        <f>G21-F21</f>
        <v>0</v>
      </c>
    </row>
    <row r="22" spans="1:9" s="593" customFormat="1" ht="17.25" customHeight="1">
      <c r="A22" s="1785" t="s">
        <v>1242</v>
      </c>
      <c r="B22" s="1655"/>
      <c r="C22" s="1825"/>
      <c r="D22" s="358">
        <f>'NOTE 3A'!H29</f>
        <v>730043</v>
      </c>
      <c r="E22" s="358">
        <f>'NOTE 3A'!H29</f>
        <v>730043</v>
      </c>
      <c r="F22" s="358">
        <f>D22-E22</f>
        <v>0</v>
      </c>
      <c r="G22" s="346">
        <v>0</v>
      </c>
      <c r="H22" s="358">
        <f>G22-F22</f>
        <v>0</v>
      </c>
    </row>
    <row r="23" spans="1:9" s="593" customFormat="1" ht="17.25" customHeight="1">
      <c r="A23" s="1820" t="s">
        <v>1241</v>
      </c>
      <c r="B23" s="1821"/>
      <c r="C23" s="1822"/>
      <c r="D23" s="360">
        <f>SUM(D21:D22)</f>
        <v>730043</v>
      </c>
      <c r="E23" s="360">
        <f>SUM(E21:E22)</f>
        <v>730043</v>
      </c>
      <c r="F23" s="360">
        <f>SUM(F21:F22)</f>
        <v>0</v>
      </c>
      <c r="G23" s="360">
        <f>SUM(G21:G22)</f>
        <v>0</v>
      </c>
      <c r="H23" s="360">
        <f>SUM(H21:H22)</f>
        <v>0</v>
      </c>
      <c r="I23" s="593" t="str">
        <f>IF(F23=SUMIFS(BalanceN[BS_Debit],BalanceN[Table],"&gt;=81600",BalanceN[Table],"&lt;81700"),"","Veuillez vérifier les prix de cessions des "&amp;A23)</f>
        <v/>
      </c>
    </row>
    <row r="24" spans="1:9" s="593" customFormat="1" ht="16.5" customHeight="1">
      <c r="A24" s="1800" t="s">
        <v>1232</v>
      </c>
      <c r="B24" s="1801"/>
      <c r="C24" s="1802"/>
      <c r="D24" s="359">
        <f>D14+D20+D23</f>
        <v>46723022</v>
      </c>
      <c r="E24" s="359">
        <f>E14+E20+E23</f>
        <v>46723022</v>
      </c>
      <c r="F24" s="359">
        <f>F14+F20+F23</f>
        <v>0</v>
      </c>
      <c r="G24" s="359">
        <f>G14+G20+G23</f>
        <v>0</v>
      </c>
      <c r="H24" s="359">
        <f>H14+H20+H23</f>
        <v>0</v>
      </c>
    </row>
    <row r="25" spans="1:9" s="653" customFormat="1" ht="10.5">
      <c r="A25" s="886" t="s">
        <v>1618</v>
      </c>
    </row>
    <row r="26" spans="1:9" s="653" customFormat="1" ht="10.5">
      <c r="A26" s="819" t="s">
        <v>1682</v>
      </c>
    </row>
  </sheetData>
  <sheetProtection algorithmName="SHA-512" hashValue="6Z95jH5xsTrGocxNms9ehH3yf5qhix84/uUptR0UQz+ZKV+6P0izLkUcrAwUkaYkhU0/mj3lMK2T0yeKm2wcZg==" saltValue="vnb7lfyeJ8AWjOFzgsJVwQ==" spinCount="100000" sheet="1" objects="1" scenarios="1" selectLockedCells="1"/>
  <mergeCells count="24">
    <mergeCell ref="A7:H7"/>
    <mergeCell ref="A1:H1"/>
    <mergeCell ref="G2:H2"/>
    <mergeCell ref="C3:H3"/>
    <mergeCell ref="B4:F4"/>
    <mergeCell ref="E5:F5"/>
    <mergeCell ref="C6:H6"/>
    <mergeCell ref="A19:C19"/>
    <mergeCell ref="A8:C8"/>
    <mergeCell ref="A9:C9"/>
    <mergeCell ref="A10:C10"/>
    <mergeCell ref="A11:C11"/>
    <mergeCell ref="A12:C12"/>
    <mergeCell ref="A13:C13"/>
    <mergeCell ref="A14:C14"/>
    <mergeCell ref="A15:C15"/>
    <mergeCell ref="A16:C16"/>
    <mergeCell ref="A17:C17"/>
    <mergeCell ref="A18:C18"/>
    <mergeCell ref="A20:C20"/>
    <mergeCell ref="A21:C21"/>
    <mergeCell ref="A22:C22"/>
    <mergeCell ref="A23:C23"/>
    <mergeCell ref="A24:C24"/>
  </mergeCells>
  <conditionalFormatting sqref="D10:H24">
    <cfRule type="cellIs" dxfId="200" priority="1" operator="equal">
      <formula>0</formula>
    </cfRule>
  </conditionalFormatting>
  <dataValidations count="1">
    <dataValidation type="whole" allowBlank="1" showInputMessage="1" showErrorMessage="1" errorTitle="Attention !" error="Valeur numérique attendue" sqref="G15:G19 G10:G13 D10:E13 D21:E22 G21:G22 D15:E19" xr:uid="{48256CB8-3A72-4422-B1C9-F60730EE55D5}">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4A0C-9925-4ED1-AB20-E20272C81228}">
  <sheetPr codeName="Feuil22">
    <tabColor theme="9" tint="0.39997558519241921"/>
    <pageSetUpPr fitToPage="1"/>
  </sheetPr>
  <dimension ref="A1:I17"/>
  <sheetViews>
    <sheetView showGridLines="0" showRowColHeaders="0" topLeftCell="A13" zoomScaleNormal="100" workbookViewId="0">
      <selection activeCell="A16" sqref="A16:I16"/>
    </sheetView>
  </sheetViews>
  <sheetFormatPr baseColWidth="10" defaultColWidth="11.5234375" defaultRowHeight="14.4"/>
  <cols>
    <col min="1" max="1" width="11.5234375" style="103"/>
    <col min="2" max="2" width="15.41796875" style="103" customWidth="1"/>
    <col min="3" max="3" width="15.89453125" style="103" customWidth="1"/>
    <col min="4" max="4" width="14.3125" style="103" customWidth="1"/>
    <col min="5" max="5" width="11.41796875" style="103" customWidth="1"/>
    <col min="6" max="6" width="12.41796875" style="103" customWidth="1"/>
    <col min="7" max="7" width="13" style="103" customWidth="1"/>
    <col min="8" max="9" width="12.41796875" style="103" customWidth="1"/>
    <col min="10" max="16384" width="11.5234375" style="103"/>
  </cols>
  <sheetData>
    <row r="1" spans="1:9">
      <c r="A1" s="1276" t="str">
        <f>"- "&amp;Code!K22&amp;" -"</f>
        <v>- 18 -</v>
      </c>
      <c r="B1" s="1276"/>
      <c r="C1" s="1276"/>
      <c r="D1" s="1276"/>
      <c r="E1" s="1276"/>
      <c r="F1" s="1276"/>
      <c r="G1" s="1276"/>
      <c r="H1" s="1276"/>
      <c r="I1" s="1276"/>
    </row>
    <row r="2" spans="1:9" ht="24.9" customHeight="1">
      <c r="A2" s="576"/>
      <c r="B2" s="576"/>
      <c r="C2" s="576"/>
      <c r="D2" s="576"/>
      <c r="E2" s="576"/>
      <c r="G2" s="303"/>
      <c r="H2" s="1544" t="s">
        <v>1683</v>
      </c>
      <c r="I2" s="1546"/>
    </row>
    <row r="3" spans="1:9" s="844" customFormat="1" ht="15" customHeight="1">
      <c r="A3" s="317" t="s">
        <v>50</v>
      </c>
      <c r="B3" s="317"/>
      <c r="C3" s="1280" t="str">
        <f>'NOTE 1'!C3</f>
        <v>OHADA</v>
      </c>
      <c r="D3" s="1280"/>
      <c r="E3" s="1280"/>
      <c r="F3" s="1280"/>
      <c r="G3" s="1280"/>
      <c r="H3" s="1280"/>
      <c r="I3" s="1280"/>
    </row>
    <row r="4" spans="1:9" s="844" customFormat="1" ht="15" customHeight="1">
      <c r="A4" s="317" t="s">
        <v>51</v>
      </c>
      <c r="B4" s="879" t="str">
        <f>'NOTE 1'!B4</f>
        <v/>
      </c>
      <c r="C4" s="879"/>
      <c r="D4" s="879"/>
      <c r="E4" s="879"/>
      <c r="F4" s="880"/>
      <c r="G4" s="881"/>
      <c r="H4" s="627" t="s">
        <v>1021</v>
      </c>
      <c r="I4" s="630" t="str">
        <f>'NOTE 1'!I4</f>
        <v/>
      </c>
    </row>
    <row r="5" spans="1:9" s="844" customFormat="1" ht="15" customHeight="1">
      <c r="A5" s="317" t="s">
        <v>1597</v>
      </c>
      <c r="B5" s="317"/>
      <c r="C5" s="882" t="str">
        <f>'NOTE 1'!C5</f>
        <v/>
      </c>
      <c r="D5" s="642"/>
      <c r="E5" s="642" t="s">
        <v>54</v>
      </c>
      <c r="F5" s="869">
        <f>'NOTE 1'!G5</f>
        <v>0</v>
      </c>
      <c r="G5" s="629"/>
      <c r="H5" s="627" t="s">
        <v>55</v>
      </c>
      <c r="I5" s="795">
        <f>'NOTE 1'!I5</f>
        <v>1</v>
      </c>
    </row>
    <row r="6" spans="1:9" s="844" customFormat="1" ht="15" customHeight="1">
      <c r="A6" s="317" t="s">
        <v>56</v>
      </c>
      <c r="B6" s="317"/>
      <c r="C6" s="1275" t="str">
        <f>'NOTE 1'!C6</f>
        <v/>
      </c>
      <c r="D6" s="1275"/>
      <c r="E6" s="869"/>
      <c r="F6" s="629"/>
      <c r="G6" s="629"/>
      <c r="H6" s="629"/>
      <c r="I6" s="630"/>
    </row>
    <row r="7" spans="1:9" ht="35.25" customHeight="1">
      <c r="A7" s="1273" t="s">
        <v>1684</v>
      </c>
      <c r="B7" s="1273"/>
      <c r="C7" s="1273"/>
      <c r="D7" s="1273"/>
      <c r="E7" s="1273"/>
      <c r="F7" s="1273"/>
      <c r="G7" s="1273"/>
      <c r="H7" s="1273"/>
      <c r="I7" s="1273"/>
    </row>
    <row r="8" spans="1:9" ht="15" customHeight="1">
      <c r="A8" s="1854" t="s">
        <v>9672</v>
      </c>
      <c r="B8" s="1855"/>
      <c r="C8" s="1855"/>
      <c r="D8" s="1855"/>
      <c r="E8" s="1855"/>
      <c r="F8" s="1855"/>
      <c r="G8" s="1855"/>
      <c r="H8" s="1855"/>
      <c r="I8" s="1856"/>
    </row>
    <row r="9" spans="1:9" ht="108" customHeight="1">
      <c r="A9" s="1860"/>
      <c r="B9" s="1861"/>
      <c r="C9" s="1861"/>
      <c r="D9" s="1861"/>
      <c r="E9" s="1861"/>
      <c r="F9" s="1861"/>
      <c r="G9" s="1861"/>
      <c r="H9" s="1861"/>
      <c r="I9" s="1862"/>
    </row>
    <row r="10" spans="1:9" ht="42.75" customHeight="1">
      <c r="A10" s="1863" t="s">
        <v>1685</v>
      </c>
      <c r="B10" s="1863"/>
      <c r="C10" s="1863"/>
      <c r="D10" s="1863"/>
      <c r="E10" s="1863"/>
      <c r="F10" s="870" t="s">
        <v>1686</v>
      </c>
      <c r="G10" s="870" t="s">
        <v>1687</v>
      </c>
      <c r="H10" s="870" t="s">
        <v>1137</v>
      </c>
      <c r="I10" s="870" t="s">
        <v>1688</v>
      </c>
    </row>
    <row r="11" spans="1:9" ht="15" customHeight="1">
      <c r="A11" s="1851"/>
      <c r="B11" s="1852"/>
      <c r="C11" s="1852"/>
      <c r="D11" s="1852"/>
      <c r="E11" s="1853"/>
      <c r="F11" s="345"/>
      <c r="G11" s="345"/>
      <c r="H11" s="345"/>
      <c r="I11" s="345"/>
    </row>
    <row r="12" spans="1:9" ht="15" customHeight="1">
      <c r="A12" s="1859" t="s">
        <v>1232</v>
      </c>
      <c r="B12" s="1859"/>
      <c r="C12" s="1859"/>
      <c r="D12" s="1859"/>
      <c r="E12" s="1859"/>
      <c r="F12" s="883">
        <f ca="1">SUM(INDIRECT(SUBSTITUTE(ADDRESS(1,COLUMN(F11)),1,"")&amp;ROW(F11)):INDIRECT(SUBSTITUTE(ADDRESS(1,COLUMN()),1,"")&amp;ROW()-1))</f>
        <v>0</v>
      </c>
      <c r="G12" s="883">
        <f ca="1">SUM(INDIRECT(SUBSTITUTE(ADDRESS(1,COLUMN(G11)),1,"")&amp;ROW(G11)):INDIRECT(SUBSTITUTE(ADDRESS(1,COLUMN()),1,"")&amp;ROW()-1))</f>
        <v>0</v>
      </c>
      <c r="H12" s="883">
        <f ca="1">SUM(INDIRECT(SUBSTITUTE(ADDRESS(1,COLUMN(H11)),1,"")&amp;ROW(H11)):INDIRECT(SUBSTITUTE(ADDRESS(1,COLUMN()),1,"")&amp;ROW()-1))</f>
        <v>0</v>
      </c>
      <c r="I12" s="883">
        <f ca="1">SUM(INDIRECT(SUBSTITUTE(ADDRESS(1,COLUMN(I11)),1,"")&amp;ROW(I11)):INDIRECT(SUBSTITUTE(ADDRESS(1,COLUMN()),1,"")&amp;ROW()-1))</f>
        <v>0</v>
      </c>
    </row>
    <row r="13" spans="1:9">
      <c r="A13" s="1854" t="s">
        <v>9673</v>
      </c>
      <c r="B13" s="1855"/>
      <c r="C13" s="1855"/>
      <c r="D13" s="1855"/>
      <c r="E13" s="1855"/>
      <c r="F13" s="1855"/>
      <c r="G13" s="1855"/>
      <c r="H13" s="1855"/>
      <c r="I13" s="1856"/>
    </row>
    <row r="14" spans="1:9" ht="108" customHeight="1">
      <c r="A14" s="1773"/>
      <c r="B14" s="1774"/>
      <c r="C14" s="1774"/>
      <c r="D14" s="1774"/>
      <c r="E14" s="1774"/>
      <c r="F14" s="1774"/>
      <c r="G14" s="1774"/>
      <c r="H14" s="1774"/>
      <c r="I14" s="1775"/>
    </row>
    <row r="15" spans="1:9">
      <c r="A15" s="1854" t="s">
        <v>9674</v>
      </c>
      <c r="B15" s="1855"/>
      <c r="C15" s="1855"/>
      <c r="D15" s="1855"/>
      <c r="E15" s="1855"/>
      <c r="F15" s="1855"/>
      <c r="G15" s="1855"/>
      <c r="H15" s="1855"/>
      <c r="I15" s="1856"/>
    </row>
    <row r="16" spans="1:9" ht="108.6" customHeight="1">
      <c r="A16" s="1767"/>
      <c r="B16" s="1768"/>
      <c r="C16" s="1768"/>
      <c r="D16" s="1768"/>
      <c r="E16" s="1768"/>
      <c r="F16" s="1768"/>
      <c r="G16" s="1768"/>
      <c r="H16" s="1768"/>
      <c r="I16" s="1769"/>
    </row>
    <row r="17" spans="1:9">
      <c r="A17" s="1857" t="s">
        <v>1689</v>
      </c>
      <c r="B17" s="1857"/>
      <c r="C17" s="1857"/>
      <c r="D17" s="1857"/>
      <c r="E17" s="1857"/>
      <c r="F17" s="1857"/>
      <c r="G17" s="1857"/>
      <c r="H17" s="1858"/>
      <c r="I17" s="1858"/>
    </row>
  </sheetData>
  <sheetProtection algorithmName="SHA-512" hashValue="KRXuglA9jhkcSaB463D7/TMRzoQ1dkzCz78RGNfkyDuTIw7Vv55ZVwba/Yx3qpisL/g8rznH7rXmwXjrSZMsIA==" saltValue="FouQixuvdhhI+lioj61A+Q==" spinCount="100000" sheet="1" objects="1" scenarios="1" selectLockedCells="1"/>
  <mergeCells count="16">
    <mergeCell ref="A9:I9"/>
    <mergeCell ref="A10:E10"/>
    <mergeCell ref="A1:I1"/>
    <mergeCell ref="H2:I2"/>
    <mergeCell ref="C3:I3"/>
    <mergeCell ref="C6:D6"/>
    <mergeCell ref="A7:I7"/>
    <mergeCell ref="A8:I8"/>
    <mergeCell ref="A11:E11"/>
    <mergeCell ref="A15:I15"/>
    <mergeCell ref="A16:I16"/>
    <mergeCell ref="A17:G17"/>
    <mergeCell ref="H17:I17"/>
    <mergeCell ref="A12:E12"/>
    <mergeCell ref="A13:I13"/>
    <mergeCell ref="A14:I14"/>
  </mergeCells>
  <conditionalFormatting sqref="F12:I12">
    <cfRule type="cellIs" dxfId="199" priority="1" operator="equal">
      <formula>0</formula>
    </cfRule>
  </conditionalFormatting>
  <dataValidations count="2">
    <dataValidation type="whole" allowBlank="1" showInputMessage="1" showErrorMessage="1" errorTitle="Attention!" error="Valeur numérique attendue" sqref="H17:I17" xr:uid="{0B206244-3784-44D3-8F7B-D943E5996D39}">
      <formula1>-9999999999999</formula1>
      <formula2>9999999999999</formula2>
    </dataValidation>
    <dataValidation type="textLength" operator="lessThan" allowBlank="1" showInputMessage="1" showErrorMessage="1" sqref="A16:I16 A14:I14 A9:I9" xr:uid="{8A804979-92E6-4220-BEAC-0B823F95370F}">
      <formula1>2000</formula1>
    </dataValidation>
  </dataValidations>
  <printOptions horizontalCentered="1"/>
  <pageMargins left="0.31496062992125984" right="0.31496062992125984" top="0.35433070866141736" bottom="0.35433070866141736" header="0.31496062992125984" footer="0.31496062992125984"/>
  <pageSetup paperSize="9" scale="81" orientation="portrait" r:id="rId1"/>
  <ignoredErrors>
    <ignoredError sqref="F12:I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7652" r:id="rId4" name="AjoutLigneNOTE3E3">
              <controlPr defaultSize="0" print="0" autoFill="0" autoPict="0" macro="[0]!AjoutNote3E3_Cliquer">
                <anchor moveWithCells="1">
                  <from>
                    <xdr:col>9</xdr:col>
                    <xdr:colOff>190500</xdr:colOff>
                    <xdr:row>9</xdr:row>
                    <xdr:rowOff>137160</xdr:rowOff>
                  </from>
                  <to>
                    <xdr:col>10</xdr:col>
                    <xdr:colOff>693420</xdr:colOff>
                    <xdr:row>9</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1F68-D571-41D0-9551-4A053B696EB6}">
  <sheetPr codeName="Feuil23">
    <tabColor theme="9" tint="0.39997558519241921"/>
  </sheetPr>
  <dimension ref="A1:L36"/>
  <sheetViews>
    <sheetView showGridLines="0" showRowColHeaders="0" topLeftCell="B4" zoomScaleNormal="100" zoomScalePageLayoutView="50" workbookViewId="0">
      <selection activeCell="I9" sqref="I9"/>
    </sheetView>
  </sheetViews>
  <sheetFormatPr baseColWidth="10" defaultColWidth="11.41796875" defaultRowHeight="14.4"/>
  <cols>
    <col min="1" max="1" width="11.41796875" style="103"/>
    <col min="2" max="2" width="16.1015625" style="103" customWidth="1"/>
    <col min="3" max="3" width="11.41796875" style="103"/>
    <col min="4" max="4" width="23.68359375" style="103" customWidth="1"/>
    <col min="5" max="5" width="23.89453125" style="103" customWidth="1"/>
    <col min="6" max="7" width="16.1015625" style="103" customWidth="1"/>
    <col min="8" max="8" width="11.41796875" style="103" customWidth="1"/>
    <col min="9" max="11" width="17.1015625" style="103" customWidth="1"/>
    <col min="12" max="16384" width="11.41796875" style="103"/>
  </cols>
  <sheetData>
    <row r="1" spans="1:11">
      <c r="A1" s="1276" t="str">
        <f>"- "&amp;Code!K23&amp;" -"</f>
        <v>- 18 -</v>
      </c>
      <c r="B1" s="1276"/>
      <c r="C1" s="1276"/>
      <c r="D1" s="1276"/>
      <c r="E1" s="1276"/>
      <c r="F1" s="1276"/>
      <c r="G1" s="1276"/>
      <c r="H1" s="1276"/>
      <c r="I1" s="1276"/>
      <c r="J1" s="1276"/>
      <c r="K1" s="1277"/>
    </row>
    <row r="2" spans="1:11" ht="24.9" customHeight="1">
      <c r="A2" s="576"/>
      <c r="B2" s="576"/>
      <c r="C2" s="576"/>
      <c r="D2" s="576"/>
      <c r="E2" s="576"/>
      <c r="F2" s="576"/>
      <c r="G2" s="576"/>
      <c r="J2" s="1278" t="s">
        <v>1690</v>
      </c>
      <c r="K2" s="1279"/>
    </row>
    <row r="3" spans="1:11" s="844" customFormat="1" ht="15" customHeight="1">
      <c r="A3" s="317" t="s">
        <v>50</v>
      </c>
      <c r="B3" s="317"/>
      <c r="C3" s="1280" t="str">
        <f>'NOTE 1'!C3</f>
        <v>OHADA</v>
      </c>
      <c r="D3" s="1280"/>
      <c r="E3" s="1280"/>
      <c r="F3" s="1280"/>
      <c r="G3" s="1280"/>
      <c r="H3" s="1280"/>
      <c r="I3" s="1280"/>
      <c r="J3" s="1280"/>
      <c r="K3" s="1280"/>
    </row>
    <row r="4" spans="1:11" s="844" customFormat="1" ht="15" customHeight="1">
      <c r="A4" s="317" t="s">
        <v>51</v>
      </c>
      <c r="B4" s="1280" t="str">
        <f>'NOTE 1'!B4</f>
        <v/>
      </c>
      <c r="C4" s="1280"/>
      <c r="D4" s="1280"/>
      <c r="E4" s="1280"/>
      <c r="F4" s="1280"/>
      <c r="G4" s="1280"/>
      <c r="H4" s="1280"/>
      <c r="I4" s="627" t="s">
        <v>1021</v>
      </c>
      <c r="J4" s="1870" t="str">
        <f>'NOTE 1'!I4</f>
        <v/>
      </c>
      <c r="K4" s="1870"/>
    </row>
    <row r="5" spans="1:11" s="844" customFormat="1" ht="15" customHeight="1">
      <c r="A5" s="317" t="s">
        <v>1597</v>
      </c>
      <c r="B5" s="317"/>
      <c r="C5" s="1280" t="str">
        <f>'NOTE 1'!C5</f>
        <v/>
      </c>
      <c r="D5" s="1280"/>
      <c r="E5" s="1280"/>
      <c r="F5" s="642" t="s">
        <v>54</v>
      </c>
      <c r="G5" s="1806">
        <f>'NOTE 1'!G5</f>
        <v>0</v>
      </c>
      <c r="H5" s="1806"/>
      <c r="I5" s="627" t="s">
        <v>55</v>
      </c>
      <c r="J5" s="1870">
        <f>'NOTE 1'!I5</f>
        <v>1</v>
      </c>
      <c r="K5" s="1870"/>
    </row>
    <row r="6" spans="1:11" s="844" customFormat="1" ht="15" customHeight="1">
      <c r="A6" s="317" t="s">
        <v>56</v>
      </c>
      <c r="B6" s="317"/>
      <c r="C6" s="1275" t="str">
        <f>'NOTE 1'!C6</f>
        <v/>
      </c>
      <c r="D6" s="1275"/>
      <c r="E6" s="1275"/>
      <c r="F6" s="638"/>
      <c r="G6" s="869"/>
      <c r="H6" s="869"/>
      <c r="I6" s="629"/>
      <c r="J6" s="630"/>
      <c r="K6" s="858"/>
    </row>
    <row r="7" spans="1:11" ht="27.75" customHeight="1">
      <c r="A7" s="1788" t="s">
        <v>1691</v>
      </c>
      <c r="B7" s="1788"/>
      <c r="C7" s="1788"/>
      <c r="D7" s="1788"/>
      <c r="E7" s="1788"/>
      <c r="F7" s="1788"/>
      <c r="G7" s="1788"/>
      <c r="H7" s="1788"/>
      <c r="I7" s="1788"/>
      <c r="J7" s="1788"/>
      <c r="K7" s="1788"/>
    </row>
    <row r="8" spans="1:11" ht="46.5" customHeight="1">
      <c r="A8" s="1865" t="s">
        <v>1692</v>
      </c>
      <c r="B8" s="1866"/>
      <c r="C8" s="1866"/>
      <c r="D8" s="1866"/>
      <c r="E8" s="1867"/>
      <c r="F8" s="870" t="s">
        <v>1693</v>
      </c>
      <c r="G8" s="870" t="s">
        <v>1694</v>
      </c>
      <c r="H8" s="870" t="s">
        <v>1695</v>
      </c>
      <c r="I8" s="870" t="s">
        <v>1696</v>
      </c>
      <c r="J8" s="870" t="s">
        <v>1697</v>
      </c>
      <c r="K8" s="870" t="s">
        <v>1698</v>
      </c>
    </row>
    <row r="9" spans="1:11" ht="15" customHeight="1">
      <c r="A9" s="1748" t="s">
        <v>1174</v>
      </c>
      <c r="B9" s="1748"/>
      <c r="C9" s="1748"/>
      <c r="D9" s="1749"/>
      <c r="E9" s="871"/>
      <c r="F9" s="581">
        <f>SUMIFS(BalanceN[BS_Debit],BalanceN[Table],"&gt;=26000",BalanceN[Table],"&lt;27000")</f>
        <v>0</v>
      </c>
      <c r="G9" s="581">
        <f>SUMIFS(BalanceN1[BS_Debit],BalanceN1[Table],"&gt;=26000",BalanceN1[Table],"&lt;27000")</f>
        <v>0</v>
      </c>
      <c r="H9" s="361" t="str">
        <f>IF(G9,(F9-G9)/ABS(G9),IF(ISBLANK(G9),"",IF(F9,IF( F9 &gt; 0,1,-1),"")))</f>
        <v/>
      </c>
      <c r="I9" s="345"/>
      <c r="J9" s="345"/>
      <c r="K9" s="581">
        <f t="shared" ref="K9:K17" si="0">F9-I9-J9</f>
        <v>0</v>
      </c>
    </row>
    <row r="10" spans="1:11" ht="15" customHeight="1">
      <c r="A10" s="1748" t="s">
        <v>1699</v>
      </c>
      <c r="B10" s="1748"/>
      <c r="C10" s="1748"/>
      <c r="D10" s="1749"/>
      <c r="E10" s="871"/>
      <c r="F10" s="581">
        <f>SUMIFS(BalanceN[BS_Debit],BalanceN[Table],"&gt;=27100",BalanceN[Table],"&lt;27200")</f>
        <v>0</v>
      </c>
      <c r="G10" s="581">
        <f>SUMIFS(BalanceN1[BS_Debit],BalanceN1[Table],"&gt;=27100",BalanceN1[Table],"&lt;27200")</f>
        <v>0</v>
      </c>
      <c r="H10" s="361" t="str">
        <f t="shared" ref="H10:H17" si="1">IF(G10,(F10-G10)/ABS(G10),IF(ISBLANK(G10),"",IF(F10,IF( F10 &gt; 0,1,-1),"")))</f>
        <v/>
      </c>
      <c r="I10" s="345"/>
      <c r="J10" s="345"/>
      <c r="K10" s="581">
        <f t="shared" si="0"/>
        <v>0</v>
      </c>
    </row>
    <row r="11" spans="1:11" ht="15" customHeight="1">
      <c r="A11" s="1748" t="s">
        <v>1700</v>
      </c>
      <c r="B11" s="1748"/>
      <c r="C11" s="1748"/>
      <c r="D11" s="1749"/>
      <c r="E11" s="871"/>
      <c r="F11" s="581">
        <f>SUMIFS(BalanceN[BS_Debit],BalanceN[Table],"&gt;=27200",BalanceN[Table],"&lt;27300")</f>
        <v>1927000</v>
      </c>
      <c r="G11" s="581">
        <f>SUMIFS(BalanceN1[BS_Debit],BalanceN1[Table],"&gt;=27200",BalanceN1[Table],"&lt;27300")</f>
        <v>1927000</v>
      </c>
      <c r="H11" s="361">
        <f t="shared" si="1"/>
        <v>0</v>
      </c>
      <c r="I11" s="345"/>
      <c r="J11" s="345"/>
      <c r="K11" s="581">
        <f t="shared" si="0"/>
        <v>1927000</v>
      </c>
    </row>
    <row r="12" spans="1:11" ht="15" customHeight="1">
      <c r="A12" s="1748" t="s">
        <v>1701</v>
      </c>
      <c r="B12" s="1748"/>
      <c r="C12" s="1748"/>
      <c r="D12" s="1749"/>
      <c r="E12" s="871"/>
      <c r="F12" s="581">
        <f>SUMIFS(BalanceN[BS_Debit],BalanceN[Table],"&gt;=27300",BalanceN[Table],"&lt;27400")</f>
        <v>0</v>
      </c>
      <c r="G12" s="581">
        <f>SUMIFS(BalanceN1[BS_Debit],BalanceN1[Table],"&gt;=27300",BalanceN1[Table],"&lt;27400")</f>
        <v>0</v>
      </c>
      <c r="H12" s="361" t="str">
        <f t="shared" si="1"/>
        <v/>
      </c>
      <c r="I12" s="345"/>
      <c r="J12" s="345"/>
      <c r="K12" s="581">
        <f t="shared" si="0"/>
        <v>0</v>
      </c>
    </row>
    <row r="13" spans="1:11" ht="15" customHeight="1">
      <c r="A13" s="1748" t="s">
        <v>1702</v>
      </c>
      <c r="B13" s="1748"/>
      <c r="C13" s="1748"/>
      <c r="D13" s="1749"/>
      <c r="E13" s="871"/>
      <c r="F13" s="581">
        <f>SUMIFS(BalanceN[BS_Debit],BalanceN[Table],"&gt;=27400",BalanceN[Table],"&lt;27500")</f>
        <v>0</v>
      </c>
      <c r="G13" s="581">
        <f>SUMIFS(BalanceN1[BS_Debit],BalanceN1[Table],"&gt;=27400",BalanceN1[Table],"&lt;27500")</f>
        <v>0</v>
      </c>
      <c r="H13" s="361" t="str">
        <f t="shared" si="1"/>
        <v/>
      </c>
      <c r="I13" s="345"/>
      <c r="J13" s="345"/>
      <c r="K13" s="581">
        <f t="shared" si="0"/>
        <v>0</v>
      </c>
    </row>
    <row r="14" spans="1:11" ht="15" customHeight="1">
      <c r="A14" s="1748" t="s">
        <v>1703</v>
      </c>
      <c r="B14" s="1748"/>
      <c r="C14" s="1748"/>
      <c r="D14" s="1749"/>
      <c r="E14" s="871"/>
      <c r="F14" s="581">
        <f>SUMIFS(BalanceN[BS_Debit],BalanceN[Table],"&gt;=27500",BalanceN[Table],"&lt;27600")</f>
        <v>2492790</v>
      </c>
      <c r="G14" s="581">
        <f>SUMIFS(BalanceN1[BS_Debit],BalanceN1[Table],"&gt;=27500",BalanceN1[Table],"&lt;27600")</f>
        <v>2621658</v>
      </c>
      <c r="H14" s="361">
        <f t="shared" si="1"/>
        <v>-4.91551529604548E-2</v>
      </c>
      <c r="I14" s="345"/>
      <c r="J14" s="345"/>
      <c r="K14" s="581">
        <f t="shared" si="0"/>
        <v>2492790</v>
      </c>
    </row>
    <row r="15" spans="1:11" ht="15" customHeight="1">
      <c r="A15" s="1748" t="s">
        <v>1704</v>
      </c>
      <c r="B15" s="1748"/>
      <c r="C15" s="1748"/>
      <c r="D15" s="1749"/>
      <c r="E15" s="871"/>
      <c r="F15" s="581">
        <f>SUMIFS(BalanceN[BS_Debit],BalanceN[Table],"&gt;=27600",BalanceN[Table],"&lt;27700")</f>
        <v>0</v>
      </c>
      <c r="G15" s="581">
        <f>SUMIFS(BalanceN1[BS_Debit],BalanceN1[Table],"&gt;=27600",BalanceN1[Table],"&lt;27700")</f>
        <v>0</v>
      </c>
      <c r="H15" s="361" t="str">
        <f t="shared" si="1"/>
        <v/>
      </c>
      <c r="I15" s="345"/>
      <c r="J15" s="345"/>
      <c r="K15" s="581">
        <f t="shared" si="0"/>
        <v>0</v>
      </c>
    </row>
    <row r="16" spans="1:11" ht="15" customHeight="1">
      <c r="A16" s="1744" t="s">
        <v>1705</v>
      </c>
      <c r="B16" s="1744"/>
      <c r="C16" s="1744"/>
      <c r="D16" s="1745"/>
      <c r="E16" s="871"/>
      <c r="F16" s="581">
        <f>SUMIFS(BalanceN[BS_Debit],BalanceN[Table],"&gt;=27700",BalanceN[Table],"&lt;27800")</f>
        <v>0</v>
      </c>
      <c r="G16" s="581">
        <f>SUMIFS(BalanceN1[BS_Debit],BalanceN1[Table],"&gt;=27700",BalanceN1[Table],"&lt;27800")</f>
        <v>0</v>
      </c>
      <c r="H16" s="361" t="str">
        <f t="shared" si="1"/>
        <v/>
      </c>
      <c r="I16" s="345"/>
      <c r="J16" s="345"/>
      <c r="K16" s="581">
        <f t="shared" si="0"/>
        <v>0</v>
      </c>
    </row>
    <row r="17" spans="1:12" ht="15" customHeight="1">
      <c r="A17" s="1744" t="s">
        <v>1706</v>
      </c>
      <c r="B17" s="1744"/>
      <c r="C17" s="1744"/>
      <c r="D17" s="1745"/>
      <c r="E17" s="871"/>
      <c r="F17" s="581">
        <f>SUMIFS(BalanceN[BS_Debit],BalanceN[Table],"&gt;=27800",BalanceN[Table],"&lt;27900")</f>
        <v>0</v>
      </c>
      <c r="G17" s="581">
        <f>SUMIFS(BalanceN1[BS_Debit],BalanceN1[Table],"&gt;=27800",BalanceN1[Table],"&lt;27900")</f>
        <v>0</v>
      </c>
      <c r="H17" s="361" t="str">
        <f t="shared" si="1"/>
        <v/>
      </c>
      <c r="I17" s="345"/>
      <c r="J17" s="345"/>
      <c r="K17" s="581">
        <f t="shared" si="0"/>
        <v>0</v>
      </c>
    </row>
    <row r="18" spans="1:12" ht="15" customHeight="1">
      <c r="A18" s="1868" t="s">
        <v>1707</v>
      </c>
      <c r="B18" s="1868"/>
      <c r="C18" s="1868"/>
      <c r="D18" s="1780"/>
      <c r="E18" s="872"/>
      <c r="F18" s="362">
        <f>SUM(F9:F15)</f>
        <v>4419790</v>
      </c>
      <c r="G18" s="362">
        <f>SUM(G9:G15)</f>
        <v>4548658</v>
      </c>
      <c r="H18" s="363">
        <f>IF(G18,(F18-G18)/G18,IF(ISBLANK(G18),"",IF(F18,1,"")))</f>
        <v>-2.8330993449056843E-2</v>
      </c>
      <c r="I18" s="580">
        <f>SUM(I9:I15)</f>
        <v>0</v>
      </c>
      <c r="J18" s="580">
        <f>SUM(J9:J15)</f>
        <v>0</v>
      </c>
      <c r="K18" s="580">
        <f>SUM(K9:K15)</f>
        <v>4419790</v>
      </c>
      <c r="L18" s="103" t="str">
        <f>IF(SUMIFS(BalanceN[BS_Debit],BalanceN[Table],"&gt;=26000",BalanceN[Table],"&lt;28000")=F18,"","Veuillez vérifier les immobilisations financières dans la balance")</f>
        <v/>
      </c>
    </row>
    <row r="19" spans="1:12" ht="15" customHeight="1">
      <c r="A19" s="1748" t="s">
        <v>1708</v>
      </c>
      <c r="B19" s="1748"/>
      <c r="C19" s="1748"/>
      <c r="D19" s="1749"/>
      <c r="E19" s="871"/>
      <c r="F19" s="581">
        <f>SUMIFS(BalanceN[BS_Credit],BalanceN[Table],"&gt;=29600",BalanceN[Table],"&lt;29700")</f>
        <v>0</v>
      </c>
      <c r="G19" s="581">
        <f>SUMIFS(BalanceN1[BS_Credit],BalanceN1[Table],"&gt;=29600",BalanceN1[Table],"&lt;29700")</f>
        <v>0</v>
      </c>
      <c r="H19" s="361" t="str">
        <f>IF(G19,(F19-G19)/ABS(G19),IF(ISBLANK(G19),"",IF(F19,IF( F19 &gt; 0,1,-1),"")))</f>
        <v/>
      </c>
      <c r="I19" s="364"/>
      <c r="J19" s="364"/>
      <c r="K19" s="364"/>
    </row>
    <row r="20" spans="1:12" ht="15" customHeight="1">
      <c r="A20" s="1748" t="s">
        <v>1709</v>
      </c>
      <c r="B20" s="1748"/>
      <c r="C20" s="1748"/>
      <c r="D20" s="1749"/>
      <c r="E20" s="871"/>
      <c r="F20" s="581">
        <f>SUMIFS(BalanceN[BS_Credit],BalanceN[Table],"&gt;=29700",BalanceN[Table],"&lt;29800")</f>
        <v>0</v>
      </c>
      <c r="G20" s="581">
        <f>SUMIFS(BalanceN1[BS_Credit],BalanceN1[Table],"&gt;=29700",BalanceN1[Table],"&lt;29800")</f>
        <v>0</v>
      </c>
      <c r="H20" s="361" t="str">
        <f>IF(G20,(F20-G20)/ABS(G20),IF(ISBLANK(G20),"",IF(F20,IF( F20 &gt; 0,1,-1),"")))</f>
        <v/>
      </c>
      <c r="I20" s="364"/>
      <c r="J20" s="364"/>
      <c r="K20" s="364"/>
    </row>
    <row r="21" spans="1:12" ht="15" customHeight="1">
      <c r="A21" s="1868" t="s">
        <v>1710</v>
      </c>
      <c r="B21" s="1868"/>
      <c r="C21" s="1868"/>
      <c r="D21" s="1780"/>
      <c r="E21" s="872"/>
      <c r="F21" s="365">
        <f>F18-F19-F20</f>
        <v>4419790</v>
      </c>
      <c r="G21" s="365">
        <f>G18-G19-G20</f>
        <v>4548658</v>
      </c>
      <c r="H21" s="363">
        <f>IF(G21,(F21-G21)/G21,IF(ISBLANK(G21),"",IF(F21,1,"")))</f>
        <v>-2.8330993449056843E-2</v>
      </c>
      <c r="I21" s="366"/>
      <c r="J21" s="366"/>
      <c r="K21" s="366"/>
      <c r="L21" s="103" t="str">
        <f>IF(F21=(SUMIFS(BalanceN[BS_Debit],BalanceN[Table],"&gt;=26000",BalanceN[Table],"&lt;28000")-SUMIFS(BalanceN[BS_Credit],BalanceN[Table],"&gt;=29600",BalanceN[Table],"&lt;29800")),"","Veuillez vérifier les immobilisations financières dans la balance")</f>
        <v/>
      </c>
    </row>
    <row r="22" spans="1:12" ht="3" customHeight="1">
      <c r="A22" s="125"/>
      <c r="B22" s="125"/>
      <c r="C22" s="125"/>
      <c r="D22" s="125"/>
      <c r="E22" s="125"/>
      <c r="F22" s="125"/>
      <c r="G22" s="125"/>
      <c r="H22" s="125"/>
      <c r="I22" s="125"/>
      <c r="J22" s="125"/>
    </row>
    <row r="23" spans="1:12">
      <c r="A23" s="1869" t="s">
        <v>1711</v>
      </c>
      <c r="B23" s="1869"/>
      <c r="C23" s="1869"/>
      <c r="D23" s="1869"/>
      <c r="E23" s="1869"/>
      <c r="F23" s="1869"/>
      <c r="G23" s="1869"/>
      <c r="H23" s="1869"/>
      <c r="I23" s="1869"/>
      <c r="J23" s="1869"/>
      <c r="K23" s="1869"/>
    </row>
    <row r="24" spans="1:12" ht="35.25" customHeight="1">
      <c r="A24" s="1865" t="s">
        <v>1712</v>
      </c>
      <c r="B24" s="1866"/>
      <c r="C24" s="1866"/>
      <c r="D24" s="1867"/>
      <c r="E24" s="870" t="s">
        <v>1713</v>
      </c>
      <c r="F24" s="870" t="s">
        <v>1714</v>
      </c>
      <c r="G24" s="870" t="s">
        <v>1715</v>
      </c>
      <c r="H24" s="870" t="s">
        <v>1716</v>
      </c>
      <c r="I24" s="870" t="s">
        <v>1717</v>
      </c>
      <c r="J24" s="873" t="s">
        <v>9230</v>
      </c>
      <c r="K24" s="870" t="s">
        <v>1718</v>
      </c>
    </row>
    <row r="25" spans="1:12" ht="15" customHeight="1">
      <c r="A25" s="1864"/>
      <c r="B25" s="1864"/>
      <c r="C25" s="1864"/>
      <c r="D25" s="1864"/>
      <c r="E25" s="367"/>
      <c r="F25" s="368"/>
      <c r="G25" s="369"/>
      <c r="H25" s="345"/>
      <c r="I25" s="345"/>
      <c r="J25" s="345"/>
      <c r="K25" s="345"/>
    </row>
    <row r="26" spans="1:12" s="653" customFormat="1" ht="11.25" customHeight="1">
      <c r="A26" s="874" t="s">
        <v>9231</v>
      </c>
      <c r="B26" s="875"/>
      <c r="C26" s="875"/>
      <c r="D26" s="875"/>
      <c r="E26" s="876" t="s">
        <v>1719</v>
      </c>
      <c r="F26" s="875"/>
      <c r="G26" s="875"/>
      <c r="H26" s="875"/>
      <c r="I26" s="875"/>
      <c r="J26" s="875"/>
    </row>
    <row r="27" spans="1:12" s="653" customFormat="1" ht="10.5">
      <c r="A27" s="798" t="s">
        <v>1618</v>
      </c>
    </row>
    <row r="28" spans="1:12" s="653" customFormat="1" ht="10.5" customHeight="1">
      <c r="A28" s="866" t="s">
        <v>1720</v>
      </c>
      <c r="F28" s="877" t="s">
        <v>1721</v>
      </c>
    </row>
    <row r="29" spans="1:12" s="653" customFormat="1" ht="10.5" customHeight="1">
      <c r="A29" s="866" t="s">
        <v>1722</v>
      </c>
      <c r="F29" s="877" t="s">
        <v>1723</v>
      </c>
    </row>
    <row r="30" spans="1:12" s="653" customFormat="1" ht="10.5" customHeight="1">
      <c r="A30" s="866" t="s">
        <v>1724</v>
      </c>
    </row>
    <row r="31" spans="1:12" s="653" customFormat="1" ht="10.5" customHeight="1">
      <c r="A31" s="866" t="s">
        <v>1625</v>
      </c>
    </row>
    <row r="32" spans="1:12" s="653" customFormat="1" ht="10.5" customHeight="1">
      <c r="A32" s="878" t="s">
        <v>1725</v>
      </c>
    </row>
    <row r="33" spans="1:5" s="653" customFormat="1" ht="10.5" customHeight="1">
      <c r="A33" s="878" t="s">
        <v>1726</v>
      </c>
    </row>
    <row r="34" spans="1:5" s="653" customFormat="1" ht="10.5" customHeight="1">
      <c r="A34" s="878" t="s">
        <v>1727</v>
      </c>
    </row>
    <row r="35" spans="1:5" ht="10.5" customHeight="1">
      <c r="B35" s="626"/>
      <c r="C35" s="626"/>
      <c r="D35" s="626"/>
      <c r="E35" s="626"/>
    </row>
    <row r="36" spans="1:5" ht="10.5" customHeight="1">
      <c r="B36" s="626"/>
      <c r="C36" s="626"/>
      <c r="D36" s="626"/>
      <c r="E36" s="626"/>
    </row>
  </sheetData>
  <sheetProtection algorithmName="SHA-512" hashValue="tjyhibkPfbieJ2+ALuQ3Z/xwCyb17CPVg82MZU5li5qZdBirm2RQx6O3yUh1thW3iAauvwPyIqVnfW479NvLbw==" saltValue="W2kjyX4Jf/tLxpKgQXxxgQ==" spinCount="100000" sheet="1" objects="1" scenarios="1" selectLockedCells="1"/>
  <mergeCells count="27">
    <mergeCell ref="A11:D11"/>
    <mergeCell ref="A1:K1"/>
    <mergeCell ref="J2:K2"/>
    <mergeCell ref="C3:K3"/>
    <mergeCell ref="B4:H4"/>
    <mergeCell ref="J4:K4"/>
    <mergeCell ref="C5:E5"/>
    <mergeCell ref="G5:H5"/>
    <mergeCell ref="J5:K5"/>
    <mergeCell ref="C6:E6"/>
    <mergeCell ref="A7:K7"/>
    <mergeCell ref="A8:E8"/>
    <mergeCell ref="A9:D9"/>
    <mergeCell ref="A10:D10"/>
    <mergeCell ref="A25:D25"/>
    <mergeCell ref="A24:D24"/>
    <mergeCell ref="A12:D12"/>
    <mergeCell ref="A13:D13"/>
    <mergeCell ref="A14:D14"/>
    <mergeCell ref="A15:D15"/>
    <mergeCell ref="A16:D16"/>
    <mergeCell ref="A17:D17"/>
    <mergeCell ref="A18:D18"/>
    <mergeCell ref="A19:D19"/>
    <mergeCell ref="A20:D20"/>
    <mergeCell ref="A21:D21"/>
    <mergeCell ref="A23:K23"/>
  </mergeCells>
  <conditionalFormatting sqref="I9:K18">
    <cfRule type="cellIs" dxfId="198" priority="2" operator="equal">
      <formula>0</formula>
    </cfRule>
  </conditionalFormatting>
  <conditionalFormatting sqref="F9:G21">
    <cfRule type="cellIs" dxfId="197" priority="1" operator="equal">
      <formula>0</formula>
    </cfRule>
  </conditionalFormatting>
  <dataValidations count="2">
    <dataValidation type="whole" allowBlank="1" showInputMessage="1" showErrorMessage="1" errorTitle="Attention!" error="Valeur numérique attendue" sqref="K25 I25 I9:K17 I19:K20 F9:G17 F19:G20" xr:uid="{A8C8F9B6-EFAA-47A5-9A15-B986B87C57F2}">
      <formula1>-9999999999999</formula1>
      <formula2>9999999999999</formula2>
    </dataValidation>
    <dataValidation allowBlank="1" showInputMessage="1" showErrorMessage="1" errorTitle="Attention!" error="Valeur numérique attendue" sqref="G25" xr:uid="{F59B84B9-9E40-4138-8B8E-ADC9D82D0D9B}"/>
  </dataValidations>
  <printOptions horizontalCentered="1"/>
  <pageMargins left="0.23622047244094491" right="0.23622047244094491" top="0.35433070866141736" bottom="0.35433070866141736" header="0.31496062992125984" footer="0.31496062992125984"/>
  <pageSetup paperSize="9" scale="78" orientation="landscape" r:id="rId1"/>
  <ignoredErrors>
    <ignoredError sqref="H18"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9745" r:id="rId4" name="AjoutLigneNOTE4B">
              <controlPr defaultSize="0" print="0" autoFill="0" autoPict="0" macro="[0]!AjoutNOTE4B_Cliquer">
                <anchor moveWithCells="1">
                  <from>
                    <xdr:col>11</xdr:col>
                    <xdr:colOff>365760</xdr:colOff>
                    <xdr:row>23</xdr:row>
                    <xdr:rowOff>60960</xdr:rowOff>
                  </from>
                  <to>
                    <xdr:col>13</xdr:col>
                    <xdr:colOff>83820</xdr:colOff>
                    <xdr:row>23</xdr:row>
                    <xdr:rowOff>350520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errorTitle="Attention!" error="Valeur numérique attendue" xr:uid="{C5422840-AA40-443E-A528-D6E88B802743}">
          <x14:formula1>
            <xm:f>Referentiels!$L$3:$L$4</xm:f>
          </x14:formula1>
          <xm:sqref>J25</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46A8-FC9F-4D22-B705-1BF8FD5433B1}">
  <sheetPr codeName="Feuil24">
    <tabColor theme="9" tint="0.39997558519241921"/>
    <pageSetUpPr fitToPage="1"/>
  </sheetPr>
  <dimension ref="A1:I29"/>
  <sheetViews>
    <sheetView showGridLines="0" showRowColHeaders="0" zoomScaleNormal="100" workbookViewId="0">
      <selection sqref="A1:I1"/>
    </sheetView>
  </sheetViews>
  <sheetFormatPr baseColWidth="10" defaultColWidth="11.5234375" defaultRowHeight="14.4"/>
  <cols>
    <col min="1" max="1" width="11.3125" style="103" customWidth="1"/>
    <col min="2" max="2" width="16.89453125" style="103" customWidth="1"/>
    <col min="3" max="3" width="12.41796875" style="103" customWidth="1"/>
    <col min="4" max="4" width="3.41796875" style="103" customWidth="1"/>
    <col min="5" max="5" width="15.3125" style="103" customWidth="1"/>
    <col min="6" max="6" width="7.41796875" style="103" customWidth="1"/>
    <col min="7" max="7" width="5.41796875" style="103" customWidth="1"/>
    <col min="8" max="8" width="15" style="103" customWidth="1"/>
    <col min="9" max="9" width="12" style="103" customWidth="1"/>
    <col min="10" max="16384" width="11.5234375" style="103"/>
  </cols>
  <sheetData>
    <row r="1" spans="1:9">
      <c r="A1" s="1276" t="str">
        <f>"- "&amp;Code!K24&amp;" -"</f>
        <v>- 18 -</v>
      </c>
      <c r="B1" s="1276"/>
      <c r="C1" s="1276"/>
      <c r="D1" s="1276"/>
      <c r="E1" s="1276"/>
      <c r="F1" s="1276"/>
      <c r="G1" s="1276"/>
      <c r="H1" s="1276"/>
      <c r="I1" s="1276"/>
    </row>
    <row r="2" spans="1:9" ht="24.9" customHeight="1">
      <c r="A2" s="576"/>
      <c r="B2" s="576"/>
      <c r="C2" s="576"/>
      <c r="D2" s="576"/>
      <c r="E2" s="576"/>
      <c r="F2" s="576"/>
      <c r="G2" s="576"/>
      <c r="H2" s="1278" t="s">
        <v>1728</v>
      </c>
      <c r="I2" s="1765"/>
    </row>
    <row r="3" spans="1:9" s="593" customFormat="1" ht="15" customHeight="1">
      <c r="A3" s="317" t="s">
        <v>50</v>
      </c>
      <c r="B3" s="317"/>
      <c r="C3" s="1280" t="str">
        <f>'NOTE 1'!C3</f>
        <v>OHADA</v>
      </c>
      <c r="D3" s="1280"/>
      <c r="E3" s="1280"/>
      <c r="F3" s="1280"/>
      <c r="G3" s="1280"/>
      <c r="H3" s="1280"/>
      <c r="I3" s="1280"/>
    </row>
    <row r="4" spans="1:9" s="593" customFormat="1" ht="15" customHeight="1">
      <c r="A4" s="317" t="s">
        <v>51</v>
      </c>
      <c r="B4" s="1280" t="str">
        <f>'NOTE 1'!B4</f>
        <v/>
      </c>
      <c r="C4" s="1281"/>
      <c r="D4" s="1281"/>
      <c r="E4" s="1281"/>
      <c r="F4" s="1281"/>
      <c r="G4" s="1281"/>
      <c r="H4" s="627" t="s">
        <v>1021</v>
      </c>
      <c r="I4" s="630" t="str">
        <f>'NOTE 1'!I4</f>
        <v/>
      </c>
    </row>
    <row r="5" spans="1:9" s="593" customFormat="1" ht="15" customHeight="1">
      <c r="A5" s="317" t="s">
        <v>1597</v>
      </c>
      <c r="B5" s="317"/>
      <c r="C5" s="1281" t="str">
        <f>'NOTE 1'!C5</f>
        <v/>
      </c>
      <c r="D5" s="1281"/>
      <c r="E5" s="642" t="s">
        <v>54</v>
      </c>
      <c r="F5" s="1648">
        <f>'NOTE 1'!G5</f>
        <v>0</v>
      </c>
      <c r="G5" s="1648"/>
      <c r="H5" s="627" t="s">
        <v>55</v>
      </c>
      <c r="I5" s="795">
        <f>'NOTE 1'!I5</f>
        <v>1</v>
      </c>
    </row>
    <row r="6" spans="1:9" s="593" customFormat="1" ht="15" customHeight="1">
      <c r="A6" s="317" t="s">
        <v>56</v>
      </c>
      <c r="B6" s="317"/>
      <c r="C6" s="1275" t="str">
        <f>'NOTE 1'!C6</f>
        <v/>
      </c>
      <c r="D6" s="1275"/>
      <c r="E6" s="638"/>
      <c r="F6" s="630"/>
      <c r="G6" s="630"/>
      <c r="H6" s="629"/>
      <c r="I6" s="630"/>
    </row>
    <row r="7" spans="1:9" ht="35.25" customHeight="1">
      <c r="A7" s="1273" t="s">
        <v>1729</v>
      </c>
      <c r="B7" s="1273"/>
      <c r="C7" s="1273"/>
      <c r="D7" s="1273"/>
      <c r="E7" s="1273"/>
      <c r="F7" s="1273"/>
      <c r="G7" s="1273"/>
      <c r="H7" s="1273"/>
      <c r="I7" s="1273"/>
    </row>
    <row r="8" spans="1:9" ht="31.5" customHeight="1">
      <c r="A8" s="1788" t="s">
        <v>1730</v>
      </c>
      <c r="B8" s="1788"/>
      <c r="C8" s="1788"/>
      <c r="D8" s="1788"/>
      <c r="E8" s="1788"/>
      <c r="F8" s="1788"/>
      <c r="G8" s="1788"/>
      <c r="H8" s="1788"/>
      <c r="I8" s="1788"/>
    </row>
    <row r="9" spans="1:9" ht="31.5" customHeight="1">
      <c r="A9" s="1838" t="s">
        <v>1692</v>
      </c>
      <c r="B9" s="1838"/>
      <c r="C9" s="1838"/>
      <c r="D9" s="1838"/>
      <c r="E9" s="1838" t="s">
        <v>1693</v>
      </c>
      <c r="F9" s="1838"/>
      <c r="G9" s="1838" t="s">
        <v>1694</v>
      </c>
      <c r="H9" s="1838"/>
      <c r="I9" s="379" t="s">
        <v>1731</v>
      </c>
    </row>
    <row r="10" spans="1:9" ht="17.25" customHeight="1">
      <c r="A10" s="1748" t="s">
        <v>1732</v>
      </c>
      <c r="B10" s="1748"/>
      <c r="C10" s="1748"/>
      <c r="D10" s="1748"/>
      <c r="E10" s="1823">
        <f>SUMIFS(BalanceN[BS_Debit],BalanceN[Table],"&gt;=48500",BalanceN[Table],"&lt;48600")</f>
        <v>140000</v>
      </c>
      <c r="F10" s="1824"/>
      <c r="G10" s="1823">
        <f>SUMIFS(BalanceN1[BS_Debit],BalanceN1[Table],"&gt;=48500",BalanceN1[Table],"&lt;48600")</f>
        <v>380000</v>
      </c>
      <c r="H10" s="1824"/>
      <c r="I10" s="361">
        <f>IF(G10,(E10-G10)/G10,IF(ISBLANK(G10),"",IF(E10,IF( E10 &gt; 0,1,-1),"")))</f>
        <v>-0.63157894736842102</v>
      </c>
    </row>
    <row r="11" spans="1:9" ht="17.25" customHeight="1">
      <c r="A11" s="1748" t="s">
        <v>1733</v>
      </c>
      <c r="B11" s="1748"/>
      <c r="C11" s="1748"/>
      <c r="D11" s="1748"/>
      <c r="E11" s="1823">
        <f>SUMIFS(BalanceN[BS_Debit],BalanceN[Table],"&gt;=48800",BalanceN[Table],"&lt;48900")</f>
        <v>2000000</v>
      </c>
      <c r="F11" s="1824"/>
      <c r="G11" s="1823">
        <f>SUMIFS(BalanceN1[BS_Debit],BalanceN1[Table],"&gt;=48800",BalanceN1[Table],"&lt;48900")</f>
        <v>0</v>
      </c>
      <c r="H11" s="1824"/>
      <c r="I11" s="361">
        <f>IF(G11,(E11-G11)/G11,IF(ISBLANK(G11),"",IF(E11,IF( E11 &gt; 0,1,-1),"")))</f>
        <v>1</v>
      </c>
    </row>
    <row r="12" spans="1:9" ht="17.25" customHeight="1">
      <c r="A12" s="1868" t="s">
        <v>1707</v>
      </c>
      <c r="B12" s="1868"/>
      <c r="C12" s="1868"/>
      <c r="D12" s="1868"/>
      <c r="E12" s="1871">
        <f>SUM(E10:F11)</f>
        <v>2140000</v>
      </c>
      <c r="F12" s="1871"/>
      <c r="G12" s="1871">
        <f>SUM(G10:H11)</f>
        <v>380000</v>
      </c>
      <c r="H12" s="1871"/>
      <c r="I12" s="363">
        <f>IF(G12,(E12-G12)/G12,IF(ISBLANK(G12),"",IF(E12,IF( E12 &gt; 0,1,-1),"")))</f>
        <v>4.6315789473684212</v>
      </c>
    </row>
    <row r="13" spans="1:9" ht="17.25" customHeight="1">
      <c r="A13" s="1748" t="s">
        <v>1734</v>
      </c>
      <c r="B13" s="1748"/>
      <c r="C13" s="1748"/>
      <c r="D13" s="1748"/>
      <c r="E13" s="1872">
        <f>SUMIFS(BalanceN[BS_Credit],BalanceN[Table],"&gt;=49800",BalanceN[Table],"&lt;49900")</f>
        <v>0</v>
      </c>
      <c r="F13" s="1872"/>
      <c r="G13" s="1872">
        <f>SUMIFS(BalanceN1[BS_Credit],BalanceN1[Table],"&gt;=49800",BalanceN1[Table],"&lt;49900")</f>
        <v>0</v>
      </c>
      <c r="H13" s="1872"/>
      <c r="I13" s="361" t="str">
        <f>IF(G13,(E13-G13)/G13,IF(ISBLANK(G13),"",IF(E13,IF( E13 &gt; 0,1,-1),"")))</f>
        <v/>
      </c>
    </row>
    <row r="14" spans="1:9" ht="17.25" customHeight="1">
      <c r="A14" s="1868" t="s">
        <v>1735</v>
      </c>
      <c r="B14" s="1868"/>
      <c r="C14" s="1868"/>
      <c r="D14" s="1868"/>
      <c r="E14" s="1871">
        <f>E12-E13</f>
        <v>2140000</v>
      </c>
      <c r="F14" s="1871"/>
      <c r="G14" s="1871">
        <f>G12-G13</f>
        <v>380000</v>
      </c>
      <c r="H14" s="1871"/>
      <c r="I14" s="363">
        <f>IF(G14,(E14-G14)/G14,IF(ISBLANK(G14),"",IF(E14,IF( E14 &gt; 0,1,-1),"")))</f>
        <v>4.6315789473684212</v>
      </c>
    </row>
    <row r="15" spans="1:9" s="626" customFormat="1" ht="17.25" customHeight="1">
      <c r="A15" s="867" t="s">
        <v>1736</v>
      </c>
    </row>
    <row r="16" spans="1:9" s="626" customFormat="1" ht="11.7">
      <c r="A16" s="868" t="s">
        <v>1737</v>
      </c>
    </row>
    <row r="17" spans="1:9" s="626" customFormat="1" ht="15" customHeight="1">
      <c r="A17" s="868" t="s">
        <v>1738</v>
      </c>
    </row>
    <row r="18" spans="1:9" s="626" customFormat="1" ht="15" customHeight="1">
      <c r="A18" s="868"/>
    </row>
    <row r="19" spans="1:9" ht="16.5" customHeight="1">
      <c r="A19" s="1273" t="s">
        <v>1739</v>
      </c>
      <c r="B19" s="1273"/>
      <c r="C19" s="1273"/>
      <c r="D19" s="1273"/>
      <c r="E19" s="1273"/>
      <c r="F19" s="1273"/>
      <c r="G19" s="1273"/>
      <c r="H19" s="1273"/>
      <c r="I19" s="1273"/>
    </row>
    <row r="20" spans="1:9">
      <c r="A20" s="317"/>
      <c r="B20" s="317"/>
      <c r="C20" s="317"/>
      <c r="D20" s="625"/>
      <c r="E20" s="317"/>
      <c r="F20" s="317"/>
      <c r="G20" s="317"/>
      <c r="H20" s="626"/>
      <c r="I20" s="626"/>
    </row>
    <row r="21" spans="1:9" ht="31.5" customHeight="1">
      <c r="A21" s="1838" t="s">
        <v>1692</v>
      </c>
      <c r="B21" s="1838"/>
      <c r="C21" s="1838"/>
      <c r="D21" s="1838"/>
      <c r="E21" s="1838" t="s">
        <v>1693</v>
      </c>
      <c r="F21" s="1838"/>
      <c r="G21" s="1838" t="s">
        <v>1694</v>
      </c>
      <c r="H21" s="1838"/>
      <c r="I21" s="379" t="s">
        <v>1731</v>
      </c>
    </row>
    <row r="22" spans="1:9" ht="17.25" customHeight="1">
      <c r="A22" s="1748" t="s">
        <v>1740</v>
      </c>
      <c r="B22" s="1748"/>
      <c r="C22" s="1748"/>
      <c r="D22" s="1748"/>
      <c r="E22" s="1872">
        <f>SUMIFS(BalanceN[BS_Credit],BalanceN[Table],"&gt;=48100",BalanceN[Table],"&lt;48200")-E24</f>
        <v>156250000</v>
      </c>
      <c r="F22" s="1872"/>
      <c r="G22" s="1872">
        <f>SUMIFS(BalanceN1[BS_Credit],BalanceN1[Table],"&gt;=48100",BalanceN1[Table],"&lt;48200")-G24</f>
        <v>0</v>
      </c>
      <c r="H22" s="1872"/>
      <c r="I22" s="361">
        <f>IF(G22,(E22-G22)/G22,IF(ISBLANK(G22),"",IF(E22,IF( E22 &gt; 0,1,-1),"")))</f>
        <v>1</v>
      </c>
    </row>
    <row r="23" spans="1:9" ht="17.25" customHeight="1">
      <c r="A23" s="1748" t="s">
        <v>1741</v>
      </c>
      <c r="B23" s="1748"/>
      <c r="C23" s="1748"/>
      <c r="D23" s="1748"/>
      <c r="E23" s="1872">
        <f>SUMIFS(BalanceN[BS_Debit],BalanceN[Table],"&gt;=48200",BalanceN[Table],"&lt;48200")</f>
        <v>0</v>
      </c>
      <c r="F23" s="1872"/>
      <c r="G23" s="1872">
        <f>SUMIFS(BalanceN1[BS_Debit],BalanceN1[Table],"&gt;=48200",BalanceN1[Table],"&lt;48200")</f>
        <v>0</v>
      </c>
      <c r="H23" s="1872"/>
      <c r="I23" s="361" t="str">
        <f>IF(G23,(E23-G23)/G23,IF(ISBLANK(G23),"",IF(E23,IF( E23 &gt; 0,1,-1),"")))</f>
        <v/>
      </c>
    </row>
    <row r="24" spans="1:9" ht="26.25" customHeight="1">
      <c r="A24" s="1748" t="s">
        <v>1742</v>
      </c>
      <c r="B24" s="1748"/>
      <c r="C24" s="1748"/>
      <c r="D24" s="1748"/>
      <c r="E24" s="1872">
        <f>SUMIFS(BalanceN[BS_Credit],BalanceN[Table],"&gt;=48130",BalanceN[Table],"&lt;48340")</f>
        <v>399942</v>
      </c>
      <c r="F24" s="1872"/>
      <c r="G24" s="1872">
        <f>SUMIFS(BalanceN1[BS_Credit],BalanceN1[Table],"&gt;=48130",BalanceN1[Table],"&lt;48340")</f>
        <v>399942</v>
      </c>
      <c r="H24" s="1872"/>
      <c r="I24" s="361">
        <f>IF(G24,(E24-G24)/G24,IF(ISBLANK(G24),"",IF(E24,IF( E24 &gt; 0,1,-1),"")))</f>
        <v>0</v>
      </c>
    </row>
    <row r="25" spans="1:9" ht="17.25" customHeight="1">
      <c r="A25" s="1748" t="s">
        <v>1743</v>
      </c>
      <c r="B25" s="1748"/>
      <c r="C25" s="1748"/>
      <c r="D25" s="1748"/>
      <c r="E25" s="1872">
        <f>SUMIFS(BalanceN[BS_Credit],BalanceN[Table],"&gt;=48400",BalanceN[Table],"&lt;48500")</f>
        <v>0</v>
      </c>
      <c r="F25" s="1872"/>
      <c r="G25" s="1872">
        <f>SUMIFS(BalanceN1[BS_Credit],BalanceN1[Table],"&gt;=48400",BalanceN1[Table],"&lt;48500")</f>
        <v>0</v>
      </c>
      <c r="H25" s="1872"/>
      <c r="I25" s="361" t="str">
        <f>IF(G25,(E25-G25)/G25,IF(ISBLANK(G25),"",IF(E25,IF( E25 &gt; 0,1,-1),"")))</f>
        <v/>
      </c>
    </row>
    <row r="26" spans="1:9" ht="17.25" customHeight="1">
      <c r="A26" s="1868" t="s">
        <v>1578</v>
      </c>
      <c r="B26" s="1868"/>
      <c r="C26" s="1868"/>
      <c r="D26" s="1868"/>
      <c r="E26" s="1871">
        <f>SUM(E22:F25)</f>
        <v>156649942</v>
      </c>
      <c r="F26" s="1871"/>
      <c r="G26" s="1871">
        <f>SUM(G22:H25)</f>
        <v>399942</v>
      </c>
      <c r="H26" s="1871"/>
      <c r="I26" s="363">
        <f>IF(G26,(E26-G26)/G26,IF(ISBLANK(G26),"",IF(E26,IF( E26 &gt; 0,1,-1),"")))</f>
        <v>390.68164883908167</v>
      </c>
    </row>
    <row r="27" spans="1:9" s="653" customFormat="1" ht="17.25" customHeight="1">
      <c r="A27" s="798" t="s">
        <v>1744</v>
      </c>
    </row>
    <row r="28" spans="1:9" s="653" customFormat="1" ht="10.5">
      <c r="A28" s="817" t="s">
        <v>1745</v>
      </c>
    </row>
    <row r="29" spans="1:9" s="653" customFormat="1" ht="15" customHeight="1">
      <c r="A29" s="817" t="s">
        <v>1746</v>
      </c>
    </row>
  </sheetData>
  <sheetProtection algorithmName="SHA-512" hashValue="znDEEVBzEm2nrj74hqC6HxcdxCvtrrK4c0mVwTARYWgazT352KG2HdyGITcGkTxl3u1Z/luqK7phBOwOQhcJNA==" saltValue="NvXsdtGEuKKdVm5LeEK0BA==" spinCount="100000" sheet="1" objects="1" scenarios="1" selectLockedCells="1"/>
  <mergeCells count="46">
    <mergeCell ref="A1:I1"/>
    <mergeCell ref="H2:I2"/>
    <mergeCell ref="C3:I3"/>
    <mergeCell ref="B4:G4"/>
    <mergeCell ref="C5:D5"/>
    <mergeCell ref="F5:G5"/>
    <mergeCell ref="C6:D6"/>
    <mergeCell ref="A7:I7"/>
    <mergeCell ref="A8:I8"/>
    <mergeCell ref="A9:D9"/>
    <mergeCell ref="E9:F9"/>
    <mergeCell ref="G9:H9"/>
    <mergeCell ref="A10:D10"/>
    <mergeCell ref="E10:F10"/>
    <mergeCell ref="G10:H10"/>
    <mergeCell ref="A11:D11"/>
    <mergeCell ref="E11:F11"/>
    <mergeCell ref="G11:H11"/>
    <mergeCell ref="A12:D12"/>
    <mergeCell ref="E12:F12"/>
    <mergeCell ref="G12:H12"/>
    <mergeCell ref="A13:D13"/>
    <mergeCell ref="E13:F13"/>
    <mergeCell ref="G13:H13"/>
    <mergeCell ref="A14:D14"/>
    <mergeCell ref="E14:F14"/>
    <mergeCell ref="G14:H14"/>
    <mergeCell ref="A19:I19"/>
    <mergeCell ref="A21:D21"/>
    <mergeCell ref="E21:F21"/>
    <mergeCell ref="G21:H21"/>
    <mergeCell ref="A22:D22"/>
    <mergeCell ref="E22:F22"/>
    <mergeCell ref="G22:H22"/>
    <mergeCell ref="A23:D23"/>
    <mergeCell ref="E23:F23"/>
    <mergeCell ref="G23:H23"/>
    <mergeCell ref="A26:D26"/>
    <mergeCell ref="E26:F26"/>
    <mergeCell ref="G26:H26"/>
    <mergeCell ref="A24:D24"/>
    <mergeCell ref="E24:F24"/>
    <mergeCell ref="G24:H24"/>
    <mergeCell ref="A25:D25"/>
    <mergeCell ref="E25:F25"/>
    <mergeCell ref="G25:H25"/>
  </mergeCells>
  <conditionalFormatting sqref="E10:H14">
    <cfRule type="cellIs" dxfId="196" priority="2" operator="equal">
      <formula>0</formula>
    </cfRule>
  </conditionalFormatting>
  <conditionalFormatting sqref="E22:H26">
    <cfRule type="cellIs" dxfId="195" priority="1" operator="equal">
      <formula>0</formula>
    </cfRule>
  </conditionalFormatting>
  <dataValidations count="1">
    <dataValidation type="whole" allowBlank="1" showInputMessage="1" showErrorMessage="1" errorTitle="Attention!" error="Valeur numérique attendue" sqref="E10:H11 E13:H13 E22:H25" xr:uid="{DA988D71-F62F-4AA3-90C0-04F7AF922264}">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1AC0C-E63D-4070-9A59-7258E452BB9B}">
  <sheetPr codeName="Feuil25">
    <tabColor theme="9" tint="0.39997558519241921"/>
    <pageSetUpPr fitToPage="1"/>
  </sheetPr>
  <dimension ref="A1:J24"/>
  <sheetViews>
    <sheetView showGridLines="0" showRowColHeaders="0" zoomScaleNormal="100" workbookViewId="0">
      <selection sqref="A1:J1"/>
    </sheetView>
  </sheetViews>
  <sheetFormatPr baseColWidth="10" defaultColWidth="11.5234375" defaultRowHeight="14.4"/>
  <cols>
    <col min="1" max="1" width="11.5234375" style="103"/>
    <col min="2" max="2" width="16.41796875" style="103" customWidth="1"/>
    <col min="3" max="4" width="11.5234375" style="103"/>
    <col min="5" max="5" width="14.41796875" style="103" customWidth="1"/>
    <col min="6" max="6" width="5" style="103" customWidth="1"/>
    <col min="7" max="7" width="9.89453125" style="103" customWidth="1"/>
    <col min="8" max="8" width="9.1015625" style="103" customWidth="1"/>
    <col min="9" max="10" width="17.1015625" style="103" customWidth="1"/>
    <col min="11" max="16384" width="11.5234375" style="103"/>
  </cols>
  <sheetData>
    <row r="1" spans="1:10">
      <c r="A1" s="1276" t="str">
        <f>"- "&amp;Code!K25&amp;" -"</f>
        <v>- 18 -</v>
      </c>
      <c r="B1" s="1276"/>
      <c r="C1" s="1276"/>
      <c r="D1" s="1276"/>
      <c r="E1" s="1276"/>
      <c r="F1" s="1276"/>
      <c r="G1" s="1276"/>
      <c r="H1" s="1276"/>
      <c r="I1" s="1276"/>
      <c r="J1" s="1276"/>
    </row>
    <row r="2" spans="1:10" ht="24.9" customHeight="1">
      <c r="A2" s="576"/>
      <c r="B2" s="576"/>
      <c r="C2" s="576"/>
      <c r="D2" s="576"/>
      <c r="E2" s="576"/>
      <c r="F2" s="576"/>
      <c r="G2" s="576"/>
      <c r="I2" s="1278" t="s">
        <v>1747</v>
      </c>
      <c r="J2" s="1279"/>
    </row>
    <row r="3" spans="1:10" s="844" customFormat="1" ht="15" customHeight="1">
      <c r="A3" s="317" t="s">
        <v>50</v>
      </c>
      <c r="B3" s="317"/>
      <c r="C3" s="1842" t="str">
        <f>'NOTE 1'!C3</f>
        <v>OHADA</v>
      </c>
      <c r="D3" s="1842"/>
      <c r="E3" s="1842"/>
      <c r="F3" s="1842"/>
      <c r="G3" s="1842"/>
      <c r="H3" s="1842"/>
      <c r="I3" s="1280"/>
      <c r="J3" s="1280"/>
    </row>
    <row r="4" spans="1:10" s="844" customFormat="1" ht="15" customHeight="1">
      <c r="A4" s="317" t="s">
        <v>51</v>
      </c>
      <c r="B4" s="1697" t="str">
        <f>'NOTE 1'!B4</f>
        <v/>
      </c>
      <c r="C4" s="1697"/>
      <c r="D4" s="1697"/>
      <c r="E4" s="1697"/>
      <c r="F4" s="1697"/>
      <c r="G4" s="1697"/>
      <c r="H4" s="1697"/>
      <c r="I4" s="627" t="s">
        <v>1021</v>
      </c>
      <c r="J4" s="630" t="str">
        <f>'NOTE 1'!I4</f>
        <v/>
      </c>
    </row>
    <row r="5" spans="1:10" s="844" customFormat="1" ht="15" customHeight="1">
      <c r="A5" s="317" t="s">
        <v>1597</v>
      </c>
      <c r="B5" s="317"/>
      <c r="C5" s="1280" t="str">
        <f>'NOTE 1'!C5</f>
        <v/>
      </c>
      <c r="D5" s="1280"/>
      <c r="E5" s="642" t="s">
        <v>54</v>
      </c>
      <c r="F5" s="1875">
        <f>'NOTE 1'!G5</f>
        <v>0</v>
      </c>
      <c r="G5" s="1875"/>
      <c r="H5" s="1875"/>
      <c r="I5" s="627" t="s">
        <v>55</v>
      </c>
      <c r="J5" s="795">
        <f>'NOTE 1'!I5</f>
        <v>1</v>
      </c>
    </row>
    <row r="6" spans="1:10" s="844" customFormat="1" ht="15" customHeight="1">
      <c r="A6" s="317" t="s">
        <v>56</v>
      </c>
      <c r="B6" s="317"/>
      <c r="C6" s="1275" t="str">
        <f>'NOTE 1'!C6</f>
        <v/>
      </c>
      <c r="D6" s="1275"/>
      <c r="E6" s="638"/>
      <c r="F6" s="630"/>
      <c r="G6" s="630"/>
      <c r="H6" s="629"/>
      <c r="I6" s="629"/>
      <c r="J6" s="630"/>
    </row>
    <row r="7" spans="1:10" ht="35.25" customHeight="1">
      <c r="A7" s="1273" t="s">
        <v>1748</v>
      </c>
      <c r="B7" s="1273"/>
      <c r="C7" s="1273"/>
      <c r="D7" s="1273"/>
      <c r="E7" s="1273"/>
      <c r="F7" s="1273"/>
      <c r="G7" s="1273"/>
      <c r="H7" s="1273"/>
      <c r="I7" s="1273"/>
      <c r="J7" s="1273"/>
    </row>
    <row r="8" spans="1:10" ht="33.75" customHeight="1">
      <c r="A8" s="1838" t="s">
        <v>1692</v>
      </c>
      <c r="B8" s="1838"/>
      <c r="C8" s="1838"/>
      <c r="D8" s="1838"/>
      <c r="E8" s="1838" t="s">
        <v>1693</v>
      </c>
      <c r="F8" s="1838"/>
      <c r="G8" s="1838" t="s">
        <v>1694</v>
      </c>
      <c r="H8" s="1838"/>
      <c r="I8" s="379" t="s">
        <v>1749</v>
      </c>
      <c r="J8" s="379" t="s">
        <v>1731</v>
      </c>
    </row>
    <row r="9" spans="1:10" s="593" customFormat="1" ht="17.25" customHeight="1">
      <c r="A9" s="1748" t="s">
        <v>1750</v>
      </c>
      <c r="B9" s="1748"/>
      <c r="C9" s="1748"/>
      <c r="D9" s="1748"/>
      <c r="E9" s="1872">
        <f>SUMIFS(BalanceN[BS_Debit],BalanceN[Table],"&gt;=31000",BalanceN[Table],"&lt;32000")</f>
        <v>5000000</v>
      </c>
      <c r="F9" s="1872"/>
      <c r="G9" s="1872">
        <f>SUMIFS(BalanceN1[BS_Debit],BalanceN1[Table],"&gt;=31000",BalanceN1[Table],"&lt;32000")</f>
        <v>0</v>
      </c>
      <c r="H9" s="1872"/>
      <c r="I9" s="581">
        <f>(E9-G9)</f>
        <v>5000000</v>
      </c>
      <c r="J9" s="361">
        <f>IF(G9,(E9-G9)/G9,IF(ISBLANK(G9),"",IF(E9,IF( E9 &gt; 0,1,-1),"")))</f>
        <v>1</v>
      </c>
    </row>
    <row r="10" spans="1:10" s="593" customFormat="1" ht="17.25" customHeight="1">
      <c r="A10" s="1748" t="s">
        <v>1751</v>
      </c>
      <c r="B10" s="1748"/>
      <c r="C10" s="1748"/>
      <c r="D10" s="1748"/>
      <c r="E10" s="1872">
        <f>SUMIFS(BalanceN[BS_Debit],BalanceN[Table],"&gt;=32000",BalanceN[Table],"&lt;33000")</f>
        <v>7827856</v>
      </c>
      <c r="F10" s="1872"/>
      <c r="G10" s="1872">
        <f>SUMIFS(BalanceN1[BS_Debit],BalanceN1[Table],"&gt;=32000",BalanceN1[Table],"&lt;33000")</f>
        <v>7721440</v>
      </c>
      <c r="H10" s="1872"/>
      <c r="I10" s="581">
        <f t="shared" ref="I10:I19" si="0">(E10-G10)</f>
        <v>106416</v>
      </c>
      <c r="J10" s="361">
        <f t="shared" ref="J10:J19" si="1">IF(G10,(E10-G10)/G10,IF(ISBLANK(G10),"",IF(E10,IF( E10 &gt; 0,1,-1),"")))</f>
        <v>1.3781885244203153E-2</v>
      </c>
    </row>
    <row r="11" spans="1:10" s="593" customFormat="1" ht="17.25" customHeight="1">
      <c r="A11" s="1748" t="s">
        <v>1752</v>
      </c>
      <c r="B11" s="1748"/>
      <c r="C11" s="1748"/>
      <c r="D11" s="1748"/>
      <c r="E11" s="1872">
        <f>SUMIFS(BalanceN[BS_Debit],BalanceN[Table],"&gt;=33000",BalanceN[Table],"&lt;34000")</f>
        <v>5732282</v>
      </c>
      <c r="F11" s="1872"/>
      <c r="G11" s="1872">
        <f>SUMIFS(BalanceN1[BS_Debit],BalanceN1[Table],"&gt;=33000",BalanceN1[Table],"&lt;34000")</f>
        <v>8146993</v>
      </c>
      <c r="H11" s="1872"/>
      <c r="I11" s="581">
        <f t="shared" si="0"/>
        <v>-2414711</v>
      </c>
      <c r="J11" s="361"/>
    </row>
    <row r="12" spans="1:10" s="593" customFormat="1" ht="17.25" customHeight="1">
      <c r="A12" s="1748" t="s">
        <v>1753</v>
      </c>
      <c r="B12" s="1748"/>
      <c r="C12" s="1748"/>
      <c r="D12" s="1748"/>
      <c r="E12" s="1872">
        <f>SUMIFS(BalanceN[BS_Debit],BalanceN[Table],"&gt;=34000",BalanceN[Table],"&lt;35000")</f>
        <v>0</v>
      </c>
      <c r="F12" s="1872"/>
      <c r="G12" s="1872">
        <f>SUMIFS(BalanceN1[BS_Debit],BalanceN1[Table],"&gt;=34000",BalanceN1[Table],"&lt;35000")</f>
        <v>0</v>
      </c>
      <c r="H12" s="1872"/>
      <c r="I12" s="581">
        <f t="shared" si="0"/>
        <v>0</v>
      </c>
      <c r="J12" s="361" t="str">
        <f t="shared" si="1"/>
        <v/>
      </c>
    </row>
    <row r="13" spans="1:10" s="593" customFormat="1" ht="17.25" customHeight="1">
      <c r="A13" s="1748" t="s">
        <v>1754</v>
      </c>
      <c r="B13" s="1748"/>
      <c r="C13" s="1748"/>
      <c r="D13" s="1748"/>
      <c r="E13" s="1872">
        <f>SUMIFS(BalanceN[BS_Debit],BalanceN[Table],"&gt;=35000",BalanceN[Table],"&lt;36000")</f>
        <v>0</v>
      </c>
      <c r="F13" s="1872"/>
      <c r="G13" s="1872">
        <f>SUMIFS(BalanceN1[BS_Debit],BalanceN1[Table],"&gt;=35000",BalanceN1[Table],"&lt;36000")</f>
        <v>0</v>
      </c>
      <c r="H13" s="1872"/>
      <c r="I13" s="581">
        <f t="shared" si="0"/>
        <v>0</v>
      </c>
      <c r="J13" s="361" t="str">
        <f t="shared" si="1"/>
        <v/>
      </c>
    </row>
    <row r="14" spans="1:10" s="593" customFormat="1" ht="17.25" customHeight="1">
      <c r="A14" s="1748" t="s">
        <v>1755</v>
      </c>
      <c r="B14" s="1748"/>
      <c r="C14" s="1748"/>
      <c r="D14" s="1748"/>
      <c r="E14" s="1872">
        <f>SUMIFS(BalanceN[BS_Debit],BalanceN[Table],"&gt;=36000",BalanceN[Table],"&lt;37000")</f>
        <v>0</v>
      </c>
      <c r="F14" s="1872"/>
      <c r="G14" s="1872">
        <f>SUMIFS(BalanceN1[BS_Debit],BalanceN1[Table],"&gt;=36000",BalanceN1[Table],"&lt;37000")</f>
        <v>0</v>
      </c>
      <c r="H14" s="1872"/>
      <c r="I14" s="581">
        <f t="shared" si="0"/>
        <v>0</v>
      </c>
      <c r="J14" s="361" t="str">
        <f t="shared" si="1"/>
        <v/>
      </c>
    </row>
    <row r="15" spans="1:10" s="593" customFormat="1" ht="17.25" customHeight="1">
      <c r="A15" s="1748" t="s">
        <v>1756</v>
      </c>
      <c r="B15" s="1748"/>
      <c r="C15" s="1748"/>
      <c r="D15" s="1748"/>
      <c r="E15" s="1872">
        <f>SUMIFS(BalanceN[BS_Debit],BalanceN[Table],"&gt;=37000",BalanceN[Table],"&lt;38000")</f>
        <v>0</v>
      </c>
      <c r="F15" s="1872"/>
      <c r="G15" s="1872">
        <f>SUMIFS(BalanceN1[BS_Debit],BalanceN1[Table],"&gt;=37000",BalanceN1[Table],"&lt;38000")</f>
        <v>0</v>
      </c>
      <c r="H15" s="1872"/>
      <c r="I15" s="581">
        <f t="shared" si="0"/>
        <v>0</v>
      </c>
      <c r="J15" s="361" t="str">
        <f t="shared" si="1"/>
        <v/>
      </c>
    </row>
    <row r="16" spans="1:10" s="593" customFormat="1" ht="17.25" customHeight="1">
      <c r="A16" s="1748" t="s">
        <v>1757</v>
      </c>
      <c r="B16" s="1748"/>
      <c r="C16" s="1748"/>
      <c r="D16" s="1748"/>
      <c r="E16" s="1872">
        <f>SUMIFS(BalanceN[BS_Debit],BalanceN[Table],"&gt;=38000",BalanceN[Table],"&lt;39000")</f>
        <v>0</v>
      </c>
      <c r="F16" s="1872"/>
      <c r="G16" s="1872">
        <f>SUMIFS(BalanceN1[BS_Debit],BalanceN1[Table],"&gt;=38000",BalanceN1[Table],"&lt;39000")</f>
        <v>0</v>
      </c>
      <c r="H16" s="1872"/>
      <c r="I16" s="581">
        <f t="shared" si="0"/>
        <v>0</v>
      </c>
      <c r="J16" s="361" t="str">
        <f t="shared" si="1"/>
        <v/>
      </c>
    </row>
    <row r="17" spans="1:10" s="593" customFormat="1" ht="17.25" customHeight="1">
      <c r="A17" s="1750" t="s">
        <v>1758</v>
      </c>
      <c r="B17" s="1750"/>
      <c r="C17" s="1750"/>
      <c r="D17" s="1750"/>
      <c r="E17" s="1813">
        <f>SUM(E9:F16)</f>
        <v>18560138</v>
      </c>
      <c r="F17" s="1814"/>
      <c r="G17" s="1813">
        <f>SUM(G9:H16)</f>
        <v>15868433</v>
      </c>
      <c r="H17" s="1814"/>
      <c r="I17" s="370">
        <f t="shared" si="0"/>
        <v>2691705</v>
      </c>
      <c r="J17" s="363">
        <f t="shared" si="1"/>
        <v>0.16962638970086083</v>
      </c>
    </row>
    <row r="18" spans="1:10" s="593" customFormat="1" ht="23.25" customHeight="1">
      <c r="A18" s="1748" t="s">
        <v>1759</v>
      </c>
      <c r="B18" s="1748"/>
      <c r="C18" s="1748"/>
      <c r="D18" s="1748"/>
      <c r="E18" s="1872">
        <f>SUMIFS(BalanceN[BS_Credit],BalanceN[Table],"&gt;=39000",BalanceN[Table],"&lt;40000")</f>
        <v>0</v>
      </c>
      <c r="F18" s="1872"/>
      <c r="G18" s="1872">
        <f>SUMIFS(BalanceN1[BS_Credit],BalanceN1[Table],"&gt;=39000",BalanceN1[Table],"&lt;40000")</f>
        <v>0</v>
      </c>
      <c r="H18" s="1872"/>
      <c r="I18" s="581">
        <f t="shared" si="0"/>
        <v>0</v>
      </c>
      <c r="J18" s="361" t="str">
        <f t="shared" si="1"/>
        <v/>
      </c>
    </row>
    <row r="19" spans="1:10" s="593" customFormat="1" ht="17.25" customHeight="1">
      <c r="A19" s="1750" t="s">
        <v>1735</v>
      </c>
      <c r="B19" s="1750"/>
      <c r="C19" s="1750"/>
      <c r="D19" s="1750"/>
      <c r="E19" s="1874">
        <f>E17-E18</f>
        <v>18560138</v>
      </c>
      <c r="F19" s="1874"/>
      <c r="G19" s="1874">
        <f>G17-G18</f>
        <v>15868433</v>
      </c>
      <c r="H19" s="1874"/>
      <c r="I19" s="370">
        <f t="shared" si="0"/>
        <v>2691705</v>
      </c>
      <c r="J19" s="363">
        <f t="shared" si="1"/>
        <v>0.16962638970086083</v>
      </c>
    </row>
    <row r="20" spans="1:10" s="653" customFormat="1" ht="19.5" customHeight="1">
      <c r="A20" s="1873" t="s">
        <v>1760</v>
      </c>
      <c r="B20" s="1873"/>
      <c r="C20" s="1873"/>
      <c r="D20" s="1873"/>
      <c r="E20" s="1873"/>
      <c r="F20" s="1873"/>
      <c r="G20" s="1873"/>
      <c r="H20" s="1873"/>
      <c r="I20" s="1873"/>
      <c r="J20" s="1873"/>
    </row>
    <row r="21" spans="1:10" s="653" customFormat="1" ht="10.5">
      <c r="A21" s="798" t="s">
        <v>1761</v>
      </c>
      <c r="B21" s="793"/>
      <c r="C21" s="793"/>
      <c r="D21" s="793"/>
      <c r="E21" s="793"/>
      <c r="F21" s="793"/>
      <c r="G21" s="793"/>
      <c r="H21" s="793"/>
      <c r="I21" s="793"/>
      <c r="J21" s="793"/>
    </row>
    <row r="22" spans="1:10" s="653" customFormat="1" ht="12.75" customHeight="1">
      <c r="A22" s="866" t="s">
        <v>1762</v>
      </c>
    </row>
    <row r="23" spans="1:10" s="653" customFormat="1" ht="12.75" customHeight="1">
      <c r="A23" s="866" t="s">
        <v>1763</v>
      </c>
    </row>
    <row r="24" spans="1:10" s="653" customFormat="1" ht="12.75" customHeight="1">
      <c r="A24" s="866" t="s">
        <v>1764</v>
      </c>
    </row>
  </sheetData>
  <sheetProtection algorithmName="SHA-512" hashValue="XhCfBpSy80vOBH2maWZkK6L/1GDACHsMAC7KXOorJpo35KcqkMyJJq9sVmOWYkhVa030P63ev1W8hiQ/oTw/NA==" saltValue="FN/4DJ2l1xyvnz+QJOQTmg==" spinCount="100000" sheet="1" objects="1" scenarios="1" selectLockedCells="1"/>
  <mergeCells count="45">
    <mergeCell ref="A9:D9"/>
    <mergeCell ref="E9:F9"/>
    <mergeCell ref="G9:H9"/>
    <mergeCell ref="A1:J1"/>
    <mergeCell ref="I2:J2"/>
    <mergeCell ref="C3:J3"/>
    <mergeCell ref="B4:H4"/>
    <mergeCell ref="C5:D5"/>
    <mergeCell ref="F5:H5"/>
    <mergeCell ref="C6:D6"/>
    <mergeCell ref="A7:J7"/>
    <mergeCell ref="A8:D8"/>
    <mergeCell ref="E8:F8"/>
    <mergeCell ref="G8:H8"/>
    <mergeCell ref="A10:D10"/>
    <mergeCell ref="E10:F10"/>
    <mergeCell ref="G10:H10"/>
    <mergeCell ref="A11:D11"/>
    <mergeCell ref="E11:F11"/>
    <mergeCell ref="G11:H11"/>
    <mergeCell ref="A12:D12"/>
    <mergeCell ref="E12:F12"/>
    <mergeCell ref="G12:H12"/>
    <mergeCell ref="A13:D13"/>
    <mergeCell ref="E13:F13"/>
    <mergeCell ref="G13:H13"/>
    <mergeCell ref="A14:D14"/>
    <mergeCell ref="E14:F14"/>
    <mergeCell ref="G14:H14"/>
    <mergeCell ref="A15:D15"/>
    <mergeCell ref="E15:F15"/>
    <mergeCell ref="G15:H15"/>
    <mergeCell ref="A16:D16"/>
    <mergeCell ref="E16:F16"/>
    <mergeCell ref="G16:H16"/>
    <mergeCell ref="A17:D17"/>
    <mergeCell ref="E17:F17"/>
    <mergeCell ref="G17:H17"/>
    <mergeCell ref="A20:J20"/>
    <mergeCell ref="A18:D18"/>
    <mergeCell ref="E18:F18"/>
    <mergeCell ref="G18:H18"/>
    <mergeCell ref="A19:D19"/>
    <mergeCell ref="E19:F19"/>
    <mergeCell ref="G19:H19"/>
  </mergeCells>
  <conditionalFormatting sqref="E9:I19">
    <cfRule type="cellIs" dxfId="194" priority="1" operator="equal">
      <formula>0</formula>
    </cfRule>
  </conditionalFormatting>
  <dataValidations disablePrompts="1" count="1">
    <dataValidation type="whole" allowBlank="1" showInputMessage="1" showErrorMessage="1" errorTitle="Attention!" error="Valeur numérique attendue" sqref="E18:I18 E9:H16 I9:I17 I19" xr:uid="{DFC39ABD-FA0A-473C-A6C3-B406DF33D11A}">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40A4-907B-440F-B743-D69EA46BB97A}">
  <sheetPr codeName="Feuil26">
    <tabColor theme="9" tint="0.39997558519241921"/>
    <pageSetUpPr fitToPage="1"/>
  </sheetPr>
  <dimension ref="A1:J28"/>
  <sheetViews>
    <sheetView showGridLines="0" showRowColHeaders="0" zoomScaleNormal="100" workbookViewId="0">
      <selection activeCell="I9" sqref="I9"/>
    </sheetView>
  </sheetViews>
  <sheetFormatPr baseColWidth="10" defaultColWidth="11.41796875" defaultRowHeight="14.4"/>
  <cols>
    <col min="1" max="1" width="11.41796875" style="103"/>
    <col min="2" max="2" width="16.3125" style="103" customWidth="1"/>
    <col min="3" max="4" width="11.41796875" style="103"/>
    <col min="5" max="6" width="15.68359375" style="103" customWidth="1"/>
    <col min="7" max="7" width="11.41796875" style="103"/>
    <col min="8" max="10" width="15.68359375" style="103" customWidth="1"/>
    <col min="11" max="16384" width="11.41796875" style="103"/>
  </cols>
  <sheetData>
    <row r="1" spans="1:10">
      <c r="A1" s="1276" t="str">
        <f>"- "&amp;Code!K26&amp;" -"</f>
        <v>- 18 -</v>
      </c>
      <c r="B1" s="1276"/>
      <c r="C1" s="1276"/>
      <c r="D1" s="1276"/>
      <c r="E1" s="1276"/>
      <c r="F1" s="1276"/>
      <c r="G1" s="1276"/>
      <c r="H1" s="1276"/>
      <c r="I1" s="1276"/>
      <c r="J1" s="1276"/>
    </row>
    <row r="2" spans="1:10" ht="24.9" customHeight="1">
      <c r="A2" s="576"/>
      <c r="B2" s="576"/>
      <c r="C2" s="576"/>
      <c r="D2" s="576"/>
      <c r="E2" s="576"/>
      <c r="F2" s="576"/>
      <c r="G2" s="576"/>
      <c r="I2" s="1278" t="s">
        <v>1765</v>
      </c>
      <c r="J2" s="1279"/>
    </row>
    <row r="3" spans="1:10" s="844" customFormat="1" ht="15" customHeight="1">
      <c r="A3" s="317" t="s">
        <v>50</v>
      </c>
      <c r="B3" s="317"/>
      <c r="C3" s="1280" t="str">
        <f>'NOTE 1'!C3</f>
        <v>OHADA</v>
      </c>
      <c r="D3" s="1280"/>
      <c r="E3" s="1280"/>
      <c r="F3" s="1280"/>
      <c r="G3" s="1280"/>
      <c r="H3" s="1280"/>
      <c r="I3" s="1280"/>
      <c r="J3" s="1280"/>
    </row>
    <row r="4" spans="1:10" s="844" customFormat="1" ht="15" customHeight="1">
      <c r="A4" s="317" t="s">
        <v>51</v>
      </c>
      <c r="B4" s="1280" t="str">
        <f>'NOTE 1'!B4</f>
        <v/>
      </c>
      <c r="C4" s="1280"/>
      <c r="D4" s="1280"/>
      <c r="E4" s="1280"/>
      <c r="F4" s="1280"/>
      <c r="G4" s="1280"/>
      <c r="H4" s="1280"/>
      <c r="I4" s="627" t="s">
        <v>1021</v>
      </c>
      <c r="J4" s="628" t="str">
        <f>'NOTE 1'!I4</f>
        <v/>
      </c>
    </row>
    <row r="5" spans="1:10" s="844" customFormat="1" ht="15" customHeight="1">
      <c r="A5" s="317" t="s">
        <v>1597</v>
      </c>
      <c r="B5" s="317"/>
      <c r="C5" s="1280" t="str">
        <f>'NOTE 1'!C5</f>
        <v/>
      </c>
      <c r="D5" s="1280"/>
      <c r="E5" s="1280"/>
      <c r="F5" s="642" t="s">
        <v>54</v>
      </c>
      <c r="G5" s="1806">
        <f>'NOTE 1'!G5</f>
        <v>0</v>
      </c>
      <c r="H5" s="1806"/>
      <c r="I5" s="627" t="s">
        <v>55</v>
      </c>
      <c r="J5" s="630">
        <f>'NOTE 1'!I5</f>
        <v>1</v>
      </c>
    </row>
    <row r="6" spans="1:10" s="844" customFormat="1" ht="15" customHeight="1">
      <c r="A6" s="317" t="s">
        <v>56</v>
      </c>
      <c r="B6" s="317"/>
      <c r="C6" s="1275" t="str">
        <f>'NOTE 1'!C6</f>
        <v/>
      </c>
      <c r="D6" s="1275"/>
      <c r="E6" s="1275"/>
      <c r="F6" s="638"/>
      <c r="G6" s="630"/>
      <c r="H6" s="630"/>
      <c r="I6" s="629"/>
      <c r="J6" s="630"/>
    </row>
    <row r="7" spans="1:10" ht="35.25" customHeight="1">
      <c r="A7" s="1273" t="s">
        <v>1766</v>
      </c>
      <c r="B7" s="1273"/>
      <c r="C7" s="1273"/>
      <c r="D7" s="1273"/>
      <c r="E7" s="1273"/>
      <c r="F7" s="1273"/>
      <c r="G7" s="1273"/>
      <c r="H7" s="1273"/>
      <c r="I7" s="1273"/>
      <c r="J7" s="1273"/>
    </row>
    <row r="8" spans="1:10" ht="59.25" customHeight="1">
      <c r="A8" s="1838" t="s">
        <v>1692</v>
      </c>
      <c r="B8" s="1838"/>
      <c r="C8" s="1838"/>
      <c r="D8" s="1838"/>
      <c r="E8" s="379" t="s">
        <v>1693</v>
      </c>
      <c r="F8" s="379" t="s">
        <v>1694</v>
      </c>
      <c r="G8" s="379" t="s">
        <v>1731</v>
      </c>
      <c r="H8" s="379" t="s">
        <v>1767</v>
      </c>
      <c r="I8" s="379" t="s">
        <v>1697</v>
      </c>
      <c r="J8" s="379" t="s">
        <v>1698</v>
      </c>
    </row>
    <row r="9" spans="1:10" ht="15.9" customHeight="1">
      <c r="A9" s="1748" t="s">
        <v>1768</v>
      </c>
      <c r="B9" s="1748"/>
      <c r="C9" s="1748"/>
      <c r="D9" s="1748"/>
      <c r="E9" s="581">
        <f>SUMIFS(BalanceN[BS_Debit],BalanceN[Table],"&gt;=41100",BalanceN[Table],"&lt;41200")-SUMIFS(BalanceN[BS_Debit],BalanceN[Table],"&gt;=41160",BalanceN[Table],"&lt;41170")-SUMIFS(BalanceN[BS_Debit],BalanceN[Table],"&gt;=41120",BalanceN[Table],"&lt;41130")</f>
        <v>136261301</v>
      </c>
      <c r="F9" s="581">
        <f>SUMIFS(BalanceN1[BS_Debit],BalanceN1[Table],"&gt;=41100",BalanceN1[Table],"&lt;41200")-SUMIFS(BalanceN1[BS_Debit],BalanceN1[Table],"&gt;=41160",BalanceN1[Table],"&lt;41170")-SUMIFS(BalanceN1[BS_Debit],BalanceN1[Table],"&gt;=41120",BalanceN1[Table],"&lt;41130")</f>
        <v>140683833</v>
      </c>
      <c r="G9" s="371">
        <f>IF(F9,(E9-F9)/F9,IF(ISBLANK(F9),"",IF(E9,IF( E9 &gt; 0,1,-1),"")))</f>
        <v>-3.143596464278877E-2</v>
      </c>
      <c r="H9" s="581">
        <f>E9-I9-J9</f>
        <v>136261301</v>
      </c>
      <c r="I9" s="372"/>
      <c r="J9" s="372"/>
    </row>
    <row r="10" spans="1:10" ht="24.75" customHeight="1">
      <c r="A10" s="1748" t="s">
        <v>1769</v>
      </c>
      <c r="B10" s="1748"/>
      <c r="C10" s="1748"/>
      <c r="D10" s="1748"/>
      <c r="E10" s="581">
        <f>SUMIFS(BalanceN[BS_Debit],BalanceN[Table],"&gt;=41200",BalanceN[Table],"&lt;41300")-SUMIFS(BalanceN[BS_Debit],BalanceN[Table],"&gt;=41220",BalanceN[Table],"&lt;41230")-SUMIFS(BalanceN[BS_Debit],BalanceN[Table],"&gt;=41260",BalanceN[Table],"&lt;41270")</f>
        <v>0</v>
      </c>
      <c r="F10" s="581">
        <f>SUMIFS(BalanceN1[BS_Debit],BalanceN1[Table],"&gt;=41200",BalanceN1[Table],"&lt;41300")-SUMIFS(BalanceN1[BS_Debit],BalanceN1[Table],"&gt;=41220",BalanceN1[Table],"&lt;41230")-SUMIFS(BalanceN1[BS_Debit],BalanceN1[Table],"&gt;=41260",BalanceN1[Table],"&lt;41270")</f>
        <v>0</v>
      </c>
      <c r="G10" s="371" t="str">
        <f t="shared" ref="G10:G23" si="0">IF(F10,(E10-F10)/F10,IF(ISBLANK(F10),"",IF(E10,IF( E10 &gt; 0,1,-1),"")))</f>
        <v/>
      </c>
      <c r="H10" s="581">
        <f t="shared" ref="H10:H16" si="1">E10-I10-J10</f>
        <v>0</v>
      </c>
      <c r="I10" s="372"/>
      <c r="J10" s="372"/>
    </row>
    <row r="11" spans="1:10" ht="15.9" customHeight="1">
      <c r="A11" s="1748" t="s">
        <v>1770</v>
      </c>
      <c r="B11" s="1748"/>
      <c r="C11" s="1748"/>
      <c r="D11" s="1748"/>
      <c r="E11" s="581">
        <f>SUMIFS(BalanceN[BS_Debit],BalanceN[Table],"&gt;=41160",BalanceN[Table],"&lt;41170")+SUMIFS(BalanceN[BS_Debit],BalanceN[Table],"&gt;=41260",BalanceN[Table],"&lt;41270")</f>
        <v>0</v>
      </c>
      <c r="F11" s="581">
        <f>SUMIFS(BalanceN1[BS_Debit],BalanceN1[Table],"&gt;=41160",BalanceN1[Table],"&lt;41170")+SUMIFS(BalanceN1[BS_Debit],BalanceN1[Table],"&gt;=41260",BalanceN1[Table],"&lt;41270")</f>
        <v>0</v>
      </c>
      <c r="G11" s="371" t="str">
        <f t="shared" si="0"/>
        <v/>
      </c>
      <c r="H11" s="581">
        <f t="shared" si="1"/>
        <v>0</v>
      </c>
      <c r="I11" s="372"/>
      <c r="J11" s="372"/>
    </row>
    <row r="12" spans="1:10" ht="15.9" customHeight="1">
      <c r="A12" s="1748" t="s">
        <v>1771</v>
      </c>
      <c r="B12" s="1748"/>
      <c r="C12" s="1748"/>
      <c r="D12" s="1748"/>
      <c r="E12" s="581">
        <f>SUMIFS(BalanceN[BS_Debit],BalanceN[Table],"&gt;=41120",BalanceN[Table],"&lt;41130")+SUMIFS(BalanceN[BS_Debit],BalanceN[Table],"&gt;=41220",BalanceN[Table],"&lt;41230")</f>
        <v>0</v>
      </c>
      <c r="F12" s="581">
        <f>SUMIFS(BalanceN1[BS_Debit],BalanceN1[Table],"&gt;=41120",BalanceN1[Table],"&lt;41130")+SUMIFS(BalanceN1[BS_Debit],BalanceN1[Table],"&gt;=41220",BalanceN1[Table],"&lt;41230")</f>
        <v>0</v>
      </c>
      <c r="G12" s="371" t="str">
        <f t="shared" si="0"/>
        <v/>
      </c>
      <c r="H12" s="581">
        <f t="shared" si="1"/>
        <v>0</v>
      </c>
      <c r="I12" s="372"/>
      <c r="J12" s="372"/>
    </row>
    <row r="13" spans="1:10" ht="15.9" customHeight="1">
      <c r="A13" s="1748" t="s">
        <v>1772</v>
      </c>
      <c r="B13" s="1748"/>
      <c r="C13" s="1748"/>
      <c r="D13" s="1748"/>
      <c r="E13" s="581">
        <f>SUMIFS(BalanceN[BS_Debit],BalanceN[Table],"&gt;=41400",BalanceN[Table],"&lt;41500")</f>
        <v>0</v>
      </c>
      <c r="F13" s="581">
        <f>SUMIFS(BalanceN1[BS_Debit],BalanceN1[Table],"&gt;=41400",BalanceN1[Table],"&lt;41500")</f>
        <v>0</v>
      </c>
      <c r="G13" s="371" t="str">
        <f t="shared" si="0"/>
        <v/>
      </c>
      <c r="H13" s="581">
        <f t="shared" si="1"/>
        <v>0</v>
      </c>
      <c r="I13" s="372"/>
      <c r="J13" s="372"/>
    </row>
    <row r="14" spans="1:10" ht="15.9" customHeight="1">
      <c r="A14" s="1748" t="s">
        <v>1773</v>
      </c>
      <c r="B14" s="1748"/>
      <c r="C14" s="1748"/>
      <c r="D14" s="1748"/>
      <c r="E14" s="581">
        <f>SUMIFS(BalanceN[BS_Debit],BalanceN[Table],"&gt;=41500",BalanceN[Table],"&lt;41600")</f>
        <v>0</v>
      </c>
      <c r="F14" s="581">
        <f>SUMIFS(BalanceN1[BS_Debit],BalanceN1[Table],"&gt;=41500",BalanceN1[Table],"&lt;41600")</f>
        <v>0</v>
      </c>
      <c r="G14" s="371" t="str">
        <f t="shared" si="0"/>
        <v/>
      </c>
      <c r="H14" s="581">
        <f t="shared" si="1"/>
        <v>0</v>
      </c>
      <c r="I14" s="372"/>
      <c r="J14" s="372"/>
    </row>
    <row r="15" spans="1:10" ht="15.9" customHeight="1">
      <c r="A15" s="1748" t="s">
        <v>1774</v>
      </c>
      <c r="B15" s="1748"/>
      <c r="C15" s="1748"/>
      <c r="D15" s="1748"/>
      <c r="E15" s="581">
        <f>SUMIFS(BalanceN[BS_Debit],BalanceN[Table],"&gt;=41600",BalanceN[Table],"&lt;41700")</f>
        <v>31677520</v>
      </c>
      <c r="F15" s="581">
        <f>SUMIFS(BalanceN1[BS_Debit],BalanceN1[Table],"&gt;=41600",BalanceN1[Table],"&lt;41700")</f>
        <v>31677520</v>
      </c>
      <c r="G15" s="371">
        <f t="shared" si="0"/>
        <v>0</v>
      </c>
      <c r="H15" s="581">
        <f t="shared" si="1"/>
        <v>31677520</v>
      </c>
      <c r="I15" s="372"/>
      <c r="J15" s="372"/>
    </row>
    <row r="16" spans="1:10" ht="15.9" customHeight="1">
      <c r="A16" s="1748" t="s">
        <v>1775</v>
      </c>
      <c r="B16" s="1748"/>
      <c r="C16" s="1748"/>
      <c r="D16" s="1748"/>
      <c r="E16" s="581">
        <f>SUMIFS(BalanceN[BS_Debit],BalanceN[Table],"&gt;=41800",BalanceN[Table],"&lt;41900")</f>
        <v>0</v>
      </c>
      <c r="F16" s="581">
        <f>SUMIFS(BalanceN1[BS_Debit],BalanceN1[Table],"&gt;=41800",BalanceN1[Table],"&lt;41900")</f>
        <v>0</v>
      </c>
      <c r="G16" s="371" t="str">
        <f t="shared" si="0"/>
        <v/>
      </c>
      <c r="H16" s="581">
        <f t="shared" si="1"/>
        <v>0</v>
      </c>
      <c r="I16" s="372"/>
      <c r="J16" s="372"/>
    </row>
    <row r="17" spans="1:10" ht="15.9" customHeight="1">
      <c r="A17" s="1868" t="s">
        <v>1776</v>
      </c>
      <c r="B17" s="1868"/>
      <c r="C17" s="1868"/>
      <c r="D17" s="1868"/>
      <c r="E17" s="580">
        <f>SUM(E9:E16)</f>
        <v>167938821</v>
      </c>
      <c r="F17" s="580">
        <f>SUM(F9:F16)</f>
        <v>172361353</v>
      </c>
      <c r="G17" s="373">
        <f t="shared" si="0"/>
        <v>-2.5658489696353218E-2</v>
      </c>
      <c r="H17" s="580">
        <f>SUM(H9:H16)</f>
        <v>167938821</v>
      </c>
      <c r="I17" s="580">
        <f>SUM(I9:I16)</f>
        <v>0</v>
      </c>
      <c r="J17" s="580">
        <f>SUM(J9:J16)</f>
        <v>0</v>
      </c>
    </row>
    <row r="18" spans="1:10" ht="15.9" customHeight="1">
      <c r="A18" s="1748" t="s">
        <v>1777</v>
      </c>
      <c r="B18" s="1748"/>
      <c r="C18" s="1748"/>
      <c r="D18" s="1748"/>
      <c r="E18" s="581">
        <f>SUMIFS(BalanceN[BS_Credit],BalanceN[Table],"&gt;=49100",BalanceN[Table],"&lt;49200")</f>
        <v>31677520</v>
      </c>
      <c r="F18" s="581">
        <f>SUMIFS(BalanceN1[BS_Credit],BalanceN1[Table],"&gt;=49100",BalanceN1[Table],"&lt;49200")</f>
        <v>31677520</v>
      </c>
      <c r="G18" s="371">
        <f t="shared" si="0"/>
        <v>0</v>
      </c>
      <c r="H18" s="364"/>
      <c r="I18" s="374"/>
      <c r="J18" s="374"/>
    </row>
    <row r="19" spans="1:10" ht="15" customHeight="1">
      <c r="A19" s="1868" t="s">
        <v>1735</v>
      </c>
      <c r="B19" s="1868"/>
      <c r="C19" s="1868"/>
      <c r="D19" s="1868"/>
      <c r="E19" s="580">
        <f>E17-E18</f>
        <v>136261301</v>
      </c>
      <c r="F19" s="580">
        <f>F17-F18</f>
        <v>140683833</v>
      </c>
      <c r="G19" s="373">
        <f t="shared" si="0"/>
        <v>-3.143596464278877E-2</v>
      </c>
      <c r="H19" s="375"/>
      <c r="I19" s="376"/>
      <c r="J19" s="376"/>
    </row>
    <row r="20" spans="1:10" ht="15.9" customHeight="1">
      <c r="A20" s="1748" t="s">
        <v>1778</v>
      </c>
      <c r="B20" s="1748"/>
      <c r="C20" s="1748"/>
      <c r="D20" s="1748"/>
      <c r="E20" s="581">
        <f>SUMIFS(BalanceN[BS_Credit],BalanceN[Table],"&gt;=41910",BalanceN[Table],"&lt;41920")</f>
        <v>0</v>
      </c>
      <c r="F20" s="581">
        <f>SUMIFS(BalanceN1[BS_Credit],BalanceN1[Table],"&gt;=41910",BalanceN1[Table],"&lt;41920")</f>
        <v>0</v>
      </c>
      <c r="G20" s="371" t="str">
        <f t="shared" si="0"/>
        <v/>
      </c>
      <c r="H20" s="581">
        <f>E20</f>
        <v>0</v>
      </c>
      <c r="I20" s="372"/>
      <c r="J20" s="372"/>
    </row>
    <row r="21" spans="1:10" ht="15.9" customHeight="1">
      <c r="A21" s="1748" t="s">
        <v>1779</v>
      </c>
      <c r="B21" s="1748"/>
      <c r="C21" s="1748"/>
      <c r="D21" s="1748"/>
      <c r="E21" s="581">
        <f>SUMIFS(BalanceN[BS_Credit],BalanceN[Table],"&gt;=41920",BalanceN[Table],"&lt;41930")</f>
        <v>0</v>
      </c>
      <c r="F21" s="581">
        <f>SUMIFS(BalanceN1[BS_Credit],BalanceN1[Table],"&gt;=41920",BalanceN1[Table],"&lt;41930")</f>
        <v>0</v>
      </c>
      <c r="G21" s="371" t="str">
        <f t="shared" si="0"/>
        <v/>
      </c>
      <c r="H21" s="581">
        <f>E21</f>
        <v>0</v>
      </c>
      <c r="I21" s="372"/>
      <c r="J21" s="372"/>
    </row>
    <row r="22" spans="1:10" ht="15.9" customHeight="1">
      <c r="A22" s="1748" t="s">
        <v>1780</v>
      </c>
      <c r="B22" s="1748"/>
      <c r="C22" s="1748"/>
      <c r="D22" s="1748"/>
      <c r="E22" s="581">
        <f>SUMIFS(BalanceN[BS_Credit],BalanceN[Table],"&gt;=41930",BalanceN[Table],"&lt;42000")</f>
        <v>0</v>
      </c>
      <c r="F22" s="581">
        <f>SUMIFS(BalanceN1[BS_Credit],BalanceN1[Table],"&gt;=41930",BalanceN1[Table],"&lt;42000")</f>
        <v>0</v>
      </c>
      <c r="G22" s="371" t="str">
        <f t="shared" si="0"/>
        <v/>
      </c>
      <c r="H22" s="581">
        <f>E22</f>
        <v>0</v>
      </c>
      <c r="I22" s="372"/>
      <c r="J22" s="372"/>
    </row>
    <row r="23" spans="1:10" ht="15.9" customHeight="1">
      <c r="A23" s="1868" t="s">
        <v>1781</v>
      </c>
      <c r="B23" s="1868"/>
      <c r="C23" s="1868"/>
      <c r="D23" s="1868"/>
      <c r="E23" s="580">
        <f>SUM(E20:E22)</f>
        <v>0</v>
      </c>
      <c r="F23" s="580">
        <f>SUM(F20:F22)</f>
        <v>0</v>
      </c>
      <c r="G23" s="373" t="str">
        <f t="shared" si="0"/>
        <v/>
      </c>
      <c r="H23" s="580">
        <f>SUM(H20:H22)</f>
        <v>0</v>
      </c>
      <c r="I23" s="580">
        <f>SUM(I20:I22)</f>
        <v>0</v>
      </c>
      <c r="J23" s="580">
        <f>SUM(J20:J22)</f>
        <v>0</v>
      </c>
    </row>
    <row r="24" spans="1:10" s="653" customFormat="1" ht="10.5">
      <c r="A24" s="798" t="s">
        <v>1761</v>
      </c>
    </row>
    <row r="25" spans="1:10" s="653" customFormat="1" ht="12.75" customHeight="1">
      <c r="A25" s="866" t="s">
        <v>1782</v>
      </c>
    </row>
    <row r="26" spans="1:10" s="653" customFormat="1" ht="12.75" customHeight="1">
      <c r="A26" s="866" t="s">
        <v>1783</v>
      </c>
    </row>
    <row r="27" spans="1:10" s="653" customFormat="1" ht="12.75" customHeight="1">
      <c r="A27" s="866" t="s">
        <v>1784</v>
      </c>
    </row>
    <row r="28" spans="1:10" s="653" customFormat="1" ht="12.75" customHeight="1">
      <c r="A28" s="866" t="s">
        <v>1671</v>
      </c>
    </row>
  </sheetData>
  <sheetProtection algorithmName="SHA-512" hashValue="73GrPJLuF4cmNLO1wCpnsNjapRul1r1+UD0s1oMVT+Arhsq49y7A91MeT2HL4fQzU4rVPegAMM5G9VqfPQzC/w==" saltValue="6sCxOO7q04rj/RCCOeO5nA==" spinCount="100000" sheet="1" objects="1" scenarios="1" selectLockedCells="1"/>
  <mergeCells count="24">
    <mergeCell ref="A11:D11"/>
    <mergeCell ref="A1:J1"/>
    <mergeCell ref="I2:J2"/>
    <mergeCell ref="C3:J3"/>
    <mergeCell ref="B4:H4"/>
    <mergeCell ref="C5:E5"/>
    <mergeCell ref="G5:H5"/>
    <mergeCell ref="C6:E6"/>
    <mergeCell ref="A7:J7"/>
    <mergeCell ref="A8:D8"/>
    <mergeCell ref="A9:D9"/>
    <mergeCell ref="A10:D10"/>
    <mergeCell ref="A23:D23"/>
    <mergeCell ref="A12:D12"/>
    <mergeCell ref="A13:D13"/>
    <mergeCell ref="A14:D14"/>
    <mergeCell ref="A15:D15"/>
    <mergeCell ref="A16:D16"/>
    <mergeCell ref="A17:D17"/>
    <mergeCell ref="A18:D18"/>
    <mergeCell ref="A19:D19"/>
    <mergeCell ref="A20:D20"/>
    <mergeCell ref="A21:D21"/>
    <mergeCell ref="A22:D22"/>
  </mergeCells>
  <conditionalFormatting sqref="E9:H23">
    <cfRule type="cellIs" dxfId="193" priority="3" operator="equal">
      <formula>0</formula>
    </cfRule>
  </conditionalFormatting>
  <conditionalFormatting sqref="I17:J17">
    <cfRule type="cellIs" dxfId="192" priority="2" operator="equal">
      <formula>0</formula>
    </cfRule>
  </conditionalFormatting>
  <conditionalFormatting sqref="I23:J23">
    <cfRule type="cellIs" dxfId="191" priority="1" operator="equal">
      <formula>0</formula>
    </cfRule>
  </conditionalFormatting>
  <dataValidations count="1">
    <dataValidation type="whole" allowBlank="1" showInputMessage="1" showErrorMessage="1" errorTitle="Attention!" error="Valeur numérique attendue" sqref="E9:F16 E18:F18 E20:F22 H9:J16 H18:J18 H20:J22" xr:uid="{F0BE5CCF-02AD-4492-9814-34C99E88747D}">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AA6F-AE0B-4952-A9FD-F24DF50219DA}">
  <sheetPr codeName="Feuil27">
    <tabColor theme="9" tint="0.39997558519241921"/>
    <pageSetUpPr fitToPage="1"/>
  </sheetPr>
  <dimension ref="A1:J27"/>
  <sheetViews>
    <sheetView showGridLines="0" showRowColHeaders="0" zoomScaleNormal="100" workbookViewId="0">
      <selection activeCell="I9" sqref="I9"/>
    </sheetView>
  </sheetViews>
  <sheetFormatPr baseColWidth="10" defaultColWidth="11.5234375" defaultRowHeight="14.4"/>
  <cols>
    <col min="1" max="1" width="11.5234375" style="103"/>
    <col min="2" max="2" width="16.1015625" style="103" customWidth="1"/>
    <col min="3" max="4" width="11.5234375" style="103"/>
    <col min="5" max="6" width="15.41796875" style="103" customWidth="1"/>
    <col min="7" max="7" width="11.5234375" style="103"/>
    <col min="8" max="10" width="15.41796875" style="103" customWidth="1"/>
    <col min="11" max="16384" width="11.5234375" style="103"/>
  </cols>
  <sheetData>
    <row r="1" spans="1:10">
      <c r="A1" s="1276" t="str">
        <f>"- "&amp;Code!K27&amp;" -"</f>
        <v>- 18 -</v>
      </c>
      <c r="B1" s="1276"/>
      <c r="C1" s="1276"/>
      <c r="D1" s="1276"/>
      <c r="E1" s="1276"/>
      <c r="F1" s="1276"/>
      <c r="G1" s="1276"/>
      <c r="H1" s="1276"/>
      <c r="I1" s="1276"/>
      <c r="J1" s="1276"/>
    </row>
    <row r="2" spans="1:10" ht="24.9" customHeight="1">
      <c r="A2" s="576"/>
      <c r="B2" s="576"/>
      <c r="C2" s="576"/>
      <c r="D2" s="576"/>
      <c r="E2" s="576"/>
      <c r="F2" s="576"/>
      <c r="G2" s="576"/>
      <c r="I2" s="1278" t="s">
        <v>1785</v>
      </c>
      <c r="J2" s="1279"/>
    </row>
    <row r="3" spans="1:10" s="844" customFormat="1" ht="15" customHeight="1">
      <c r="A3" s="317" t="s">
        <v>50</v>
      </c>
      <c r="B3" s="317"/>
      <c r="C3" s="1280" t="str">
        <f>'NOTE 1'!C3</f>
        <v>OHADA</v>
      </c>
      <c r="D3" s="1280"/>
      <c r="E3" s="1280"/>
      <c r="F3" s="1280"/>
      <c r="G3" s="1280"/>
      <c r="H3" s="1280"/>
      <c r="I3" s="1280"/>
      <c r="J3" s="1280"/>
    </row>
    <row r="4" spans="1:10" s="844" customFormat="1" ht="15" customHeight="1">
      <c r="A4" s="317" t="s">
        <v>51</v>
      </c>
      <c r="B4" s="1280" t="str">
        <f>'NOTE 1'!B4</f>
        <v/>
      </c>
      <c r="C4" s="1280"/>
      <c r="D4" s="1280"/>
      <c r="E4" s="1280"/>
      <c r="F4" s="1280"/>
      <c r="G4" s="1280"/>
      <c r="H4" s="1280"/>
      <c r="I4" s="627" t="s">
        <v>1021</v>
      </c>
      <c r="J4" s="628" t="str">
        <f>'NOTE 1'!I4</f>
        <v/>
      </c>
    </row>
    <row r="5" spans="1:10" s="844" customFormat="1" ht="15" customHeight="1">
      <c r="A5" s="317" t="s">
        <v>1597</v>
      </c>
      <c r="B5" s="317"/>
      <c r="C5" s="1280" t="str">
        <f>'NOTE 1'!C5</f>
        <v/>
      </c>
      <c r="D5" s="1280"/>
      <c r="E5" s="1280"/>
      <c r="F5" s="642" t="s">
        <v>54</v>
      </c>
      <c r="G5" s="1806">
        <f>'NOTE 1'!G5</f>
        <v>0</v>
      </c>
      <c r="H5" s="1806"/>
      <c r="I5" s="627" t="s">
        <v>55</v>
      </c>
      <c r="J5" s="630">
        <f>'NOTE 1'!I5</f>
        <v>1</v>
      </c>
    </row>
    <row r="6" spans="1:10" s="844" customFormat="1" ht="15" customHeight="1">
      <c r="A6" s="317" t="s">
        <v>56</v>
      </c>
      <c r="B6" s="317"/>
      <c r="C6" s="1275" t="str">
        <f>'NOTE 1'!C6</f>
        <v/>
      </c>
      <c r="D6" s="1275"/>
      <c r="E6" s="1275"/>
      <c r="F6" s="638"/>
      <c r="G6" s="630"/>
      <c r="H6" s="630"/>
      <c r="I6" s="629"/>
      <c r="J6" s="630"/>
    </row>
    <row r="7" spans="1:10" ht="35.25" customHeight="1">
      <c r="A7" s="1273" t="s">
        <v>1786</v>
      </c>
      <c r="B7" s="1273"/>
      <c r="C7" s="1273"/>
      <c r="D7" s="1273"/>
      <c r="E7" s="1273"/>
      <c r="F7" s="1273"/>
      <c r="G7" s="1273"/>
      <c r="H7" s="1273"/>
      <c r="I7" s="1273"/>
      <c r="J7" s="1273"/>
    </row>
    <row r="8" spans="1:10" ht="59.25" customHeight="1">
      <c r="A8" s="1760" t="s">
        <v>1692</v>
      </c>
      <c r="B8" s="1760"/>
      <c r="C8" s="1760"/>
      <c r="D8" s="1760"/>
      <c r="E8" s="865" t="s">
        <v>1693</v>
      </c>
      <c r="F8" s="865" t="s">
        <v>1694</v>
      </c>
      <c r="G8" s="865" t="s">
        <v>1731</v>
      </c>
      <c r="H8" s="865" t="s">
        <v>1767</v>
      </c>
      <c r="I8" s="865" t="s">
        <v>1697</v>
      </c>
      <c r="J8" s="865" t="s">
        <v>1698</v>
      </c>
    </row>
    <row r="9" spans="1:10" ht="17.25" customHeight="1">
      <c r="A9" s="1748" t="s">
        <v>1555</v>
      </c>
      <c r="B9" s="1748"/>
      <c r="C9" s="1748"/>
      <c r="D9" s="1748"/>
      <c r="E9" s="581">
        <f>SUMIFS(BalanceN[BS_Debit],BalanceN[Table],"&gt;=42000",BalanceN[Table],"&lt;43000")</f>
        <v>16921663</v>
      </c>
      <c r="F9" s="581">
        <f>SUMIFS(BalanceN1[BS_Debit],BalanceN1[Table],"&gt;=42000",BalanceN1[Table],"&lt;43000")</f>
        <v>1280286</v>
      </c>
      <c r="G9" s="371">
        <f>IF(F9,(E9-F9)/F9,IF(ISBLANK(F9),"",IF(E9,IF( E9 &gt; 0,1,-1),"")))</f>
        <v>12.21709602385717</v>
      </c>
      <c r="H9" s="581">
        <f>E9-I9-J9</f>
        <v>16921663</v>
      </c>
      <c r="I9" s="372"/>
      <c r="J9" s="372"/>
    </row>
    <row r="10" spans="1:10" ht="17.25" customHeight="1">
      <c r="A10" s="1748" t="s">
        <v>1787</v>
      </c>
      <c r="B10" s="1748"/>
      <c r="C10" s="1748"/>
      <c r="D10" s="1748"/>
      <c r="E10" s="581">
        <f>SUMIFS(BalanceN[BS_Debit],BalanceN[Table],"&gt;=43000",BalanceN[Table],"&lt;44000")</f>
        <v>0</v>
      </c>
      <c r="F10" s="581">
        <f>SUMIFS(BalanceN1[BS_Debit],BalanceN1[Table],"&gt;=43000",BalanceN1[Table],"&lt;44000")</f>
        <v>0</v>
      </c>
      <c r="G10" s="371" t="str">
        <f t="shared" ref="G10:G21" si="0">IF(F10,(E10-F10)/F10,IF(ISBLANK(F10),"",IF(E10,IF( E10 &gt; 0,1,-1),"")))</f>
        <v/>
      </c>
      <c r="H10" s="581">
        <f t="shared" ref="H10:H18" si="1">E10-I10-J10</f>
        <v>0</v>
      </c>
      <c r="I10" s="372"/>
      <c r="J10" s="372"/>
    </row>
    <row r="11" spans="1:10" ht="17.25" customHeight="1">
      <c r="A11" s="1748" t="s">
        <v>1788</v>
      </c>
      <c r="B11" s="1748"/>
      <c r="C11" s="1748"/>
      <c r="D11" s="1748"/>
      <c r="E11" s="581">
        <f>SUMIFS(BalanceN[BS_Debit],BalanceN[Table],"&gt;=44000",BalanceN[Table],"&lt;45000")</f>
        <v>0</v>
      </c>
      <c r="F11" s="581">
        <f>SUMIFS(BalanceN1[BS_Debit],BalanceN1[Table],"&gt;=44000",BalanceN1[Table],"&lt;45000")</f>
        <v>0</v>
      </c>
      <c r="G11" s="371" t="str">
        <f t="shared" si="0"/>
        <v/>
      </c>
      <c r="H11" s="581">
        <f t="shared" si="1"/>
        <v>0</v>
      </c>
      <c r="I11" s="372"/>
      <c r="J11" s="372"/>
    </row>
    <row r="12" spans="1:10" ht="17.25" customHeight="1">
      <c r="A12" s="1748" t="s">
        <v>1558</v>
      </c>
      <c r="B12" s="1748"/>
      <c r="C12" s="1748"/>
      <c r="D12" s="1748"/>
      <c r="E12" s="581">
        <f>SUMIFS(BalanceN[BS_Debit],BalanceN[Table],"&gt;=45000",BalanceN[Table],"&lt;46000")</f>
        <v>0</v>
      </c>
      <c r="F12" s="581">
        <f>SUMIFS(BalanceN1[BS_Debit],BalanceN1[Table],"&gt;=45000",BalanceN1[Table],"&lt;46000")</f>
        <v>0</v>
      </c>
      <c r="G12" s="371" t="str">
        <f t="shared" si="0"/>
        <v/>
      </c>
      <c r="H12" s="581">
        <f t="shared" si="1"/>
        <v>0</v>
      </c>
      <c r="I12" s="372"/>
      <c r="J12" s="372"/>
    </row>
    <row r="13" spans="1:10" ht="17.25" customHeight="1">
      <c r="A13" s="1748" t="s">
        <v>1789</v>
      </c>
      <c r="B13" s="1748"/>
      <c r="C13" s="1748"/>
      <c r="D13" s="1748"/>
      <c r="E13" s="581">
        <f>SUMIFS(BalanceN[BS_Debit],BalanceN[Table],"&gt;=46000",BalanceN[Table],"&lt;47000")</f>
        <v>20000000</v>
      </c>
      <c r="F13" s="581">
        <f>SUMIFS(BalanceN1[BS_Debit],BalanceN1[Table],"&gt;=46000",BalanceN1[Table],"&lt;47000")</f>
        <v>0</v>
      </c>
      <c r="G13" s="371">
        <f t="shared" si="0"/>
        <v>1</v>
      </c>
      <c r="H13" s="581">
        <f t="shared" si="1"/>
        <v>20000000</v>
      </c>
      <c r="I13" s="372"/>
      <c r="J13" s="372"/>
    </row>
    <row r="14" spans="1:10" ht="27" customHeight="1">
      <c r="A14" s="1748" t="s">
        <v>1790</v>
      </c>
      <c r="B14" s="1748"/>
      <c r="C14" s="1748"/>
      <c r="D14" s="1748"/>
      <c r="E14" s="581">
        <f>SUMIFS(BalanceN[BS_Debit],BalanceN[Table],"&gt;=47500",BalanceN[Table],"&lt;47600")</f>
        <v>0</v>
      </c>
      <c r="F14" s="581">
        <f>SUMIFS(BalanceN1[BS_Debit],BalanceN1[Table],"&gt;=47500",BalanceN1[Table],"&lt;47600")</f>
        <v>0</v>
      </c>
      <c r="G14" s="371" t="str">
        <f t="shared" si="0"/>
        <v/>
      </c>
      <c r="H14" s="581">
        <f t="shared" si="1"/>
        <v>0</v>
      </c>
      <c r="I14" s="372"/>
      <c r="J14" s="372"/>
    </row>
    <row r="15" spans="1:10" ht="17.25" customHeight="1">
      <c r="A15" s="1748" t="s">
        <v>1791</v>
      </c>
      <c r="B15" s="1748"/>
      <c r="C15" s="1748"/>
      <c r="D15" s="1748"/>
      <c r="E15" s="581">
        <f>SUMIFS(BalanceN[BS_Debit],BalanceN[Table],"&gt;=47100",BalanceN[Table],"&lt;47200")</f>
        <v>0</v>
      </c>
      <c r="F15" s="581">
        <f>SUMIFS(BalanceN1[BS_Debit],BalanceN1[Table],"&gt;=47100",BalanceN1[Table],"&lt;47200")</f>
        <v>450000</v>
      </c>
      <c r="G15" s="371">
        <f t="shared" si="0"/>
        <v>-1</v>
      </c>
      <c r="H15" s="581">
        <f t="shared" si="1"/>
        <v>0</v>
      </c>
      <c r="I15" s="372"/>
      <c r="J15" s="372"/>
    </row>
    <row r="16" spans="1:10" ht="27" customHeight="1">
      <c r="A16" s="1748" t="s">
        <v>1792</v>
      </c>
      <c r="B16" s="1748"/>
      <c r="C16" s="1748"/>
      <c r="D16" s="1748"/>
      <c r="E16" s="581">
        <f>SUMIFS(BalanceN[BS_Debit],BalanceN[Table],"&gt;=18500",BalanceN[Table],"&lt;18600")</f>
        <v>0</v>
      </c>
      <c r="F16" s="581">
        <f>SUMIFS(BalanceN1[BS_Debit],BalanceN1[Table],"&gt;=18500",BalanceN1[Table],"&lt;18600")</f>
        <v>0</v>
      </c>
      <c r="G16" s="371" t="str">
        <f t="shared" si="0"/>
        <v/>
      </c>
      <c r="H16" s="581">
        <f t="shared" si="1"/>
        <v>0</v>
      </c>
      <c r="I16" s="372"/>
      <c r="J16" s="372"/>
    </row>
    <row r="17" spans="1:10" ht="17.25" customHeight="1">
      <c r="A17" s="1748" t="s">
        <v>1793</v>
      </c>
      <c r="B17" s="1748"/>
      <c r="C17" s="1748"/>
      <c r="D17" s="1748"/>
      <c r="E17" s="581">
        <f>SUMIFS(BalanceN[BS_Debit],BalanceN[Table],"&gt;=47600",BalanceN[Table],"&lt;47700")</f>
        <v>1263864</v>
      </c>
      <c r="F17" s="581">
        <f>SUMIFS(BalanceN1[BS_Debit],BalanceN1[Table],"&gt;=47600",BalanceN1[Table],"&lt;47700")</f>
        <v>1398099</v>
      </c>
      <c r="G17" s="371">
        <f t="shared" si="0"/>
        <v>-9.6012514135265098E-2</v>
      </c>
      <c r="H17" s="581">
        <f t="shared" si="1"/>
        <v>1263864</v>
      </c>
      <c r="I17" s="372"/>
      <c r="J17" s="372"/>
    </row>
    <row r="18" spans="1:10" ht="17.25" customHeight="1">
      <c r="A18" s="1748" t="s">
        <v>1794</v>
      </c>
      <c r="B18" s="1748"/>
      <c r="C18" s="1748"/>
      <c r="D18" s="1748"/>
      <c r="E18" s="581">
        <f>SUMIFS(BalanceN[BS_Debit],BalanceN[Table],"&gt;=18800",BalanceN[Table],"&lt;18900")</f>
        <v>0</v>
      </c>
      <c r="F18" s="581">
        <f>SUMIFS(BalanceN1[BS_Debit],BalanceN1[Table],"&gt;=18800",BalanceN1[Table],"&lt;18900")</f>
        <v>0</v>
      </c>
      <c r="G18" s="371" t="str">
        <f t="shared" si="0"/>
        <v/>
      </c>
      <c r="H18" s="581">
        <f t="shared" si="1"/>
        <v>0</v>
      </c>
      <c r="I18" s="372"/>
      <c r="J18" s="372"/>
    </row>
    <row r="19" spans="1:10" ht="16.5" customHeight="1">
      <c r="A19" s="1868" t="s">
        <v>1795</v>
      </c>
      <c r="B19" s="1868"/>
      <c r="C19" s="1868"/>
      <c r="D19" s="1868"/>
      <c r="E19" s="580">
        <f>SUM(E9:E18)</f>
        <v>38185527</v>
      </c>
      <c r="F19" s="580">
        <f>SUM(F9:F18)</f>
        <v>3128385</v>
      </c>
      <c r="G19" s="373">
        <f>IF(F19,(E19-F19)/F19,IF(ISBLANK(F19),"",IF(E19,IF( E19 &gt; 0,1,-1),"")))</f>
        <v>11.206146941632824</v>
      </c>
      <c r="H19" s="580">
        <f>SUM(H9:H18)</f>
        <v>38185527</v>
      </c>
      <c r="I19" s="580">
        <f>SUM(I9:I18)</f>
        <v>0</v>
      </c>
      <c r="J19" s="580">
        <f>SUM(J9:J18)</f>
        <v>0</v>
      </c>
    </row>
    <row r="20" spans="1:10" ht="17.25" customHeight="1">
      <c r="A20" s="1748" t="s">
        <v>1796</v>
      </c>
      <c r="B20" s="1748"/>
      <c r="C20" s="1748"/>
      <c r="D20" s="1748"/>
      <c r="E20" s="581">
        <f>SUMIFS(BalanceN[BS_Credit],BalanceN[Table],"&gt;=49200",BalanceN[Table],"&lt;49800")</f>
        <v>0</v>
      </c>
      <c r="F20" s="581">
        <f>SUMIFS(BalanceN1[BS_Credit],BalanceN1[Table],"&gt;=49200",BalanceN1[Table],"&lt;49800")</f>
        <v>0</v>
      </c>
      <c r="G20" s="371" t="str">
        <f t="shared" si="0"/>
        <v/>
      </c>
      <c r="H20" s="377"/>
      <c r="I20" s="378"/>
      <c r="J20" s="378"/>
    </row>
    <row r="21" spans="1:10" ht="17.25" customHeight="1">
      <c r="A21" s="1868" t="s">
        <v>1735</v>
      </c>
      <c r="B21" s="1868"/>
      <c r="C21" s="1868"/>
      <c r="D21" s="1868"/>
      <c r="E21" s="580">
        <f>E19-E20</f>
        <v>38185527</v>
      </c>
      <c r="F21" s="580">
        <f>F19-F20</f>
        <v>3128385</v>
      </c>
      <c r="G21" s="373">
        <f t="shared" si="0"/>
        <v>11.206146941632824</v>
      </c>
      <c r="H21" s="375"/>
      <c r="I21" s="376"/>
      <c r="J21" s="376"/>
    </row>
    <row r="22" spans="1:10" s="653" customFormat="1" ht="10.5">
      <c r="A22" s="798" t="s">
        <v>1761</v>
      </c>
    </row>
    <row r="23" spans="1:10" s="653" customFormat="1" ht="10.5">
      <c r="A23" s="817" t="s">
        <v>1720</v>
      </c>
    </row>
    <row r="24" spans="1:10" s="653" customFormat="1" ht="10.5">
      <c r="A24" s="817" t="s">
        <v>1797</v>
      </c>
    </row>
    <row r="25" spans="1:10" s="653" customFormat="1" ht="10.5">
      <c r="A25" s="817" t="s">
        <v>1798</v>
      </c>
    </row>
    <row r="26" spans="1:10" s="653" customFormat="1" ht="10.5">
      <c r="A26" s="817" t="s">
        <v>1671</v>
      </c>
    </row>
    <row r="27" spans="1:10" s="653" customFormat="1" ht="10.5">
      <c r="A27" s="817" t="s">
        <v>1799</v>
      </c>
    </row>
  </sheetData>
  <sheetProtection algorithmName="SHA-512" hashValue="KQK4l6374r2/jYw0H+w9BuvKCI9yKKUUR/03O+JdeQvUizDLkl059mPkdLd1nGk8FZrPbpZNqRZwmdq2mMIz1w==" saltValue="L4zaMUEBC6SnCGEVEM6+Ag==" spinCount="100000" sheet="1" objects="1" scenarios="1" selectLockedCells="1"/>
  <mergeCells count="22">
    <mergeCell ref="A11:D11"/>
    <mergeCell ref="A1:J1"/>
    <mergeCell ref="I2:J2"/>
    <mergeCell ref="C3:J3"/>
    <mergeCell ref="B4:H4"/>
    <mergeCell ref="C5:E5"/>
    <mergeCell ref="G5:H5"/>
    <mergeCell ref="C6:E6"/>
    <mergeCell ref="A7:J7"/>
    <mergeCell ref="A8:D8"/>
    <mergeCell ref="A9:D9"/>
    <mergeCell ref="A10:D10"/>
    <mergeCell ref="A18:D18"/>
    <mergeCell ref="A19:D19"/>
    <mergeCell ref="A20:D20"/>
    <mergeCell ref="A21:D21"/>
    <mergeCell ref="A12:D12"/>
    <mergeCell ref="A13:D13"/>
    <mergeCell ref="A14:D14"/>
    <mergeCell ref="A15:D15"/>
    <mergeCell ref="A16:D16"/>
    <mergeCell ref="A17:D17"/>
  </mergeCells>
  <conditionalFormatting sqref="E9:H21">
    <cfRule type="cellIs" dxfId="190" priority="2" operator="equal">
      <formula>0</formula>
    </cfRule>
  </conditionalFormatting>
  <conditionalFormatting sqref="I19:J19">
    <cfRule type="cellIs" dxfId="189" priority="1" operator="equal">
      <formula>0</formula>
    </cfRule>
  </conditionalFormatting>
  <dataValidations count="1">
    <dataValidation type="whole" allowBlank="1" showInputMessage="1" showErrorMessage="1" errorTitle="Attention!" error="Valeur numérique attendue" sqref="E9:F18 H9:J18 E20:F20 H20:J20" xr:uid="{DC1D2F08-E8F9-4AFA-A91A-9C4277EBEAF9}">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ignoredErrors>
    <ignoredError sqref="G19" formula="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5906A-5910-41BD-AC4E-73CB2AFAFDE6}">
  <sheetPr codeName="Feuil28">
    <tabColor theme="9" tint="0.39997558519241921"/>
    <pageSetUpPr fitToPage="1"/>
  </sheetPr>
  <dimension ref="A1:J49"/>
  <sheetViews>
    <sheetView showGridLines="0" showRowColHeaders="0" zoomScaleNormal="100" workbookViewId="0">
      <selection activeCell="E13" sqref="E13"/>
    </sheetView>
  </sheetViews>
  <sheetFormatPr baseColWidth="10" defaultColWidth="11.41796875" defaultRowHeight="14.4"/>
  <cols>
    <col min="1" max="1" width="11.41796875" style="103"/>
    <col min="2" max="2" width="15.89453125" style="103" customWidth="1"/>
    <col min="3" max="4" width="11.41796875" style="103"/>
    <col min="5" max="5" width="14.41796875" style="103" customWidth="1"/>
    <col min="6" max="6" width="15.89453125" style="103" customWidth="1"/>
    <col min="7" max="7" width="14.41796875" style="103" customWidth="1"/>
    <col min="8" max="8" width="15.89453125" style="103" customWidth="1"/>
    <col min="9" max="9" width="14.41796875" style="103" customWidth="1"/>
    <col min="10" max="10" width="15.89453125" style="103" customWidth="1"/>
    <col min="11" max="16384" width="11.41796875" style="103"/>
  </cols>
  <sheetData>
    <row r="1" spans="1:10">
      <c r="A1" s="1276" t="str">
        <f>"- "&amp;Code!K28&amp;" -"</f>
        <v>- 18 -</v>
      </c>
      <c r="B1" s="1276"/>
      <c r="C1" s="1276"/>
      <c r="D1" s="1276"/>
      <c r="E1" s="1276"/>
      <c r="F1" s="1276"/>
      <c r="G1" s="1276"/>
      <c r="H1" s="1276"/>
      <c r="I1" s="1276"/>
      <c r="J1" s="1276"/>
    </row>
    <row r="2" spans="1:10" ht="24.9" customHeight="1">
      <c r="A2" s="576"/>
      <c r="B2" s="576"/>
      <c r="C2" s="576"/>
      <c r="D2" s="576"/>
      <c r="E2" s="576"/>
      <c r="F2" s="576"/>
      <c r="G2" s="576"/>
      <c r="I2" s="1278" t="s">
        <v>1800</v>
      </c>
      <c r="J2" s="1279"/>
    </row>
    <row r="3" spans="1:10" s="626" customFormat="1" ht="15" customHeight="1">
      <c r="A3" s="317" t="s">
        <v>50</v>
      </c>
      <c r="B3" s="317"/>
      <c r="C3" s="1280" t="str">
        <f>'NOTE 1'!C3</f>
        <v>OHADA</v>
      </c>
      <c r="D3" s="1280"/>
      <c r="E3" s="1280"/>
      <c r="F3" s="1280"/>
      <c r="G3" s="1280"/>
      <c r="H3" s="1280"/>
      <c r="I3" s="1280"/>
      <c r="J3" s="1280"/>
    </row>
    <row r="4" spans="1:10" s="626" customFormat="1" ht="15" customHeight="1">
      <c r="A4" s="317" t="s">
        <v>51</v>
      </c>
      <c r="B4" s="1280" t="str">
        <f>'NOTE 1'!B4</f>
        <v/>
      </c>
      <c r="C4" s="1280"/>
      <c r="D4" s="1280"/>
      <c r="E4" s="1280"/>
      <c r="F4" s="1280"/>
      <c r="G4" s="1280"/>
      <c r="H4" s="1280"/>
      <c r="I4" s="627" t="s">
        <v>1021</v>
      </c>
      <c r="J4" s="628" t="str">
        <f>'NOTE 1'!I4</f>
        <v/>
      </c>
    </row>
    <row r="5" spans="1:10" s="626" customFormat="1" ht="15" customHeight="1">
      <c r="A5" s="317" t="s">
        <v>1597</v>
      </c>
      <c r="B5" s="317"/>
      <c r="C5" s="1280" t="str">
        <f>'NOTE 1'!C5</f>
        <v/>
      </c>
      <c r="D5" s="1280"/>
      <c r="E5" s="1280"/>
      <c r="F5" s="642" t="s">
        <v>54</v>
      </c>
      <c r="G5" s="1806">
        <f>'NOTE 1'!G5</f>
        <v>0</v>
      </c>
      <c r="H5" s="1806"/>
      <c r="I5" s="627" t="s">
        <v>55</v>
      </c>
      <c r="J5" s="630">
        <f>'NOTE 1'!I5</f>
        <v>1</v>
      </c>
    </row>
    <row r="6" spans="1:10" s="626" customFormat="1" ht="15" customHeight="1">
      <c r="A6" s="317" t="s">
        <v>56</v>
      </c>
      <c r="B6" s="317"/>
      <c r="C6" s="1275" t="str">
        <f>'NOTE 1'!C6</f>
        <v/>
      </c>
      <c r="D6" s="1275"/>
      <c r="E6" s="1275"/>
      <c r="F6" s="638"/>
      <c r="G6" s="630"/>
      <c r="H6" s="630"/>
      <c r="I6" s="629"/>
      <c r="J6" s="630"/>
    </row>
    <row r="7" spans="1:10" ht="35.25" customHeight="1">
      <c r="A7" s="1273" t="s">
        <v>1801</v>
      </c>
      <c r="B7" s="1273"/>
      <c r="C7" s="1273"/>
      <c r="D7" s="1273"/>
      <c r="E7" s="1273"/>
      <c r="F7" s="1273"/>
      <c r="G7" s="1273"/>
      <c r="H7" s="1273"/>
      <c r="I7" s="1273"/>
      <c r="J7" s="1273"/>
    </row>
    <row r="8" spans="1:10" ht="36" customHeight="1">
      <c r="A8" s="1838" t="s">
        <v>1692</v>
      </c>
      <c r="B8" s="1838"/>
      <c r="C8" s="1838"/>
      <c r="D8" s="1838"/>
      <c r="E8" s="1838" t="s">
        <v>1802</v>
      </c>
      <c r="F8" s="1838"/>
      <c r="G8" s="1838" t="s">
        <v>1803</v>
      </c>
      <c r="H8" s="1838"/>
      <c r="I8" s="1838" t="s">
        <v>1804</v>
      </c>
      <c r="J8" s="1838"/>
    </row>
    <row r="9" spans="1:10" ht="25.5" customHeight="1">
      <c r="A9" s="1752" t="s">
        <v>1805</v>
      </c>
      <c r="B9" s="1878"/>
      <c r="C9" s="1878"/>
      <c r="D9" s="1878"/>
      <c r="E9" s="1878"/>
      <c r="F9" s="1878"/>
      <c r="G9" s="1878"/>
      <c r="H9" s="1878"/>
      <c r="I9" s="1878"/>
      <c r="J9" s="1879"/>
    </row>
    <row r="10" spans="1:10" ht="15" customHeight="1">
      <c r="A10" s="1748" t="s">
        <v>8999</v>
      </c>
      <c r="B10" s="1748"/>
      <c r="C10" s="1748"/>
      <c r="D10" s="1748"/>
      <c r="E10" s="1880"/>
      <c r="F10" s="1880"/>
      <c r="G10" s="1880"/>
      <c r="H10" s="1880"/>
      <c r="I10" s="1880"/>
      <c r="J10" s="1880"/>
    </row>
    <row r="11" spans="1:10" ht="15" customHeight="1">
      <c r="A11" s="1748" t="s">
        <v>1806</v>
      </c>
      <c r="B11" s="1748"/>
      <c r="C11" s="1748"/>
      <c r="D11" s="1748"/>
      <c r="E11" s="1876"/>
      <c r="F11" s="1876"/>
      <c r="G11" s="1876"/>
      <c r="H11" s="1876"/>
      <c r="I11" s="1876"/>
      <c r="J11" s="1876"/>
    </row>
    <row r="12" spans="1:10" ht="18.899999999999999" customHeight="1">
      <c r="A12" s="1876" t="s">
        <v>2623</v>
      </c>
      <c r="B12" s="1876"/>
      <c r="C12" s="1876"/>
      <c r="D12" s="1876"/>
      <c r="E12" s="379" t="s">
        <v>1807</v>
      </c>
      <c r="F12" s="379" t="s">
        <v>1808</v>
      </c>
      <c r="G12" s="379" t="s">
        <v>1807</v>
      </c>
      <c r="H12" s="379" t="s">
        <v>1808</v>
      </c>
      <c r="I12" s="379" t="s">
        <v>1807</v>
      </c>
      <c r="J12" s="379" t="s">
        <v>1808</v>
      </c>
    </row>
    <row r="13" spans="1:10" ht="15.9" customHeight="1">
      <c r="A13" s="1876"/>
      <c r="B13" s="1876"/>
      <c r="C13" s="1876"/>
      <c r="D13" s="1876"/>
      <c r="E13" s="380"/>
      <c r="F13" s="345"/>
      <c r="G13" s="380"/>
      <c r="H13" s="345"/>
      <c r="I13" s="381">
        <v>6714</v>
      </c>
      <c r="J13" s="345"/>
    </row>
    <row r="14" spans="1:10" ht="15.9" customHeight="1">
      <c r="A14" s="1876"/>
      <c r="B14" s="1876"/>
      <c r="C14" s="1876"/>
      <c r="D14" s="1876"/>
      <c r="E14" s="380"/>
      <c r="F14" s="345"/>
      <c r="G14" s="380"/>
      <c r="H14" s="345"/>
      <c r="I14" s="382"/>
      <c r="J14" s="382"/>
    </row>
    <row r="15" spans="1:10" ht="15.9" customHeight="1">
      <c r="A15" s="1876"/>
      <c r="B15" s="1876"/>
      <c r="C15" s="1876"/>
      <c r="D15" s="1876"/>
      <c r="E15" s="380"/>
      <c r="F15" s="345"/>
      <c r="G15" s="380"/>
      <c r="H15" s="345"/>
      <c r="I15" s="382"/>
      <c r="J15" s="382"/>
    </row>
    <row r="16" spans="1:10" ht="15.9" customHeight="1">
      <c r="A16" s="1876"/>
      <c r="B16" s="1876"/>
      <c r="C16" s="1876"/>
      <c r="D16" s="1876"/>
      <c r="E16" s="380"/>
      <c r="F16" s="345"/>
      <c r="G16" s="380"/>
      <c r="H16" s="345"/>
      <c r="I16" s="382"/>
      <c r="J16" s="382"/>
    </row>
    <row r="17" spans="1:10" ht="15.9" customHeight="1">
      <c r="A17" s="1876"/>
      <c r="B17" s="1876"/>
      <c r="C17" s="1876"/>
      <c r="D17" s="1876"/>
      <c r="E17" s="380"/>
      <c r="F17" s="345"/>
      <c r="G17" s="380"/>
      <c r="H17" s="345"/>
      <c r="I17" s="382"/>
      <c r="J17" s="382"/>
    </row>
    <row r="18" spans="1:10" ht="15.9" customHeight="1">
      <c r="A18" s="1876"/>
      <c r="B18" s="1876"/>
      <c r="C18" s="1876"/>
      <c r="D18" s="1876"/>
      <c r="E18" s="380"/>
      <c r="F18" s="345"/>
      <c r="G18" s="380"/>
      <c r="H18" s="345"/>
      <c r="I18" s="382"/>
      <c r="J18" s="382"/>
    </row>
    <row r="19" spans="1:10" ht="15.9" customHeight="1">
      <c r="A19" s="1876"/>
      <c r="B19" s="1876"/>
      <c r="C19" s="1876"/>
      <c r="D19" s="1876"/>
      <c r="E19" s="380"/>
      <c r="F19" s="345"/>
      <c r="G19" s="380"/>
      <c r="H19" s="345"/>
      <c r="I19" s="382"/>
      <c r="J19" s="382"/>
    </row>
    <row r="20" spans="1:10" ht="15.9" customHeight="1">
      <c r="A20" s="1876"/>
      <c r="B20" s="1876"/>
      <c r="C20" s="1876"/>
      <c r="D20" s="1876"/>
      <c r="E20" s="380"/>
      <c r="F20" s="345"/>
      <c r="G20" s="380"/>
      <c r="H20" s="345"/>
      <c r="I20" s="382"/>
      <c r="J20" s="382"/>
    </row>
    <row r="21" spans="1:10" ht="15.9" customHeight="1">
      <c r="A21" s="1876"/>
      <c r="B21" s="1876"/>
      <c r="C21" s="1876"/>
      <c r="D21" s="1876"/>
      <c r="E21" s="380"/>
      <c r="F21" s="345"/>
      <c r="G21" s="380"/>
      <c r="H21" s="345"/>
      <c r="I21" s="382"/>
      <c r="J21" s="382"/>
    </row>
    <row r="22" spans="1:10" ht="15.9" customHeight="1">
      <c r="A22" s="1876"/>
      <c r="B22" s="1876"/>
      <c r="C22" s="1876"/>
      <c r="D22" s="1876"/>
      <c r="E22" s="380"/>
      <c r="F22" s="345"/>
      <c r="G22" s="380"/>
      <c r="H22" s="345"/>
      <c r="I22" s="382"/>
      <c r="J22" s="382"/>
    </row>
    <row r="23" spans="1:10" ht="15.9" customHeight="1">
      <c r="A23" s="1876"/>
      <c r="B23" s="1876"/>
      <c r="C23" s="1876"/>
      <c r="D23" s="1876"/>
      <c r="E23" s="380"/>
      <c r="F23" s="345"/>
      <c r="G23" s="380"/>
      <c r="H23" s="345"/>
      <c r="I23" s="382"/>
      <c r="J23" s="382"/>
    </row>
    <row r="24" spans="1:10" ht="15.9" customHeight="1">
      <c r="A24" s="1876"/>
      <c r="B24" s="1876"/>
      <c r="C24" s="1876"/>
      <c r="D24" s="1876"/>
      <c r="E24" s="380"/>
      <c r="F24" s="345"/>
      <c r="G24" s="380"/>
      <c r="H24" s="345"/>
      <c r="I24" s="382"/>
      <c r="J24" s="382"/>
    </row>
    <row r="25" spans="1:10" ht="15.9" customHeight="1">
      <c r="A25" s="1876"/>
      <c r="B25" s="1876"/>
      <c r="C25" s="1876"/>
      <c r="D25" s="1876"/>
      <c r="E25" s="380"/>
      <c r="F25" s="345"/>
      <c r="G25" s="380"/>
      <c r="H25" s="345"/>
      <c r="I25" s="382"/>
      <c r="J25" s="382"/>
    </row>
    <row r="26" spans="1:10" ht="15.9" customHeight="1">
      <c r="A26" s="1876"/>
      <c r="B26" s="1876"/>
      <c r="C26" s="1876"/>
      <c r="D26" s="1876"/>
      <c r="E26" s="380"/>
      <c r="F26" s="345"/>
      <c r="G26" s="380"/>
      <c r="H26" s="345"/>
      <c r="I26" s="382"/>
      <c r="J26" s="382"/>
    </row>
    <row r="27" spans="1:10" ht="15.9" customHeight="1">
      <c r="A27" s="1876"/>
      <c r="B27" s="1876"/>
      <c r="C27" s="1876"/>
      <c r="D27" s="1876"/>
      <c r="E27" s="380"/>
      <c r="F27" s="345"/>
      <c r="G27" s="380"/>
      <c r="H27" s="345"/>
      <c r="I27" s="382"/>
      <c r="J27" s="382"/>
    </row>
    <row r="28" spans="1:10" ht="15.9" customHeight="1">
      <c r="A28" s="1876"/>
      <c r="B28" s="1876"/>
      <c r="C28" s="1876"/>
      <c r="D28" s="1876"/>
      <c r="E28" s="380"/>
      <c r="F28" s="345"/>
      <c r="G28" s="380"/>
      <c r="H28" s="345"/>
      <c r="I28" s="382"/>
      <c r="J28" s="382"/>
    </row>
    <row r="29" spans="1:10" ht="15.9" customHeight="1">
      <c r="A29" s="1876"/>
      <c r="B29" s="1876"/>
      <c r="C29" s="1876"/>
      <c r="D29" s="1876"/>
      <c r="E29" s="380"/>
      <c r="F29" s="345"/>
      <c r="G29" s="380"/>
      <c r="H29" s="345"/>
      <c r="I29" s="382"/>
      <c r="J29" s="382"/>
    </row>
    <row r="30" spans="1:10" ht="15.9" customHeight="1">
      <c r="A30" s="1876"/>
      <c r="B30" s="1876"/>
      <c r="C30" s="1876"/>
      <c r="D30" s="1876"/>
      <c r="E30" s="380"/>
      <c r="F30" s="345"/>
      <c r="G30" s="380"/>
      <c r="H30" s="345"/>
      <c r="I30" s="382"/>
      <c r="J30" s="382"/>
    </row>
    <row r="31" spans="1:10" ht="15.9" customHeight="1">
      <c r="A31" s="1876"/>
      <c r="B31" s="1876"/>
      <c r="C31" s="1876"/>
      <c r="D31" s="1876"/>
      <c r="E31" s="380"/>
      <c r="F31" s="345"/>
      <c r="G31" s="380"/>
      <c r="H31" s="345"/>
      <c r="I31" s="382"/>
      <c r="J31" s="382"/>
    </row>
    <row r="32" spans="1:10" ht="15.9" customHeight="1">
      <c r="A32" s="1876"/>
      <c r="B32" s="1876"/>
      <c r="C32" s="1876"/>
      <c r="D32" s="1876"/>
      <c r="E32" s="380"/>
      <c r="F32" s="345"/>
      <c r="G32" s="380"/>
      <c r="H32" s="345"/>
      <c r="I32" s="382"/>
      <c r="J32" s="382"/>
    </row>
    <row r="33" spans="1:10" ht="15.9" customHeight="1">
      <c r="A33" s="1876"/>
      <c r="B33" s="1876"/>
      <c r="C33" s="1876"/>
      <c r="D33" s="1876"/>
      <c r="E33" s="380"/>
      <c r="F33" s="345"/>
      <c r="G33" s="380"/>
      <c r="H33" s="345"/>
      <c r="I33" s="382"/>
      <c r="J33" s="382"/>
    </row>
    <row r="34" spans="1:10" ht="15.9" customHeight="1">
      <c r="A34" s="1876"/>
      <c r="B34" s="1876"/>
      <c r="C34" s="1876"/>
      <c r="D34" s="1876"/>
      <c r="E34" s="380"/>
      <c r="F34" s="345"/>
      <c r="G34" s="380"/>
      <c r="H34" s="345"/>
      <c r="I34" s="382"/>
      <c r="J34" s="382"/>
    </row>
    <row r="35" spans="1:10" ht="15.9" customHeight="1">
      <c r="A35" s="1876"/>
      <c r="B35" s="1876"/>
      <c r="C35" s="1876"/>
      <c r="D35" s="1876"/>
      <c r="E35" s="380"/>
      <c r="F35" s="345"/>
      <c r="G35" s="380"/>
      <c r="H35" s="345"/>
      <c r="I35" s="382"/>
      <c r="J35" s="382"/>
    </row>
    <row r="36" spans="1:10" ht="15.9" customHeight="1">
      <c r="A36" s="1876"/>
      <c r="B36" s="1876"/>
      <c r="C36" s="1876"/>
      <c r="D36" s="1876"/>
      <c r="E36" s="380"/>
      <c r="F36" s="345"/>
      <c r="G36" s="380"/>
      <c r="H36" s="345"/>
      <c r="I36" s="382"/>
      <c r="J36" s="382"/>
    </row>
    <row r="37" spans="1:10" ht="15.9" customHeight="1">
      <c r="A37" s="1876"/>
      <c r="B37" s="1876"/>
      <c r="C37" s="1876"/>
      <c r="D37" s="1876"/>
      <c r="E37" s="380"/>
      <c r="F37" s="345"/>
      <c r="G37" s="380"/>
      <c r="H37" s="345"/>
      <c r="I37" s="382"/>
      <c r="J37" s="382"/>
    </row>
    <row r="38" spans="1:10" ht="15.9" customHeight="1">
      <c r="A38" s="1876"/>
      <c r="B38" s="1876"/>
      <c r="C38" s="1876"/>
      <c r="D38" s="1876"/>
      <c r="E38" s="380"/>
      <c r="F38" s="345"/>
      <c r="G38" s="380"/>
      <c r="H38" s="345"/>
      <c r="I38" s="382"/>
      <c r="J38" s="382"/>
    </row>
    <row r="39" spans="1:10" ht="15.9" customHeight="1">
      <c r="A39" s="1876"/>
      <c r="B39" s="1876"/>
      <c r="C39" s="1876"/>
      <c r="D39" s="1876"/>
      <c r="E39" s="380"/>
      <c r="F39" s="345"/>
      <c r="G39" s="380"/>
      <c r="H39" s="345"/>
      <c r="I39" s="382"/>
      <c r="J39" s="382"/>
    </row>
    <row r="40" spans="1:10" ht="15.9" customHeight="1">
      <c r="A40" s="1876"/>
      <c r="B40" s="1876"/>
      <c r="C40" s="1876"/>
      <c r="D40" s="1876"/>
      <c r="E40" s="380"/>
      <c r="F40" s="345"/>
      <c r="G40" s="380"/>
      <c r="H40" s="345"/>
      <c r="I40" s="382"/>
      <c r="J40" s="382"/>
    </row>
    <row r="41" spans="1:10" ht="15.9" customHeight="1">
      <c r="A41" s="1876"/>
      <c r="B41" s="1876"/>
      <c r="C41" s="1876"/>
      <c r="D41" s="1876"/>
      <c r="E41" s="380"/>
      <c r="F41" s="345"/>
      <c r="G41" s="380"/>
      <c r="H41" s="345"/>
      <c r="I41" s="382"/>
      <c r="J41" s="382"/>
    </row>
    <row r="42" spans="1:10" ht="15.9" customHeight="1">
      <c r="A42" s="1876"/>
      <c r="B42" s="1876"/>
      <c r="C42" s="1876"/>
      <c r="D42" s="1876"/>
      <c r="E42" s="380"/>
      <c r="F42" s="345"/>
      <c r="G42" s="380"/>
      <c r="H42" s="345"/>
      <c r="I42" s="382"/>
      <c r="J42" s="382"/>
    </row>
    <row r="43" spans="1:10" ht="15.9" customHeight="1">
      <c r="A43" s="1877" t="s">
        <v>9000</v>
      </c>
      <c r="B43" s="1877"/>
      <c r="C43" s="1877"/>
      <c r="D43" s="1877"/>
      <c r="E43" s="382"/>
      <c r="F43" s="383">
        <f>SUM(F13:F42)</f>
        <v>0</v>
      </c>
      <c r="G43" s="382"/>
      <c r="H43" s="383">
        <f>SUM(H13:H42)</f>
        <v>0</v>
      </c>
      <c r="I43" s="382"/>
      <c r="J43" s="581">
        <f>J13</f>
        <v>0</v>
      </c>
    </row>
    <row r="44" spans="1:10" ht="15.9" customHeight="1">
      <c r="A44" s="1877" t="s">
        <v>9001</v>
      </c>
      <c r="B44" s="1877"/>
      <c r="C44" s="1877"/>
      <c r="D44" s="1877"/>
      <c r="E44" s="382"/>
      <c r="F44" s="384"/>
      <c r="G44" s="382"/>
      <c r="H44" s="384"/>
      <c r="I44" s="382"/>
      <c r="J44" s="345"/>
    </row>
    <row r="45" spans="1:10" ht="15.9" customHeight="1">
      <c r="A45" s="1877" t="s">
        <v>9002</v>
      </c>
      <c r="B45" s="1877"/>
      <c r="C45" s="1877"/>
      <c r="D45" s="1877"/>
      <c r="E45" s="382"/>
      <c r="F45" s="384"/>
      <c r="G45" s="382"/>
      <c r="H45" s="384"/>
      <c r="I45" s="382"/>
      <c r="J45" s="345"/>
    </row>
    <row r="46" spans="1:10" ht="15.9" customHeight="1">
      <c r="A46" s="1877" t="s">
        <v>9003</v>
      </c>
      <c r="B46" s="1877"/>
      <c r="C46" s="1877"/>
      <c r="D46" s="1877"/>
      <c r="E46" s="382"/>
      <c r="F46" s="384"/>
      <c r="G46" s="382"/>
      <c r="H46" s="384"/>
      <c r="I46" s="382"/>
      <c r="J46" s="345"/>
    </row>
    <row r="47" spans="1:10" ht="15.9" customHeight="1">
      <c r="A47" s="1877" t="s">
        <v>9004</v>
      </c>
      <c r="B47" s="1877"/>
      <c r="C47" s="1877"/>
      <c r="D47" s="1877"/>
      <c r="E47" s="382"/>
      <c r="F47" s="384"/>
      <c r="G47" s="382"/>
      <c r="H47" s="384"/>
      <c r="I47" s="382"/>
      <c r="J47" s="345"/>
    </row>
    <row r="48" spans="1:10" ht="15.9" customHeight="1">
      <c r="A48" s="1746" t="s">
        <v>1232</v>
      </c>
      <c r="B48" s="1746"/>
      <c r="C48" s="1746"/>
      <c r="D48" s="1746"/>
      <c r="E48" s="385"/>
      <c r="F48" s="348">
        <f>SUM(F43:F47)</f>
        <v>0</v>
      </c>
      <c r="G48" s="382"/>
      <c r="H48" s="348">
        <f>SUM(H43:H47)</f>
        <v>0</v>
      </c>
      <c r="I48" s="382"/>
      <c r="J48" s="348">
        <f>SUM(J43:J47)</f>
        <v>0</v>
      </c>
    </row>
    <row r="49" spans="6:6">
      <c r="F49" s="124"/>
    </row>
  </sheetData>
  <sheetProtection algorithmName="SHA-512" hashValue="HdP5zT0hAQpQAoui43no50+YSQcrVfx53j3fSobOiaa4WZcC8TKlN+3PP2zuB99/HlvwA3+jEwdWcXEh2CdHuw==" saltValue="9YYIvOJI3Uv5E6wpLfqA6A==" spinCount="100000" sheet="1" objects="1" scenarios="1" selectLockedCells="1"/>
  <mergeCells count="28">
    <mergeCell ref="A1:J1"/>
    <mergeCell ref="I2:J2"/>
    <mergeCell ref="C3:J3"/>
    <mergeCell ref="B4:H4"/>
    <mergeCell ref="C5:E5"/>
    <mergeCell ref="G5:H5"/>
    <mergeCell ref="A11:D11"/>
    <mergeCell ref="E11:F11"/>
    <mergeCell ref="G11:H11"/>
    <mergeCell ref="I11:J11"/>
    <mergeCell ref="C6:E6"/>
    <mergeCell ref="A7:J7"/>
    <mergeCell ref="A8:D8"/>
    <mergeCell ref="E8:F8"/>
    <mergeCell ref="G8:H8"/>
    <mergeCell ref="I8:J8"/>
    <mergeCell ref="A9:J9"/>
    <mergeCell ref="A10:D10"/>
    <mergeCell ref="E10:F10"/>
    <mergeCell ref="G10:H10"/>
    <mergeCell ref="I10:J10"/>
    <mergeCell ref="A48:D48"/>
    <mergeCell ref="A12:D42"/>
    <mergeCell ref="A43:D43"/>
    <mergeCell ref="A44:D44"/>
    <mergeCell ref="A45:D45"/>
    <mergeCell ref="A46:D46"/>
    <mergeCell ref="A47:D47"/>
  </mergeCells>
  <conditionalFormatting sqref="F43:J48">
    <cfRule type="cellIs" dxfId="188" priority="1" operator="equal">
      <formula>0</formula>
    </cfRule>
  </conditionalFormatting>
  <dataValidations count="1">
    <dataValidation type="whole" allowBlank="1" showInputMessage="1" showErrorMessage="1" errorTitle="Attention!" error="Valeur numérique attendue" sqref="E10:J10 F13:F47 H13:H47 J43:J47 J13" xr:uid="{9663D338-4CDC-4476-8E0E-A0A6D16B1A2F}">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68"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5D97-93A3-4397-8570-4CBBE3A06CFE}">
  <sheetPr codeName="Feuil29">
    <tabColor theme="9" tint="0.39997558519241921"/>
  </sheetPr>
  <dimension ref="A1:I19"/>
  <sheetViews>
    <sheetView showGridLines="0" showRowColHeaders="0" zoomScaleNormal="100" workbookViewId="0">
      <selection activeCell="E10" sqref="E10:I10"/>
    </sheetView>
  </sheetViews>
  <sheetFormatPr baseColWidth="10" defaultColWidth="11.41796875" defaultRowHeight="14.4"/>
  <cols>
    <col min="1" max="1" width="11.41796875" style="103"/>
    <col min="2" max="2" width="16.89453125" style="103" customWidth="1"/>
    <col min="3" max="3" width="11.41796875" style="103"/>
    <col min="4" max="4" width="4.41796875" style="103" customWidth="1"/>
    <col min="5" max="5" width="14.1015625" style="103" customWidth="1"/>
    <col min="6" max="6" width="7.41796875" style="103" customWidth="1"/>
    <col min="7" max="7" width="7" style="103" customWidth="1"/>
    <col min="8" max="8" width="15.41796875" style="103" customWidth="1"/>
    <col min="9" max="9" width="13.41796875" style="103" customWidth="1"/>
    <col min="10" max="16384" width="11.41796875" style="103"/>
  </cols>
  <sheetData>
    <row r="1" spans="1:9">
      <c r="A1" s="1276" t="str">
        <f>"- "&amp;Code!K29&amp;" -"</f>
        <v>- 18 -</v>
      </c>
      <c r="B1" s="1276"/>
      <c r="C1" s="1276"/>
      <c r="D1" s="1276"/>
      <c r="E1" s="1276"/>
      <c r="F1" s="1276"/>
      <c r="G1" s="1276"/>
      <c r="H1" s="1276"/>
      <c r="I1" s="1276"/>
    </row>
    <row r="2" spans="1:9" ht="24.9" customHeight="1">
      <c r="A2" s="576"/>
      <c r="B2" s="576"/>
      <c r="C2" s="576"/>
      <c r="D2" s="576"/>
      <c r="E2" s="576"/>
      <c r="F2" s="576"/>
      <c r="G2" s="576"/>
      <c r="H2" s="1278" t="s">
        <v>1809</v>
      </c>
      <c r="I2" s="1279"/>
    </row>
    <row r="3" spans="1:9" s="844" customFormat="1" ht="15" customHeight="1">
      <c r="A3" s="317" t="s">
        <v>50</v>
      </c>
      <c r="B3" s="317"/>
      <c r="C3" s="1699" t="str">
        <f>'NOTE 1'!C3</f>
        <v>OHADA</v>
      </c>
      <c r="D3" s="1699"/>
      <c r="E3" s="1699"/>
      <c r="F3" s="1699"/>
      <c r="G3" s="1699"/>
      <c r="H3" s="1699"/>
      <c r="I3" s="858"/>
    </row>
    <row r="4" spans="1:9" s="844" customFormat="1" ht="15" customHeight="1">
      <c r="A4" s="317" t="s">
        <v>51</v>
      </c>
      <c r="B4" s="1280" t="str">
        <f>'NOTE 1'!B4</f>
        <v/>
      </c>
      <c r="C4" s="1280"/>
      <c r="D4" s="1280"/>
      <c r="E4" s="1280"/>
      <c r="F4" s="1280"/>
      <c r="G4" s="1280"/>
      <c r="H4" s="627" t="s">
        <v>1021</v>
      </c>
      <c r="I4" s="630" t="str">
        <f>'NOTE 1'!I4</f>
        <v/>
      </c>
    </row>
    <row r="5" spans="1:9" s="844" customFormat="1" ht="15" customHeight="1">
      <c r="A5" s="317" t="s">
        <v>1597</v>
      </c>
      <c r="B5" s="317"/>
      <c r="C5" s="1281" t="str">
        <f>'NOTE 1'!C5</f>
        <v/>
      </c>
      <c r="D5" s="1281"/>
      <c r="E5" s="642" t="s">
        <v>54</v>
      </c>
      <c r="F5" s="1648">
        <f>'NOTE 1'!G5</f>
        <v>0</v>
      </c>
      <c r="G5" s="1648"/>
      <c r="H5" s="627" t="s">
        <v>55</v>
      </c>
      <c r="I5" s="795">
        <f>'NOTE 1'!I5</f>
        <v>1</v>
      </c>
    </row>
    <row r="6" spans="1:9" s="844" customFormat="1" ht="15" customHeight="1">
      <c r="A6" s="748" t="s">
        <v>56</v>
      </c>
      <c r="B6" s="317"/>
      <c r="C6" s="1275" t="str">
        <f>'NOTE 1'!C6</f>
        <v/>
      </c>
      <c r="D6" s="1275"/>
      <c r="E6" s="638"/>
      <c r="F6" s="630"/>
      <c r="G6" s="630"/>
      <c r="H6" s="629"/>
      <c r="I6" s="630"/>
    </row>
    <row r="7" spans="1:9" ht="35.25" customHeight="1">
      <c r="A7" s="1788" t="s">
        <v>1810</v>
      </c>
      <c r="B7" s="1788"/>
      <c r="C7" s="1788"/>
      <c r="D7" s="1788"/>
      <c r="E7" s="1788"/>
      <c r="F7" s="1788"/>
      <c r="G7" s="1788"/>
      <c r="H7" s="1788"/>
      <c r="I7" s="1788"/>
    </row>
    <row r="8" spans="1:9" ht="36" customHeight="1">
      <c r="A8" s="1838" t="s">
        <v>1254</v>
      </c>
      <c r="B8" s="1838"/>
      <c r="C8" s="1838"/>
      <c r="D8" s="1838"/>
      <c r="E8" s="1762" t="s">
        <v>1811</v>
      </c>
      <c r="F8" s="1763"/>
      <c r="G8" s="1763"/>
      <c r="H8" s="1763"/>
      <c r="I8" s="1764"/>
    </row>
    <row r="9" spans="1:9" ht="35.25" customHeight="1">
      <c r="A9" s="1899" t="s">
        <v>1812</v>
      </c>
      <c r="B9" s="1900"/>
      <c r="C9" s="1900"/>
      <c r="D9" s="1900"/>
      <c r="E9" s="1900"/>
      <c r="F9" s="1900"/>
      <c r="G9" s="1900"/>
      <c r="H9" s="1900"/>
      <c r="I9" s="1901"/>
    </row>
    <row r="10" spans="1:9" ht="18" customHeight="1">
      <c r="A10" s="1748" t="s">
        <v>9005</v>
      </c>
      <c r="B10" s="1748"/>
      <c r="C10" s="1748"/>
      <c r="D10" s="1748"/>
      <c r="E10" s="1896"/>
      <c r="F10" s="1897"/>
      <c r="G10" s="1897"/>
      <c r="H10" s="1897"/>
      <c r="I10" s="1898"/>
    </row>
    <row r="11" spans="1:9" ht="18" customHeight="1">
      <c r="A11" s="1748" t="s">
        <v>1806</v>
      </c>
      <c r="B11" s="1748"/>
      <c r="C11" s="1748"/>
      <c r="D11" s="1748"/>
      <c r="E11" s="1890"/>
      <c r="F11" s="1891"/>
      <c r="G11" s="1891"/>
      <c r="H11" s="1891"/>
      <c r="I11" s="1892"/>
    </row>
    <row r="12" spans="1:9" ht="18.899999999999999" customHeight="1">
      <c r="A12" s="859"/>
      <c r="B12" s="860"/>
      <c r="C12" s="860"/>
      <c r="D12" s="861"/>
      <c r="E12" s="1762" t="s">
        <v>1807</v>
      </c>
      <c r="F12" s="1763"/>
      <c r="G12" s="1764"/>
      <c r="H12" s="1763" t="s">
        <v>1808</v>
      </c>
      <c r="I12" s="1764"/>
    </row>
    <row r="13" spans="1:9" ht="30" customHeight="1">
      <c r="A13" s="862"/>
      <c r="B13" s="863"/>
      <c r="C13" s="863"/>
      <c r="D13" s="864"/>
      <c r="E13" s="1893" t="s">
        <v>1813</v>
      </c>
      <c r="F13" s="1894"/>
      <c r="G13" s="1895"/>
      <c r="H13" s="1884"/>
      <c r="I13" s="1885"/>
    </row>
    <row r="14" spans="1:9" ht="18" customHeight="1">
      <c r="A14" s="1877" t="s">
        <v>9000</v>
      </c>
      <c r="B14" s="1877"/>
      <c r="C14" s="1877"/>
      <c r="D14" s="1877"/>
      <c r="E14" s="1881"/>
      <c r="F14" s="1882"/>
      <c r="G14" s="1883"/>
      <c r="H14" s="1888">
        <f>H13</f>
        <v>0</v>
      </c>
      <c r="I14" s="1889"/>
    </row>
    <row r="15" spans="1:9" ht="18" customHeight="1">
      <c r="A15" s="1877" t="s">
        <v>9001</v>
      </c>
      <c r="B15" s="1877"/>
      <c r="C15" s="1877"/>
      <c r="D15" s="1877"/>
      <c r="E15" s="1881"/>
      <c r="F15" s="1882"/>
      <c r="G15" s="1883"/>
      <c r="H15" s="1884"/>
      <c r="I15" s="1885"/>
    </row>
    <row r="16" spans="1:9" ht="18" customHeight="1">
      <c r="A16" s="1877" t="s">
        <v>9002</v>
      </c>
      <c r="B16" s="1877"/>
      <c r="C16" s="1877"/>
      <c r="D16" s="1877"/>
      <c r="E16" s="1881"/>
      <c r="F16" s="1882"/>
      <c r="G16" s="1883"/>
      <c r="H16" s="1884"/>
      <c r="I16" s="1885"/>
    </row>
    <row r="17" spans="1:9" ht="18" customHeight="1">
      <c r="A17" s="1877" t="s">
        <v>9003</v>
      </c>
      <c r="B17" s="1877"/>
      <c r="C17" s="1877"/>
      <c r="D17" s="1877"/>
      <c r="E17" s="1881"/>
      <c r="F17" s="1882"/>
      <c r="G17" s="1883"/>
      <c r="H17" s="1884"/>
      <c r="I17" s="1885"/>
    </row>
    <row r="18" spans="1:9" ht="18" customHeight="1">
      <c r="A18" s="1877" t="s">
        <v>9004</v>
      </c>
      <c r="B18" s="1877"/>
      <c r="C18" s="1877"/>
      <c r="D18" s="1877"/>
      <c r="E18" s="1881"/>
      <c r="F18" s="1882"/>
      <c r="G18" s="1883"/>
      <c r="H18" s="1884"/>
      <c r="I18" s="1885"/>
    </row>
    <row r="19" spans="1:9" ht="18" customHeight="1">
      <c r="A19" s="1746" t="s">
        <v>1232</v>
      </c>
      <c r="B19" s="1746"/>
      <c r="C19" s="1746"/>
      <c r="D19" s="1746"/>
      <c r="E19" s="1881"/>
      <c r="F19" s="1882"/>
      <c r="G19" s="1883"/>
      <c r="H19" s="1886">
        <f>SUM(H14:I18)</f>
        <v>0</v>
      </c>
      <c r="I19" s="1887"/>
    </row>
  </sheetData>
  <sheetProtection algorithmName="SHA-512" hashValue="k9+9ShOFNPdhgVHIkzmb1G3U7drxEFVkoJSc8U4WszfrIRrLPrq0j9WJOyl2QIHOj1OGim3urv4b1OORF4FJoA==" saltValue="x2wIqgB/9Jze1IGzOn1Ccw==" spinCount="100000" sheet="1" objects="1" scenarios="1" selectLockedCells="1"/>
  <mergeCells count="37">
    <mergeCell ref="A10:D10"/>
    <mergeCell ref="E10:I10"/>
    <mergeCell ref="A1:I1"/>
    <mergeCell ref="H2:I2"/>
    <mergeCell ref="C3:H3"/>
    <mergeCell ref="B4:G4"/>
    <mergeCell ref="C5:D5"/>
    <mergeCell ref="F5:G5"/>
    <mergeCell ref="C6:D6"/>
    <mergeCell ref="A7:I7"/>
    <mergeCell ref="A8:D8"/>
    <mergeCell ref="E8:I8"/>
    <mergeCell ref="A9:I9"/>
    <mergeCell ref="A11:D11"/>
    <mergeCell ref="E11:I11"/>
    <mergeCell ref="E12:G12"/>
    <mergeCell ref="H12:I12"/>
    <mergeCell ref="E13:G13"/>
    <mergeCell ref="H13:I13"/>
    <mergeCell ref="A14:D14"/>
    <mergeCell ref="E14:G14"/>
    <mergeCell ref="H14:I14"/>
    <mergeCell ref="A15:D15"/>
    <mergeCell ref="E15:G15"/>
    <mergeCell ref="H15:I15"/>
    <mergeCell ref="A16:D16"/>
    <mergeCell ref="E16:G16"/>
    <mergeCell ref="H16:I16"/>
    <mergeCell ref="A17:D17"/>
    <mergeCell ref="E17:G17"/>
    <mergeCell ref="H17:I17"/>
    <mergeCell ref="A18:D18"/>
    <mergeCell ref="E18:G18"/>
    <mergeCell ref="H18:I18"/>
    <mergeCell ref="A19:D19"/>
    <mergeCell ref="E19:G19"/>
    <mergeCell ref="H19:I19"/>
  </mergeCells>
  <conditionalFormatting sqref="H19:I19 H14:I14">
    <cfRule type="cellIs" dxfId="187" priority="1" operator="equal">
      <formula>0</formula>
    </cfRule>
  </conditionalFormatting>
  <dataValidations count="1">
    <dataValidation type="whole" allowBlank="1" showInputMessage="1" showErrorMessage="1" errorTitle="Attention!" error="Valeur numérique attendue" sqref="E10:I10 H13:I18" xr:uid="{E9402EF2-C8BC-4E90-878C-3C695000296D}">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D469F-E029-4D33-9E49-4CB911F13329}">
  <sheetPr codeName="Feuil30">
    <tabColor theme="9" tint="0.39997558519241921"/>
    <pageSetUpPr fitToPage="1"/>
  </sheetPr>
  <dimension ref="A1:I19"/>
  <sheetViews>
    <sheetView showGridLines="0" showRowColHeaders="0" zoomScaleNormal="100" workbookViewId="0">
      <selection activeCell="E10" sqref="E10:I10"/>
    </sheetView>
  </sheetViews>
  <sheetFormatPr baseColWidth="10" defaultColWidth="11.41796875" defaultRowHeight="14.4"/>
  <cols>
    <col min="1" max="1" width="11.41796875" style="103"/>
    <col min="2" max="2" width="16.3125" style="103" customWidth="1"/>
    <col min="3" max="3" width="11.41796875" style="103"/>
    <col min="4" max="4" width="5.89453125" style="103" customWidth="1"/>
    <col min="5" max="5" width="13.89453125" style="103" customWidth="1"/>
    <col min="6" max="6" width="11.41796875" style="103"/>
    <col min="7" max="7" width="5" style="103" customWidth="1"/>
    <col min="8" max="8" width="15.68359375" style="103" customWidth="1"/>
    <col min="9" max="16384" width="11.41796875" style="103"/>
  </cols>
  <sheetData>
    <row r="1" spans="1:9">
      <c r="A1" s="1276" t="str">
        <f>"- "&amp;Code!K30&amp;" -"</f>
        <v>- 18 -</v>
      </c>
      <c r="B1" s="1276"/>
      <c r="C1" s="1276"/>
      <c r="D1" s="1276"/>
      <c r="E1" s="1276"/>
      <c r="F1" s="1276"/>
      <c r="G1" s="1276"/>
      <c r="H1" s="1276"/>
      <c r="I1" s="1276"/>
    </row>
    <row r="2" spans="1:9" ht="24.9" customHeight="1">
      <c r="A2" s="576"/>
      <c r="B2" s="576"/>
      <c r="C2" s="576"/>
      <c r="D2" s="576"/>
      <c r="E2" s="576"/>
      <c r="F2" s="576"/>
      <c r="G2" s="576"/>
      <c r="H2" s="1278" t="s">
        <v>1814</v>
      </c>
      <c r="I2" s="1279"/>
    </row>
    <row r="3" spans="1:9" s="844" customFormat="1" ht="15" customHeight="1">
      <c r="A3" s="317" t="s">
        <v>50</v>
      </c>
      <c r="B3" s="317"/>
      <c r="C3" s="1699" t="str">
        <f>'NOTE 1'!C3</f>
        <v>OHADA</v>
      </c>
      <c r="D3" s="1699"/>
      <c r="E3" s="1699"/>
      <c r="F3" s="1699"/>
      <c r="G3" s="1699"/>
      <c r="H3" s="1699"/>
      <c r="I3" s="1699"/>
    </row>
    <row r="4" spans="1:9" s="844" customFormat="1" ht="15" customHeight="1">
      <c r="A4" s="317" t="s">
        <v>51</v>
      </c>
      <c r="B4" s="1280" t="str">
        <f>'NOTE 1'!B4</f>
        <v/>
      </c>
      <c r="C4" s="1280"/>
      <c r="D4" s="1280"/>
      <c r="E4" s="1280"/>
      <c r="F4" s="1280"/>
      <c r="G4" s="1280"/>
      <c r="H4" s="627" t="s">
        <v>1021</v>
      </c>
      <c r="I4" s="630" t="str">
        <f>'NOTE 1'!I4</f>
        <v/>
      </c>
    </row>
    <row r="5" spans="1:9" s="844" customFormat="1" ht="15" customHeight="1">
      <c r="A5" s="317" t="s">
        <v>1597</v>
      </c>
      <c r="B5" s="317"/>
      <c r="C5" s="1281" t="str">
        <f>'NOTE 1'!C5</f>
        <v/>
      </c>
      <c r="D5" s="1281"/>
      <c r="E5" s="642" t="s">
        <v>54</v>
      </c>
      <c r="F5" s="1648">
        <f>'NOTE 1'!G5</f>
        <v>0</v>
      </c>
      <c r="G5" s="1648"/>
      <c r="H5" s="627" t="s">
        <v>55</v>
      </c>
      <c r="I5" s="795">
        <f>'NOTE 1'!I5</f>
        <v>1</v>
      </c>
    </row>
    <row r="6" spans="1:9" s="844" customFormat="1" ht="15" customHeight="1">
      <c r="A6" s="748" t="s">
        <v>56</v>
      </c>
      <c r="B6" s="317"/>
      <c r="C6" s="1275" t="str">
        <f>'NOTE 1'!C6</f>
        <v/>
      </c>
      <c r="D6" s="1275"/>
      <c r="E6" s="638"/>
      <c r="F6" s="630"/>
      <c r="G6" s="630"/>
      <c r="H6" s="629"/>
      <c r="I6" s="630"/>
    </row>
    <row r="7" spans="1:9" ht="33.75" customHeight="1">
      <c r="A7" s="1788" t="s">
        <v>1815</v>
      </c>
      <c r="B7" s="1788"/>
      <c r="C7" s="1788"/>
      <c r="D7" s="1788"/>
      <c r="E7" s="1788"/>
      <c r="F7" s="1788"/>
      <c r="G7" s="1788"/>
      <c r="H7" s="1788"/>
      <c r="I7" s="1788"/>
    </row>
    <row r="8" spans="1:9" ht="36" customHeight="1">
      <c r="A8" s="1838" t="s">
        <v>1692</v>
      </c>
      <c r="B8" s="1838"/>
      <c r="C8" s="1838"/>
      <c r="D8" s="1838"/>
      <c r="E8" s="1762" t="s">
        <v>1816</v>
      </c>
      <c r="F8" s="1763"/>
      <c r="G8" s="1763"/>
      <c r="H8" s="1763"/>
      <c r="I8" s="1764"/>
    </row>
    <row r="9" spans="1:9" ht="33" customHeight="1">
      <c r="A9" s="1899" t="s">
        <v>1812</v>
      </c>
      <c r="B9" s="1900"/>
      <c r="C9" s="1900"/>
      <c r="D9" s="1900"/>
      <c r="E9" s="1900"/>
      <c r="F9" s="1900"/>
      <c r="G9" s="1900"/>
      <c r="H9" s="1900"/>
      <c r="I9" s="1901"/>
    </row>
    <row r="10" spans="1:9" ht="18" customHeight="1">
      <c r="A10" s="1748" t="s">
        <v>9005</v>
      </c>
      <c r="B10" s="1748"/>
      <c r="C10" s="1748"/>
      <c r="D10" s="1748"/>
      <c r="E10" s="1896"/>
      <c r="F10" s="1897"/>
      <c r="G10" s="1897"/>
      <c r="H10" s="1897"/>
      <c r="I10" s="1898"/>
    </row>
    <row r="11" spans="1:9" ht="18" customHeight="1">
      <c r="A11" s="1748" t="s">
        <v>1806</v>
      </c>
      <c r="B11" s="1748"/>
      <c r="C11" s="1748"/>
      <c r="D11" s="1748"/>
      <c r="E11" s="1909"/>
      <c r="F11" s="1910"/>
      <c r="G11" s="1910"/>
      <c r="H11" s="1910"/>
      <c r="I11" s="1911"/>
    </row>
    <row r="12" spans="1:9">
      <c r="A12" s="852"/>
      <c r="B12" s="853"/>
      <c r="C12" s="853"/>
      <c r="D12" s="854"/>
      <c r="E12" s="1762" t="s">
        <v>1807</v>
      </c>
      <c r="F12" s="1763"/>
      <c r="G12" s="1764"/>
      <c r="H12" s="1763" t="s">
        <v>1808</v>
      </c>
      <c r="I12" s="1764"/>
    </row>
    <row r="13" spans="1:9" ht="30" customHeight="1">
      <c r="A13" s="855"/>
      <c r="B13" s="856"/>
      <c r="C13" s="856"/>
      <c r="D13" s="857"/>
      <c r="E13" s="1893" t="s">
        <v>1817</v>
      </c>
      <c r="F13" s="1894"/>
      <c r="G13" s="1895"/>
      <c r="H13" s="1912"/>
      <c r="I13" s="1913"/>
    </row>
    <row r="14" spans="1:9" ht="18" customHeight="1">
      <c r="A14" s="1877" t="s">
        <v>9000</v>
      </c>
      <c r="B14" s="1877"/>
      <c r="C14" s="1877"/>
      <c r="D14" s="1877"/>
      <c r="E14" s="1902"/>
      <c r="F14" s="1903"/>
      <c r="G14" s="1904"/>
      <c r="H14" s="1908">
        <f>H13</f>
        <v>0</v>
      </c>
      <c r="I14" s="1824"/>
    </row>
    <row r="15" spans="1:9" ht="18" customHeight="1">
      <c r="A15" s="1877" t="s">
        <v>9001</v>
      </c>
      <c r="B15" s="1877"/>
      <c r="C15" s="1877"/>
      <c r="D15" s="1877"/>
      <c r="E15" s="1902"/>
      <c r="F15" s="1903"/>
      <c r="G15" s="1904"/>
      <c r="H15" s="1828"/>
      <c r="I15" s="1827"/>
    </row>
    <row r="16" spans="1:9" ht="18" customHeight="1">
      <c r="A16" s="1877" t="s">
        <v>9002</v>
      </c>
      <c r="B16" s="1877"/>
      <c r="C16" s="1877"/>
      <c r="D16" s="1877"/>
      <c r="E16" s="1902"/>
      <c r="F16" s="1903"/>
      <c r="G16" s="1904"/>
      <c r="H16" s="1828"/>
      <c r="I16" s="1827"/>
    </row>
    <row r="17" spans="1:9" ht="18" customHeight="1">
      <c r="A17" s="1877" t="s">
        <v>9003</v>
      </c>
      <c r="B17" s="1877"/>
      <c r="C17" s="1877"/>
      <c r="D17" s="1877"/>
      <c r="E17" s="1902"/>
      <c r="F17" s="1903"/>
      <c r="G17" s="1904"/>
      <c r="H17" s="1828"/>
      <c r="I17" s="1827"/>
    </row>
    <row r="18" spans="1:9" ht="18" customHeight="1">
      <c r="A18" s="1877" t="s">
        <v>9004</v>
      </c>
      <c r="B18" s="1877"/>
      <c r="C18" s="1877"/>
      <c r="D18" s="1877"/>
      <c r="E18" s="1902"/>
      <c r="F18" s="1903"/>
      <c r="G18" s="1904"/>
      <c r="H18" s="1828"/>
      <c r="I18" s="1827"/>
    </row>
    <row r="19" spans="1:9" ht="18" customHeight="1">
      <c r="A19" s="1905" t="s">
        <v>1232</v>
      </c>
      <c r="B19" s="1905"/>
      <c r="C19" s="1905"/>
      <c r="D19" s="1905"/>
      <c r="E19" s="1902"/>
      <c r="F19" s="1903"/>
      <c r="G19" s="1904"/>
      <c r="H19" s="1906">
        <f>SUM(H14:I18)</f>
        <v>0</v>
      </c>
      <c r="I19" s="1907"/>
    </row>
  </sheetData>
  <sheetProtection algorithmName="SHA-512" hashValue="TsEUydhisY2NoLwWUvy9a+ufiswEAlWeh815eJ7pCbDO/iOr4LkPCMQO2nWzI+6cCVtgkmB6xZnOWn+TASQYrg==" saltValue="pRuymM6YKC8SXfBJRc63Ow==" spinCount="100000" sheet="1" objects="1" scenarios="1" selectLockedCells="1"/>
  <mergeCells count="37">
    <mergeCell ref="A10:D10"/>
    <mergeCell ref="E10:I10"/>
    <mergeCell ref="A1:I1"/>
    <mergeCell ref="H2:I2"/>
    <mergeCell ref="C3:I3"/>
    <mergeCell ref="B4:G4"/>
    <mergeCell ref="C5:D5"/>
    <mergeCell ref="F5:G5"/>
    <mergeCell ref="C6:D6"/>
    <mergeCell ref="A7:I7"/>
    <mergeCell ref="A8:D8"/>
    <mergeCell ref="E8:I8"/>
    <mergeCell ref="A9:I9"/>
    <mergeCell ref="A11:D11"/>
    <mergeCell ref="E11:I11"/>
    <mergeCell ref="E12:G12"/>
    <mergeCell ref="H12:I12"/>
    <mergeCell ref="E13:G13"/>
    <mergeCell ref="H13:I13"/>
    <mergeCell ref="A14:D14"/>
    <mergeCell ref="E14:G14"/>
    <mergeCell ref="H14:I14"/>
    <mergeCell ref="A15:D15"/>
    <mergeCell ref="E15:G15"/>
    <mergeCell ref="H15:I15"/>
    <mergeCell ref="A16:D16"/>
    <mergeCell ref="E16:G16"/>
    <mergeCell ref="H16:I16"/>
    <mergeCell ref="A17:D17"/>
    <mergeCell ref="E17:G17"/>
    <mergeCell ref="H17:I17"/>
    <mergeCell ref="A18:D18"/>
    <mergeCell ref="E18:G18"/>
    <mergeCell ref="H18:I18"/>
    <mergeCell ref="A19:D19"/>
    <mergeCell ref="E19:G19"/>
    <mergeCell ref="H19:I19"/>
  </mergeCells>
  <conditionalFormatting sqref="H14:I14 H19:I19">
    <cfRule type="cellIs" dxfId="186" priority="1" operator="equal">
      <formula>0</formula>
    </cfRule>
  </conditionalFormatting>
  <dataValidations count="1">
    <dataValidation type="whole" allowBlank="1" showInputMessage="1" showErrorMessage="1" errorTitle="Attention!" error="Valeur numérique attendue" sqref="E10:I10 H13:I18" xr:uid="{294666F5-ED24-4D09-8E63-C96DE777FBDE}">
      <formula1>-9999999999999</formula1>
      <formula2>9999999999999</formula2>
    </dataValidation>
  </dataValidations>
  <printOptions horizontalCentered="1"/>
  <pageMargins left="0.11811023622047245" right="0.11811023622047245" top="0.35433070866141736" bottom="0.74803149606299213" header="0.11811023622047245" footer="0.11811023622047245"/>
  <pageSetup paperSize="9" scale="98"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56CD-F3E2-4957-AE69-7EF57211900C}">
  <sheetPr codeName="Feuil31">
    <tabColor theme="9" tint="0.39997558519241921"/>
    <pageSetUpPr fitToPage="1"/>
  </sheetPr>
  <dimension ref="A1:I23"/>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6.41796875" style="103" customWidth="1"/>
    <col min="3" max="3" width="11.5234375" style="103"/>
    <col min="4" max="4" width="6.68359375" style="103" customWidth="1"/>
    <col min="5" max="5" width="13.41796875" style="103" customWidth="1"/>
    <col min="6" max="6" width="7.89453125" style="103" customWidth="1"/>
    <col min="7" max="7" width="6.89453125" style="103" customWidth="1"/>
    <col min="8" max="8" width="14.89453125" style="103" customWidth="1"/>
    <col min="9" max="9" width="14.41796875" style="103" customWidth="1"/>
    <col min="10" max="16384" width="11.5234375" style="103"/>
  </cols>
  <sheetData>
    <row r="1" spans="1:9">
      <c r="A1" s="1276" t="str">
        <f>"- "&amp;Code!K31&amp;" -"</f>
        <v>- 18 -</v>
      </c>
      <c r="B1" s="1276"/>
      <c r="C1" s="1276"/>
      <c r="D1" s="1276"/>
      <c r="E1" s="1276"/>
      <c r="F1" s="1276"/>
      <c r="G1" s="1276"/>
      <c r="H1" s="1276"/>
      <c r="I1" s="1276"/>
    </row>
    <row r="2" spans="1:9" ht="24.9" customHeight="1">
      <c r="A2" s="576"/>
      <c r="B2" s="576"/>
      <c r="C2" s="576"/>
      <c r="D2" s="576"/>
      <c r="E2" s="576"/>
      <c r="F2" s="576"/>
      <c r="G2" s="576"/>
      <c r="H2" s="1278" t="s">
        <v>1818</v>
      </c>
      <c r="I2" s="1765"/>
    </row>
    <row r="3" spans="1:9" s="626" customFormat="1" ht="15" customHeight="1">
      <c r="A3" s="317" t="s">
        <v>50</v>
      </c>
      <c r="B3" s="317"/>
      <c r="C3" s="1280" t="str">
        <f>'NOTE 1'!C3</f>
        <v>OHADA</v>
      </c>
      <c r="D3" s="1280"/>
      <c r="E3" s="1280"/>
      <c r="F3" s="1280"/>
      <c r="G3" s="1280"/>
      <c r="H3" s="1280"/>
      <c r="I3" s="1280"/>
    </row>
    <row r="4" spans="1:9" s="626" customFormat="1" ht="15" customHeight="1">
      <c r="A4" s="317" t="s">
        <v>51</v>
      </c>
      <c r="B4" s="1280" t="str">
        <f>'NOTE 1'!B4</f>
        <v/>
      </c>
      <c r="C4" s="1281"/>
      <c r="D4" s="1281"/>
      <c r="E4" s="1281"/>
      <c r="F4" s="1281"/>
      <c r="G4" s="1281"/>
      <c r="H4" s="627" t="s">
        <v>1021</v>
      </c>
      <c r="I4" s="630" t="str">
        <f>'NOTE 1'!I4</f>
        <v/>
      </c>
    </row>
    <row r="5" spans="1:9" s="626" customFormat="1" ht="15" customHeight="1">
      <c r="A5" s="317" t="s">
        <v>1597</v>
      </c>
      <c r="B5" s="317"/>
      <c r="C5" s="1275" t="str">
        <f>'NOTE 1'!C5</f>
        <v/>
      </c>
      <c r="D5" s="1275"/>
      <c r="E5" s="642" t="s">
        <v>54</v>
      </c>
      <c r="F5" s="1648">
        <f>'NOTE 1'!G5</f>
        <v>0</v>
      </c>
      <c r="G5" s="1648"/>
      <c r="H5" s="627" t="s">
        <v>55</v>
      </c>
      <c r="I5" s="795">
        <f>'NOTE 1'!I5</f>
        <v>1</v>
      </c>
    </row>
    <row r="6" spans="1:9" s="626" customFormat="1" ht="15" customHeight="1">
      <c r="A6" s="748" t="s">
        <v>56</v>
      </c>
      <c r="B6" s="317"/>
      <c r="C6" s="1275" t="str">
        <f>'NOTE 1'!C6</f>
        <v/>
      </c>
      <c r="D6" s="1275"/>
      <c r="E6" s="638"/>
      <c r="F6" s="630"/>
      <c r="G6" s="630"/>
      <c r="H6" s="629"/>
      <c r="I6" s="630"/>
    </row>
    <row r="7" spans="1:9" ht="35.25" customHeight="1">
      <c r="A7" s="1273" t="s">
        <v>1819</v>
      </c>
      <c r="B7" s="1273"/>
      <c r="C7" s="1273"/>
      <c r="D7" s="1273"/>
      <c r="E7" s="1273"/>
      <c r="F7" s="1273"/>
      <c r="G7" s="1273"/>
      <c r="H7" s="1273"/>
      <c r="I7" s="1273"/>
    </row>
    <row r="8" spans="1:9" ht="32.25" customHeight="1">
      <c r="A8" s="1838" t="s">
        <v>1692</v>
      </c>
      <c r="B8" s="1838"/>
      <c r="C8" s="1838"/>
      <c r="D8" s="1838"/>
      <c r="E8" s="1838" t="s">
        <v>1693</v>
      </c>
      <c r="F8" s="1838"/>
      <c r="G8" s="1838" t="s">
        <v>1694</v>
      </c>
      <c r="H8" s="1838"/>
      <c r="I8" s="379" t="s">
        <v>1731</v>
      </c>
    </row>
    <row r="9" spans="1:9" ht="17.25" customHeight="1">
      <c r="A9" s="1748" t="s">
        <v>1820</v>
      </c>
      <c r="B9" s="1748"/>
      <c r="C9" s="1748"/>
      <c r="D9" s="1748"/>
      <c r="E9" s="1872">
        <f>SUMIFS(BalanceN[BS_Debit],BalanceN[Table],"&gt;=50100",BalanceN[Table],"&lt;50200")</f>
        <v>0</v>
      </c>
      <c r="F9" s="1872"/>
      <c r="G9" s="1872">
        <f>SUMIFS(BalanceN1[BS_Debit],BalanceN1[Table],"&gt;=50100",BalanceN1[Table],"&lt;50200")</f>
        <v>0</v>
      </c>
      <c r="H9" s="1872"/>
      <c r="I9" s="386" t="str">
        <f>IF(G9,(E9-G9)/G9,IF(ISBLANK(G9),"",IF(E9,IF( E9 &gt; 0,1,-1),"")))</f>
        <v/>
      </c>
    </row>
    <row r="10" spans="1:9" ht="17.25" customHeight="1">
      <c r="A10" s="1748" t="s">
        <v>1821</v>
      </c>
      <c r="B10" s="1748"/>
      <c r="C10" s="1748"/>
      <c r="D10" s="1748"/>
      <c r="E10" s="1872">
        <f>SUMIFS(BalanceN[BS_Debit],BalanceN[Table],"&gt;=50200",BalanceN[Table],"&lt;50300")</f>
        <v>0</v>
      </c>
      <c r="F10" s="1872"/>
      <c r="G10" s="1872">
        <f>SUMIFS(BalanceN1[BS_Debit],BalanceN1[Table],"&gt;=50200",BalanceN1[Table],"&lt;50300")</f>
        <v>0</v>
      </c>
      <c r="H10" s="1872"/>
      <c r="I10" s="386" t="str">
        <f t="shared" ref="I10:I18" si="0">IF(G10,(E10-G10)/G10,IF(ISBLANK(G10),"",IF(E10,IF( E10 &gt; 0,1,-1),"")))</f>
        <v/>
      </c>
    </row>
    <row r="11" spans="1:9" ht="17.25" customHeight="1">
      <c r="A11" s="1748" t="s">
        <v>1822</v>
      </c>
      <c r="B11" s="1748"/>
      <c r="C11" s="1748"/>
      <c r="D11" s="1748"/>
      <c r="E11" s="1872">
        <f>SUMIFS(BalanceN[BS_Debit],BalanceN[Table],"&gt;=50300",BalanceN[Table],"&lt;50400")</f>
        <v>0</v>
      </c>
      <c r="F11" s="1872"/>
      <c r="G11" s="1872">
        <f>SUMIFS(BalanceN1[BS_Debit],BalanceN1[Table],"&gt;=50300",BalanceN1[Table],"&lt;50400")</f>
        <v>0</v>
      </c>
      <c r="H11" s="1872"/>
      <c r="I11" s="386" t="str">
        <f t="shared" si="0"/>
        <v/>
      </c>
    </row>
    <row r="12" spans="1:9" ht="17.25" customHeight="1">
      <c r="A12" s="1748" t="s">
        <v>1823</v>
      </c>
      <c r="B12" s="1748"/>
      <c r="C12" s="1748"/>
      <c r="D12" s="1748"/>
      <c r="E12" s="1872">
        <f>SUMIFS(BalanceN[BS_Debit],BalanceN[Table],"&gt;=50500",BalanceN[Table],"&lt;50600")</f>
        <v>0</v>
      </c>
      <c r="F12" s="1872"/>
      <c r="G12" s="1872">
        <f>SUMIFS(BalanceN1[BS_Debit],BalanceN1[Table],"&gt;=50500",BalanceN1[Table],"&lt;50600")</f>
        <v>0</v>
      </c>
      <c r="H12" s="1872"/>
      <c r="I12" s="386" t="str">
        <f t="shared" si="0"/>
        <v/>
      </c>
    </row>
    <row r="13" spans="1:9" ht="17.25" customHeight="1">
      <c r="A13" s="1748" t="s">
        <v>1824</v>
      </c>
      <c r="B13" s="1748"/>
      <c r="C13" s="1748"/>
      <c r="D13" s="1748"/>
      <c r="E13" s="1872">
        <f>SUMIFS(BalanceN[BS_Debit],BalanceN[Table],"&gt;=50600",BalanceN[Table],"&lt;50700")</f>
        <v>0</v>
      </c>
      <c r="F13" s="1872"/>
      <c r="G13" s="1872">
        <f>SUMIFS(BalanceN1[BS_Debit],BalanceN1[Table],"&gt;=50600",BalanceN1[Table],"&lt;50700")</f>
        <v>0</v>
      </c>
      <c r="H13" s="1872"/>
      <c r="I13" s="386" t="str">
        <f t="shared" si="0"/>
        <v/>
      </c>
    </row>
    <row r="14" spans="1:9" ht="17.25" customHeight="1">
      <c r="A14" s="1748" t="s">
        <v>1704</v>
      </c>
      <c r="B14" s="1748"/>
      <c r="C14" s="1748"/>
      <c r="D14" s="1748"/>
      <c r="E14" s="1872">
        <f>SUMIFS(BalanceN[BS_Debit],BalanceN[Table],"&gt;=50600",BalanceN[Table],"&lt;50700")</f>
        <v>0</v>
      </c>
      <c r="F14" s="1872"/>
      <c r="G14" s="1872">
        <f>SUMIFS(BalanceN1[BS_Debit],BalanceN1[Table],"&gt;=50600",BalanceN1[Table],"&lt;50700")</f>
        <v>0</v>
      </c>
      <c r="H14" s="1872"/>
      <c r="I14" s="386" t="str">
        <f t="shared" si="0"/>
        <v/>
      </c>
    </row>
    <row r="15" spans="1:9" ht="17.25" customHeight="1">
      <c r="A15" s="1748" t="s">
        <v>1825</v>
      </c>
      <c r="B15" s="1748"/>
      <c r="C15" s="1748"/>
      <c r="D15" s="1748"/>
      <c r="E15" s="1872">
        <f>SUMIFS(BalanceN[BS_Debit],BalanceN[Table],"&gt;=50800",BalanceN[Table],"&lt;50900")</f>
        <v>0</v>
      </c>
      <c r="F15" s="1872"/>
      <c r="G15" s="1872">
        <f>SUMIFS(BalanceN1[BS_Debit],BalanceN1[Table],"&gt;=50800",BalanceN1[Table],"&lt;50900")</f>
        <v>0</v>
      </c>
      <c r="H15" s="1872"/>
      <c r="I15" s="386" t="str">
        <f t="shared" si="0"/>
        <v/>
      </c>
    </row>
    <row r="16" spans="1:9" ht="17.25" customHeight="1">
      <c r="A16" s="1868" t="s">
        <v>1826</v>
      </c>
      <c r="B16" s="1868"/>
      <c r="C16" s="1868"/>
      <c r="D16" s="1868"/>
      <c r="E16" s="1871">
        <f>SUM(E9:F15)</f>
        <v>0</v>
      </c>
      <c r="F16" s="1871"/>
      <c r="G16" s="1871">
        <f>SUM(G9:H15)</f>
        <v>0</v>
      </c>
      <c r="H16" s="1871"/>
      <c r="I16" s="387" t="str">
        <f t="shared" si="0"/>
        <v/>
      </c>
    </row>
    <row r="17" spans="1:9" ht="17.25" customHeight="1">
      <c r="A17" s="1748" t="s">
        <v>1827</v>
      </c>
      <c r="B17" s="1748"/>
      <c r="C17" s="1748"/>
      <c r="D17" s="1748"/>
      <c r="E17" s="1872">
        <f>SUMIFS(BalanceN[BS_Credit],BalanceN[Table],"&gt;=59000",BalanceN[Table],"&lt;59100")</f>
        <v>0</v>
      </c>
      <c r="F17" s="1872"/>
      <c r="G17" s="1872">
        <f>SUMIFS(BalanceN1[BS_Credit],BalanceN1[Table],"&gt;=59000",BalanceN1[Table],"&lt;59100")</f>
        <v>0</v>
      </c>
      <c r="H17" s="1872"/>
      <c r="I17" s="386" t="str">
        <f t="shared" si="0"/>
        <v/>
      </c>
    </row>
    <row r="18" spans="1:9" ht="17.25" customHeight="1">
      <c r="A18" s="1868" t="s">
        <v>1735</v>
      </c>
      <c r="B18" s="1868"/>
      <c r="C18" s="1868"/>
      <c r="D18" s="1868"/>
      <c r="E18" s="1871">
        <f>E16-E17</f>
        <v>0</v>
      </c>
      <c r="F18" s="1871"/>
      <c r="G18" s="1871">
        <f>G16-G17</f>
        <v>0</v>
      </c>
      <c r="H18" s="1871"/>
      <c r="I18" s="387" t="str">
        <f t="shared" si="0"/>
        <v/>
      </c>
    </row>
    <row r="19" spans="1:9" s="653" customFormat="1" ht="12.75" customHeight="1">
      <c r="A19" s="798" t="s">
        <v>1744</v>
      </c>
    </row>
    <row r="20" spans="1:9" s="653" customFormat="1" ht="10.5">
      <c r="A20" s="817" t="s">
        <v>1720</v>
      </c>
    </row>
    <row r="21" spans="1:9" s="653" customFormat="1" ht="10.5">
      <c r="A21" s="817" t="s">
        <v>1828</v>
      </c>
    </row>
    <row r="22" spans="1:9" s="653" customFormat="1" ht="10.5">
      <c r="A22" s="817" t="s">
        <v>1829</v>
      </c>
    </row>
    <row r="23" spans="1:9" s="653" customFormat="1" ht="10.5">
      <c r="A23" s="817" t="s">
        <v>1671</v>
      </c>
    </row>
  </sheetData>
  <sheetProtection algorithmName="SHA-512" hashValue="dDB/c6kC4GtNxovM9DhPWuOUXvTeIxUNmY3kBt9DbwV4n+zNmZc5BNrF2vLl2Nhj+u7t8gUtCCON0HmH7wEXIw==" saltValue="KVbNvjO++o8oqQ/BcTUSeg==" spinCount="100000" sheet="1" objects="1" scenarios="1" selectLockedCells="1"/>
  <mergeCells count="41">
    <mergeCell ref="A9:D9"/>
    <mergeCell ref="E9:F9"/>
    <mergeCell ref="G9:H9"/>
    <mergeCell ref="A1:I1"/>
    <mergeCell ref="H2:I2"/>
    <mergeCell ref="C3:I3"/>
    <mergeCell ref="B4:G4"/>
    <mergeCell ref="C5:D5"/>
    <mergeCell ref="F5:G5"/>
    <mergeCell ref="C6:D6"/>
    <mergeCell ref="A7:I7"/>
    <mergeCell ref="A8:D8"/>
    <mergeCell ref="E8:F8"/>
    <mergeCell ref="G8:H8"/>
    <mergeCell ref="A10:D10"/>
    <mergeCell ref="E10:F10"/>
    <mergeCell ref="G10:H10"/>
    <mergeCell ref="A11:D11"/>
    <mergeCell ref="E11:F11"/>
    <mergeCell ref="G11:H11"/>
    <mergeCell ref="A12:D12"/>
    <mergeCell ref="E12:F12"/>
    <mergeCell ref="G12:H12"/>
    <mergeCell ref="A13:D13"/>
    <mergeCell ref="E13:F13"/>
    <mergeCell ref="G13:H13"/>
    <mergeCell ref="A14:D14"/>
    <mergeCell ref="E14:F14"/>
    <mergeCell ref="G14:H14"/>
    <mergeCell ref="A15:D15"/>
    <mergeCell ref="E15:F15"/>
    <mergeCell ref="G15:H15"/>
    <mergeCell ref="A18:D18"/>
    <mergeCell ref="E18:F18"/>
    <mergeCell ref="G18:H18"/>
    <mergeCell ref="A16:D16"/>
    <mergeCell ref="E16:F16"/>
    <mergeCell ref="G16:H16"/>
    <mergeCell ref="A17:D17"/>
    <mergeCell ref="E17:F17"/>
    <mergeCell ref="G17:H17"/>
  </mergeCells>
  <conditionalFormatting sqref="E9:H18">
    <cfRule type="cellIs" dxfId="185" priority="1" operator="equal">
      <formula>0</formula>
    </cfRule>
  </conditionalFormatting>
  <dataValidations count="1">
    <dataValidation type="whole" allowBlank="1" showInputMessage="1" showErrorMessage="1" errorTitle="Attention!" error="Valeur numérique attendue" sqref="E9:H15 E17:H17" xr:uid="{2534C223-592F-4D52-8887-2D74D73BC4AC}">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3"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BE77F-068D-4C29-82D3-29BFBC703DC7}">
  <sheetPr codeName="Feuil32">
    <tabColor theme="9" tint="0.39997558519241921"/>
    <pageSetUpPr fitToPage="1"/>
  </sheetPr>
  <dimension ref="A1:I20"/>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6.41796875" style="103" customWidth="1"/>
    <col min="3" max="3" width="11.5234375" style="103"/>
    <col min="4" max="4" width="10" style="103" customWidth="1"/>
    <col min="5" max="5" width="13.41796875" style="103" customWidth="1"/>
    <col min="6" max="6" width="6.1015625" style="103" customWidth="1"/>
    <col min="7" max="7" width="8.1015625" style="103" customWidth="1"/>
    <col min="8" max="8" width="15.41796875" style="103" customWidth="1"/>
    <col min="9" max="16384" width="11.5234375" style="103"/>
  </cols>
  <sheetData>
    <row r="1" spans="1:9">
      <c r="A1" s="1276" t="str">
        <f>"- "&amp;Code!K32&amp;" -"</f>
        <v>- 18 -</v>
      </c>
      <c r="B1" s="1276"/>
      <c r="C1" s="1276"/>
      <c r="D1" s="1276"/>
      <c r="E1" s="1276"/>
      <c r="F1" s="1276"/>
      <c r="G1" s="1276"/>
      <c r="H1" s="1276"/>
      <c r="I1" s="1276"/>
    </row>
    <row r="2" spans="1:9" ht="24.9" customHeight="1">
      <c r="A2" s="576"/>
      <c r="B2" s="576"/>
      <c r="C2" s="576"/>
      <c r="D2" s="576"/>
      <c r="E2" s="576"/>
      <c r="F2" s="576"/>
      <c r="G2" s="576"/>
      <c r="H2" s="1278" t="s">
        <v>1830</v>
      </c>
      <c r="I2" s="1765"/>
    </row>
    <row r="3" spans="1:9" s="626" customFormat="1" ht="15" customHeight="1">
      <c r="A3" s="317" t="s">
        <v>50</v>
      </c>
      <c r="B3" s="317"/>
      <c r="C3" s="1280" t="str">
        <f>'NOTE 1'!C3</f>
        <v>OHADA</v>
      </c>
      <c r="D3" s="1280"/>
      <c r="E3" s="1280"/>
      <c r="F3" s="1280"/>
      <c r="G3" s="1280"/>
      <c r="H3" s="1280"/>
      <c r="I3" s="1280"/>
    </row>
    <row r="4" spans="1:9" s="626" customFormat="1" ht="15" customHeight="1">
      <c r="A4" s="317" t="s">
        <v>51</v>
      </c>
      <c r="B4" s="1280" t="str">
        <f>'NOTE 1'!B4</f>
        <v/>
      </c>
      <c r="C4" s="1281"/>
      <c r="D4" s="1281"/>
      <c r="E4" s="1281"/>
      <c r="F4" s="1281"/>
      <c r="G4" s="1281"/>
      <c r="H4" s="627" t="s">
        <v>1021</v>
      </c>
      <c r="I4" s="630" t="str">
        <f>'NOTE 1'!I4</f>
        <v/>
      </c>
    </row>
    <row r="5" spans="1:9" s="626" customFormat="1" ht="15" customHeight="1">
      <c r="A5" s="317" t="s">
        <v>53</v>
      </c>
      <c r="B5" s="317"/>
      <c r="C5" s="1281" t="str">
        <f>'NOTE 1'!C5</f>
        <v/>
      </c>
      <c r="D5" s="1281"/>
      <c r="E5" s="642" t="s">
        <v>54</v>
      </c>
      <c r="F5" s="1648">
        <f>'NOTE 1'!G5</f>
        <v>0</v>
      </c>
      <c r="G5" s="1648"/>
      <c r="H5" s="627" t="s">
        <v>55</v>
      </c>
      <c r="I5" s="795">
        <f>'NOTE 1'!I5</f>
        <v>1</v>
      </c>
    </row>
    <row r="6" spans="1:9" s="626" customFormat="1" ht="15" customHeight="1">
      <c r="A6" s="748" t="s">
        <v>56</v>
      </c>
      <c r="B6" s="317"/>
      <c r="C6" s="1275" t="str">
        <f>'NOTE 1'!C6</f>
        <v/>
      </c>
      <c r="D6" s="1275"/>
      <c r="E6" s="638"/>
      <c r="F6" s="630"/>
      <c r="G6" s="630"/>
      <c r="H6" s="629"/>
      <c r="I6" s="630"/>
    </row>
    <row r="7" spans="1:9" ht="35.25" customHeight="1">
      <c r="A7" s="1273" t="s">
        <v>1831</v>
      </c>
      <c r="B7" s="1273"/>
      <c r="C7" s="1273"/>
      <c r="D7" s="1273"/>
      <c r="E7" s="1273"/>
      <c r="F7" s="1273"/>
      <c r="G7" s="1273"/>
      <c r="H7" s="1273"/>
      <c r="I7" s="1273"/>
    </row>
    <row r="8" spans="1:9" ht="35.25" customHeight="1">
      <c r="A8" s="1838" t="s">
        <v>1692</v>
      </c>
      <c r="B8" s="1838"/>
      <c r="C8" s="1838"/>
      <c r="D8" s="1838"/>
      <c r="E8" s="1838" t="s">
        <v>1693</v>
      </c>
      <c r="F8" s="1838"/>
      <c r="G8" s="1838" t="s">
        <v>1694</v>
      </c>
      <c r="H8" s="1838"/>
      <c r="I8" s="379" t="s">
        <v>1731</v>
      </c>
    </row>
    <row r="9" spans="1:9" ht="17.25" customHeight="1">
      <c r="A9" s="1748" t="s">
        <v>1832</v>
      </c>
      <c r="B9" s="1748"/>
      <c r="C9" s="1748"/>
      <c r="D9" s="1748"/>
      <c r="E9" s="1823">
        <f>SUMIFS(BalanceN[BS_Debit],BalanceN[Table],"&gt;=51100",BalanceN[Table],"&lt;51200")</f>
        <v>0</v>
      </c>
      <c r="F9" s="1824"/>
      <c r="G9" s="1872">
        <f>SUMIFS(BalanceN1[BS_Debit],BalanceN1[Table],"&gt;=51100",BalanceN1[Table],"&lt;51200")</f>
        <v>0</v>
      </c>
      <c r="H9" s="1872"/>
      <c r="I9" s="361" t="str">
        <f>IF(G9,(E9-G9)/G9,IF(ISBLANK(G9),"",IF(E9,IF( E9 &gt; 0,1,-1),"")))</f>
        <v/>
      </c>
    </row>
    <row r="10" spans="1:9" ht="17.25" customHeight="1">
      <c r="A10" s="1748" t="s">
        <v>1833</v>
      </c>
      <c r="B10" s="1748"/>
      <c r="C10" s="1748"/>
      <c r="D10" s="1748"/>
      <c r="E10" s="1823">
        <f>SUMIFS(BalanceN[BS_Debit],BalanceN[Table],"&gt;=51200",BalanceN[Table],"&lt;51300")</f>
        <v>0</v>
      </c>
      <c r="F10" s="1824"/>
      <c r="G10" s="1872">
        <f>SUMIFS(BalanceN1[BS_Debit],BalanceN1[Table],"&gt;=51200",BalanceN1[Table],"&lt;51300")</f>
        <v>0</v>
      </c>
      <c r="H10" s="1872"/>
      <c r="I10" s="361" t="str">
        <f t="shared" ref="I10:I17" si="0">IF(G10,(E10-G10)/G10,IF(ISBLANK(G10),"",IF(E10,IF( E10 &gt; 0,1,-1),"")))</f>
        <v/>
      </c>
    </row>
    <row r="11" spans="1:9" ht="17.25" customHeight="1">
      <c r="A11" s="1748" t="s">
        <v>1834</v>
      </c>
      <c r="B11" s="1748"/>
      <c r="C11" s="1748"/>
      <c r="D11" s="1748"/>
      <c r="E11" s="1823">
        <f>SUMIFS(BalanceN[BS_Debit],BalanceN[Table],"&gt;=51300",BalanceN[Table],"&lt;51400")</f>
        <v>0</v>
      </c>
      <c r="F11" s="1824"/>
      <c r="G11" s="1872">
        <f>SUMIFS(BalanceN1[BS_Debit],BalanceN1[Table],"&gt;=51300",BalanceN1[Table],"&lt;51400")</f>
        <v>0</v>
      </c>
      <c r="H11" s="1872"/>
      <c r="I11" s="361" t="str">
        <f t="shared" si="0"/>
        <v/>
      </c>
    </row>
    <row r="12" spans="1:9" ht="17.25" customHeight="1">
      <c r="A12" s="1748" t="s">
        <v>1835</v>
      </c>
      <c r="B12" s="1748"/>
      <c r="C12" s="1748"/>
      <c r="D12" s="1748"/>
      <c r="E12" s="1823">
        <f>SUMIFS(BalanceN[BS_Debit],BalanceN[Table],"&gt;=51400",BalanceN[Table],"&lt;51500")</f>
        <v>0</v>
      </c>
      <c r="F12" s="1824"/>
      <c r="G12" s="1872">
        <f>SUMIFS(BalanceN1[BS_Debit],BalanceN1[Table],"&gt;=51400",BalanceN1[Table],"&lt;51500")</f>
        <v>0</v>
      </c>
      <c r="H12" s="1872"/>
      <c r="I12" s="361" t="str">
        <f t="shared" si="0"/>
        <v/>
      </c>
    </row>
    <row r="13" spans="1:9" ht="17.25" customHeight="1">
      <c r="A13" s="1748" t="s">
        <v>1836</v>
      </c>
      <c r="B13" s="1748"/>
      <c r="C13" s="1748"/>
      <c r="D13" s="1748"/>
      <c r="E13" s="1823">
        <f>SUMIFS(BalanceN[BS_Debit],BalanceN[Table],"&gt;=51500",BalanceN[Table],"&lt;51600")</f>
        <v>0</v>
      </c>
      <c r="F13" s="1824"/>
      <c r="G13" s="1872">
        <f>SUMIFS(BalanceN1[BS_Debit],BalanceN1[Table],"&gt;=51500",BalanceN1[Table],"&lt;51600")</f>
        <v>0</v>
      </c>
      <c r="H13" s="1872"/>
      <c r="I13" s="361" t="str">
        <f t="shared" si="0"/>
        <v/>
      </c>
    </row>
    <row r="14" spans="1:9" ht="17.25" customHeight="1">
      <c r="A14" s="1748" t="s">
        <v>1837</v>
      </c>
      <c r="B14" s="1748"/>
      <c r="C14" s="1748"/>
      <c r="D14" s="1748"/>
      <c r="E14" s="1823">
        <f>SUMIFS(BalanceN[BS_Debit],BalanceN[Table],"&gt;=51800",BalanceN[Table],"&lt;51900")</f>
        <v>0</v>
      </c>
      <c r="F14" s="1824"/>
      <c r="G14" s="1872">
        <f>SUMIFS(BalanceN1[BS_Debit],BalanceN1[Table],"&gt;=51800",BalanceN1[Table],"&lt;51900")</f>
        <v>0</v>
      </c>
      <c r="H14" s="1872"/>
      <c r="I14" s="361" t="str">
        <f t="shared" si="0"/>
        <v/>
      </c>
    </row>
    <row r="15" spans="1:9" ht="17.25" customHeight="1">
      <c r="A15" s="1868" t="s">
        <v>1838</v>
      </c>
      <c r="B15" s="1868"/>
      <c r="C15" s="1868"/>
      <c r="D15" s="1868"/>
      <c r="E15" s="1813">
        <f>SUM(E9:F14)</f>
        <v>0</v>
      </c>
      <c r="F15" s="1814"/>
      <c r="G15" s="1813">
        <f>SUM(G9:H14)</f>
        <v>0</v>
      </c>
      <c r="H15" s="1814"/>
      <c r="I15" s="363" t="str">
        <f t="shared" si="0"/>
        <v/>
      </c>
    </row>
    <row r="16" spans="1:9" ht="17.25" customHeight="1">
      <c r="A16" s="1748" t="s">
        <v>1839</v>
      </c>
      <c r="B16" s="1748"/>
      <c r="C16" s="1748"/>
      <c r="D16" s="1748"/>
      <c r="E16" s="1872">
        <f>SUMIFS(BalanceN[BS_Credit],BalanceN[Table],"&gt;=59100",BalanceN[Table],"&lt;59200")</f>
        <v>0</v>
      </c>
      <c r="F16" s="1872"/>
      <c r="G16" s="1872">
        <f>SUMIFS(BalanceN1[BS_Credit],BalanceN1[Table],"&gt;=59100",BalanceN1[Table],"&lt;59200")</f>
        <v>0</v>
      </c>
      <c r="H16" s="1872"/>
      <c r="I16" s="361" t="str">
        <f t="shared" si="0"/>
        <v/>
      </c>
    </row>
    <row r="17" spans="1:9" ht="17.25" customHeight="1">
      <c r="A17" s="1868" t="s">
        <v>1735</v>
      </c>
      <c r="B17" s="1868"/>
      <c r="C17" s="1868"/>
      <c r="D17" s="1868"/>
      <c r="E17" s="1874">
        <f>E15-E16</f>
        <v>0</v>
      </c>
      <c r="F17" s="1874"/>
      <c r="G17" s="1874">
        <f>G15-G16</f>
        <v>0</v>
      </c>
      <c r="H17" s="1874"/>
      <c r="I17" s="363" t="str">
        <f t="shared" si="0"/>
        <v/>
      </c>
    </row>
    <row r="18" spans="1:9" s="653" customFormat="1" ht="13.5" customHeight="1">
      <c r="A18" s="798" t="s">
        <v>1761</v>
      </c>
    </row>
    <row r="19" spans="1:9" s="653" customFormat="1" ht="13.5" customHeight="1">
      <c r="A19" s="817" t="s">
        <v>1840</v>
      </c>
    </row>
    <row r="20" spans="1:9" s="653" customFormat="1" ht="13.5" customHeight="1">
      <c r="A20" s="817" t="s">
        <v>1671</v>
      </c>
    </row>
  </sheetData>
  <sheetProtection algorithmName="SHA-512" hashValue="Zqb/L7P91ukYylDUnAyTNI9W339JFuy2u7YUxk1KFyA/nSIphk7MUvMWWSv1kgZJKTiJ1veUEq5xOJaDqKFPdA==" saltValue="sv+Y3gBHg3AxNK5qkT5THQ==" spinCount="100000" sheet="1" objects="1" scenarios="1" selectLockedCells="1"/>
  <mergeCells count="38">
    <mergeCell ref="A9:D9"/>
    <mergeCell ref="E9:F9"/>
    <mergeCell ref="G9:H9"/>
    <mergeCell ref="A1:I1"/>
    <mergeCell ref="H2:I2"/>
    <mergeCell ref="C3:I3"/>
    <mergeCell ref="B4:G4"/>
    <mergeCell ref="C5:D5"/>
    <mergeCell ref="F5:G5"/>
    <mergeCell ref="C6:D6"/>
    <mergeCell ref="A7:I7"/>
    <mergeCell ref="A8:D8"/>
    <mergeCell ref="E8:F8"/>
    <mergeCell ref="G8:H8"/>
    <mergeCell ref="A10:D10"/>
    <mergeCell ref="E10:F10"/>
    <mergeCell ref="G10:H10"/>
    <mergeCell ref="A11:D11"/>
    <mergeCell ref="E11:F11"/>
    <mergeCell ref="G11:H11"/>
    <mergeCell ref="A12:D12"/>
    <mergeCell ref="E12:F12"/>
    <mergeCell ref="G12:H12"/>
    <mergeCell ref="A13:D13"/>
    <mergeCell ref="E13:F13"/>
    <mergeCell ref="G13:H13"/>
    <mergeCell ref="A14:D14"/>
    <mergeCell ref="E14:F14"/>
    <mergeCell ref="G14:H14"/>
    <mergeCell ref="A15:D15"/>
    <mergeCell ref="E15:F15"/>
    <mergeCell ref="G15:H15"/>
    <mergeCell ref="A16:D16"/>
    <mergeCell ref="E16:F16"/>
    <mergeCell ref="G16:H16"/>
    <mergeCell ref="A17:D17"/>
    <mergeCell ref="E17:F17"/>
    <mergeCell ref="G17:H17"/>
  </mergeCells>
  <conditionalFormatting sqref="E9:H17">
    <cfRule type="cellIs" dxfId="184" priority="1" operator="equal">
      <formula>0</formula>
    </cfRule>
  </conditionalFormatting>
  <dataValidations count="1">
    <dataValidation type="whole" allowBlank="1" showInputMessage="1" showErrorMessage="1" errorTitle="Attention!" error="Valeur numérique attendue" sqref="E9:H14 E16:H16" xr:uid="{B44A28BC-1C6E-43A2-B85D-E5232C89E02E}">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3"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17814-1A44-4FEB-88FC-748F7A1CAC2C}">
  <sheetPr codeName="Feuil33">
    <tabColor theme="9" tint="0.39997558519241921"/>
    <pageSetUpPr fitToPage="1"/>
  </sheetPr>
  <dimension ref="A1:I32"/>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6.41796875" style="103" customWidth="1"/>
    <col min="3" max="3" width="11.5234375" style="103"/>
    <col min="4" max="4" width="6" style="103" customWidth="1"/>
    <col min="5" max="5" width="14.3125" style="103" customWidth="1"/>
    <col min="6" max="6" width="11.3125" style="103" customWidth="1"/>
    <col min="7" max="7" width="9" style="103" customWidth="1"/>
    <col min="8" max="8" width="15.89453125" style="103" customWidth="1"/>
    <col min="9" max="16384" width="11.5234375" style="103"/>
  </cols>
  <sheetData>
    <row r="1" spans="1:9">
      <c r="A1" s="1276" t="str">
        <f>"- "&amp;Code!K33&amp;" -"</f>
        <v>- 19 -</v>
      </c>
      <c r="B1" s="1276"/>
      <c r="C1" s="1276"/>
      <c r="D1" s="1276"/>
      <c r="E1" s="1276"/>
      <c r="F1" s="1276"/>
      <c r="G1" s="1276"/>
      <c r="H1" s="1276"/>
      <c r="I1" s="1276"/>
    </row>
    <row r="2" spans="1:9" ht="24.9" customHeight="1">
      <c r="A2" s="576"/>
      <c r="B2" s="576"/>
      <c r="C2" s="576"/>
      <c r="D2" s="576"/>
      <c r="E2" s="576"/>
      <c r="F2" s="576"/>
      <c r="G2" s="576"/>
      <c r="H2" s="1278" t="s">
        <v>1841</v>
      </c>
      <c r="I2" s="1765"/>
    </row>
    <row r="3" spans="1:9" s="626" customFormat="1" ht="15" customHeight="1">
      <c r="A3" s="317" t="s">
        <v>50</v>
      </c>
      <c r="B3" s="317"/>
      <c r="C3" s="1280" t="str">
        <f>'NOTE 10'!C3</f>
        <v>OHADA</v>
      </c>
      <c r="D3" s="1280"/>
      <c r="E3" s="1280"/>
      <c r="F3" s="1280"/>
      <c r="G3" s="1280"/>
      <c r="H3" s="1280"/>
      <c r="I3" s="1280"/>
    </row>
    <row r="4" spans="1:9" s="626" customFormat="1" ht="15" customHeight="1">
      <c r="A4" s="317" t="s">
        <v>51</v>
      </c>
      <c r="B4" s="1280" t="str">
        <f>'NOTE 10'!B4</f>
        <v/>
      </c>
      <c r="C4" s="1281"/>
      <c r="D4" s="1281"/>
      <c r="E4" s="1281"/>
      <c r="F4" s="1281"/>
      <c r="G4" s="1281"/>
      <c r="H4" s="627" t="s">
        <v>1021</v>
      </c>
      <c r="I4" s="630" t="str">
        <f>'NOTE 10'!I4</f>
        <v/>
      </c>
    </row>
    <row r="5" spans="1:9" s="626" customFormat="1" ht="15" customHeight="1">
      <c r="A5" s="317" t="s">
        <v>53</v>
      </c>
      <c r="B5" s="317"/>
      <c r="C5" s="1275" t="str">
        <f>'NOTE 10'!C5</f>
        <v/>
      </c>
      <c r="D5" s="1275"/>
      <c r="E5" s="642" t="s">
        <v>54</v>
      </c>
      <c r="F5" s="1648">
        <f>'NOTE 10'!F5</f>
        <v>0</v>
      </c>
      <c r="G5" s="1648"/>
      <c r="H5" s="627" t="s">
        <v>55</v>
      </c>
      <c r="I5" s="795">
        <f>'NOTE 10'!I5</f>
        <v>1</v>
      </c>
    </row>
    <row r="6" spans="1:9" s="626" customFormat="1" ht="15" customHeight="1">
      <c r="A6" s="317" t="s">
        <v>56</v>
      </c>
      <c r="B6" s="317"/>
      <c r="C6" s="1275" t="str">
        <f>'NOTE 10'!C6</f>
        <v/>
      </c>
      <c r="D6" s="1275"/>
      <c r="E6" s="638"/>
      <c r="F6" s="630"/>
      <c r="G6" s="630"/>
      <c r="H6" s="629"/>
      <c r="I6" s="630"/>
    </row>
    <row r="7" spans="1:9" ht="35.25" customHeight="1">
      <c r="A7" s="1273" t="s">
        <v>1842</v>
      </c>
      <c r="B7" s="1273"/>
      <c r="C7" s="1273"/>
      <c r="D7" s="1273"/>
      <c r="E7" s="1273"/>
      <c r="F7" s="1273"/>
      <c r="G7" s="1273"/>
      <c r="H7" s="1273"/>
      <c r="I7" s="1273"/>
    </row>
    <row r="8" spans="1:9" ht="34.5" customHeight="1">
      <c r="A8" s="1838" t="s">
        <v>1692</v>
      </c>
      <c r="B8" s="1838"/>
      <c r="C8" s="1838"/>
      <c r="D8" s="1838"/>
      <c r="E8" s="1838" t="s">
        <v>1693</v>
      </c>
      <c r="F8" s="1838"/>
      <c r="G8" s="1838" t="s">
        <v>1694</v>
      </c>
      <c r="H8" s="1838"/>
      <c r="I8" s="379" t="s">
        <v>1731</v>
      </c>
    </row>
    <row r="9" spans="1:9" ht="17.25" customHeight="1">
      <c r="A9" s="1748" t="s">
        <v>1843</v>
      </c>
      <c r="B9" s="1748"/>
      <c r="C9" s="1748"/>
      <c r="D9" s="1748"/>
      <c r="E9" s="1872">
        <f>SUMIFS(BalanceN[BS_Debit],BalanceN[Table],"&gt;=52100",BalanceN[Table],"&lt;52200")</f>
        <v>121152991</v>
      </c>
      <c r="F9" s="1872"/>
      <c r="G9" s="1872">
        <f>SUMIFS(BalanceN1[BS_Debit],BalanceN1[Table],"&gt;=52100",BalanceN1[Table],"&lt;52200")</f>
        <v>69123976</v>
      </c>
      <c r="H9" s="1872"/>
      <c r="I9" s="361">
        <f>IF(G9,(E9-G9)/G9,IF(ISBLANK(G9),"",IF(E9,IF( E9 &gt; 0,1,-1),"")))</f>
        <v>0.75269129484102593</v>
      </c>
    </row>
    <row r="10" spans="1:9" ht="17.25" customHeight="1">
      <c r="A10" s="1748" t="s">
        <v>1844</v>
      </c>
      <c r="B10" s="1748"/>
      <c r="C10" s="1748"/>
      <c r="D10" s="1748"/>
      <c r="E10" s="1872">
        <f>SUMIFS(BalanceN[BS_Debit],BalanceN[Table],"&gt;=52200",BalanceN[Table],"&lt;52300")</f>
        <v>0</v>
      </c>
      <c r="F10" s="1872"/>
      <c r="G10" s="1872">
        <f>SUMIFS(BalanceN1[BS_Debit],BalanceN1[Table],"&gt;=52200",BalanceN1[Table],"&lt;52300")</f>
        <v>0</v>
      </c>
      <c r="H10" s="1872"/>
      <c r="I10" s="361" t="str">
        <f t="shared" ref="I10:I23" si="0">IF(G10,(E10-G10)/G10,IF(ISBLANK(G10),"",IF(E10,IF( E10 &gt; 0,1,-1),"")))</f>
        <v/>
      </c>
    </row>
    <row r="11" spans="1:9" ht="17.25" customHeight="1">
      <c r="A11" s="1748" t="s">
        <v>1845</v>
      </c>
      <c r="B11" s="1748"/>
      <c r="C11" s="1748"/>
      <c r="D11" s="1748"/>
      <c r="E11" s="1823">
        <f>SUMIFS(BalanceN[BS_Debit],BalanceN[Table],"&gt;=52500",BalanceN[Table],"&lt;52600")</f>
        <v>0</v>
      </c>
      <c r="F11" s="1824"/>
      <c r="G11" s="1823">
        <f>SUMIFS(BalanceN1[BS_Debit],BalanceN1[Table],"&gt;=52500",BalanceN1[Table],"&lt;52600")</f>
        <v>0</v>
      </c>
      <c r="H11" s="1824"/>
      <c r="I11" s="361" t="str">
        <f t="shared" si="0"/>
        <v/>
      </c>
    </row>
    <row r="12" spans="1:9" ht="17.25" customHeight="1">
      <c r="A12" s="1748" t="s">
        <v>1846</v>
      </c>
      <c r="B12" s="1748"/>
      <c r="C12" s="1748"/>
      <c r="D12" s="1748"/>
      <c r="E12" s="1872">
        <f>SUMIFS(BalanceN[BS_Debit],BalanceN[Table],"&gt;=52300",BalanceN[Table],"&lt;52500")</f>
        <v>0</v>
      </c>
      <c r="F12" s="1872"/>
      <c r="G12" s="1872">
        <f>SUMIFS(BalanceN1[BS_Debit],BalanceN1[Table],"&gt;=52300",BalanceN1[Table],"&lt;52500")</f>
        <v>0</v>
      </c>
      <c r="H12" s="1872"/>
      <c r="I12" s="361" t="str">
        <f t="shared" si="0"/>
        <v/>
      </c>
    </row>
    <row r="13" spans="1:9" ht="17.25" customHeight="1">
      <c r="A13" s="1748" t="s">
        <v>1847</v>
      </c>
      <c r="B13" s="1748"/>
      <c r="C13" s="1748"/>
      <c r="D13" s="1748"/>
      <c r="E13" s="1872">
        <f>SUMIFS(BalanceN[BS_Debit],BalanceN[Table],"&gt;=52600",BalanceN[Table],"&lt;52700")</f>
        <v>0</v>
      </c>
      <c r="F13" s="1872"/>
      <c r="G13" s="1872">
        <f>SUMIFS(BalanceN1[BS_Debit],BalanceN1[Table],"&gt;=52600",BalanceN1[Table],"&lt;52700")</f>
        <v>0</v>
      </c>
      <c r="H13" s="1872"/>
      <c r="I13" s="361" t="str">
        <f t="shared" si="0"/>
        <v/>
      </c>
    </row>
    <row r="14" spans="1:9" ht="17.25" customHeight="1">
      <c r="A14" s="1748" t="s">
        <v>1848</v>
      </c>
      <c r="B14" s="1748"/>
      <c r="C14" s="1748"/>
      <c r="D14" s="1748"/>
      <c r="E14" s="1872">
        <f>SUMIFS(BalanceN[BS_Debit],BalanceN[Table],"&gt;=53100",BalanceN[Table],"&lt;53200")</f>
        <v>0</v>
      </c>
      <c r="F14" s="1872"/>
      <c r="G14" s="1872">
        <f>SUMIFS(BalanceN1[BS_Debit],BalanceN1[Table],"&gt;=53100",BalanceN1[Table],"&lt;53200")</f>
        <v>0</v>
      </c>
      <c r="H14" s="1872"/>
      <c r="I14" s="361" t="str">
        <f t="shared" si="0"/>
        <v/>
      </c>
    </row>
    <row r="15" spans="1:9" ht="17.25" customHeight="1">
      <c r="A15" s="1748" t="s">
        <v>1849</v>
      </c>
      <c r="B15" s="1748"/>
      <c r="C15" s="1748"/>
      <c r="D15" s="1748"/>
      <c r="E15" s="1872">
        <f>SUMIFS(BalanceN[BS_Debit],BalanceN[Table],"&gt;=53200",BalanceN[Table],"&lt;53400")+SUMIFS(BalanceN[BS_Debit],BalanceN[Table],"&gt;=53800",BalanceN[Table],"&lt;53900")</f>
        <v>0</v>
      </c>
      <c r="F15" s="1872"/>
      <c r="G15" s="1872">
        <f>SUMIFS(BalanceN1[BS_Debit],BalanceN1[Table],"&gt;=53200",BalanceN1[Table],"&lt;53400")+SUMIFS(BalanceN1[BS_Debit],BalanceN1[Table],"&gt;=53800",BalanceN1[Table],"&lt;53900")</f>
        <v>0</v>
      </c>
      <c r="H15" s="1872"/>
      <c r="I15" s="361" t="str">
        <f t="shared" si="0"/>
        <v/>
      </c>
    </row>
    <row r="16" spans="1:9" ht="17.25" customHeight="1">
      <c r="A16" s="1748" t="s">
        <v>1850</v>
      </c>
      <c r="B16" s="1748"/>
      <c r="C16" s="1748"/>
      <c r="D16" s="1748"/>
      <c r="E16" s="1872">
        <f>SUMIFS(BalanceN[BS_Debit],BalanceN[Table],"&gt;=53600",BalanceN[Table],"&lt;53700")</f>
        <v>0</v>
      </c>
      <c r="F16" s="1872"/>
      <c r="G16" s="1872">
        <f>SUMIFS(BalanceN1[BS_Debit],BalanceN1[Table],"&gt;=53600",BalanceN1[Table],"&lt;53700")</f>
        <v>0</v>
      </c>
      <c r="H16" s="1872"/>
      <c r="I16" s="361" t="str">
        <f t="shared" si="0"/>
        <v/>
      </c>
    </row>
    <row r="17" spans="1:9" ht="17.25" customHeight="1">
      <c r="A17" s="1748" t="s">
        <v>1851</v>
      </c>
      <c r="B17" s="1748"/>
      <c r="C17" s="1748"/>
      <c r="D17" s="1748"/>
      <c r="E17" s="1872">
        <f>SUMIFS(BalanceN[BS_Debit],BalanceN[Table],"&gt;=54000",BalanceN[Table],"&lt;55000")</f>
        <v>0</v>
      </c>
      <c r="F17" s="1872"/>
      <c r="G17" s="1872">
        <f>SUMIFS(BalanceN1[BS_Debit],BalanceN1[Table],"&gt;=54000",BalanceN1[Table],"&lt;55000")</f>
        <v>0</v>
      </c>
      <c r="H17" s="1872"/>
      <c r="I17" s="361" t="str">
        <f t="shared" si="0"/>
        <v/>
      </c>
    </row>
    <row r="18" spans="1:9" ht="17.25" customHeight="1">
      <c r="A18" s="1748" t="s">
        <v>1852</v>
      </c>
      <c r="B18" s="1748"/>
      <c r="C18" s="1748"/>
      <c r="D18" s="1748"/>
      <c r="E18" s="1872">
        <f>SUMIFS(BalanceN[BS_Debit],BalanceN[Table],"&gt;=55000",BalanceN[Table],"&lt;56000")</f>
        <v>0</v>
      </c>
      <c r="F18" s="1872"/>
      <c r="G18" s="1872">
        <f>SUMIFS(BalanceN1[BS_Debit],BalanceN1[Table],"&gt;=55000",BalanceN1[Table],"&lt;56000")</f>
        <v>0</v>
      </c>
      <c r="H18" s="1872"/>
      <c r="I18" s="361" t="str">
        <f t="shared" si="0"/>
        <v/>
      </c>
    </row>
    <row r="19" spans="1:9" ht="17.25" customHeight="1">
      <c r="A19" s="1748" t="s">
        <v>1853</v>
      </c>
      <c r="B19" s="1748"/>
      <c r="C19" s="1748"/>
      <c r="D19" s="1748"/>
      <c r="E19" s="1872">
        <f>SUMIFS(BalanceN[BS_Debit],BalanceN[Table],"&gt;=57000",BalanceN[Table],"&lt;58000")</f>
        <v>1944136</v>
      </c>
      <c r="F19" s="1872"/>
      <c r="G19" s="1872">
        <f>SUMIFS(BalanceN1[BS_Debit],BalanceN1[Table],"&gt;=57000",BalanceN1[Table],"&lt;58000")</f>
        <v>5460181</v>
      </c>
      <c r="H19" s="1872"/>
      <c r="I19" s="361">
        <f t="shared" si="0"/>
        <v>-0.64394293888792331</v>
      </c>
    </row>
    <row r="20" spans="1:9" ht="17.25" customHeight="1">
      <c r="A20" s="1748" t="s">
        <v>1854</v>
      </c>
      <c r="B20" s="1748"/>
      <c r="C20" s="1748"/>
      <c r="D20" s="1748"/>
      <c r="E20" s="1872">
        <f>SUMIFS(BalanceN[BS_Debit],BalanceN[Table],"&gt;=58000",BalanceN[Table],"&lt;59000")</f>
        <v>0</v>
      </c>
      <c r="F20" s="1872"/>
      <c r="G20" s="1872">
        <f>SUMIFS(BalanceN1[BS_Debit],BalanceN1[Table],"&gt;=58000",BalanceN1[Table],"&lt;59000")</f>
        <v>0</v>
      </c>
      <c r="H20" s="1872"/>
      <c r="I20" s="361" t="str">
        <f t="shared" si="0"/>
        <v/>
      </c>
    </row>
    <row r="21" spans="1:9" ht="17.25" customHeight="1">
      <c r="A21" s="1868" t="s">
        <v>1855</v>
      </c>
      <c r="B21" s="1868"/>
      <c r="C21" s="1868"/>
      <c r="D21" s="1868"/>
      <c r="E21" s="1874">
        <f>SUM(E9:F20)</f>
        <v>123097127</v>
      </c>
      <c r="F21" s="1874"/>
      <c r="G21" s="1874">
        <f>SUM(G9:H20)</f>
        <v>74584157</v>
      </c>
      <c r="H21" s="1874"/>
      <c r="I21" s="363">
        <f t="shared" si="0"/>
        <v>0.65044604580031651</v>
      </c>
    </row>
    <row r="22" spans="1:9" ht="17.25" customHeight="1">
      <c r="A22" s="1748" t="s">
        <v>1856</v>
      </c>
      <c r="B22" s="1748"/>
      <c r="C22" s="1748"/>
      <c r="D22" s="1748"/>
      <c r="E22" s="1872">
        <f>SUMIFS(BalanceN[BS_Credit],BalanceN[Table],"&gt;=592000",BalanceN[Table],"&lt;59400")</f>
        <v>0</v>
      </c>
      <c r="F22" s="1872"/>
      <c r="G22" s="1872">
        <f>SUMIFS(BalanceN1[BS_Credit],BalanceN1[Table],"&gt;=592000",BalanceN1[Table],"&lt;59400")</f>
        <v>0</v>
      </c>
      <c r="H22" s="1872"/>
      <c r="I22" s="361" t="str">
        <f t="shared" si="0"/>
        <v/>
      </c>
    </row>
    <row r="23" spans="1:9" ht="17.25" customHeight="1">
      <c r="A23" s="1868" t="s">
        <v>1735</v>
      </c>
      <c r="B23" s="1868"/>
      <c r="C23" s="1868"/>
      <c r="D23" s="1868"/>
      <c r="E23" s="1874">
        <f>E21-E22</f>
        <v>123097127</v>
      </c>
      <c r="F23" s="1874"/>
      <c r="G23" s="1874">
        <f>G21-G22</f>
        <v>74584157</v>
      </c>
      <c r="H23" s="1874"/>
      <c r="I23" s="363">
        <f t="shared" si="0"/>
        <v>0.65044604580031651</v>
      </c>
    </row>
    <row r="24" spans="1:9" s="653" customFormat="1" ht="14.25" customHeight="1">
      <c r="A24" s="798" t="s">
        <v>1761</v>
      </c>
    </row>
    <row r="25" spans="1:9" s="653" customFormat="1" ht="10.5">
      <c r="A25" s="817" t="s">
        <v>1857</v>
      </c>
    </row>
    <row r="26" spans="1:9" s="653" customFormat="1" ht="10.5">
      <c r="A26" s="800" t="s">
        <v>1858</v>
      </c>
    </row>
    <row r="27" spans="1:9" s="653" customFormat="1" ht="10.5">
      <c r="A27" s="800" t="s">
        <v>1859</v>
      </c>
    </row>
    <row r="28" spans="1:9" s="653" customFormat="1" ht="10.5">
      <c r="A28" s="800" t="s">
        <v>1860</v>
      </c>
    </row>
    <row r="29" spans="1:9" s="653" customFormat="1" ht="10.5">
      <c r="A29" s="800" t="s">
        <v>1861</v>
      </c>
    </row>
    <row r="30" spans="1:9" s="653" customFormat="1" ht="6.75" customHeight="1">
      <c r="A30" s="851"/>
    </row>
    <row r="31" spans="1:9" s="653" customFormat="1" ht="15.75" customHeight="1">
      <c r="A31" s="1914" t="s">
        <v>1862</v>
      </c>
      <c r="B31" s="1914"/>
      <c r="C31" s="1914"/>
      <c r="D31" s="1914"/>
      <c r="E31" s="1914"/>
      <c r="F31" s="1914"/>
      <c r="G31" s="1914"/>
      <c r="H31" s="1914"/>
      <c r="I31" s="1914"/>
    </row>
    <row r="32" spans="1:9" s="626" customFormat="1" ht="11.7"/>
  </sheetData>
  <sheetProtection algorithmName="SHA-512" hashValue="YQumWSbRm27lHiSntp4DDTWLn8TKKiMjezV80rvKHcFSbKp4fD7BMebzK3rIOsorS1SILSSmssXzxygSX12aEw==" saltValue="kLp97Cz6a3JBLVhuClAgWQ==" spinCount="100000" sheet="1" objects="1" scenarios="1" selectLockedCells="1"/>
  <mergeCells count="57">
    <mergeCell ref="A9:D9"/>
    <mergeCell ref="E9:F9"/>
    <mergeCell ref="G9:H9"/>
    <mergeCell ref="A1:I1"/>
    <mergeCell ref="H2:I2"/>
    <mergeCell ref="C3:I3"/>
    <mergeCell ref="B4:G4"/>
    <mergeCell ref="C5:D5"/>
    <mergeCell ref="F5:G5"/>
    <mergeCell ref="C6:D6"/>
    <mergeCell ref="A7:I7"/>
    <mergeCell ref="A8:D8"/>
    <mergeCell ref="E8:F8"/>
    <mergeCell ref="G8:H8"/>
    <mergeCell ref="A10:D10"/>
    <mergeCell ref="E10:F10"/>
    <mergeCell ref="G10:H10"/>
    <mergeCell ref="A11:D11"/>
    <mergeCell ref="E11:F11"/>
    <mergeCell ref="G11:H11"/>
    <mergeCell ref="A12:D12"/>
    <mergeCell ref="E12:F12"/>
    <mergeCell ref="G12:H12"/>
    <mergeCell ref="A13:D13"/>
    <mergeCell ref="E13:F13"/>
    <mergeCell ref="G13:H13"/>
    <mergeCell ref="A14:D14"/>
    <mergeCell ref="E14:F14"/>
    <mergeCell ref="G14:H14"/>
    <mergeCell ref="A15:D15"/>
    <mergeCell ref="E15:F15"/>
    <mergeCell ref="G15:H15"/>
    <mergeCell ref="A16:D16"/>
    <mergeCell ref="E16:F16"/>
    <mergeCell ref="G16:H16"/>
    <mergeCell ref="A17:D17"/>
    <mergeCell ref="E17:F17"/>
    <mergeCell ref="G17:H17"/>
    <mergeCell ref="A18:D18"/>
    <mergeCell ref="E18:F18"/>
    <mergeCell ref="G18:H18"/>
    <mergeCell ref="A19:D19"/>
    <mergeCell ref="E19:F19"/>
    <mergeCell ref="G19:H19"/>
    <mergeCell ref="A20:D20"/>
    <mergeCell ref="E20:F20"/>
    <mergeCell ref="G20:H20"/>
    <mergeCell ref="A21:D21"/>
    <mergeCell ref="E21:F21"/>
    <mergeCell ref="G21:H21"/>
    <mergeCell ref="A31:I31"/>
    <mergeCell ref="A22:D22"/>
    <mergeCell ref="E22:F22"/>
    <mergeCell ref="G22:H22"/>
    <mergeCell ref="A23:D23"/>
    <mergeCell ref="E23:F23"/>
    <mergeCell ref="G23:H23"/>
  </mergeCells>
  <conditionalFormatting sqref="E9:H23">
    <cfRule type="cellIs" dxfId="183" priority="1" operator="equal">
      <formula>0</formula>
    </cfRule>
    <cfRule type="cellIs" priority="2" stopIfTrue="1" operator="equal">
      <formula>0</formula>
    </cfRule>
    <cfRule type="cellIs" priority="3" stopIfTrue="1" operator="equal">
      <formula>0</formula>
    </cfRule>
    <cfRule type="cellIs" priority="4" stopIfTrue="1" operator="equal">
      <formula>0</formula>
    </cfRule>
    <cfRule type="cellIs" priority="5" stopIfTrue="1" operator="equal">
      <formula>0</formula>
    </cfRule>
  </conditionalFormatting>
  <dataValidations count="1">
    <dataValidation type="whole" allowBlank="1" showInputMessage="1" showErrorMessage="1" errorTitle="Attention!" error="Valeur numérique attendue" sqref="E9:H20 E22:H22" xr:uid="{480396B6-8A6F-4ECD-9E7F-C6FA3BAA74EF}">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portrait" r:id="rId1"/>
  <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B600-4B1C-4250-A674-5EFE7F838D9D}">
  <sheetPr codeName="Feuil34">
    <tabColor theme="9" tint="0.39997558519241921"/>
    <pageSetUpPr fitToPage="1"/>
  </sheetPr>
  <dimension ref="A1:I22"/>
  <sheetViews>
    <sheetView showGridLines="0" showRowColHeaders="0" zoomScaleNormal="100" workbookViewId="0">
      <selection activeCell="A11" sqref="A11:D11"/>
    </sheetView>
  </sheetViews>
  <sheetFormatPr baseColWidth="10" defaultColWidth="11.5234375" defaultRowHeight="14.4"/>
  <cols>
    <col min="1" max="1" width="8.41796875" style="103" customWidth="1"/>
    <col min="2" max="2" width="19.68359375" style="103" customWidth="1"/>
    <col min="3" max="3" width="9.68359375" style="103" customWidth="1"/>
    <col min="4" max="4" width="2.1015625" style="103" customWidth="1"/>
    <col min="5" max="5" width="8.1015625" style="103" customWidth="1"/>
    <col min="6" max="9" width="15.68359375" style="103" customWidth="1"/>
    <col min="10" max="16384" width="11.5234375" style="103"/>
  </cols>
  <sheetData>
    <row r="1" spans="1:9">
      <c r="A1" s="1276" t="str">
        <f>"- "&amp;Code!K34&amp;" -"</f>
        <v>- 19 -</v>
      </c>
      <c r="B1" s="1276"/>
      <c r="C1" s="1276"/>
      <c r="D1" s="1276"/>
      <c r="E1" s="1276"/>
      <c r="F1" s="1276"/>
      <c r="G1" s="1276"/>
      <c r="H1" s="1276"/>
      <c r="I1" s="1276"/>
    </row>
    <row r="2" spans="1:9" ht="24.9" customHeight="1">
      <c r="A2" s="576"/>
      <c r="B2" s="576"/>
      <c r="C2" s="576"/>
      <c r="D2" s="576"/>
      <c r="E2" s="576"/>
      <c r="F2" s="576"/>
      <c r="G2" s="576"/>
      <c r="H2" s="1278" t="s">
        <v>1863</v>
      </c>
      <c r="I2" s="1765"/>
    </row>
    <row r="3" spans="1:9" s="626" customFormat="1" ht="15" customHeight="1">
      <c r="A3" s="317" t="s">
        <v>50</v>
      </c>
      <c r="B3" s="317"/>
      <c r="C3" s="1280" t="str">
        <f>'NOTE 11'!C3</f>
        <v>OHADA</v>
      </c>
      <c r="D3" s="1280"/>
      <c r="E3" s="1280"/>
      <c r="F3" s="1280"/>
      <c r="G3" s="1280"/>
      <c r="H3" s="1280"/>
      <c r="I3" s="1280"/>
    </row>
    <row r="4" spans="1:9" s="626" customFormat="1" ht="15" customHeight="1">
      <c r="A4" s="317" t="s">
        <v>51</v>
      </c>
      <c r="B4" s="1280" t="str">
        <f>'NOTE 11'!B4</f>
        <v/>
      </c>
      <c r="C4" s="1281"/>
      <c r="D4" s="1281"/>
      <c r="E4" s="1281"/>
      <c r="F4" s="1281"/>
      <c r="G4" s="1281"/>
      <c r="H4" s="627" t="s">
        <v>1021</v>
      </c>
      <c r="I4" s="630" t="str">
        <f>'NOTE 11'!I4</f>
        <v/>
      </c>
    </row>
    <row r="5" spans="1:9" s="626" customFormat="1" ht="15" customHeight="1">
      <c r="A5" s="317" t="s">
        <v>53</v>
      </c>
      <c r="B5" s="317"/>
      <c r="C5" s="1281" t="str">
        <f>'NOTE 11'!C5</f>
        <v/>
      </c>
      <c r="D5" s="1281"/>
      <c r="E5" s="1281"/>
      <c r="F5" s="642" t="s">
        <v>54</v>
      </c>
      <c r="G5" s="647">
        <f>'NOTE 11'!F5</f>
        <v>0</v>
      </c>
      <c r="H5" s="627" t="s">
        <v>55</v>
      </c>
      <c r="I5" s="795">
        <f>'NOTE 11'!I5</f>
        <v>1</v>
      </c>
    </row>
    <row r="6" spans="1:9" s="626" customFormat="1" ht="15" customHeight="1">
      <c r="A6" s="317" t="s">
        <v>56</v>
      </c>
      <c r="B6" s="317"/>
      <c r="C6" s="1275" t="str">
        <f>'NOTE 11'!C6</f>
        <v/>
      </c>
      <c r="D6" s="1275"/>
      <c r="E6" s="1275"/>
      <c r="F6" s="638"/>
      <c r="G6" s="630"/>
      <c r="H6" s="629"/>
      <c r="I6" s="630"/>
    </row>
    <row r="7" spans="1:9" s="593" customFormat="1" ht="35.25" customHeight="1">
      <c r="A7" s="1273" t="s">
        <v>1864</v>
      </c>
      <c r="B7" s="1273"/>
      <c r="C7" s="1273"/>
      <c r="D7" s="1273"/>
      <c r="E7" s="1273"/>
      <c r="F7" s="1273"/>
      <c r="G7" s="1273"/>
      <c r="H7" s="1273"/>
      <c r="I7" s="1273"/>
    </row>
    <row r="8" spans="1:9" ht="17.25" customHeight="1">
      <c r="A8" s="1788" t="s">
        <v>1865</v>
      </c>
      <c r="B8" s="1788"/>
      <c r="C8" s="1788"/>
      <c r="D8" s="1788"/>
      <c r="E8" s="1788"/>
      <c r="F8" s="1788"/>
      <c r="G8" s="1788"/>
      <c r="H8" s="1788"/>
      <c r="I8" s="1788"/>
    </row>
    <row r="9" spans="1:9" ht="41.25" customHeight="1">
      <c r="A9" s="1643" t="s">
        <v>1692</v>
      </c>
      <c r="B9" s="1643"/>
      <c r="C9" s="1643"/>
      <c r="D9" s="1643"/>
      <c r="E9" s="649" t="s">
        <v>1866</v>
      </c>
      <c r="F9" s="797" t="s">
        <v>1867</v>
      </c>
      <c r="G9" s="797" t="s">
        <v>1868</v>
      </c>
      <c r="H9" s="797" t="s">
        <v>1869</v>
      </c>
      <c r="I9" s="797" t="s">
        <v>1870</v>
      </c>
    </row>
    <row r="10" spans="1:9" ht="28.5" customHeight="1">
      <c r="A10" s="1748" t="s">
        <v>1871</v>
      </c>
      <c r="B10" s="1748"/>
      <c r="C10" s="1748"/>
      <c r="D10" s="1748"/>
      <c r="E10" s="364"/>
      <c r="F10" s="364"/>
      <c r="G10" s="364"/>
      <c r="H10" s="364"/>
      <c r="I10" s="364"/>
    </row>
    <row r="11" spans="1:9" ht="17.25" customHeight="1">
      <c r="A11" s="1917"/>
      <c r="B11" s="1917"/>
      <c r="C11" s="1917"/>
      <c r="D11" s="1917"/>
      <c r="E11" s="388"/>
      <c r="F11" s="345"/>
      <c r="G11" s="389"/>
      <c r="H11" s="389"/>
      <c r="I11" s="581">
        <f>F11*G11-F11*H11</f>
        <v>0</v>
      </c>
    </row>
    <row r="12" spans="1:9" ht="28.5" customHeight="1">
      <c r="A12" s="1748" t="s">
        <v>1872</v>
      </c>
      <c r="B12" s="1748"/>
      <c r="C12" s="1748"/>
      <c r="D12" s="1748"/>
      <c r="E12" s="364"/>
      <c r="F12" s="364"/>
      <c r="G12" s="364"/>
      <c r="H12" s="364"/>
      <c r="I12" s="364"/>
    </row>
    <row r="13" spans="1:9" ht="17.25" customHeight="1">
      <c r="A13" s="1917"/>
      <c r="B13" s="1917"/>
      <c r="C13" s="1917"/>
      <c r="D13" s="1917"/>
      <c r="E13" s="388"/>
      <c r="F13" s="345"/>
      <c r="G13" s="389"/>
      <c r="H13" s="389"/>
      <c r="I13" s="581">
        <f>F13*G13-F13*H13</f>
        <v>0</v>
      </c>
    </row>
    <row r="14" spans="1:9" s="653" customFormat="1" ht="27.75" customHeight="1">
      <c r="A14" s="1919" t="s">
        <v>1873</v>
      </c>
      <c r="B14" s="1919"/>
      <c r="C14" s="1919"/>
      <c r="D14" s="1919"/>
      <c r="E14" s="1919"/>
      <c r="F14" s="835"/>
      <c r="G14" s="849"/>
      <c r="H14" s="849"/>
      <c r="I14" s="835"/>
    </row>
    <row r="15" spans="1:9" ht="23.25" customHeight="1">
      <c r="A15" s="1273" t="s">
        <v>1874</v>
      </c>
      <c r="B15" s="1273"/>
      <c r="C15" s="1273"/>
      <c r="D15" s="1273"/>
      <c r="E15" s="1273"/>
      <c r="F15" s="1273"/>
      <c r="G15" s="1273"/>
      <c r="H15" s="1273"/>
      <c r="I15" s="1273"/>
    </row>
    <row r="16" spans="1:9" ht="27" customHeight="1">
      <c r="A16" s="1643" t="s">
        <v>1692</v>
      </c>
      <c r="B16" s="1643"/>
      <c r="C16" s="1643"/>
      <c r="D16" s="1643"/>
      <c r="E16" s="1643"/>
      <c r="F16" s="1643"/>
      <c r="G16" s="797" t="s">
        <v>1693</v>
      </c>
      <c r="H16" s="797" t="s">
        <v>1694</v>
      </c>
      <c r="I16" s="797" t="s">
        <v>1731</v>
      </c>
    </row>
    <row r="17" spans="1:9" ht="28.5" customHeight="1">
      <c r="A17" s="1748" t="s">
        <v>1875</v>
      </c>
      <c r="B17" s="1748"/>
      <c r="C17" s="1748"/>
      <c r="D17" s="1748"/>
      <c r="E17" s="1748"/>
      <c r="F17" s="1748"/>
      <c r="G17" s="364"/>
      <c r="H17" s="364"/>
      <c r="I17" s="364"/>
    </row>
    <row r="18" spans="1:9" ht="17.25" customHeight="1">
      <c r="A18" s="1918"/>
      <c r="B18" s="1918"/>
      <c r="C18" s="1918"/>
      <c r="D18" s="1918"/>
      <c r="E18" s="1918"/>
      <c r="F18" s="1918"/>
      <c r="G18" s="345"/>
      <c r="H18" s="345"/>
      <c r="I18" s="371" t="str">
        <f>IFERROR((G18-H18)/H18,"")</f>
        <v/>
      </c>
    </row>
    <row r="19" spans="1:9" ht="28.5" customHeight="1">
      <c r="A19" s="1748" t="s">
        <v>9213</v>
      </c>
      <c r="B19" s="1748"/>
      <c r="C19" s="1748"/>
      <c r="D19" s="1748"/>
      <c r="E19" s="1748"/>
      <c r="F19" s="1748"/>
      <c r="G19" s="364"/>
      <c r="H19" s="364"/>
      <c r="I19" s="364"/>
    </row>
    <row r="20" spans="1:9" ht="17.25" customHeight="1">
      <c r="A20" s="1918"/>
      <c r="B20" s="1918"/>
      <c r="C20" s="1918"/>
      <c r="D20" s="1918"/>
      <c r="E20" s="1918"/>
      <c r="F20" s="1918"/>
      <c r="G20" s="345"/>
      <c r="H20" s="345"/>
      <c r="I20" s="371" t="str">
        <f>IFERROR((G20-H20)/H20,"")</f>
        <v/>
      </c>
    </row>
    <row r="21" spans="1:9" s="653" customFormat="1" ht="10.5">
      <c r="A21" s="1915" t="s">
        <v>1876</v>
      </c>
      <c r="B21" s="1916"/>
      <c r="C21" s="1916"/>
      <c r="D21" s="1916"/>
      <c r="E21" s="1916"/>
      <c r="F21" s="1916"/>
      <c r="G21" s="1916"/>
      <c r="H21" s="1916"/>
      <c r="I21" s="1916"/>
    </row>
    <row r="22" spans="1:9" s="653" customFormat="1" ht="10.5">
      <c r="A22" s="850" t="s">
        <v>1877</v>
      </c>
    </row>
  </sheetData>
  <sheetProtection algorithmName="SHA-512" hashValue="3VqKB9PqDbjm0cwXo0YI8ssxstFdyWulTznHZ5+QMeHVYd38Xos9hhpLZeRmvgq31fJdKxUZ70IVKtZ8c1eViw==" saltValue="VeZyNlu9N/LnmzTELars3Q==" spinCount="100000" sheet="1" objects="1" scenarios="1" selectLockedCells="1"/>
  <mergeCells count="21">
    <mergeCell ref="A1:I1"/>
    <mergeCell ref="H2:I2"/>
    <mergeCell ref="C3:I3"/>
    <mergeCell ref="B4:G4"/>
    <mergeCell ref="C5:E5"/>
    <mergeCell ref="C6:E6"/>
    <mergeCell ref="A7:I7"/>
    <mergeCell ref="A8:I8"/>
    <mergeCell ref="A9:D9"/>
    <mergeCell ref="A10:D10"/>
    <mergeCell ref="A21:I21"/>
    <mergeCell ref="A11:D11"/>
    <mergeCell ref="A20:F20"/>
    <mergeCell ref="A14:E14"/>
    <mergeCell ref="A15:I15"/>
    <mergeCell ref="A16:F16"/>
    <mergeCell ref="A17:F17"/>
    <mergeCell ref="A18:F18"/>
    <mergeCell ref="A19:F19"/>
    <mergeCell ref="A12:D12"/>
    <mergeCell ref="A13:D13"/>
  </mergeCells>
  <conditionalFormatting sqref="I11">
    <cfRule type="cellIs" dxfId="182" priority="2" operator="equal">
      <formula>0</formula>
    </cfRule>
  </conditionalFormatting>
  <conditionalFormatting sqref="I13">
    <cfRule type="cellIs" dxfId="181" priority="1" operator="equal">
      <formula>0</formula>
    </cfRule>
  </conditionalFormatting>
  <dataValidations count="3">
    <dataValidation type="decimal" allowBlank="1" showInputMessage="1" showErrorMessage="1" errorTitle="Attention!" error="Valeur numérique attendue" sqref="G11:H11 G13:H13" xr:uid="{EF76713A-AF1E-42F3-AF6E-187DEEB1E63C}">
      <formula1>-9999999999999</formula1>
      <formula2>9999999999999</formula2>
    </dataValidation>
    <dataValidation type="whole" allowBlank="1" showInputMessage="1" showErrorMessage="1" errorTitle="Attention!" error="Valeur numérique attendue" sqref="G19:I19 E10 G10:I10 G17:I17 F10:F13 E12 G12:I12 G18:H18 G20:H20" xr:uid="{9FB7FBCB-9BF3-4D91-AE19-15537F916D65}">
      <formula1>-9999999999999</formula1>
      <formula2>9999999999999</formula2>
    </dataValidation>
    <dataValidation allowBlank="1" showInputMessage="1" showErrorMessage="1" errorTitle="Attention!" error="Valeur numérique attendue" sqref="A1:I1" xr:uid="{AE071BFB-2D35-4B73-A963-76497C80CCFC}"/>
  </dataValidations>
  <printOptions horizontalCentered="1"/>
  <pageMargins left="0.31496062992125984" right="0.31496062992125984" top="0.35433070866141736" bottom="0.35433070866141736" header="0.31496062992125984" footer="0.31496062992125984"/>
  <pageSetup paperSize="9" scale="8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1009" r:id="rId4" name="AjoutLigneNOTE12A1">
              <controlPr defaultSize="0" print="0" autoFill="0" autoPict="0" macro="[0]!AjoutNOTE12A1_Cliquer">
                <anchor moveWithCells="1">
                  <from>
                    <xdr:col>9</xdr:col>
                    <xdr:colOff>106680</xdr:colOff>
                    <xdr:row>9</xdr:row>
                    <xdr:rowOff>45720</xdr:rowOff>
                  </from>
                  <to>
                    <xdr:col>10</xdr:col>
                    <xdr:colOff>601980</xdr:colOff>
                    <xdr:row>9</xdr:row>
                    <xdr:rowOff>335280</xdr:rowOff>
                  </to>
                </anchor>
              </controlPr>
            </control>
          </mc:Choice>
        </mc:AlternateContent>
        <mc:AlternateContent xmlns:mc="http://schemas.openxmlformats.org/markup-compatibility/2006">
          <mc:Choice Requires="x14">
            <control shapeId="171010" r:id="rId5" name="AjoutNOTE12A2">
              <controlPr defaultSize="0" print="0" autoFill="0" autoPict="0" macro="[0]!AjoutNOTE12A2_Cliquer">
                <anchor moveWithCells="1">
                  <from>
                    <xdr:col>9</xdr:col>
                    <xdr:colOff>137160</xdr:colOff>
                    <xdr:row>11</xdr:row>
                    <xdr:rowOff>30480</xdr:rowOff>
                  </from>
                  <to>
                    <xdr:col>10</xdr:col>
                    <xdr:colOff>632460</xdr:colOff>
                    <xdr:row>11</xdr:row>
                    <xdr:rowOff>312420</xdr:rowOff>
                  </to>
                </anchor>
              </controlPr>
            </control>
          </mc:Choice>
        </mc:AlternateContent>
        <mc:AlternateContent xmlns:mc="http://schemas.openxmlformats.org/markup-compatibility/2006">
          <mc:Choice Requires="x14">
            <control shapeId="171011" r:id="rId6" name="AjoutNOTE12B1">
              <controlPr defaultSize="0" print="0" autoFill="0" autoPict="0" macro="[0]!AjoutNOTE12B1_Cliquer">
                <anchor moveWithCells="1">
                  <from>
                    <xdr:col>9</xdr:col>
                    <xdr:colOff>137160</xdr:colOff>
                    <xdr:row>16</xdr:row>
                    <xdr:rowOff>30480</xdr:rowOff>
                  </from>
                  <to>
                    <xdr:col>10</xdr:col>
                    <xdr:colOff>632460</xdr:colOff>
                    <xdr:row>16</xdr:row>
                    <xdr:rowOff>312420</xdr:rowOff>
                  </to>
                </anchor>
              </controlPr>
            </control>
          </mc:Choice>
        </mc:AlternateContent>
        <mc:AlternateContent xmlns:mc="http://schemas.openxmlformats.org/markup-compatibility/2006">
          <mc:Choice Requires="x14">
            <control shapeId="171012" r:id="rId7" name="AjoutNOTE12B2">
              <controlPr defaultSize="0" print="0" autoFill="0" autoPict="0" macro="[0]!AjoutNOTE12B2_Cliquer">
                <anchor moveWithCells="1">
                  <from>
                    <xdr:col>9</xdr:col>
                    <xdr:colOff>121920</xdr:colOff>
                    <xdr:row>18</xdr:row>
                    <xdr:rowOff>22860</xdr:rowOff>
                  </from>
                  <to>
                    <xdr:col>10</xdr:col>
                    <xdr:colOff>617220</xdr:colOff>
                    <xdr:row>18</xdr:row>
                    <xdr:rowOff>304800</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EFA2-B7D3-4129-82CF-90D5A4028B8C}">
  <sheetPr codeName="Feuil35">
    <tabColor theme="9" tint="0.39997558519241921"/>
    <pageSetUpPr fitToPage="1"/>
  </sheetPr>
  <dimension ref="A1:L20"/>
  <sheetViews>
    <sheetView showGridLines="0" showRowColHeaders="0" zoomScaleNormal="100" workbookViewId="0">
      <selection activeCell="L10" sqref="L10"/>
    </sheetView>
  </sheetViews>
  <sheetFormatPr baseColWidth="10" defaultColWidth="11.5234375" defaultRowHeight="14.4"/>
  <cols>
    <col min="1" max="1" width="11.5234375" style="103"/>
    <col min="2" max="2" width="16.41796875" style="103" customWidth="1"/>
    <col min="3" max="3" width="2.41796875" style="103" customWidth="1"/>
    <col min="4" max="4" width="5.41796875" style="103" customWidth="1"/>
    <col min="5" max="5" width="11.41796875" style="103" customWidth="1"/>
    <col min="6" max="6" width="29" style="103" customWidth="1"/>
    <col min="7" max="7" width="24.41796875" style="103" customWidth="1"/>
    <col min="8" max="8" width="29" style="103" customWidth="1"/>
    <col min="9" max="9" width="13.41796875" style="103" customWidth="1"/>
    <col min="10" max="10" width="10.3125" style="103" customWidth="1"/>
    <col min="11" max="12" width="13" style="103" customWidth="1"/>
    <col min="13" max="13" width="3.41796875" style="103" customWidth="1"/>
    <col min="14" max="16384" width="11.5234375" style="103"/>
  </cols>
  <sheetData>
    <row r="1" spans="1:12">
      <c r="A1" s="1276" t="str">
        <f>"- "&amp;Code!K35&amp;" -"</f>
        <v>- 20 -</v>
      </c>
      <c r="B1" s="1276"/>
      <c r="C1" s="1276"/>
      <c r="D1" s="1276"/>
      <c r="E1" s="1276"/>
      <c r="F1" s="1276"/>
      <c r="G1" s="1276"/>
      <c r="H1" s="1276"/>
      <c r="I1" s="1276"/>
      <c r="J1" s="1276"/>
      <c r="K1" s="1277"/>
      <c r="L1" s="1277"/>
    </row>
    <row r="2" spans="1:12" ht="24" customHeight="1">
      <c r="A2" s="576"/>
      <c r="B2" s="576"/>
      <c r="C2" s="576"/>
      <c r="D2" s="576"/>
      <c r="E2" s="576"/>
      <c r="F2" s="576"/>
      <c r="G2" s="576"/>
      <c r="H2" s="576"/>
      <c r="I2" s="576"/>
      <c r="J2" s="576"/>
      <c r="K2" s="1278" t="s">
        <v>1878</v>
      </c>
      <c r="L2" s="1765"/>
    </row>
    <row r="3" spans="1:12" s="626" customFormat="1" ht="15" customHeight="1">
      <c r="A3" s="317" t="s">
        <v>50</v>
      </c>
      <c r="B3" s="317"/>
      <c r="C3" s="1280" t="str">
        <f>'NOTE 11'!C3</f>
        <v>OHADA</v>
      </c>
      <c r="D3" s="1280"/>
      <c r="E3" s="1280"/>
      <c r="F3" s="1280"/>
      <c r="G3" s="1280"/>
      <c r="H3" s="1280"/>
      <c r="I3" s="1280"/>
      <c r="J3" s="1280"/>
      <c r="K3" s="1280"/>
      <c r="L3" s="1280"/>
    </row>
    <row r="4" spans="1:12" s="626" customFormat="1" ht="15" customHeight="1">
      <c r="A4" s="317" t="s">
        <v>51</v>
      </c>
      <c r="B4" s="1280" t="str">
        <f>'NOTE 11'!B4</f>
        <v/>
      </c>
      <c r="C4" s="1281"/>
      <c r="D4" s="1281"/>
      <c r="E4" s="1281"/>
      <c r="F4" s="1281"/>
      <c r="G4" s="1281"/>
      <c r="H4" s="1281"/>
      <c r="I4" s="1281"/>
      <c r="J4" s="1281"/>
      <c r="K4" s="627" t="s">
        <v>1021</v>
      </c>
      <c r="L4" s="630" t="str">
        <f>'NOTE 11'!I4</f>
        <v/>
      </c>
    </row>
    <row r="5" spans="1:12" s="626" customFormat="1" ht="15" customHeight="1">
      <c r="A5" s="317" t="s">
        <v>1597</v>
      </c>
      <c r="B5" s="317"/>
      <c r="C5" s="1281" t="str">
        <f>'NOTE 11'!C5</f>
        <v/>
      </c>
      <c r="D5" s="1281"/>
      <c r="E5" s="1281"/>
      <c r="F5" s="1281"/>
      <c r="G5" s="1281"/>
      <c r="H5" s="1281"/>
      <c r="I5" s="574" t="s">
        <v>54</v>
      </c>
      <c r="J5" s="647">
        <f>'NOTE 11'!F5</f>
        <v>0</v>
      </c>
      <c r="K5" s="597" t="s">
        <v>55</v>
      </c>
      <c r="L5" s="795">
        <f>'NOTE 11'!I5</f>
        <v>1</v>
      </c>
    </row>
    <row r="6" spans="1:12" s="626" customFormat="1" ht="15" customHeight="1">
      <c r="A6" s="317" t="s">
        <v>56</v>
      </c>
      <c r="B6" s="317"/>
      <c r="C6" s="1275" t="str">
        <f>'NOTE 11'!C6</f>
        <v/>
      </c>
      <c r="D6" s="1275"/>
      <c r="E6" s="1275"/>
      <c r="F6" s="1275"/>
      <c r="G6" s="1275"/>
      <c r="H6" s="1275"/>
      <c r="I6" s="638"/>
      <c r="J6" s="630"/>
      <c r="K6" s="629"/>
      <c r="L6" s="630"/>
    </row>
    <row r="7" spans="1:12" ht="35.25" customHeight="1">
      <c r="A7" s="1273" t="s">
        <v>1879</v>
      </c>
      <c r="B7" s="1273"/>
      <c r="C7" s="1273"/>
      <c r="D7" s="1273"/>
      <c r="E7" s="1273"/>
      <c r="F7" s="1273"/>
      <c r="G7" s="1273"/>
      <c r="H7" s="1273"/>
      <c r="I7" s="1273"/>
      <c r="J7" s="1273"/>
      <c r="K7" s="1273"/>
      <c r="L7" s="1273"/>
    </row>
    <row r="8" spans="1:12" ht="21" customHeight="1">
      <c r="A8" s="844"/>
      <c r="B8" s="844"/>
      <c r="C8" s="844"/>
      <c r="D8" s="845"/>
      <c r="E8" s="845"/>
      <c r="F8" s="845"/>
      <c r="G8" s="845"/>
      <c r="H8" s="845"/>
      <c r="I8" s="1928" t="s">
        <v>1880</v>
      </c>
      <c r="J8" s="1928"/>
      <c r="K8" s="1928"/>
      <c r="L8" s="1267"/>
    </row>
    <row r="9" spans="1:12" s="653" customFormat="1" ht="59.25" customHeight="1">
      <c r="A9" s="1645" t="s">
        <v>1881</v>
      </c>
      <c r="B9" s="1645"/>
      <c r="C9" s="1645"/>
      <c r="D9" s="1645"/>
      <c r="E9" s="649" t="s">
        <v>1882</v>
      </c>
      <c r="F9" s="649" t="s">
        <v>1099</v>
      </c>
      <c r="G9" s="649" t="s">
        <v>1883</v>
      </c>
      <c r="H9" s="649" t="s">
        <v>1884</v>
      </c>
      <c r="I9" s="649" t="s">
        <v>1885</v>
      </c>
      <c r="J9" s="649" t="s">
        <v>1886</v>
      </c>
      <c r="K9" s="649" t="s">
        <v>1887</v>
      </c>
      <c r="L9" s="649" t="s">
        <v>1888</v>
      </c>
    </row>
    <row r="10" spans="1:12" ht="15.9" customHeight="1">
      <c r="A10" s="1920"/>
      <c r="B10" s="1921"/>
      <c r="C10" s="1921"/>
      <c r="D10" s="1922"/>
      <c r="E10" s="390"/>
      <c r="F10" s="390"/>
      <c r="G10" s="391"/>
      <c r="H10" s="391"/>
      <c r="I10" s="392"/>
      <c r="J10" s="586"/>
      <c r="K10" s="393">
        <f>$L$8*J10</f>
        <v>0</v>
      </c>
      <c r="L10" s="585"/>
    </row>
    <row r="11" spans="1:12" ht="15.9" customHeight="1">
      <c r="A11" s="1923" t="s">
        <v>1889</v>
      </c>
      <c r="B11" s="1923"/>
      <c r="C11" s="1923"/>
      <c r="D11" s="1923"/>
      <c r="E11" s="394"/>
      <c r="F11" s="394"/>
      <c r="G11" s="395"/>
      <c r="H11" s="395"/>
      <c r="I11" s="396"/>
      <c r="J11" s="397"/>
      <c r="K11" s="585"/>
      <c r="L11" s="398"/>
    </row>
    <row r="12" spans="1:12" ht="15.9" customHeight="1">
      <c r="A12" s="1924" t="s">
        <v>1578</v>
      </c>
      <c r="B12" s="1925"/>
      <c r="C12" s="1925"/>
      <c r="D12" s="1925"/>
      <c r="E12" s="1925"/>
      <c r="F12" s="1925"/>
      <c r="G12" s="1925"/>
      <c r="H12" s="1926"/>
      <c r="I12" s="1927"/>
      <c r="J12" s="397"/>
      <c r="K12" s="399">
        <f ca="1">SUM(INDIRECT(SUBSTITUTE(ADDRESS(1,COLUMN(K10)),1,"")&amp;ROW(K10)):INDIRECT(SUBSTITUTE(ADDRESS(1,COLUMN()),1,"")&amp;ROW()-1))</f>
        <v>0</v>
      </c>
      <c r="L12" s="397"/>
    </row>
    <row r="13" spans="1:12" s="653" customFormat="1" ht="10.5">
      <c r="A13" s="798" t="s">
        <v>1761</v>
      </c>
    </row>
    <row r="14" spans="1:12" s="653" customFormat="1" ht="11.25" customHeight="1">
      <c r="A14" s="800" t="s">
        <v>1890</v>
      </c>
      <c r="I14" s="846" t="s">
        <v>1891</v>
      </c>
    </row>
    <row r="15" spans="1:12" s="653" customFormat="1" ht="11.25" customHeight="1">
      <c r="A15" s="817" t="s">
        <v>1892</v>
      </c>
      <c r="I15" s="847" t="s">
        <v>1893</v>
      </c>
    </row>
    <row r="16" spans="1:12" s="653" customFormat="1" ht="11.25" customHeight="1">
      <c r="A16" s="800" t="s">
        <v>1894</v>
      </c>
      <c r="I16" s="848" t="s">
        <v>1895</v>
      </c>
    </row>
    <row r="17" spans="1:9" s="653" customFormat="1" ht="11.25" customHeight="1">
      <c r="A17" s="800" t="s">
        <v>1896</v>
      </c>
      <c r="I17" s="848" t="s">
        <v>1897</v>
      </c>
    </row>
    <row r="18" spans="1:9" s="653" customFormat="1" ht="11.25" customHeight="1">
      <c r="A18" s="800" t="s">
        <v>1898</v>
      </c>
      <c r="I18" s="848" t="s">
        <v>1899</v>
      </c>
    </row>
    <row r="19" spans="1:9" s="653" customFormat="1" ht="10.5">
      <c r="I19" s="848" t="s">
        <v>1900</v>
      </c>
    </row>
    <row r="20" spans="1:9" s="653" customFormat="1" ht="10.5">
      <c r="I20" s="848" t="s">
        <v>1901</v>
      </c>
    </row>
  </sheetData>
  <sheetProtection algorithmName="SHA-512" hashValue="0YswY2+nfW4bgQp+TMDyRiiDLo8L6SNsxnbDzZcIpIeudw0ROSMYieB5NlrzufwgyMXM77u9zo6UqjaAnJpZPQ==" saltValue="1KxDPtqdWCVtJ1So+k1hfA==" spinCount="100000" sheet="1" objects="1" scenarios="1" selectLockedCells="1"/>
  <mergeCells count="12">
    <mergeCell ref="C6:H6"/>
    <mergeCell ref="A1:L1"/>
    <mergeCell ref="K2:L2"/>
    <mergeCell ref="C3:L3"/>
    <mergeCell ref="B4:J4"/>
    <mergeCell ref="C5:H5"/>
    <mergeCell ref="A10:D10"/>
    <mergeCell ref="A11:D11"/>
    <mergeCell ref="A12:I12"/>
    <mergeCell ref="A7:L7"/>
    <mergeCell ref="I8:K8"/>
    <mergeCell ref="A9:D9"/>
  </mergeCells>
  <conditionalFormatting sqref="K10:K11">
    <cfRule type="cellIs" dxfId="180" priority="4" operator="equal">
      <formula>0</formula>
    </cfRule>
  </conditionalFormatting>
  <conditionalFormatting sqref="K12">
    <cfRule type="cellIs" dxfId="179" priority="3" operator="equal">
      <formula>0</formula>
    </cfRule>
  </conditionalFormatting>
  <conditionalFormatting sqref="L10">
    <cfRule type="cellIs" dxfId="178" priority="2" operator="equal">
      <formula>0</formula>
    </cfRule>
  </conditionalFormatting>
  <conditionalFormatting sqref="L8">
    <cfRule type="cellIs" dxfId="177" priority="1" operator="equal">
      <formula>0</formula>
    </cfRule>
  </conditionalFormatting>
  <dataValidations count="2">
    <dataValidation type="whole" errorStyle="information" allowBlank="1" showErrorMessage="1" errorTitle="Valeur erronée" error="Valeur numérique attendue" sqref="K12 L10" xr:uid="{36651DD3-18E7-43D0-9D87-1847B2F5D8AE}">
      <formula1>-9999999999999</formula1>
      <formula2>9999999999999</formula2>
    </dataValidation>
    <dataValidation type="whole" errorStyle="information" allowBlank="1" showErrorMessage="1" errorTitle="Attention!" error="Valeur numérique attendue" sqref="K11 J10:K10" xr:uid="{D78954D1-2B8E-4EC4-9EFE-671AB8C7F73F}">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0962" r:id="rId4" name="AjoutNOTE13B">
              <controlPr defaultSize="0" print="0" autoFill="0" autoPict="0" macro="[0]!AjoutNOTE13B_Cliquer">
                <anchor moveWithCells="1">
                  <from>
                    <xdr:col>12</xdr:col>
                    <xdr:colOff>114300</xdr:colOff>
                    <xdr:row>8</xdr:row>
                    <xdr:rowOff>335280</xdr:rowOff>
                  </from>
                  <to>
                    <xdr:col>14</xdr:col>
                    <xdr:colOff>373380</xdr:colOff>
                    <xdr:row>8</xdr:row>
                    <xdr:rowOff>609600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EB8080AB-0D83-407E-BEDD-9123B7B82191}">
          <x14:formula1>
            <xm:f>Referentiels!$J$3:$J$4</xm:f>
          </x14:formula1>
          <xm:sqref>I10</xm:sqref>
        </x14:dataValidation>
        <x14:dataValidation type="list" allowBlank="1" showInputMessage="1" showErrorMessage="1" xr:uid="{B2EB2F72-1801-4E49-9016-3032D9A86720}">
          <x14:formula1>
            <xm:f>Referentiels!$I$3:$I$246</xm:f>
          </x14:formula1>
          <xm:sqref>F10 H10</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31C7-442D-4740-90BA-A1F26C08958C}">
  <sheetPr codeName="Feuil36">
    <tabColor theme="9" tint="0.39997558519241921"/>
    <pageSetUpPr fitToPage="1"/>
  </sheetPr>
  <dimension ref="A1:H27"/>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7" style="103" customWidth="1"/>
    <col min="3" max="3" width="11.5234375" style="103"/>
    <col min="4" max="4" width="2.1015625" style="103" customWidth="1"/>
    <col min="5" max="5" width="13.89453125" style="103" customWidth="1"/>
    <col min="6" max="8" width="15.68359375" style="103" customWidth="1"/>
    <col min="9" max="16384" width="11.5234375" style="103"/>
  </cols>
  <sheetData>
    <row r="1" spans="1:8">
      <c r="A1" s="1276" t="str">
        <f>"- "&amp;Code!K36&amp;" -"</f>
        <v>- 21 -</v>
      </c>
      <c r="B1" s="1276"/>
      <c r="C1" s="1276"/>
      <c r="D1" s="1276"/>
      <c r="E1" s="1276"/>
      <c r="F1" s="1276"/>
      <c r="G1" s="1276"/>
      <c r="H1" s="1276"/>
    </row>
    <row r="2" spans="1:8" ht="24.9" customHeight="1">
      <c r="A2" s="576"/>
      <c r="B2" s="576"/>
      <c r="C2" s="576"/>
      <c r="D2" s="576"/>
      <c r="E2" s="576"/>
      <c r="F2" s="576"/>
      <c r="G2" s="1278" t="s">
        <v>1902</v>
      </c>
      <c r="H2" s="1765"/>
    </row>
    <row r="3" spans="1:8" s="626" customFormat="1" ht="15" customHeight="1">
      <c r="A3" s="317" t="s">
        <v>50</v>
      </c>
      <c r="B3" s="317"/>
      <c r="C3" s="1280" t="str">
        <f>'NOTE 11'!C3</f>
        <v>OHADA</v>
      </c>
      <c r="D3" s="1280"/>
      <c r="E3" s="1280"/>
      <c r="F3" s="1280"/>
      <c r="G3" s="1280"/>
      <c r="H3" s="1280"/>
    </row>
    <row r="4" spans="1:8" s="626" customFormat="1" ht="15" customHeight="1">
      <c r="A4" s="317" t="s">
        <v>51</v>
      </c>
      <c r="B4" s="1280" t="str">
        <f>'NOTE 11'!B4</f>
        <v/>
      </c>
      <c r="C4" s="1281"/>
      <c r="D4" s="1281"/>
      <c r="E4" s="1281"/>
      <c r="F4" s="1281"/>
      <c r="G4" s="627" t="s">
        <v>1021</v>
      </c>
      <c r="H4" s="630" t="str">
        <f>'NOTE 11'!I4</f>
        <v/>
      </c>
    </row>
    <row r="5" spans="1:8" s="626" customFormat="1" ht="15" customHeight="1">
      <c r="A5" s="317" t="s">
        <v>1597</v>
      </c>
      <c r="B5" s="317"/>
      <c r="C5" s="1281" t="str">
        <f>'NOTE 11'!C5</f>
        <v/>
      </c>
      <c r="D5" s="1281"/>
      <c r="E5" s="646" t="s">
        <v>54</v>
      </c>
      <c r="F5" s="647">
        <f>'NOTE 11'!F5</f>
        <v>0</v>
      </c>
      <c r="G5" s="627" t="s">
        <v>55</v>
      </c>
      <c r="H5" s="795">
        <f>'NOTE 11'!I5</f>
        <v>1</v>
      </c>
    </row>
    <row r="6" spans="1:8" s="626" customFormat="1" ht="15" customHeight="1">
      <c r="A6" s="317" t="s">
        <v>56</v>
      </c>
      <c r="B6" s="317"/>
      <c r="C6" s="1275" t="str">
        <f>'NOTE 11'!C6</f>
        <v/>
      </c>
      <c r="D6" s="1275"/>
      <c r="E6" s="1683"/>
      <c r="F6" s="630"/>
      <c r="G6" s="629"/>
      <c r="H6" s="630"/>
    </row>
    <row r="7" spans="1:8" ht="35.25" customHeight="1">
      <c r="A7" s="1273" t="s">
        <v>1903</v>
      </c>
      <c r="B7" s="1273"/>
      <c r="C7" s="1273"/>
      <c r="D7" s="1273"/>
      <c r="E7" s="1273"/>
      <c r="F7" s="1273"/>
      <c r="G7" s="1273"/>
      <c r="H7" s="1273"/>
    </row>
    <row r="8" spans="1:8" ht="34.5" customHeight="1">
      <c r="A8" s="1643" t="s">
        <v>1692</v>
      </c>
      <c r="B8" s="1643"/>
      <c r="C8" s="1643"/>
      <c r="D8" s="1643"/>
      <c r="E8" s="1643"/>
      <c r="F8" s="797" t="s">
        <v>1693</v>
      </c>
      <c r="G8" s="797" t="s">
        <v>1694</v>
      </c>
      <c r="H8" s="797" t="s">
        <v>1904</v>
      </c>
    </row>
    <row r="9" spans="1:8" ht="17.25" customHeight="1">
      <c r="A9" s="1748" t="s">
        <v>1905</v>
      </c>
      <c r="B9" s="1748"/>
      <c r="C9" s="1748"/>
      <c r="D9" s="1748"/>
      <c r="E9" s="1748"/>
      <c r="F9" s="581">
        <f>SUMIFS(BalanceN[BS_Credit],BalanceN[Table],"&gt;=10520",BalanceN[Table],"&lt;10530")</f>
        <v>0</v>
      </c>
      <c r="G9" s="581">
        <f>SUMIFS(BalanceN1[BS_Credit],BalanceN1[Table],"&gt;=10520",BalanceN1[Table],"&lt;10530")</f>
        <v>0</v>
      </c>
      <c r="H9" s="581">
        <f t="shared" ref="H9:H22" si="0">(F9-G9)</f>
        <v>0</v>
      </c>
    </row>
    <row r="10" spans="1:8" ht="17.25" customHeight="1">
      <c r="A10" s="1748" t="s">
        <v>1906</v>
      </c>
      <c r="B10" s="1748"/>
      <c r="C10" s="1748"/>
      <c r="D10" s="1748"/>
      <c r="E10" s="1748"/>
      <c r="F10" s="581">
        <f>SUMIFS(BalanceN[BS_Credit],BalanceN[Table],"&gt;=10510",BalanceN[Table],"&lt;10520")</f>
        <v>0</v>
      </c>
      <c r="G10" s="581">
        <f>SUMIFS(BalanceN1[BS_Credit],BalanceN1[Table],"&gt;=10510",BalanceN1[Table],"&lt;10520")</f>
        <v>0</v>
      </c>
      <c r="H10" s="581">
        <f t="shared" si="0"/>
        <v>0</v>
      </c>
    </row>
    <row r="11" spans="1:8" ht="17.25" customHeight="1">
      <c r="A11" s="1748" t="s">
        <v>1907</v>
      </c>
      <c r="B11" s="1748"/>
      <c r="C11" s="1748"/>
      <c r="D11" s="1748"/>
      <c r="E11" s="1748"/>
      <c r="F11" s="581">
        <f>SUMIFS(BalanceN[BS_Credit],BalanceN[Table],"&gt;=10530",BalanceN[Table],"&lt;10540")</f>
        <v>0</v>
      </c>
      <c r="G11" s="581">
        <f>SUMIFS(BalanceN1[BS_Credit],BalanceN1[Table],"&gt;=10530",BalanceN1[Table],"&lt;10540")</f>
        <v>0</v>
      </c>
      <c r="H11" s="581">
        <f t="shared" si="0"/>
        <v>0</v>
      </c>
    </row>
    <row r="12" spans="1:8" ht="17.25" customHeight="1">
      <c r="A12" s="1748" t="s">
        <v>1908</v>
      </c>
      <c r="B12" s="1748"/>
      <c r="C12" s="1748"/>
      <c r="D12" s="1748"/>
      <c r="E12" s="1748"/>
      <c r="F12" s="581">
        <f>SUMIFS(BalanceN[BS_Credit],BalanceN[Table],"&gt;=10540",BalanceN[Table],"&lt;10550")</f>
        <v>0</v>
      </c>
      <c r="G12" s="581">
        <f>SUMIFS(BalanceN1[BS_Credit],BalanceN1[Table],"&gt;=10540",BalanceN1[Table],"&lt;10550")</f>
        <v>0</v>
      </c>
      <c r="H12" s="581">
        <f t="shared" si="0"/>
        <v>0</v>
      </c>
    </row>
    <row r="13" spans="1:8" ht="17.25" customHeight="1">
      <c r="A13" s="1748" t="s">
        <v>1909</v>
      </c>
      <c r="B13" s="1748"/>
      <c r="C13" s="1748"/>
      <c r="D13" s="1748"/>
      <c r="E13" s="1748"/>
      <c r="F13" s="581">
        <f>SUMIFS(BalanceN[BS_Credit],BalanceN[Table],"&gt;=10580",BalanceN[Table],"&lt;10590")</f>
        <v>0</v>
      </c>
      <c r="G13" s="581">
        <f>SUMIFS(BalanceN1[BS_Credit],BalanceN1[Table],"&gt;=10580",BalanceN1[Table],"&lt;10590")</f>
        <v>0</v>
      </c>
      <c r="H13" s="581">
        <f t="shared" si="0"/>
        <v>0</v>
      </c>
    </row>
    <row r="14" spans="1:8" ht="17.25" customHeight="1">
      <c r="A14" s="1868" t="s">
        <v>1910</v>
      </c>
      <c r="B14" s="1868"/>
      <c r="C14" s="1868"/>
      <c r="D14" s="1868"/>
      <c r="E14" s="1868"/>
      <c r="F14" s="580">
        <f>SUM(F9:F13)</f>
        <v>0</v>
      </c>
      <c r="G14" s="580">
        <f>SUM(G9:G13)</f>
        <v>0</v>
      </c>
      <c r="H14" s="580">
        <f t="shared" si="0"/>
        <v>0</v>
      </c>
    </row>
    <row r="15" spans="1:8" ht="17.25" customHeight="1">
      <c r="A15" s="1748" t="s">
        <v>1911</v>
      </c>
      <c r="B15" s="1748"/>
      <c r="C15" s="1748"/>
      <c r="D15" s="1748"/>
      <c r="E15" s="1748"/>
      <c r="F15" s="581">
        <f>SUMIFS(BalanceN[BS_Credit],BalanceN[Table],"&gt;=11100",BalanceN[Table],"&lt;11200")</f>
        <v>20000000</v>
      </c>
      <c r="G15" s="581">
        <f>SUMIFS(BalanceN1[BS_Credit],BalanceN1[Table],"&gt;=11100",BalanceN1[Table],"&lt;11200")</f>
        <v>20000000</v>
      </c>
      <c r="H15" s="581">
        <f t="shared" si="0"/>
        <v>0</v>
      </c>
    </row>
    <row r="16" spans="1:8" ht="17.25" customHeight="1">
      <c r="A16" s="1748" t="s">
        <v>1912</v>
      </c>
      <c r="B16" s="1748"/>
      <c r="C16" s="1748"/>
      <c r="D16" s="1748"/>
      <c r="E16" s="1748"/>
      <c r="F16" s="581">
        <f>SUMIFS(BalanceN[BS_Credit],BalanceN[Table],"&gt;=11200",BalanceN[Table],"&lt;11300")</f>
        <v>0</v>
      </c>
      <c r="G16" s="581">
        <f>SUMIFS(BalanceN1[BS_Credit],BalanceN1[Table],"&gt;=11200",BalanceN1[Table],"&lt;11300")</f>
        <v>0</v>
      </c>
      <c r="H16" s="581">
        <f t="shared" si="0"/>
        <v>0</v>
      </c>
    </row>
    <row r="17" spans="1:8" ht="17.25" customHeight="1">
      <c r="A17" s="1748" t="s">
        <v>1913</v>
      </c>
      <c r="B17" s="1748"/>
      <c r="C17" s="1748"/>
      <c r="D17" s="1748"/>
      <c r="E17" s="1748"/>
      <c r="F17" s="581">
        <f>SUMIFS(BalanceN[BS_Credit],BalanceN[Table],"&gt;=11310",BalanceN[Table],"&lt;11320")</f>
        <v>0</v>
      </c>
      <c r="G17" s="581">
        <f>SUMIFS(BalanceN1[BS_Credit],BalanceN1[Table],"&gt;=11310",BalanceN1[Table],"&lt;11320")</f>
        <v>0</v>
      </c>
      <c r="H17" s="581">
        <f t="shared" si="0"/>
        <v>0</v>
      </c>
    </row>
    <row r="18" spans="1:8" ht="30" customHeight="1">
      <c r="A18" s="1748" t="s">
        <v>1914</v>
      </c>
      <c r="B18" s="1748"/>
      <c r="C18" s="1748"/>
      <c r="D18" s="1748"/>
      <c r="E18" s="1748"/>
      <c r="F18" s="581">
        <f>SUMIFS(BalanceN[BS_Credit],BalanceN[Table],"&gt;=11320",BalanceN[Table],"&lt;11330")</f>
        <v>0</v>
      </c>
      <c r="G18" s="581">
        <f>SUMIFS(BalanceN1[BS_Credit],BalanceN1[Table],"&gt;=11320",BalanceN1[Table],"&lt;11330")</f>
        <v>0</v>
      </c>
      <c r="H18" s="581">
        <f t="shared" si="0"/>
        <v>0</v>
      </c>
    </row>
    <row r="19" spans="1:8" ht="17.25" customHeight="1">
      <c r="A19" s="1748" t="s">
        <v>1915</v>
      </c>
      <c r="B19" s="1748"/>
      <c r="C19" s="1748"/>
      <c r="D19" s="1748"/>
      <c r="E19" s="1748"/>
      <c r="F19" s="581">
        <f>SUMIFS(BalanceN[BS_Credit],BalanceN[Table],"&gt;=11330",BalanceN[Table],"&lt;11400")</f>
        <v>0</v>
      </c>
      <c r="G19" s="581">
        <f>SUMIFS(BalanceN1[BS_Credit],BalanceN1[Table],"&gt;=11330",BalanceN1[Table],"&lt;11400")</f>
        <v>0</v>
      </c>
      <c r="H19" s="581">
        <f t="shared" si="0"/>
        <v>0</v>
      </c>
    </row>
    <row r="20" spans="1:8" ht="17.25" customHeight="1">
      <c r="A20" s="1868" t="s">
        <v>1916</v>
      </c>
      <c r="B20" s="1868"/>
      <c r="C20" s="1868"/>
      <c r="D20" s="1868"/>
      <c r="E20" s="1868"/>
      <c r="F20" s="580">
        <f>SUM(F15:F19)</f>
        <v>20000000</v>
      </c>
      <c r="G20" s="580">
        <f>SUM(G15:G19)</f>
        <v>20000000</v>
      </c>
      <c r="H20" s="580">
        <f t="shared" si="0"/>
        <v>0</v>
      </c>
    </row>
    <row r="21" spans="1:8" ht="17.25" customHeight="1">
      <c r="A21" s="1923" t="s">
        <v>1146</v>
      </c>
      <c r="B21" s="1923"/>
      <c r="C21" s="1923"/>
      <c r="D21" s="1923"/>
      <c r="E21" s="1923"/>
      <c r="F21" s="383">
        <f>SUMIFS(BalanceN[BS_Credit],BalanceN[Table],"&gt;=11800",BalanceN[Table],"&lt;11900")</f>
        <v>0</v>
      </c>
      <c r="G21" s="383">
        <f>SUMIFS(BalanceN1[BS_Credit],BalanceN1[Table],"&gt;=11800",BalanceN1[Table],"&lt;11900")</f>
        <v>0</v>
      </c>
      <c r="H21" s="383">
        <f t="shared" si="0"/>
        <v>0</v>
      </c>
    </row>
    <row r="22" spans="1:8" ht="17.25" customHeight="1">
      <c r="A22" s="1923" t="s">
        <v>1917</v>
      </c>
      <c r="B22" s="1923"/>
      <c r="C22" s="1923"/>
      <c r="D22" s="1923"/>
      <c r="E22" s="1923"/>
      <c r="F22" s="383">
        <f>SUMIFS(BalanceN[BS_Credit],BalanceN[Table],"&gt;=12000",BalanceN[Table],"&lt;13000")-SUMIFS(BalanceN[BS_Debit],BalanceN[Table],"&gt;=12000",BalanceN[Table],"&lt;13000")</f>
        <v>76069991</v>
      </c>
      <c r="G22" s="383">
        <f>SUMIFS(BalanceN1[BS_Credit],BalanceN1[Table],"&gt;=12000",BalanceN1[Table],"&lt;13000")-SUMIFS(BalanceN1[BS_Debit],BalanceN1[Table],"&gt;=12000",BalanceN1[Table],"&lt;13000")</f>
        <v>47450317</v>
      </c>
      <c r="H22" s="383">
        <f t="shared" si="0"/>
        <v>28619674</v>
      </c>
    </row>
    <row r="23" spans="1:8" s="653" customFormat="1" ht="10.5">
      <c r="A23" s="798" t="s">
        <v>1744</v>
      </c>
    </row>
    <row r="24" spans="1:8" s="653" customFormat="1" ht="12" customHeight="1">
      <c r="A24" s="800" t="s">
        <v>1918</v>
      </c>
    </row>
    <row r="25" spans="1:8" s="653" customFormat="1" ht="12" customHeight="1">
      <c r="A25" s="800" t="s">
        <v>1919</v>
      </c>
    </row>
    <row r="26" spans="1:8" s="653" customFormat="1" ht="12" customHeight="1">
      <c r="A26" s="800" t="s">
        <v>1920</v>
      </c>
    </row>
    <row r="27" spans="1:8" s="653" customFormat="1" ht="12" customHeight="1">
      <c r="A27" s="800" t="s">
        <v>1921</v>
      </c>
    </row>
  </sheetData>
  <sheetProtection algorithmName="SHA-512" hashValue="Bb9pAUJHOSn2tzJsbuLosZOl4RlA+LJb7Dy7adzpHXF1Mb0EWqCRN/RCInnYPMqa81otQ0adyHm0C1T9HhcE9Q==" saltValue="MgRrbasnMGsb8myfrje9pg==" spinCount="100000" sheet="1" objects="1" scenarios="1" selectLockedCells="1"/>
  <mergeCells count="22">
    <mergeCell ref="A12:E12"/>
    <mergeCell ref="A1:H1"/>
    <mergeCell ref="G2:H2"/>
    <mergeCell ref="C3:H3"/>
    <mergeCell ref="B4:F4"/>
    <mergeCell ref="C5:D5"/>
    <mergeCell ref="C6:E6"/>
    <mergeCell ref="A7:H7"/>
    <mergeCell ref="A8:E8"/>
    <mergeCell ref="A9:E9"/>
    <mergeCell ref="A10:E10"/>
    <mergeCell ref="A11:E11"/>
    <mergeCell ref="A19:E19"/>
    <mergeCell ref="A20:E20"/>
    <mergeCell ref="A21:E21"/>
    <mergeCell ref="A22:E22"/>
    <mergeCell ref="A13:E13"/>
    <mergeCell ref="A14:E14"/>
    <mergeCell ref="A15:E15"/>
    <mergeCell ref="A16:E16"/>
    <mergeCell ref="A17:E17"/>
    <mergeCell ref="A18:E18"/>
  </mergeCells>
  <conditionalFormatting sqref="F9:H22">
    <cfRule type="cellIs" dxfId="176" priority="1" operator="equal">
      <formula>0</formula>
    </cfRule>
  </conditionalFormatting>
  <dataValidations count="1">
    <dataValidation type="whole" errorStyle="information" allowBlank="1" showInputMessage="1" showErrorMessage="1" errorTitle="Attention!" error="Valeur numérique attendue" sqref="F9:G13 F15:G19 F21:G22" xr:uid="{2B306B1F-159A-4719-8BFE-54ECCFA7B994}">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4"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66C2-DB79-4B2D-A4AF-7F7C573F0F37}">
  <sheetPr codeName="Feuil37">
    <tabColor theme="9" tint="0.39997558519241921"/>
    <pageSetUpPr fitToPage="1"/>
  </sheetPr>
  <dimension ref="A1:J30"/>
  <sheetViews>
    <sheetView showGridLines="0" showRowColHeaders="0" zoomScaleNormal="100" workbookViewId="0">
      <selection activeCell="I9" sqref="I9"/>
    </sheetView>
  </sheetViews>
  <sheetFormatPr baseColWidth="10" defaultColWidth="11.5234375" defaultRowHeight="14.4"/>
  <cols>
    <col min="1" max="1" width="11.5234375" style="103"/>
    <col min="2" max="2" width="16.41796875" style="103" customWidth="1"/>
    <col min="3" max="3" width="24" style="103" customWidth="1"/>
    <col min="4" max="4" width="6.41796875" style="103" customWidth="1"/>
    <col min="5" max="7" width="15.68359375" style="103" customWidth="1"/>
    <col min="8" max="8" width="9.89453125" style="103" customWidth="1"/>
    <col min="9" max="9" width="15.68359375" style="103" customWidth="1"/>
    <col min="10" max="10" width="14.3125" style="103" customWidth="1"/>
    <col min="11" max="16384" width="11.5234375" style="103"/>
  </cols>
  <sheetData>
    <row r="1" spans="1:10">
      <c r="A1" s="1276" t="str">
        <f>"- "&amp;Code!K37&amp;" -"</f>
        <v>- 21 -</v>
      </c>
      <c r="B1" s="1276"/>
      <c r="C1" s="1276"/>
      <c r="D1" s="1276"/>
      <c r="E1" s="1276"/>
      <c r="F1" s="1276"/>
      <c r="G1" s="1276"/>
      <c r="H1" s="1276"/>
      <c r="I1" s="1276"/>
      <c r="J1" s="1276"/>
    </row>
    <row r="2" spans="1:10" ht="24.9" customHeight="1">
      <c r="A2" s="576"/>
      <c r="B2" s="576"/>
      <c r="C2" s="576"/>
      <c r="D2" s="576"/>
      <c r="E2" s="576"/>
      <c r="F2" s="576"/>
      <c r="G2" s="576"/>
      <c r="I2" s="1278" t="s">
        <v>1922</v>
      </c>
      <c r="J2" s="1279"/>
    </row>
    <row r="3" spans="1:10" s="626" customFormat="1" ht="15" customHeight="1">
      <c r="A3" s="317" t="s">
        <v>50</v>
      </c>
      <c r="B3" s="317"/>
      <c r="C3" s="1280" t="str">
        <f>'NOTE 11'!C3</f>
        <v>OHADA</v>
      </c>
      <c r="D3" s="1280"/>
      <c r="E3" s="1280"/>
      <c r="F3" s="1280"/>
      <c r="G3" s="1280"/>
      <c r="H3" s="1280"/>
      <c r="I3" s="1280"/>
      <c r="J3" s="1280"/>
    </row>
    <row r="4" spans="1:10" s="626" customFormat="1" ht="15" customHeight="1">
      <c r="A4" s="317" t="s">
        <v>51</v>
      </c>
      <c r="B4" s="1280" t="str">
        <f>'NOTE 11'!B4</f>
        <v/>
      </c>
      <c r="C4" s="1280"/>
      <c r="D4" s="1280"/>
      <c r="E4" s="1280"/>
      <c r="F4" s="1280"/>
      <c r="G4" s="1280"/>
      <c r="H4" s="1280"/>
      <c r="I4" s="627" t="s">
        <v>1021</v>
      </c>
      <c r="J4" s="628" t="str">
        <f>'NOTE 11'!I4</f>
        <v/>
      </c>
    </row>
    <row r="5" spans="1:10" s="626" customFormat="1" ht="15" customHeight="1">
      <c r="A5" s="317" t="s">
        <v>1597</v>
      </c>
      <c r="B5" s="317"/>
      <c r="C5" s="1280" t="str">
        <f>'NOTE 11'!C5</f>
        <v/>
      </c>
      <c r="D5" s="1280"/>
      <c r="E5" s="1280"/>
      <c r="F5" s="642" t="s">
        <v>54</v>
      </c>
      <c r="G5" s="1648">
        <f>'NOTE 11'!F5</f>
        <v>0</v>
      </c>
      <c r="H5" s="1648"/>
      <c r="I5" s="627" t="s">
        <v>55</v>
      </c>
      <c r="J5" s="630">
        <f>'NOTE 11'!I5</f>
        <v>1</v>
      </c>
    </row>
    <row r="6" spans="1:10" s="626" customFormat="1" ht="15" customHeight="1">
      <c r="A6" s="317" t="s">
        <v>1533</v>
      </c>
      <c r="B6" s="317"/>
      <c r="C6" s="1275" t="str">
        <f>'NOTE 11'!C6</f>
        <v/>
      </c>
      <c r="D6" s="1275"/>
      <c r="E6" s="1275"/>
      <c r="F6" s="638"/>
      <c r="G6" s="630"/>
      <c r="H6" s="630"/>
      <c r="I6" s="629"/>
      <c r="J6" s="630"/>
    </row>
    <row r="7" spans="1:10" ht="35.25" customHeight="1">
      <c r="A7" s="1273" t="s">
        <v>1923</v>
      </c>
      <c r="B7" s="1273"/>
      <c r="C7" s="1273"/>
      <c r="D7" s="1273"/>
      <c r="E7" s="1273"/>
      <c r="F7" s="1273"/>
      <c r="G7" s="1273"/>
      <c r="H7" s="1273"/>
      <c r="I7" s="1273"/>
      <c r="J7" s="1273"/>
    </row>
    <row r="8" spans="1:10" ht="43.5" customHeight="1">
      <c r="A8" s="1643" t="s">
        <v>1692</v>
      </c>
      <c r="B8" s="1643"/>
      <c r="C8" s="1643"/>
      <c r="D8" s="797" t="s">
        <v>1113</v>
      </c>
      <c r="E8" s="797" t="s">
        <v>1693</v>
      </c>
      <c r="F8" s="797" t="s">
        <v>1694</v>
      </c>
      <c r="G8" s="797" t="s">
        <v>1924</v>
      </c>
      <c r="H8" s="797" t="s">
        <v>1731</v>
      </c>
      <c r="I8" s="797" t="s">
        <v>1925</v>
      </c>
      <c r="J8" s="797" t="s">
        <v>1926</v>
      </c>
    </row>
    <row r="9" spans="1:10" ht="17.25" customHeight="1">
      <c r="A9" s="1748" t="s">
        <v>1927</v>
      </c>
      <c r="B9" s="1748"/>
      <c r="C9" s="1748"/>
      <c r="D9" s="583"/>
      <c r="E9" s="581">
        <f>SUMIFS(BalanceN[BS_Credit],BalanceN[Table],"&gt;=14110",BalanceN[Table],"&lt;14120")</f>
        <v>0</v>
      </c>
      <c r="F9" s="581">
        <f>SUMIFS(BalanceN1[BS_Credit],BalanceN1[Table],"&gt;=14110",BalanceN1[Table],"&lt;14120")</f>
        <v>0</v>
      </c>
      <c r="G9" s="581">
        <f>(E9-F9)</f>
        <v>0</v>
      </c>
      <c r="H9" s="361" t="str">
        <f>IF(F9,(E9-F9)/F9,IF(ISBLANK(F9),"",IF(E9,IF( E9 &gt; 0,1,-1),"")))</f>
        <v/>
      </c>
      <c r="I9" s="400"/>
      <c r="J9" s="400"/>
    </row>
    <row r="10" spans="1:10" ht="17.25" customHeight="1">
      <c r="A10" s="1748" t="s">
        <v>1928</v>
      </c>
      <c r="B10" s="1748"/>
      <c r="C10" s="1748"/>
      <c r="D10" s="583"/>
      <c r="E10" s="581">
        <f>SUMIFS(BalanceN[BS_Credit],BalanceN[Table],"&gt;=14120",BalanceN[Table],"&lt;14130")</f>
        <v>0</v>
      </c>
      <c r="F10" s="581">
        <f>SUMIFS(BalanceN1[BS_Credit],BalanceN1[Table],"&gt;=14120",BalanceN1[Table],"&lt;14130")</f>
        <v>0</v>
      </c>
      <c r="G10" s="581">
        <f t="shared" ref="G10:G17" si="0">(E10-F10)</f>
        <v>0</v>
      </c>
      <c r="H10" s="361" t="str">
        <f t="shared" ref="H10:H26" si="1">IF(F10,(E10-F10)/F10,IF(ISBLANK(F10),"",IF(E10,IF( E10 &gt; 0,1,-1),"")))</f>
        <v/>
      </c>
      <c r="I10" s="400"/>
      <c r="J10" s="400"/>
    </row>
    <row r="11" spans="1:10" ht="17.25" customHeight="1">
      <c r="A11" s="1748" t="s">
        <v>1929</v>
      </c>
      <c r="B11" s="1748"/>
      <c r="C11" s="1748"/>
      <c r="D11" s="583"/>
      <c r="E11" s="581">
        <f>SUMIFS(BalanceN[BS_Credit],BalanceN[Table],"&gt;=14130",BalanceN[Table],"&lt;14140")</f>
        <v>0</v>
      </c>
      <c r="F11" s="581">
        <f>SUMIFS(BalanceN1[BS_Credit],BalanceN1[Table],"&gt;=14130",BalanceN1[Table],"&lt;14140")</f>
        <v>0</v>
      </c>
      <c r="G11" s="581">
        <f t="shared" si="0"/>
        <v>0</v>
      </c>
      <c r="H11" s="361" t="str">
        <f t="shared" si="1"/>
        <v/>
      </c>
      <c r="I11" s="400"/>
      <c r="J11" s="400"/>
    </row>
    <row r="12" spans="1:10" ht="17.25" customHeight="1">
      <c r="A12" s="1748" t="s">
        <v>1930</v>
      </c>
      <c r="B12" s="1748"/>
      <c r="C12" s="1748"/>
      <c r="D12" s="583"/>
      <c r="E12" s="581">
        <f>SUMIFS(BalanceN[BS_Credit],BalanceN[Table],"&gt;=14140",BalanceN[Table],"&lt;14150")</f>
        <v>0</v>
      </c>
      <c r="F12" s="581">
        <f>SUMIFS(BalanceN1[BS_Credit],BalanceN1[Table],"&gt;=14140",BalanceN1[Table],"&lt;14150")</f>
        <v>0</v>
      </c>
      <c r="G12" s="581">
        <f t="shared" si="0"/>
        <v>0</v>
      </c>
      <c r="H12" s="361" t="str">
        <f t="shared" si="1"/>
        <v/>
      </c>
      <c r="I12" s="400"/>
      <c r="J12" s="400"/>
    </row>
    <row r="13" spans="1:10" ht="17.25" customHeight="1">
      <c r="A13" s="1748" t="s">
        <v>1931</v>
      </c>
      <c r="B13" s="1748"/>
      <c r="C13" s="1748"/>
      <c r="D13" s="583"/>
      <c r="E13" s="581">
        <f>SUMIFS(BalanceN[BS_Credit],BalanceN[Table],"&gt;=14150",BalanceN[Table],"&lt;14160")</f>
        <v>0</v>
      </c>
      <c r="F13" s="581">
        <f>SUMIFS(BalanceN1[BS_Credit],BalanceN1[Table],"&gt;=14150",BalanceN1[Table],"&lt;14160")</f>
        <v>0</v>
      </c>
      <c r="G13" s="581">
        <f t="shared" si="0"/>
        <v>0</v>
      </c>
      <c r="H13" s="361" t="str">
        <f t="shared" si="1"/>
        <v/>
      </c>
      <c r="I13" s="400"/>
      <c r="J13" s="400"/>
    </row>
    <row r="14" spans="1:10" ht="17.25" customHeight="1">
      <c r="A14" s="1748" t="s">
        <v>1932</v>
      </c>
      <c r="B14" s="1748"/>
      <c r="C14" s="1748"/>
      <c r="D14" s="583"/>
      <c r="E14" s="581">
        <f>SUMIFS(BalanceN[BS_Credit],BalanceN[Table],"&gt;=14160",BalanceN[Table],"&lt;14170")</f>
        <v>2000000</v>
      </c>
      <c r="F14" s="581">
        <f>SUMIFS(BalanceN1[BS_Credit],BalanceN1[Table],"&gt;=14160",BalanceN1[Table],"&lt;14170")</f>
        <v>0</v>
      </c>
      <c r="G14" s="581">
        <f t="shared" si="0"/>
        <v>2000000</v>
      </c>
      <c r="H14" s="361">
        <f t="shared" si="1"/>
        <v>1</v>
      </c>
      <c r="I14" s="400"/>
      <c r="J14" s="400"/>
    </row>
    <row r="15" spans="1:10" ht="17.25" customHeight="1">
      <c r="A15" s="1748" t="s">
        <v>1558</v>
      </c>
      <c r="B15" s="1748"/>
      <c r="C15" s="1748"/>
      <c r="D15" s="583"/>
      <c r="E15" s="581">
        <f>SUMIFS(BalanceN[BS_Credit],BalanceN[Table],"&gt;=14170",BalanceN[Table],"&lt;14180")</f>
        <v>0</v>
      </c>
      <c r="F15" s="581">
        <f>SUMIFS(BalanceN1[BS_Credit],BalanceN1[Table],"&gt;=14170",BalanceN1[Table],"&lt;14180")</f>
        <v>0</v>
      </c>
      <c r="G15" s="581">
        <f t="shared" si="0"/>
        <v>0</v>
      </c>
      <c r="H15" s="361" t="str">
        <f t="shared" si="1"/>
        <v/>
      </c>
      <c r="I15" s="400"/>
      <c r="J15" s="400"/>
    </row>
    <row r="16" spans="1:10" ht="17.25" customHeight="1">
      <c r="A16" s="1748" t="s">
        <v>1933</v>
      </c>
      <c r="B16" s="1748"/>
      <c r="C16" s="1748"/>
      <c r="D16" s="583"/>
      <c r="E16" s="581">
        <f>SUMIFS(BalanceN[BS_Credit],BalanceN[Table],"&gt;=14180",BalanceN[Table],"&lt;14900")</f>
        <v>0</v>
      </c>
      <c r="F16" s="581">
        <f>SUMIFS(BalanceN1[BS_Credit],BalanceN1[Table],"&gt;=14180",BalanceN1[Table],"&lt;14900")</f>
        <v>0</v>
      </c>
      <c r="G16" s="581">
        <f t="shared" si="0"/>
        <v>0</v>
      </c>
      <c r="H16" s="361" t="str">
        <f t="shared" si="1"/>
        <v/>
      </c>
      <c r="I16" s="400"/>
      <c r="J16" s="400"/>
    </row>
    <row r="17" spans="1:10" ht="17.25" customHeight="1">
      <c r="A17" s="1868" t="s">
        <v>1934</v>
      </c>
      <c r="B17" s="1868"/>
      <c r="C17" s="1868"/>
      <c r="D17" s="842"/>
      <c r="E17" s="580">
        <f>SUM(E9:E16)</f>
        <v>2000000</v>
      </c>
      <c r="F17" s="580">
        <f>SUM(F9:F16)</f>
        <v>0</v>
      </c>
      <c r="G17" s="362">
        <f t="shared" si="0"/>
        <v>2000000</v>
      </c>
      <c r="H17" s="363">
        <f t="shared" si="1"/>
        <v>1</v>
      </c>
      <c r="I17" s="580">
        <f>SUM(I9:I16)</f>
        <v>0</v>
      </c>
      <c r="J17" s="580">
        <f>SUM(J9:J16)</f>
        <v>0</v>
      </c>
    </row>
    <row r="18" spans="1:10" ht="17.25" customHeight="1">
      <c r="A18" s="1748" t="s">
        <v>1935</v>
      </c>
      <c r="B18" s="1748"/>
      <c r="C18" s="1748"/>
      <c r="D18" s="583"/>
      <c r="E18" s="581">
        <f>SUMIFS(BalanceN[BS_Credit],BalanceN[Table],"&gt;=15100",BalanceN[Table],"&lt;15200")</f>
        <v>0</v>
      </c>
      <c r="F18" s="581">
        <f>SUMIFS(BalanceN1[BS_Credit],BalanceN1[Table],"&gt;=15100",BalanceN1[Table],"&lt;15200")</f>
        <v>0</v>
      </c>
      <c r="G18" s="581">
        <f>(E18-F18)</f>
        <v>0</v>
      </c>
      <c r="H18" s="361" t="str">
        <f t="shared" si="1"/>
        <v/>
      </c>
      <c r="I18" s="400"/>
      <c r="J18" s="400"/>
    </row>
    <row r="19" spans="1:10" ht="17.25" customHeight="1">
      <c r="A19" s="1748" t="s">
        <v>1936</v>
      </c>
      <c r="B19" s="1748"/>
      <c r="C19" s="1748"/>
      <c r="D19" s="583"/>
      <c r="E19" s="581">
        <f>SUMIFS(BalanceN[BS_Credit],BalanceN[Table],"&gt;=15200",BalanceN[Table],"&lt;15300")</f>
        <v>0</v>
      </c>
      <c r="F19" s="581">
        <f>SUMIFS(BalanceN1[BS_Credit],BalanceN1[Table],"&gt;=15200",BalanceN1[Table],"&lt;15300")</f>
        <v>0</v>
      </c>
      <c r="G19" s="581">
        <f t="shared" ref="G19:G24" si="2">(E19-F19)</f>
        <v>0</v>
      </c>
      <c r="H19" s="361" t="str">
        <f t="shared" si="1"/>
        <v/>
      </c>
      <c r="I19" s="400"/>
      <c r="J19" s="400"/>
    </row>
    <row r="20" spans="1:10" ht="17.25" customHeight="1">
      <c r="A20" s="1748" t="s">
        <v>1937</v>
      </c>
      <c r="B20" s="1748"/>
      <c r="C20" s="1748"/>
      <c r="D20" s="583" t="s">
        <v>1938</v>
      </c>
      <c r="E20" s="581">
        <f>SUMIFS(BalanceN[BS_Credit],BalanceN[Table],"&gt;=15400",BalanceN[Table],"&lt;15500")</f>
        <v>40000000</v>
      </c>
      <c r="F20" s="581">
        <f>SUMIFS(BalanceN1[BS_Credit],BalanceN1[Table],"&gt;=15400",BalanceN1[Table],"&lt;15500")</f>
        <v>0</v>
      </c>
      <c r="G20" s="581">
        <f t="shared" si="2"/>
        <v>40000000</v>
      </c>
      <c r="H20" s="361">
        <f t="shared" si="1"/>
        <v>1</v>
      </c>
      <c r="I20" s="400"/>
      <c r="J20" s="400"/>
    </row>
    <row r="21" spans="1:10" ht="17.25" customHeight="1">
      <c r="A21" s="1748" t="s">
        <v>1939</v>
      </c>
      <c r="B21" s="1748"/>
      <c r="C21" s="1748"/>
      <c r="D21" s="583"/>
      <c r="E21" s="581">
        <f>SUMIFS(BalanceN[BS_Credit],BalanceN[Table],"&gt;=15500",BalanceN[Table],"&lt;15600")</f>
        <v>0</v>
      </c>
      <c r="F21" s="581">
        <f>SUMIFS(BalanceN1[BS_Credit],BalanceN1[Table],"&gt;=15500",BalanceN1[Table],"&lt;15600")</f>
        <v>0</v>
      </c>
      <c r="G21" s="581">
        <f t="shared" si="2"/>
        <v>0</v>
      </c>
      <c r="H21" s="361" t="str">
        <f t="shared" si="1"/>
        <v/>
      </c>
      <c r="I21" s="400"/>
      <c r="J21" s="400"/>
    </row>
    <row r="22" spans="1:10" ht="17.25" customHeight="1">
      <c r="A22" s="1748" t="s">
        <v>9226</v>
      </c>
      <c r="B22" s="1748"/>
      <c r="C22" s="1748"/>
      <c r="D22" s="583"/>
      <c r="E22" s="581">
        <f>SUMIFS(BalanceN[BS_Credit],BalanceN[Table],"&gt;=15600",BalanceN[Table],"&lt;15700")</f>
        <v>0</v>
      </c>
      <c r="F22" s="581">
        <f>SUMIFS(BalanceN1[BS_Credit],BalanceN1[Table],"&gt;=15600",BalanceN1[Table],"&lt;15700")</f>
        <v>0</v>
      </c>
      <c r="G22" s="581">
        <f t="shared" si="2"/>
        <v>0</v>
      </c>
      <c r="H22" s="361" t="str">
        <f t="shared" si="1"/>
        <v/>
      </c>
      <c r="I22" s="400"/>
      <c r="J22" s="400"/>
    </row>
    <row r="23" spans="1:10" ht="17.25" customHeight="1">
      <c r="A23" s="1748" t="s">
        <v>1940</v>
      </c>
      <c r="B23" s="1748"/>
      <c r="C23" s="1748"/>
      <c r="D23" s="583"/>
      <c r="E23" s="581">
        <f>SUMIFS(BalanceN[BS_Credit],BalanceN[Table],"&gt;=15700",BalanceN[Table],"&lt;15800")</f>
        <v>0</v>
      </c>
      <c r="F23" s="581">
        <f>SUMIFS(BalanceN1[BS_Credit],BalanceN1[Table],"&gt;=15700",BalanceN1[Table],"&lt;15800")</f>
        <v>0</v>
      </c>
      <c r="G23" s="581">
        <f t="shared" si="2"/>
        <v>0</v>
      </c>
      <c r="H23" s="361" t="str">
        <f t="shared" si="1"/>
        <v/>
      </c>
      <c r="I23" s="400"/>
      <c r="J23" s="400"/>
    </row>
    <row r="24" spans="1:10" ht="17.25" customHeight="1">
      <c r="A24" s="1929" t="s">
        <v>9227</v>
      </c>
      <c r="B24" s="1929"/>
      <c r="C24" s="1929"/>
      <c r="D24" s="583"/>
      <c r="E24" s="581">
        <f>SUMIFS(BalanceN[BS_Credit],BalanceN[Table],"&gt;=15800",BalanceN[Table],"&lt;15900")</f>
        <v>0</v>
      </c>
      <c r="F24" s="581">
        <f>SUMIFS(BalanceN1[BS_Credit],BalanceN1[Table],"&gt;=15800",BalanceN1[Table],"&lt;15900")</f>
        <v>0</v>
      </c>
      <c r="G24" s="581">
        <f t="shared" si="2"/>
        <v>0</v>
      </c>
      <c r="H24" s="361" t="str">
        <f t="shared" si="1"/>
        <v/>
      </c>
      <c r="I24" s="400"/>
      <c r="J24" s="400"/>
    </row>
    <row r="25" spans="1:10" ht="17.25" customHeight="1">
      <c r="A25" s="1868" t="s">
        <v>1941</v>
      </c>
      <c r="B25" s="1868"/>
      <c r="C25" s="1868"/>
      <c r="D25" s="840"/>
      <c r="E25" s="580">
        <f>SUM(E18:E24)</f>
        <v>40000000</v>
      </c>
      <c r="F25" s="580">
        <f>SUM(F18:F24)</f>
        <v>0</v>
      </c>
      <c r="G25" s="362">
        <f>(E25-F25)</f>
        <v>40000000</v>
      </c>
      <c r="H25" s="363">
        <f t="shared" si="1"/>
        <v>1</v>
      </c>
      <c r="I25" s="580">
        <f>SUM(I18:I24)</f>
        <v>0</v>
      </c>
      <c r="J25" s="580">
        <f>SUM(J18:J24)</f>
        <v>0</v>
      </c>
    </row>
    <row r="26" spans="1:10" ht="17.25" customHeight="1">
      <c r="A26" s="1930" t="s">
        <v>1942</v>
      </c>
      <c r="B26" s="1930"/>
      <c r="C26" s="1930"/>
      <c r="D26" s="843"/>
      <c r="E26" s="401">
        <f>E17+E25</f>
        <v>42000000</v>
      </c>
      <c r="F26" s="401">
        <f>F17+F25</f>
        <v>0</v>
      </c>
      <c r="G26" s="402">
        <f>(E26-F26)</f>
        <v>42000000</v>
      </c>
      <c r="H26" s="403">
        <f t="shared" si="1"/>
        <v>1</v>
      </c>
      <c r="I26" s="401">
        <f>I17+I25</f>
        <v>0</v>
      </c>
      <c r="J26" s="401">
        <f>J17+J25</f>
        <v>0</v>
      </c>
    </row>
    <row r="27" spans="1:10" s="653" customFormat="1" ht="12" customHeight="1">
      <c r="A27" s="798" t="s">
        <v>1744</v>
      </c>
    </row>
    <row r="28" spans="1:10" s="653" customFormat="1" ht="12" customHeight="1">
      <c r="A28" s="800" t="s">
        <v>1943</v>
      </c>
    </row>
    <row r="29" spans="1:10" s="653" customFormat="1" ht="12" customHeight="1">
      <c r="A29" s="800" t="s">
        <v>1944</v>
      </c>
    </row>
    <row r="30" spans="1:10" ht="12" customHeight="1">
      <c r="A30" s="819" t="s">
        <v>1945</v>
      </c>
    </row>
  </sheetData>
  <sheetProtection algorithmName="SHA-512" hashValue="d4vmHBmgu3PSEtRrgvFmZw+QY0gfRhHJMy8P64EGvbZOyK33iFGZ6TBKBk+2jS9jhfHIlRh4EzHL342Ub3rmcQ==" saltValue="f1kALJ5oc4djPmEgedlkdw==" spinCount="100000" sheet="1" objects="1" scenarios="1" selectLockedCells="1"/>
  <mergeCells count="27">
    <mergeCell ref="A1:J1"/>
    <mergeCell ref="I2:J2"/>
    <mergeCell ref="C3:J3"/>
    <mergeCell ref="B4:H4"/>
    <mergeCell ref="C5:E5"/>
    <mergeCell ref="G5:H5"/>
    <mergeCell ref="A17:C17"/>
    <mergeCell ref="C6:E6"/>
    <mergeCell ref="A7:J7"/>
    <mergeCell ref="A8:C8"/>
    <mergeCell ref="A9:C9"/>
    <mergeCell ref="A10:C10"/>
    <mergeCell ref="A11:C11"/>
    <mergeCell ref="A12:C12"/>
    <mergeCell ref="A13:C13"/>
    <mergeCell ref="A14:C14"/>
    <mergeCell ref="A15:C15"/>
    <mergeCell ref="A16:C16"/>
    <mergeCell ref="A24:C24"/>
    <mergeCell ref="A25:C25"/>
    <mergeCell ref="A26:C26"/>
    <mergeCell ref="A18:C18"/>
    <mergeCell ref="A19:C19"/>
    <mergeCell ref="A20:C20"/>
    <mergeCell ref="A21:C21"/>
    <mergeCell ref="A22:C22"/>
    <mergeCell ref="A23:C23"/>
  </mergeCells>
  <conditionalFormatting sqref="E9:G26">
    <cfRule type="cellIs" dxfId="175" priority="2" operator="equal">
      <formula>0</formula>
    </cfRule>
  </conditionalFormatting>
  <conditionalFormatting sqref="I17:J17 I25:J26">
    <cfRule type="cellIs" dxfId="174" priority="1" operator="equal">
      <formula>0</formula>
    </cfRule>
  </conditionalFormatting>
  <dataValidations count="1">
    <dataValidation type="whole" allowBlank="1" showInputMessage="1" showErrorMessage="1" errorTitle="Attention!" error="Valeur numérique attendue" sqref="E9:F16 E18:F24" xr:uid="{44211172-8683-4883-9F28-117E64A39037}">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72774-63AA-4405-988A-D38B988C7A97}">
  <sheetPr codeName="Feuil38">
    <tabColor theme="9" tint="0.39997558519241921"/>
    <pageSetUpPr fitToPage="1"/>
  </sheetPr>
  <dimension ref="A1:K20"/>
  <sheetViews>
    <sheetView showGridLines="0" showRowColHeaders="0" zoomScaleNormal="100" workbookViewId="0">
      <selection activeCell="G9" sqref="G9"/>
    </sheetView>
  </sheetViews>
  <sheetFormatPr baseColWidth="10" defaultColWidth="11.5234375" defaultRowHeight="14.4"/>
  <cols>
    <col min="1" max="1" width="11.5234375" style="103"/>
    <col min="2" max="2" width="16.89453125" style="103" customWidth="1"/>
    <col min="3" max="4" width="11.5234375" style="103"/>
    <col min="5" max="5" width="10.3125" style="103" customWidth="1"/>
    <col min="6" max="6" width="6.89453125" style="103" customWidth="1"/>
    <col min="7" max="9" width="15.68359375" style="103" customWidth="1"/>
    <col min="10" max="11" width="14.3125" style="103" customWidth="1"/>
    <col min="12" max="16384" width="11.5234375" style="103"/>
  </cols>
  <sheetData>
    <row r="1" spans="1:11">
      <c r="A1" s="1276" t="str">
        <f>"- "&amp;Code!K38&amp;" -"</f>
        <v>- 21 -</v>
      </c>
      <c r="B1" s="1276"/>
      <c r="C1" s="1276"/>
      <c r="D1" s="1276"/>
      <c r="E1" s="1276"/>
      <c r="F1" s="1276"/>
      <c r="G1" s="1276"/>
      <c r="H1" s="1276"/>
      <c r="I1" s="1276"/>
      <c r="J1" s="1276"/>
      <c r="K1" s="1277"/>
    </row>
    <row r="2" spans="1:11" ht="24.9" customHeight="1">
      <c r="A2" s="576"/>
      <c r="B2" s="576"/>
      <c r="C2" s="576"/>
      <c r="D2" s="576"/>
      <c r="E2" s="576"/>
      <c r="F2" s="576"/>
      <c r="G2" s="576"/>
      <c r="J2" s="1278" t="s">
        <v>1946</v>
      </c>
      <c r="K2" s="1279"/>
    </row>
    <row r="3" spans="1:11" s="626" customFormat="1" ht="15" customHeight="1">
      <c r="A3" s="317" t="s">
        <v>50</v>
      </c>
      <c r="B3" s="317"/>
      <c r="C3" s="1280" t="str">
        <f>'NOTE 11'!C3</f>
        <v>OHADA</v>
      </c>
      <c r="D3" s="1280"/>
      <c r="E3" s="1280"/>
      <c r="F3" s="1280"/>
      <c r="G3" s="1280"/>
      <c r="H3" s="1280"/>
      <c r="I3" s="1280"/>
      <c r="J3" s="1280"/>
      <c r="K3" s="1280"/>
    </row>
    <row r="4" spans="1:11" s="626" customFormat="1" ht="15" customHeight="1">
      <c r="A4" s="317" t="s">
        <v>51</v>
      </c>
      <c r="B4" s="1280" t="str">
        <f>'NOTE 11'!B4</f>
        <v/>
      </c>
      <c r="C4" s="1280"/>
      <c r="D4" s="1280"/>
      <c r="E4" s="1280"/>
      <c r="F4" s="1280"/>
      <c r="G4" s="1280"/>
      <c r="H4" s="1280"/>
      <c r="I4" s="1280"/>
      <c r="J4" s="627" t="s">
        <v>1021</v>
      </c>
      <c r="K4" s="628" t="str">
        <f>'NOTE 11'!I4</f>
        <v/>
      </c>
    </row>
    <row r="5" spans="1:11" s="626" customFormat="1" ht="15" customHeight="1">
      <c r="A5" s="317" t="s">
        <v>1597</v>
      </c>
      <c r="B5" s="317"/>
      <c r="C5" s="1275" t="str">
        <f>'NOTE 11'!C5</f>
        <v/>
      </c>
      <c r="D5" s="1275"/>
      <c r="E5" s="1275"/>
      <c r="F5" s="1275"/>
      <c r="G5" s="642" t="s">
        <v>54</v>
      </c>
      <c r="H5" s="1648">
        <f>'NOTE 11'!F5</f>
        <v>0</v>
      </c>
      <c r="I5" s="1648"/>
      <c r="J5" s="627" t="s">
        <v>55</v>
      </c>
      <c r="K5" s="630">
        <f>'NOTE 11'!I5</f>
        <v>1</v>
      </c>
    </row>
    <row r="6" spans="1:11" s="626" customFormat="1" ht="15" customHeight="1">
      <c r="A6" s="317" t="s">
        <v>1533</v>
      </c>
      <c r="B6" s="317"/>
      <c r="C6" s="1275" t="str">
        <f>'NOTE 11'!C6</f>
        <v/>
      </c>
      <c r="D6" s="1275"/>
      <c r="E6" s="1275"/>
      <c r="F6" s="1275"/>
      <c r="G6" s="638"/>
      <c r="H6" s="630"/>
      <c r="I6" s="630"/>
      <c r="J6" s="629"/>
      <c r="K6" s="630"/>
    </row>
    <row r="7" spans="1:11" ht="35.25" customHeight="1">
      <c r="A7" s="1273" t="s">
        <v>1947</v>
      </c>
      <c r="B7" s="1273"/>
      <c r="C7" s="1273"/>
      <c r="D7" s="1273"/>
      <c r="E7" s="1273"/>
      <c r="F7" s="1273"/>
      <c r="G7" s="1273"/>
      <c r="H7" s="1273"/>
      <c r="I7" s="1273"/>
      <c r="J7" s="1273"/>
      <c r="K7" s="1273"/>
    </row>
    <row r="8" spans="1:11" ht="44.25" customHeight="1">
      <c r="A8" s="1643" t="s">
        <v>1692</v>
      </c>
      <c r="B8" s="1643"/>
      <c r="C8" s="1643"/>
      <c r="D8" s="1643"/>
      <c r="E8" s="1643"/>
      <c r="F8" s="797" t="s">
        <v>1113</v>
      </c>
      <c r="G8" s="797" t="s">
        <v>1693</v>
      </c>
      <c r="H8" s="797" t="s">
        <v>1694</v>
      </c>
      <c r="I8" s="797" t="s">
        <v>1924</v>
      </c>
      <c r="J8" s="797" t="s">
        <v>1731</v>
      </c>
      <c r="K8" s="797" t="s">
        <v>1926</v>
      </c>
    </row>
    <row r="9" spans="1:11" ht="27.75" customHeight="1">
      <c r="A9" s="1748" t="s">
        <v>1948</v>
      </c>
      <c r="B9" s="1748"/>
      <c r="C9" s="1748"/>
      <c r="D9" s="1748"/>
      <c r="E9" s="1748"/>
      <c r="F9" s="583"/>
      <c r="G9" s="345"/>
      <c r="H9" s="345"/>
      <c r="I9" s="581">
        <f t="shared" ref="I9:I14" si="0">(G9-H9)</f>
        <v>0</v>
      </c>
      <c r="J9" s="361" t="str">
        <f t="shared" ref="J9:J14" si="1">IF(H9,(G9-H9)/H9,IF(ISBLANK(H9),"",IF(G9,IF( G9 &gt; 0,1,-1),"")))</f>
        <v/>
      </c>
      <c r="K9" s="400"/>
    </row>
    <row r="10" spans="1:11" ht="27.75" customHeight="1">
      <c r="A10" s="1748" t="s">
        <v>1949</v>
      </c>
      <c r="B10" s="1748"/>
      <c r="C10" s="1748"/>
      <c r="D10" s="1748"/>
      <c r="E10" s="1748"/>
      <c r="F10" s="583"/>
      <c r="G10" s="345"/>
      <c r="H10" s="345"/>
      <c r="I10" s="581">
        <f t="shared" si="0"/>
        <v>0</v>
      </c>
      <c r="J10" s="361" t="str">
        <f t="shared" si="1"/>
        <v/>
      </c>
      <c r="K10" s="400"/>
    </row>
    <row r="11" spans="1:11" ht="27.75" customHeight="1">
      <c r="A11" s="1748" t="s">
        <v>1950</v>
      </c>
      <c r="B11" s="1748"/>
      <c r="C11" s="1748"/>
      <c r="D11" s="1748"/>
      <c r="E11" s="1748"/>
      <c r="F11" s="583"/>
      <c r="G11" s="345"/>
      <c r="H11" s="345"/>
      <c r="I11" s="581">
        <f t="shared" si="0"/>
        <v>0</v>
      </c>
      <c r="J11" s="361"/>
      <c r="K11" s="400"/>
    </row>
    <row r="12" spans="1:11" ht="27.75" customHeight="1">
      <c r="A12" s="1748" t="s">
        <v>1951</v>
      </c>
      <c r="B12" s="1748"/>
      <c r="C12" s="1748"/>
      <c r="D12" s="1748"/>
      <c r="E12" s="1748"/>
      <c r="F12" s="583"/>
      <c r="G12" s="345"/>
      <c r="H12" s="345"/>
      <c r="I12" s="581">
        <f t="shared" si="0"/>
        <v>0</v>
      </c>
      <c r="J12" s="361" t="str">
        <f t="shared" si="1"/>
        <v/>
      </c>
      <c r="K12" s="400"/>
    </row>
    <row r="13" spans="1:11" ht="27.75" customHeight="1">
      <c r="A13" s="1748" t="s">
        <v>1952</v>
      </c>
      <c r="B13" s="1748"/>
      <c r="C13" s="1748"/>
      <c r="D13" s="1748"/>
      <c r="E13" s="1748"/>
      <c r="F13" s="583"/>
      <c r="G13" s="345"/>
      <c r="H13" s="345"/>
      <c r="I13" s="581">
        <f t="shared" si="0"/>
        <v>0</v>
      </c>
      <c r="J13" s="361" t="str">
        <f t="shared" si="1"/>
        <v/>
      </c>
      <c r="K13" s="400"/>
    </row>
    <row r="14" spans="1:11" ht="27.75" customHeight="1">
      <c r="A14" s="1868" t="s">
        <v>1953</v>
      </c>
      <c r="B14" s="1868"/>
      <c r="C14" s="1868"/>
      <c r="D14" s="1868"/>
      <c r="E14" s="1868"/>
      <c r="F14" s="840"/>
      <c r="G14" s="362">
        <f>SUM(G9:G13)</f>
        <v>0</v>
      </c>
      <c r="H14" s="362">
        <f>SUM(H9:H13)</f>
        <v>0</v>
      </c>
      <c r="I14" s="362">
        <f t="shared" si="0"/>
        <v>0</v>
      </c>
      <c r="J14" s="387" t="str">
        <f t="shared" si="1"/>
        <v/>
      </c>
      <c r="K14" s="362"/>
    </row>
    <row r="15" spans="1:11" ht="2.25" customHeight="1">
      <c r="A15" s="119"/>
      <c r="B15" s="119"/>
      <c r="C15" s="119"/>
      <c r="D15" s="119"/>
      <c r="E15" s="119"/>
      <c r="F15" s="119"/>
      <c r="G15" s="119"/>
      <c r="H15" s="119"/>
      <c r="I15" s="119"/>
      <c r="J15" s="841"/>
    </row>
    <row r="16" spans="1:11" s="793" customFormat="1" ht="23.25" customHeight="1">
      <c r="A16" s="1873" t="s">
        <v>1954</v>
      </c>
      <c r="B16" s="1873"/>
      <c r="C16" s="1873"/>
      <c r="D16" s="1873"/>
      <c r="E16" s="1873"/>
      <c r="F16" s="1873"/>
      <c r="G16" s="1873"/>
      <c r="H16" s="1873"/>
      <c r="I16" s="1873"/>
      <c r="J16" s="1873"/>
      <c r="K16" s="1873"/>
    </row>
    <row r="17" spans="1:1" s="793" customFormat="1" ht="10.5">
      <c r="A17" s="798" t="s">
        <v>1744</v>
      </c>
    </row>
    <row r="18" spans="1:1" s="793" customFormat="1" ht="11.25" customHeight="1">
      <c r="A18" s="800" t="s">
        <v>1955</v>
      </c>
    </row>
    <row r="19" spans="1:1" s="793" customFormat="1" ht="11.25" customHeight="1">
      <c r="A19" s="800" t="s">
        <v>1956</v>
      </c>
    </row>
    <row r="20" spans="1:1" s="793" customFormat="1" ht="11.25" customHeight="1">
      <c r="A20" s="800" t="s">
        <v>1957</v>
      </c>
    </row>
  </sheetData>
  <sheetProtection algorithmName="SHA-512" hashValue="Y/0BRyigxUNqh6AjnpgGRsS2vLBa4VYPvdd6sTjZL404OarTa+Ox2NL4uKKFYq8RshgaRX+iY/nXaqImO6EndA==" saltValue="LmGse86p+I4HDOuzbKfrZw==" spinCount="100000" sheet="1" objects="1" scenarios="1" selectLockedCells="1"/>
  <mergeCells count="16">
    <mergeCell ref="A1:K1"/>
    <mergeCell ref="J2:K2"/>
    <mergeCell ref="C3:K3"/>
    <mergeCell ref="B4:I4"/>
    <mergeCell ref="C5:F5"/>
    <mergeCell ref="H5:I5"/>
    <mergeCell ref="A12:E12"/>
    <mergeCell ref="A13:E13"/>
    <mergeCell ref="A14:E14"/>
    <mergeCell ref="A16:K16"/>
    <mergeCell ref="C6:F6"/>
    <mergeCell ref="A7:K7"/>
    <mergeCell ref="A8:E8"/>
    <mergeCell ref="A9:E9"/>
    <mergeCell ref="A10:E10"/>
    <mergeCell ref="A11:E11"/>
  </mergeCells>
  <conditionalFormatting sqref="I9">
    <cfRule type="cellIs" dxfId="173" priority="2" operator="equal">
      <formula>0</formula>
    </cfRule>
  </conditionalFormatting>
  <conditionalFormatting sqref="I9:I14 G14:H14 J14:K14">
    <cfRule type="cellIs" dxfId="172" priority="1" operator="equal">
      <formula>0</formula>
    </cfRule>
  </conditionalFormatting>
  <dataValidations count="1">
    <dataValidation type="whole" allowBlank="1" showInputMessage="1" showErrorMessage="1" errorTitle="Attention!" error="Valeur numérique attendue" sqref="G9:H13" xr:uid="{D5621CB5-3DD7-4A25-A05E-08A8E8465A5A}">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DF35E-3E0F-467C-A7B2-3175AC6321F9}">
  <sheetPr codeName="Feuil39">
    <tabColor theme="9" tint="0.39997558519241921"/>
    <pageSetUpPr fitToPage="1"/>
  </sheetPr>
  <dimension ref="A1:K46"/>
  <sheetViews>
    <sheetView showGridLines="0" showRowColHeaders="0" zoomScaleNormal="100" workbookViewId="0">
      <selection activeCell="I9" sqref="I9"/>
    </sheetView>
  </sheetViews>
  <sheetFormatPr baseColWidth="10" defaultColWidth="11.5234375" defaultRowHeight="14.4"/>
  <cols>
    <col min="1" max="1" width="11.5234375" style="103"/>
    <col min="2" max="2" width="16.41796875" style="103" customWidth="1"/>
    <col min="3" max="3" width="11.5234375" style="103"/>
    <col min="4" max="4" width="25.89453125" style="103" customWidth="1"/>
    <col min="5" max="6" width="15.68359375" style="103" customWidth="1"/>
    <col min="7" max="7" width="12.89453125" style="103" customWidth="1"/>
    <col min="8" max="8" width="10.68359375" style="103" customWidth="1"/>
    <col min="9" max="11" width="15.68359375" style="103" customWidth="1"/>
    <col min="12" max="16384" width="11.5234375" style="103"/>
  </cols>
  <sheetData>
    <row r="1" spans="1:11" ht="14.25" customHeight="1">
      <c r="A1" s="1276" t="str">
        <f>"- "&amp;Code!K39&amp;" -"</f>
        <v>- 22 -</v>
      </c>
      <c r="B1" s="1276"/>
      <c r="C1" s="1276"/>
      <c r="D1" s="1276"/>
      <c r="E1" s="1276"/>
      <c r="F1" s="1276"/>
      <c r="G1" s="1276"/>
      <c r="H1" s="1276"/>
      <c r="I1" s="1276"/>
      <c r="J1" s="1276"/>
      <c r="K1" s="1277"/>
    </row>
    <row r="2" spans="1:11" ht="22.5" customHeight="1">
      <c r="A2" s="576"/>
      <c r="B2" s="576"/>
      <c r="C2" s="576"/>
      <c r="D2" s="576"/>
      <c r="E2" s="576"/>
      <c r="F2" s="576"/>
      <c r="G2" s="576"/>
      <c r="J2" s="1278" t="s">
        <v>1958</v>
      </c>
      <c r="K2" s="1279"/>
    </row>
    <row r="3" spans="1:11" s="626" customFormat="1" ht="15" customHeight="1">
      <c r="A3" s="317" t="s">
        <v>50</v>
      </c>
      <c r="B3" s="317"/>
      <c r="C3" s="1280" t="str">
        <f>'NOTE 11'!C3</f>
        <v>OHADA</v>
      </c>
      <c r="D3" s="1280"/>
      <c r="E3" s="1280"/>
      <c r="F3" s="1280"/>
      <c r="G3" s="1280"/>
      <c r="H3" s="1280"/>
      <c r="I3" s="1280"/>
      <c r="J3" s="1280"/>
      <c r="K3" s="1280"/>
    </row>
    <row r="4" spans="1:11" s="626" customFormat="1" ht="15" customHeight="1">
      <c r="A4" s="317" t="s">
        <v>51</v>
      </c>
      <c r="B4" s="1280" t="str">
        <f>'NOTE 11'!B4</f>
        <v/>
      </c>
      <c r="C4" s="1280"/>
      <c r="D4" s="1280"/>
      <c r="E4" s="1280"/>
      <c r="F4" s="1280"/>
      <c r="G4" s="1280"/>
      <c r="H4" s="1280"/>
      <c r="I4" s="1280"/>
      <c r="J4" s="627" t="s">
        <v>1021</v>
      </c>
      <c r="K4" s="628" t="str">
        <f>'NOTE 11'!I4</f>
        <v/>
      </c>
    </row>
    <row r="5" spans="1:11" s="626" customFormat="1" ht="15" customHeight="1">
      <c r="A5" s="317" t="s">
        <v>1597</v>
      </c>
      <c r="B5" s="317"/>
      <c r="C5" s="1935" t="str">
        <f>'NOTE 11'!C5</f>
        <v/>
      </c>
      <c r="D5" s="1935"/>
      <c r="E5" s="1935"/>
      <c r="F5" s="1935"/>
      <c r="G5" s="1488" t="s">
        <v>54</v>
      </c>
      <c r="H5" s="1488"/>
      <c r="I5" s="633">
        <f>'NOTE 11'!F5</f>
        <v>0</v>
      </c>
      <c r="J5" s="627" t="s">
        <v>55</v>
      </c>
      <c r="K5" s="630">
        <f>'NOTE 11'!I5</f>
        <v>1</v>
      </c>
    </row>
    <row r="6" spans="1:11" s="626" customFormat="1" ht="15" customHeight="1">
      <c r="A6" s="317" t="s">
        <v>1533</v>
      </c>
      <c r="B6" s="317"/>
      <c r="C6" s="1275" t="str">
        <f>'NOTE 11'!C6</f>
        <v/>
      </c>
      <c r="D6" s="1275"/>
      <c r="E6" s="1275"/>
      <c r="F6" s="1275"/>
      <c r="G6" s="638"/>
      <c r="H6" s="630"/>
      <c r="I6" s="630"/>
      <c r="J6" s="629"/>
      <c r="K6" s="630"/>
    </row>
    <row r="7" spans="1:11" ht="27.75" customHeight="1">
      <c r="A7" s="1273" t="s">
        <v>1959</v>
      </c>
      <c r="B7" s="1273"/>
      <c r="C7" s="1273"/>
      <c r="D7" s="1273"/>
      <c r="E7" s="1273"/>
      <c r="F7" s="1273"/>
      <c r="G7" s="1273"/>
      <c r="H7" s="1273"/>
      <c r="I7" s="1273"/>
      <c r="J7" s="1273"/>
      <c r="K7" s="1273"/>
    </row>
    <row r="8" spans="1:11" ht="39.75" customHeight="1">
      <c r="A8" s="1643" t="s">
        <v>1692</v>
      </c>
      <c r="B8" s="1643"/>
      <c r="C8" s="1643"/>
      <c r="D8" s="1643"/>
      <c r="E8" s="797" t="s">
        <v>1693</v>
      </c>
      <c r="F8" s="797" t="s">
        <v>1694</v>
      </c>
      <c r="G8" s="797" t="s">
        <v>1924</v>
      </c>
      <c r="H8" s="797" t="s">
        <v>1731</v>
      </c>
      <c r="I8" s="797" t="s">
        <v>1960</v>
      </c>
      <c r="J8" s="797" t="s">
        <v>1961</v>
      </c>
      <c r="K8" s="797" t="s">
        <v>1962</v>
      </c>
    </row>
    <row r="9" spans="1:11" ht="14.25" customHeight="1">
      <c r="A9" s="1748" t="s">
        <v>1963</v>
      </c>
      <c r="B9" s="1748"/>
      <c r="C9" s="1748"/>
      <c r="D9" s="1748"/>
      <c r="E9" s="581">
        <f>SUMIFS(BalanceN[BS_Credit],BalanceN[Table],"&gt;=16100",BalanceN[Table],"&lt;16200")</f>
        <v>0</v>
      </c>
      <c r="F9" s="581">
        <f>SUMIFS(BalanceN1[BS_Credit],BalanceN1[Table],"&gt;=16100",BalanceN1[Table],"&lt;16200")</f>
        <v>0</v>
      </c>
      <c r="G9" s="581">
        <f>(E9-F9)</f>
        <v>0</v>
      </c>
      <c r="H9" s="361" t="str">
        <f>IF(F9,(E9-F9)/F9,IF(ISBLANK(F9),"",IF(E9,IF( E9 &gt; 0,1,-1),"")))</f>
        <v/>
      </c>
      <c r="I9" s="345"/>
      <c r="J9" s="345"/>
      <c r="K9" s="581">
        <f>E9-I9-J9</f>
        <v>0</v>
      </c>
    </row>
    <row r="10" spans="1:11" ht="14.25" customHeight="1">
      <c r="A10" s="1748" t="s">
        <v>1964</v>
      </c>
      <c r="B10" s="1748"/>
      <c r="C10" s="1748"/>
      <c r="D10" s="1748"/>
      <c r="E10" s="581">
        <f>SUMIFS(BalanceN[BS_Credit],BalanceN[Table],"&gt;=16200",BalanceN[Table],"&lt;16300")</f>
        <v>92499075</v>
      </c>
      <c r="F10" s="581">
        <f>SUMIFS(BalanceN1[BS_Credit],BalanceN1[Table],"&gt;=16200",BalanceN1[Table],"&lt;16300")</f>
        <v>0</v>
      </c>
      <c r="G10" s="581">
        <f t="shared" ref="G10:G38" si="0">(E10-F10)</f>
        <v>92499075</v>
      </c>
      <c r="H10" s="361">
        <f t="shared" ref="H10:H39" si="1">IF(F10,(E10-F10)/F10,IF(ISBLANK(F10),"",IF(E10,IF( E10 &gt; 0,1,-1),"")))</f>
        <v>1</v>
      </c>
      <c r="I10" s="345"/>
      <c r="J10" s="345"/>
      <c r="K10" s="581">
        <f t="shared" ref="K10:K17" si="2">E10-I10-J10</f>
        <v>92499075</v>
      </c>
    </row>
    <row r="11" spans="1:11" ht="14.25" customHeight="1">
      <c r="A11" s="1748" t="s">
        <v>1965</v>
      </c>
      <c r="B11" s="1748"/>
      <c r="C11" s="1748"/>
      <c r="D11" s="1748"/>
      <c r="E11" s="581">
        <f>SUMIFS(BalanceN[BS_Credit],BalanceN[Table],"&gt;=16300",BalanceN[Table],"&lt;16400")</f>
        <v>0</v>
      </c>
      <c r="F11" s="581">
        <f>SUMIFS(BalanceN1[BS_Credit],BalanceN1[Table],"&gt;=16300",BalanceN1[Table],"&lt;16400")</f>
        <v>0</v>
      </c>
      <c r="G11" s="581">
        <f t="shared" si="0"/>
        <v>0</v>
      </c>
      <c r="H11" s="361" t="str">
        <f t="shared" si="1"/>
        <v/>
      </c>
      <c r="I11" s="345"/>
      <c r="J11" s="345"/>
      <c r="K11" s="581">
        <f t="shared" si="2"/>
        <v>0</v>
      </c>
    </row>
    <row r="12" spans="1:11" ht="14.25" customHeight="1">
      <c r="A12" s="1748" t="s">
        <v>1966</v>
      </c>
      <c r="B12" s="1748"/>
      <c r="C12" s="1748"/>
      <c r="D12" s="1748"/>
      <c r="E12" s="581">
        <f>SUMIFS(BalanceN[BS_Credit],BalanceN[Table],"&gt;=16400",BalanceN[Table],"&lt;16500")</f>
        <v>0</v>
      </c>
      <c r="F12" s="581">
        <f>SUMIFS(BalanceN1[BS_Credit],BalanceN1[Table],"&gt;=16400",BalanceN1[Table],"&lt;16500")</f>
        <v>0</v>
      </c>
      <c r="G12" s="581">
        <f t="shared" si="0"/>
        <v>0</v>
      </c>
      <c r="H12" s="361" t="str">
        <f t="shared" si="1"/>
        <v/>
      </c>
      <c r="I12" s="345"/>
      <c r="J12" s="345"/>
      <c r="K12" s="581">
        <f t="shared" si="2"/>
        <v>0</v>
      </c>
    </row>
    <row r="13" spans="1:11" ht="14.25" customHeight="1">
      <c r="A13" s="1748" t="s">
        <v>1967</v>
      </c>
      <c r="B13" s="1748"/>
      <c r="C13" s="1748"/>
      <c r="D13" s="1748"/>
      <c r="E13" s="581">
        <f>SUMIFS(BalanceN[BS_Credit],BalanceN[Table],"&gt;=16500",BalanceN[Table],"&lt;16600")</f>
        <v>2200000</v>
      </c>
      <c r="F13" s="581">
        <f>SUMIFS(BalanceN1[BS_Credit],BalanceN1[Table],"&gt;=16500",BalanceN1[Table],"&lt;16600")</f>
        <v>2200000</v>
      </c>
      <c r="G13" s="581">
        <f t="shared" si="0"/>
        <v>0</v>
      </c>
      <c r="H13" s="361">
        <f t="shared" si="1"/>
        <v>0</v>
      </c>
      <c r="I13" s="345"/>
      <c r="J13" s="345"/>
      <c r="K13" s="581">
        <f t="shared" si="2"/>
        <v>2200000</v>
      </c>
    </row>
    <row r="14" spans="1:11" ht="14.25" customHeight="1">
      <c r="A14" s="1748" t="s">
        <v>1704</v>
      </c>
      <c r="B14" s="1748"/>
      <c r="C14" s="1748"/>
      <c r="D14" s="1748"/>
      <c r="E14" s="581">
        <f>SUMIFS(BalanceN[BS_Credit],BalanceN[Table],"&gt;=16600",BalanceN[Table],"&lt;16700")</f>
        <v>0</v>
      </c>
      <c r="F14" s="581">
        <f>SUMIFS(BalanceN1[BS_Credit],BalanceN1[Table],"&gt;=16600",BalanceN1[Table],"&lt;16700")</f>
        <v>0</v>
      </c>
      <c r="G14" s="581">
        <f t="shared" si="0"/>
        <v>0</v>
      </c>
      <c r="H14" s="361" t="str">
        <f t="shared" si="1"/>
        <v/>
      </c>
      <c r="I14" s="345"/>
      <c r="J14" s="345"/>
      <c r="K14" s="581">
        <f t="shared" si="2"/>
        <v>0</v>
      </c>
    </row>
    <row r="15" spans="1:11" ht="14.25" customHeight="1">
      <c r="A15" s="1748" t="s">
        <v>1968</v>
      </c>
      <c r="B15" s="1748"/>
      <c r="C15" s="1748"/>
      <c r="D15" s="1748"/>
      <c r="E15" s="581">
        <f>SUMIFS(BalanceN[BS_Credit],BalanceN[Table],"&gt;=16700",BalanceN[Table],"&lt;16800")</f>
        <v>0</v>
      </c>
      <c r="F15" s="581">
        <f>SUMIFS(BalanceN1[BS_Credit],BalanceN1[Table],"&gt;=16700",BalanceN1[Table],"&lt;16800")</f>
        <v>0</v>
      </c>
      <c r="G15" s="581">
        <f t="shared" si="0"/>
        <v>0</v>
      </c>
      <c r="H15" s="361" t="str">
        <f t="shared" si="1"/>
        <v/>
      </c>
      <c r="I15" s="345"/>
      <c r="J15" s="345"/>
      <c r="K15" s="581">
        <f t="shared" si="2"/>
        <v>0</v>
      </c>
    </row>
    <row r="16" spans="1:11" ht="14.25" customHeight="1">
      <c r="A16" s="1748" t="s">
        <v>1969</v>
      </c>
      <c r="B16" s="1748"/>
      <c r="C16" s="1748"/>
      <c r="D16" s="1748"/>
      <c r="E16" s="581">
        <f>SUMIFS(BalanceN[BS_Credit],BalanceN[Table],"&gt;=16800",BalanceN[Table],"&lt;16900")</f>
        <v>0</v>
      </c>
      <c r="F16" s="581">
        <f>SUMIFS(BalanceN1[BS_Credit],BalanceN1[Table],"&gt;=16800",BalanceN1[Table],"&lt;16900")</f>
        <v>0</v>
      </c>
      <c r="G16" s="581">
        <f t="shared" si="0"/>
        <v>0</v>
      </c>
      <c r="H16" s="361" t="str">
        <f t="shared" si="1"/>
        <v/>
      </c>
      <c r="I16" s="345"/>
      <c r="J16" s="345"/>
      <c r="K16" s="581">
        <f t="shared" si="2"/>
        <v>0</v>
      </c>
    </row>
    <row r="17" spans="1:11" ht="14.25" customHeight="1">
      <c r="A17" s="1748" t="s">
        <v>1970</v>
      </c>
      <c r="B17" s="1748"/>
      <c r="C17" s="1748"/>
      <c r="D17" s="1748"/>
      <c r="E17" s="581">
        <f>SUMIFS(BalanceN[BS_Credit],BalanceN[Table],"&gt;=18000",BalanceN[Table],"&lt;19000")-SUMIFS(BalanceN[BS_Credit],BalanceN[Table],"&gt;=18400",BalanceN[Table],"&lt;18500")</f>
        <v>0</v>
      </c>
      <c r="F17" s="581">
        <f>SUMIFS(BalanceN1[BS_Credit],BalanceN1[Table],"&gt;=18000",BalanceN1[Table],"&lt;19000")-SUMIFS(BalanceN1[BS_Credit],BalanceN1[Table],"&gt;=18400",BalanceN1[Table],"&lt;18500")</f>
        <v>0</v>
      </c>
      <c r="G17" s="581">
        <f t="shared" si="0"/>
        <v>0</v>
      </c>
      <c r="H17" s="361" t="str">
        <f t="shared" si="1"/>
        <v/>
      </c>
      <c r="I17" s="345"/>
      <c r="J17" s="345"/>
      <c r="K17" s="581">
        <f t="shared" si="2"/>
        <v>0</v>
      </c>
    </row>
    <row r="18" spans="1:11" ht="14.25" customHeight="1">
      <c r="A18" s="1748" t="s">
        <v>1971</v>
      </c>
      <c r="B18" s="1748"/>
      <c r="C18" s="1748"/>
      <c r="D18" s="1748"/>
      <c r="E18" s="581">
        <f>SUMIFS(BalanceN[BS_Credit],BalanceN[Table],"&gt;=18400",BalanceN[Table],"&lt;18500")</f>
        <v>0</v>
      </c>
      <c r="F18" s="581">
        <f>SUMIFS(BalanceN1[BS_Credit],BalanceN1[Table],"&gt;=18400",BalanceN1[Table],"&lt;18500")</f>
        <v>0</v>
      </c>
      <c r="G18" s="581">
        <f t="shared" si="0"/>
        <v>0</v>
      </c>
      <c r="H18" s="361" t="str">
        <f t="shared" si="1"/>
        <v/>
      </c>
      <c r="I18" s="345"/>
      <c r="J18" s="345"/>
      <c r="K18" s="581">
        <f>E18-I18-J18</f>
        <v>0</v>
      </c>
    </row>
    <row r="19" spans="1:11" ht="14.25" customHeight="1">
      <c r="A19" s="1868" t="s">
        <v>1972</v>
      </c>
      <c r="B19" s="1868"/>
      <c r="C19" s="1868"/>
      <c r="D19" s="1868"/>
      <c r="E19" s="580">
        <f>SUM(E9:E18)</f>
        <v>94699075</v>
      </c>
      <c r="F19" s="580">
        <f>SUM(F9:F18)</f>
        <v>2200000</v>
      </c>
      <c r="G19" s="580">
        <f t="shared" si="0"/>
        <v>92499075</v>
      </c>
      <c r="H19" s="363">
        <f t="shared" si="1"/>
        <v>42.045034090909091</v>
      </c>
      <c r="I19" s="580">
        <f>SUM(I9:I18)</f>
        <v>0</v>
      </c>
      <c r="J19" s="580">
        <f>SUM(J9:J18)</f>
        <v>0</v>
      </c>
      <c r="K19" s="580">
        <f>SUM(K9:K18)</f>
        <v>94699075</v>
      </c>
    </row>
    <row r="20" spans="1:11" ht="14.25" customHeight="1">
      <c r="A20" s="1748" t="s">
        <v>1973</v>
      </c>
      <c r="B20" s="1748"/>
      <c r="C20" s="1748"/>
      <c r="D20" s="1748"/>
      <c r="E20" s="581">
        <f>SUMIFS(BalanceN[BS_Credit],BalanceN[Table],"&gt;=172400",BalanceN[Table],"&lt;17300")</f>
        <v>0</v>
      </c>
      <c r="F20" s="581">
        <f>SUMIFS(BalanceN1[BS_Credit],BalanceN1[Table],"&gt;=172400",BalanceN1[Table],"&lt;17300")</f>
        <v>0</v>
      </c>
      <c r="G20" s="581">
        <f t="shared" si="0"/>
        <v>0</v>
      </c>
      <c r="H20" s="361" t="str">
        <f t="shared" si="1"/>
        <v/>
      </c>
      <c r="I20" s="345"/>
      <c r="J20" s="345"/>
      <c r="K20" s="581">
        <f>E20-I20-J20</f>
        <v>0</v>
      </c>
    </row>
    <row r="21" spans="1:11" ht="14.25" customHeight="1">
      <c r="A21" s="1748" t="s">
        <v>1974</v>
      </c>
      <c r="B21" s="1748"/>
      <c r="C21" s="1748"/>
      <c r="D21" s="1748"/>
      <c r="E21" s="581">
        <f>SUMIFS(BalanceN[BS_Credit],BalanceN[Table],"&gt;=17300",BalanceN[Table],"&lt;17400")</f>
        <v>0</v>
      </c>
      <c r="F21" s="581">
        <f>SUMIFS(BalanceN1[BS_Credit],BalanceN1[Table],"&gt;=17300",BalanceN1[Table],"&lt;17400")</f>
        <v>0</v>
      </c>
      <c r="G21" s="581">
        <f t="shared" si="0"/>
        <v>0</v>
      </c>
      <c r="H21" s="361" t="str">
        <f t="shared" si="1"/>
        <v/>
      </c>
      <c r="I21" s="345"/>
      <c r="J21" s="345"/>
      <c r="K21" s="581">
        <f>E21-I21-J21</f>
        <v>0</v>
      </c>
    </row>
    <row r="22" spans="1:11" ht="14.25" customHeight="1">
      <c r="A22" s="1748" t="s">
        <v>1975</v>
      </c>
      <c r="B22" s="1748"/>
      <c r="C22" s="1748"/>
      <c r="D22" s="1748"/>
      <c r="E22" s="581">
        <f>SUMIFS(BalanceN[BS_Credit],BalanceN[Table],"&gt;=17400",BalanceN[Table],"&lt;17500")</f>
        <v>0</v>
      </c>
      <c r="F22" s="581">
        <f>SUMIFS(BalanceN1[BS_Credit],BalanceN1[Table],"&gt;=17400",BalanceN1[Table],"&lt;17500")</f>
        <v>0</v>
      </c>
      <c r="G22" s="581">
        <f t="shared" si="0"/>
        <v>0</v>
      </c>
      <c r="H22" s="361" t="str">
        <f t="shared" si="1"/>
        <v/>
      </c>
      <c r="I22" s="345"/>
      <c r="J22" s="345"/>
      <c r="K22" s="581">
        <f>E22-I22-J22</f>
        <v>0</v>
      </c>
    </row>
    <row r="23" spans="1:11" ht="14.25" customHeight="1">
      <c r="A23" s="1748" t="s">
        <v>1704</v>
      </c>
      <c r="B23" s="1748"/>
      <c r="C23" s="1748"/>
      <c r="D23" s="1748"/>
      <c r="E23" s="581">
        <f>SUMIFS(BalanceN[BS_Credit],BalanceN[Table],"&gt;=17600",BalanceN[Table],"&lt;17700")</f>
        <v>0</v>
      </c>
      <c r="F23" s="581">
        <f>SUMIFS(BalanceN1[BS_Credit],BalanceN1[Table],"&gt;=17600",BalanceN1[Table],"&lt;17700")</f>
        <v>0</v>
      </c>
      <c r="G23" s="581">
        <f t="shared" si="0"/>
        <v>0</v>
      </c>
      <c r="H23" s="361" t="str">
        <f t="shared" si="1"/>
        <v/>
      </c>
      <c r="I23" s="345"/>
      <c r="J23" s="345"/>
      <c r="K23" s="581">
        <f>E23-I23-J23</f>
        <v>0</v>
      </c>
    </row>
    <row r="24" spans="1:11" ht="14.25" customHeight="1">
      <c r="A24" s="1748" t="s">
        <v>1976</v>
      </c>
      <c r="B24" s="1748"/>
      <c r="C24" s="1748"/>
      <c r="D24" s="1748"/>
      <c r="E24" s="581">
        <f>SUMIFS(BalanceN[BS_Credit],BalanceN[Table],"&gt;=17800",BalanceN[Table],"&lt;17900")</f>
        <v>0</v>
      </c>
      <c r="F24" s="581">
        <f>SUMIFS(BalanceN1[BS_Credit],BalanceN1[Table],"&gt;=17800",BalanceN1[Table],"&lt;17900")</f>
        <v>0</v>
      </c>
      <c r="G24" s="581">
        <f t="shared" si="0"/>
        <v>0</v>
      </c>
      <c r="H24" s="361" t="str">
        <f t="shared" si="1"/>
        <v/>
      </c>
      <c r="I24" s="345"/>
      <c r="J24" s="345"/>
      <c r="K24" s="581">
        <f>E24-I24-J24</f>
        <v>0</v>
      </c>
    </row>
    <row r="25" spans="1:11" ht="14.25" customHeight="1">
      <c r="A25" s="1868" t="s">
        <v>1977</v>
      </c>
      <c r="B25" s="1868"/>
      <c r="C25" s="1868"/>
      <c r="D25" s="1868"/>
      <c r="E25" s="580">
        <f>SUM(E20:E24)</f>
        <v>0</v>
      </c>
      <c r="F25" s="580">
        <f>SUM(F20:F24)</f>
        <v>0</v>
      </c>
      <c r="G25" s="580">
        <f t="shared" si="0"/>
        <v>0</v>
      </c>
      <c r="H25" s="363" t="str">
        <f t="shared" si="1"/>
        <v/>
      </c>
      <c r="I25" s="580">
        <f>SUM(I20:I24)</f>
        <v>0</v>
      </c>
      <c r="J25" s="580">
        <f>SUM(J20:J24)</f>
        <v>0</v>
      </c>
      <c r="K25" s="580">
        <f>SUM(K20:K24)</f>
        <v>0</v>
      </c>
    </row>
    <row r="26" spans="1:11" ht="14.25" customHeight="1">
      <c r="A26" s="1748" t="s">
        <v>1978</v>
      </c>
      <c r="B26" s="1748"/>
      <c r="C26" s="1748"/>
      <c r="D26" s="1748"/>
      <c r="E26" s="581">
        <f>SUMIFS(BalanceN[BS_Credit],BalanceN[Table],"&gt;=19100",BalanceN[Table],"&lt;19200")</f>
        <v>0</v>
      </c>
      <c r="F26" s="581">
        <f>SUMIFS(BalanceN1[BS_Credit],BalanceN1[Table],"&gt;=19100",BalanceN1[Table],"&lt;19200")</f>
        <v>0</v>
      </c>
      <c r="G26" s="581">
        <f t="shared" si="0"/>
        <v>0</v>
      </c>
      <c r="H26" s="361" t="str">
        <f t="shared" si="1"/>
        <v/>
      </c>
      <c r="I26" s="404"/>
      <c r="J26" s="405"/>
      <c r="K26" s="406"/>
    </row>
    <row r="27" spans="1:11" ht="14.25" customHeight="1">
      <c r="A27" s="1748" t="s">
        <v>1979</v>
      </c>
      <c r="B27" s="1748"/>
      <c r="C27" s="1748"/>
      <c r="D27" s="1748"/>
      <c r="E27" s="581">
        <f>SUMIFS(BalanceN[BS_Credit],BalanceN[Table],"&gt;=19200",BalanceN[Table],"&lt;19300")</f>
        <v>0</v>
      </c>
      <c r="F27" s="581">
        <f>SUMIFS(BalanceN1[BS_Credit],BalanceN1[Table],"&gt;=19200",BalanceN1[Table],"&lt;19300")</f>
        <v>0</v>
      </c>
      <c r="G27" s="581">
        <f t="shared" si="0"/>
        <v>0</v>
      </c>
      <c r="H27" s="361" t="str">
        <f t="shared" si="1"/>
        <v/>
      </c>
      <c r="I27" s="407"/>
      <c r="J27" s="408"/>
      <c r="K27" s="409"/>
    </row>
    <row r="28" spans="1:11" ht="14.25" customHeight="1">
      <c r="A28" s="1748" t="s">
        <v>1980</v>
      </c>
      <c r="B28" s="1748"/>
      <c r="C28" s="1748"/>
      <c r="D28" s="1748"/>
      <c r="E28" s="581">
        <f>SUMIFS(BalanceN[BS_Credit],BalanceN[Table],"&gt;=19300",BalanceN[Table],"&lt;19400")</f>
        <v>0</v>
      </c>
      <c r="F28" s="581">
        <f>SUMIFS(BalanceN1[BS_Credit],BalanceN1[Table],"&gt;=19300",BalanceN1[Table],"&lt;19400")</f>
        <v>0</v>
      </c>
      <c r="G28" s="581">
        <f t="shared" si="0"/>
        <v>0</v>
      </c>
      <c r="H28" s="361" t="str">
        <f t="shared" si="1"/>
        <v/>
      </c>
      <c r="I28" s="407"/>
      <c r="J28" s="408"/>
      <c r="K28" s="409"/>
    </row>
    <row r="29" spans="1:11" ht="14.25" customHeight="1">
      <c r="A29" s="1748" t="s">
        <v>1981</v>
      </c>
      <c r="B29" s="1748"/>
      <c r="C29" s="1748"/>
      <c r="D29" s="1748"/>
      <c r="E29" s="581">
        <f>SUMIFS(BalanceN[BS_Credit],BalanceN[Table],"&gt;=19400",BalanceN[Table],"&lt;19500")</f>
        <v>0</v>
      </c>
      <c r="F29" s="581">
        <f>SUMIFS(BalanceN1[BS_Credit],BalanceN1[Table],"&gt;=19400",BalanceN1[Table],"&lt;19500")</f>
        <v>0</v>
      </c>
      <c r="G29" s="581">
        <f t="shared" si="0"/>
        <v>0</v>
      </c>
      <c r="H29" s="361" t="str">
        <f t="shared" si="1"/>
        <v/>
      </c>
      <c r="I29" s="407"/>
      <c r="J29" s="408"/>
      <c r="K29" s="409"/>
    </row>
    <row r="30" spans="1:11" ht="14.25" customHeight="1">
      <c r="A30" s="1748" t="s">
        <v>1982</v>
      </c>
      <c r="B30" s="1748"/>
      <c r="C30" s="1748"/>
      <c r="D30" s="1748"/>
      <c r="E30" s="581">
        <f>SUMIFS(BalanceN[BS_Credit],BalanceN[Table],"&gt;=19500",BalanceN[Table],"&lt;19600")</f>
        <v>0</v>
      </c>
      <c r="F30" s="581">
        <f>SUMIFS(BalanceN1[BS_Credit],BalanceN1[Table],"&gt;=19500",BalanceN1[Table],"&lt;19600")</f>
        <v>0</v>
      </c>
      <c r="G30" s="581">
        <f t="shared" si="0"/>
        <v>0</v>
      </c>
      <c r="H30" s="361" t="str">
        <f t="shared" si="1"/>
        <v/>
      </c>
      <c r="I30" s="407"/>
      <c r="J30" s="408"/>
      <c r="K30" s="409"/>
    </row>
    <row r="31" spans="1:11" ht="14.25" customHeight="1">
      <c r="A31" s="1748" t="s">
        <v>1983</v>
      </c>
      <c r="B31" s="1748"/>
      <c r="C31" s="1748"/>
      <c r="D31" s="1748"/>
      <c r="E31" s="581">
        <f>SUMIFS(BalanceN[BS_Credit],BalanceN[Table],"&gt;=19610",BalanceN[Table],"&lt;19620")</f>
        <v>62116366</v>
      </c>
      <c r="F31" s="581">
        <f>SUMIFS(BalanceN1[BS_Credit],BalanceN1[Table],"&gt;=19610",BalanceN1[Table],"&lt;19620")</f>
        <v>54864697</v>
      </c>
      <c r="G31" s="581">
        <f t="shared" si="0"/>
        <v>7251669</v>
      </c>
      <c r="H31" s="361">
        <f t="shared" si="1"/>
        <v>0.13217368173927946</v>
      </c>
      <c r="I31" s="407"/>
      <c r="J31" s="408"/>
      <c r="K31" s="409"/>
    </row>
    <row r="32" spans="1:11" ht="14.25" customHeight="1">
      <c r="A32" s="1748" t="s">
        <v>1984</v>
      </c>
      <c r="B32" s="1748"/>
      <c r="C32" s="1748"/>
      <c r="D32" s="1748"/>
      <c r="E32" s="581">
        <f>SUMIFS(BalanceN[BS_Credit],BalanceN[Table],"&gt;=19620",BalanceN[Table],"&lt;19630")</f>
        <v>0</v>
      </c>
      <c r="F32" s="581">
        <f>SUMIFS(BalanceN1[BS_Credit],BalanceN1[Table],"&gt;=19620",BalanceN1[Table],"&lt;19630")</f>
        <v>0</v>
      </c>
      <c r="G32" s="581">
        <f t="shared" si="0"/>
        <v>0</v>
      </c>
      <c r="H32" s="361" t="str">
        <f t="shared" si="1"/>
        <v/>
      </c>
      <c r="I32" s="407"/>
      <c r="J32" s="408"/>
      <c r="K32" s="409"/>
    </row>
    <row r="33" spans="1:11" ht="14.25" customHeight="1">
      <c r="A33" s="1748" t="s">
        <v>1985</v>
      </c>
      <c r="B33" s="1748"/>
      <c r="C33" s="1748"/>
      <c r="D33" s="1748"/>
      <c r="E33" s="581">
        <f>SUMIFS(BalanceN[BS_Credit],BalanceN[Table],"&gt;=19700",BalanceN[Table],"&lt;19800")</f>
        <v>0</v>
      </c>
      <c r="F33" s="581">
        <f>SUMIFS(BalanceN1[BS_Credit],BalanceN1[Table],"&gt;=19700",BalanceN1[Table],"&lt;19800")</f>
        <v>0</v>
      </c>
      <c r="G33" s="581">
        <f t="shared" si="0"/>
        <v>0</v>
      </c>
      <c r="H33" s="361" t="str">
        <f t="shared" si="1"/>
        <v/>
      </c>
      <c r="I33" s="407"/>
      <c r="J33" s="408"/>
      <c r="K33" s="409"/>
    </row>
    <row r="34" spans="1:11" ht="14.25" customHeight="1">
      <c r="A34" s="1748" t="s">
        <v>1986</v>
      </c>
      <c r="B34" s="1748"/>
      <c r="C34" s="1748"/>
      <c r="D34" s="1748"/>
      <c r="E34" s="581">
        <f>SUMIFS(BalanceN[BS_Credit],BalanceN[Table],"&gt;=19810",BalanceN[Table],"&lt;19820")</f>
        <v>0</v>
      </c>
      <c r="F34" s="581">
        <f>SUMIFS(BalanceN1[BS_Credit],BalanceN1[Table],"&gt;=19810",BalanceN1[Table],"&lt;19820")</f>
        <v>0</v>
      </c>
      <c r="G34" s="581">
        <f t="shared" si="0"/>
        <v>0</v>
      </c>
      <c r="H34" s="361" t="str">
        <f t="shared" si="1"/>
        <v/>
      </c>
      <c r="I34" s="407"/>
      <c r="J34" s="408"/>
      <c r="K34" s="409"/>
    </row>
    <row r="35" spans="1:11" ht="14.25" customHeight="1">
      <c r="A35" s="1748" t="s">
        <v>1987</v>
      </c>
      <c r="B35" s="1748"/>
      <c r="C35" s="1748"/>
      <c r="D35" s="1748"/>
      <c r="E35" s="581">
        <f>SUMIFS(BalanceN[BS_Credit],BalanceN[Table],"&gt;=19830",BalanceN[Table],"&lt;19840")</f>
        <v>0</v>
      </c>
      <c r="F35" s="581">
        <f>SUMIFS(BalanceN1[BS_Credit],BalanceN1[Table],"&gt;=19830",BalanceN1[Table],"&lt;19840")</f>
        <v>0</v>
      </c>
      <c r="G35" s="581">
        <f t="shared" si="0"/>
        <v>0</v>
      </c>
      <c r="H35" s="361" t="str">
        <f t="shared" si="1"/>
        <v/>
      </c>
      <c r="I35" s="407"/>
      <c r="J35" s="408"/>
      <c r="K35" s="409"/>
    </row>
    <row r="36" spans="1:11" ht="14.25" customHeight="1">
      <c r="A36" s="1748" t="s">
        <v>1988</v>
      </c>
      <c r="B36" s="1748"/>
      <c r="C36" s="1748"/>
      <c r="D36" s="1748"/>
      <c r="E36" s="581">
        <f>SUMIFS(BalanceN[BS_Credit],BalanceN[Table],"&gt;=19840",BalanceN[Table],"&lt;19850")</f>
        <v>0</v>
      </c>
      <c r="F36" s="581">
        <f>SUMIFS(BalanceN1[BS_Credit],BalanceN1[Table],"&gt;=19840",BalanceN1[Table],"&lt;19850")</f>
        <v>0</v>
      </c>
      <c r="G36" s="581">
        <f t="shared" si="0"/>
        <v>0</v>
      </c>
      <c r="H36" s="361" t="str">
        <f t="shared" si="1"/>
        <v/>
      </c>
      <c r="I36" s="407"/>
      <c r="J36" s="408"/>
      <c r="K36" s="409"/>
    </row>
    <row r="37" spans="1:11" ht="14.25" customHeight="1">
      <c r="A37" s="1748" t="s">
        <v>1989</v>
      </c>
      <c r="B37" s="1748"/>
      <c r="C37" s="1748"/>
      <c r="D37" s="1748"/>
      <c r="E37" s="581">
        <f>SUMIFS(BalanceN[BS_Credit],BalanceN[Table],"&gt;=19850",BalanceN[Table],"&lt;19860")</f>
        <v>0</v>
      </c>
      <c r="F37" s="581">
        <f>SUMIFS(BalanceN1[BS_Credit],BalanceN1[Table],"&gt;=19850",BalanceN1[Table],"&lt;19860")</f>
        <v>0</v>
      </c>
      <c r="G37" s="581">
        <f t="shared" si="0"/>
        <v>0</v>
      </c>
      <c r="H37" s="361" t="str">
        <f t="shared" si="1"/>
        <v/>
      </c>
      <c r="I37" s="407"/>
      <c r="J37" s="408"/>
      <c r="K37" s="409"/>
    </row>
    <row r="38" spans="1:11" ht="14.25" customHeight="1">
      <c r="A38" s="1748" t="s">
        <v>1990</v>
      </c>
      <c r="B38" s="1748"/>
      <c r="C38" s="1748"/>
      <c r="D38" s="1748"/>
      <c r="E38" s="581">
        <f>SUMIFS(BalanceN[BS_Credit],BalanceN[Table],"&gt;=19880",BalanceN[Table],"&lt;19890")</f>
        <v>0</v>
      </c>
      <c r="F38" s="581">
        <f>SUMIFS(BalanceN1[BS_Credit],BalanceN1[Table],"&gt;=19880",BalanceN1[Table],"&lt;19890")</f>
        <v>0</v>
      </c>
      <c r="G38" s="581">
        <f t="shared" si="0"/>
        <v>0</v>
      </c>
      <c r="H38" s="361" t="str">
        <f t="shared" si="1"/>
        <v/>
      </c>
      <c r="I38" s="407"/>
      <c r="J38" s="408"/>
      <c r="K38" s="409"/>
    </row>
    <row r="39" spans="1:11" ht="14.25" customHeight="1">
      <c r="A39" s="1868" t="s">
        <v>1991</v>
      </c>
      <c r="B39" s="1868"/>
      <c r="C39" s="1868"/>
      <c r="D39" s="1868"/>
      <c r="E39" s="580">
        <f>SUM(E26:E38)</f>
        <v>62116366</v>
      </c>
      <c r="F39" s="580">
        <f>SUM(F26:F38)</f>
        <v>54864697</v>
      </c>
      <c r="G39" s="580">
        <f>(E39-F39)</f>
        <v>7251669</v>
      </c>
      <c r="H39" s="363">
        <f t="shared" si="1"/>
        <v>0.13217368173927946</v>
      </c>
      <c r="I39" s="410"/>
      <c r="J39" s="411"/>
      <c r="K39" s="412"/>
    </row>
    <row r="40" spans="1:11">
      <c r="A40" s="1932" t="s">
        <v>1992</v>
      </c>
      <c r="B40" s="1933"/>
      <c r="C40" s="1933"/>
      <c r="D40" s="1933"/>
      <c r="E40" s="1933"/>
      <c r="F40" s="1933"/>
      <c r="G40" s="1933"/>
      <c r="H40" s="1933"/>
      <c r="I40" s="1933"/>
      <c r="J40" s="1933"/>
      <c r="K40" s="1933"/>
    </row>
    <row r="41" spans="1:11" s="793" customFormat="1" ht="10.5">
      <c r="A41" s="836" t="s">
        <v>1993</v>
      </c>
    </row>
    <row r="42" spans="1:11" s="793" customFormat="1" ht="11.25" customHeight="1">
      <c r="A42" s="800" t="s">
        <v>1994</v>
      </c>
    </row>
    <row r="43" spans="1:11" s="793" customFormat="1" ht="11.25" customHeight="1">
      <c r="A43" s="800" t="s">
        <v>1995</v>
      </c>
    </row>
    <row r="44" spans="1:11" s="793" customFormat="1" ht="11.25" customHeight="1">
      <c r="A44" s="819" t="s">
        <v>1996</v>
      </c>
    </row>
    <row r="45" spans="1:11" s="839" customFormat="1" ht="11.25" customHeight="1">
      <c r="A45" s="1934" t="s">
        <v>1997</v>
      </c>
      <c r="B45" s="1934"/>
      <c r="C45" s="1934"/>
      <c r="D45" s="1934"/>
      <c r="E45" s="1934"/>
      <c r="F45" s="1934"/>
      <c r="G45" s="837"/>
      <c r="H45" s="837"/>
      <c r="I45" s="838"/>
      <c r="J45" s="838"/>
    </row>
    <row r="46" spans="1:11" s="839" customFormat="1" ht="11.25" customHeight="1">
      <c r="A46" s="1931" t="s">
        <v>1998</v>
      </c>
      <c r="B46" s="1931"/>
      <c r="C46" s="1931"/>
      <c r="D46" s="1931"/>
      <c r="E46" s="1931"/>
      <c r="F46" s="1931"/>
      <c r="G46" s="1931"/>
      <c r="H46" s="1931"/>
      <c r="I46" s="1931"/>
      <c r="J46" s="1931"/>
    </row>
  </sheetData>
  <sheetProtection algorithmName="SHA-512" hashValue="JNPC83lgAHFlIt2dKBAq7YmtNSotIXg7VT37VO/NaBz7mimqsO9r2H/te/y+Vz4/xwkm3Pf6/YqV2WZ+OP1MKA==" saltValue="I+hwsXJLiWaGelGKLMcr3A==" spinCount="100000" sheet="1" objects="1" scenarios="1" selectLockedCells="1"/>
  <mergeCells count="43">
    <mergeCell ref="A11:D11"/>
    <mergeCell ref="A1:K1"/>
    <mergeCell ref="J2:K2"/>
    <mergeCell ref="C3:K3"/>
    <mergeCell ref="B4:I4"/>
    <mergeCell ref="C5:F5"/>
    <mergeCell ref="G5:H5"/>
    <mergeCell ref="C6:F6"/>
    <mergeCell ref="A7:K7"/>
    <mergeCell ref="A8:D8"/>
    <mergeCell ref="A9:D9"/>
    <mergeCell ref="A10:D10"/>
    <mergeCell ref="A23:D23"/>
    <mergeCell ref="A12:D12"/>
    <mergeCell ref="A13:D13"/>
    <mergeCell ref="A14:D14"/>
    <mergeCell ref="A15:D15"/>
    <mergeCell ref="A16:D16"/>
    <mergeCell ref="A17:D17"/>
    <mergeCell ref="A18:D18"/>
    <mergeCell ref="A19:D19"/>
    <mergeCell ref="A20:D20"/>
    <mergeCell ref="A21:D21"/>
    <mergeCell ref="A22:D22"/>
    <mergeCell ref="A35:D35"/>
    <mergeCell ref="A24:D24"/>
    <mergeCell ref="A25:D25"/>
    <mergeCell ref="A26:D26"/>
    <mergeCell ref="A27:D27"/>
    <mergeCell ref="A28:D28"/>
    <mergeCell ref="A29:D29"/>
    <mergeCell ref="A30:D30"/>
    <mergeCell ref="A31:D31"/>
    <mergeCell ref="A32:D32"/>
    <mergeCell ref="A33:D33"/>
    <mergeCell ref="A34:D34"/>
    <mergeCell ref="A46:J46"/>
    <mergeCell ref="A36:D36"/>
    <mergeCell ref="A37:D37"/>
    <mergeCell ref="A38:D38"/>
    <mergeCell ref="A39:D39"/>
    <mergeCell ref="A40:K40"/>
    <mergeCell ref="A45:F45"/>
  </mergeCells>
  <conditionalFormatting sqref="E9:G39 K9:K25 I25:J25 I19:J19">
    <cfRule type="cellIs" dxfId="171" priority="1" operator="equal">
      <formula>0</formula>
    </cfRule>
  </conditionalFormatting>
  <dataValidations count="1">
    <dataValidation type="whole" allowBlank="1" showInputMessage="1" showErrorMessage="1" errorTitle="Attention!" error="Valeur numérique attendue" sqref="E9:F18 I9:K18 E20:F24 I20:K24 E26:F38" xr:uid="{36EC9C73-D8E5-4E97-8449-0D3245114DA3}">
      <formula1>-9999999999999</formula1>
      <formula2>9999999999999</formula2>
    </dataValidation>
  </dataValidations>
  <printOptions horizontalCentered="1"/>
  <pageMargins left="0.31496062992125984" right="0.31496062992125984" top="0.35433070866141736" bottom="0.35433070866141736" header="0.11811023622047245" footer="0.11811023622047245"/>
  <pageSetup paperSize="9" scale="78"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BF6E-09DB-4743-936D-4362D7480918}">
  <sheetPr codeName="Feuil40">
    <tabColor theme="9" tint="0.39997558519241921"/>
    <pageSetUpPr fitToPage="1"/>
  </sheetPr>
  <dimension ref="A1:I38"/>
  <sheetViews>
    <sheetView showGridLines="0" showRowColHeaders="0" topLeftCell="A6" zoomScaleNormal="100" workbookViewId="0">
      <selection activeCell="H10" sqref="H10"/>
    </sheetView>
  </sheetViews>
  <sheetFormatPr baseColWidth="10" defaultColWidth="11.5234375" defaultRowHeight="14.4"/>
  <cols>
    <col min="1" max="1" width="11.5234375" style="103"/>
    <col min="2" max="2" width="16.1015625" style="103" customWidth="1"/>
    <col min="3" max="3" width="6.1015625" style="103" customWidth="1"/>
    <col min="4" max="4" width="7.3125" style="103" customWidth="1"/>
    <col min="5" max="5" width="11" style="103" customWidth="1"/>
    <col min="6" max="7" width="16.68359375" style="103" customWidth="1"/>
    <col min="8" max="9" width="15.3125" style="103" customWidth="1"/>
    <col min="10" max="16384" width="11.5234375" style="103"/>
  </cols>
  <sheetData>
    <row r="1" spans="1:9">
      <c r="A1" s="1276" t="str">
        <f>"- "&amp;Code!K40&amp;" -"</f>
        <v>- 22 -</v>
      </c>
      <c r="B1" s="1276"/>
      <c r="C1" s="1276"/>
      <c r="D1" s="1276"/>
      <c r="E1" s="1276"/>
      <c r="F1" s="1276"/>
      <c r="G1" s="1276"/>
      <c r="H1" s="1276"/>
      <c r="I1" s="1276"/>
    </row>
    <row r="2" spans="1:9" ht="24.9" customHeight="1">
      <c r="A2" s="576"/>
      <c r="B2" s="576"/>
      <c r="C2" s="576"/>
      <c r="D2" s="576"/>
      <c r="E2" s="576"/>
      <c r="F2" s="576"/>
      <c r="G2" s="576"/>
      <c r="H2" s="1278" t="s">
        <v>1999</v>
      </c>
      <c r="I2" s="1765"/>
    </row>
    <row r="3" spans="1:9" s="626" customFormat="1" ht="15" customHeight="1">
      <c r="A3" s="317" t="s">
        <v>50</v>
      </c>
      <c r="B3" s="317"/>
      <c r="C3" s="1280" t="str">
        <f>'NOTE 11'!C3</f>
        <v>OHADA</v>
      </c>
      <c r="D3" s="1280"/>
      <c r="E3" s="1280"/>
      <c r="F3" s="1280"/>
      <c r="G3" s="1280"/>
      <c r="H3" s="1280"/>
      <c r="I3" s="1280"/>
    </row>
    <row r="4" spans="1:9" s="626" customFormat="1" ht="15" customHeight="1">
      <c r="A4" s="317" t="s">
        <v>51</v>
      </c>
      <c r="B4" s="1280" t="str">
        <f>'NOTE 11'!B4</f>
        <v/>
      </c>
      <c r="C4" s="1281"/>
      <c r="D4" s="1281"/>
      <c r="E4" s="1281"/>
      <c r="F4" s="1281"/>
      <c r="G4" s="1281"/>
      <c r="H4" s="627" t="s">
        <v>1021</v>
      </c>
      <c r="I4" s="630" t="str">
        <f>'NOTE 11'!I4</f>
        <v/>
      </c>
    </row>
    <row r="5" spans="1:9" s="626" customFormat="1" ht="15" customHeight="1">
      <c r="A5" s="317" t="s">
        <v>1597</v>
      </c>
      <c r="B5" s="317"/>
      <c r="C5" s="1281" t="str">
        <f>'NOTE 11'!C5</f>
        <v/>
      </c>
      <c r="D5" s="1281"/>
      <c r="E5" s="1281"/>
      <c r="F5" s="642" t="s">
        <v>54</v>
      </c>
      <c r="G5" s="647">
        <f>'NOTE 11'!F5</f>
        <v>0</v>
      </c>
      <c r="H5" s="627" t="s">
        <v>55</v>
      </c>
      <c r="I5" s="795">
        <f>'NOTE 11'!I5</f>
        <v>1</v>
      </c>
    </row>
    <row r="6" spans="1:9" s="626" customFormat="1" ht="15" customHeight="1">
      <c r="A6" s="317" t="s">
        <v>1533</v>
      </c>
      <c r="B6" s="317"/>
      <c r="C6" s="1275" t="str">
        <f>'NOTE 11'!C6</f>
        <v/>
      </c>
      <c r="D6" s="1275"/>
      <c r="E6" s="1275"/>
      <c r="F6" s="638"/>
      <c r="G6" s="630"/>
      <c r="H6" s="629"/>
      <c r="I6" s="630"/>
    </row>
    <row r="7" spans="1:9" ht="35.25" customHeight="1">
      <c r="A7" s="1273" t="s">
        <v>2000</v>
      </c>
      <c r="B7" s="1273"/>
      <c r="C7" s="1273"/>
      <c r="D7" s="1273"/>
      <c r="E7" s="1273"/>
      <c r="F7" s="1273"/>
      <c r="G7" s="1273"/>
      <c r="H7" s="1273"/>
      <c r="I7" s="1273"/>
    </row>
    <row r="8" spans="1:9" ht="27.75" customHeight="1">
      <c r="A8" s="1936" t="s">
        <v>2001</v>
      </c>
      <c r="B8" s="1936"/>
      <c r="C8" s="1936"/>
      <c r="D8" s="1936"/>
      <c r="E8" s="1936"/>
      <c r="F8" s="1936"/>
      <c r="G8" s="1936"/>
      <c r="H8" s="1936"/>
      <c r="I8" s="1936"/>
    </row>
    <row r="9" spans="1:9" ht="18.75" customHeight="1">
      <c r="A9" s="1643" t="s">
        <v>1692</v>
      </c>
      <c r="B9" s="1643"/>
      <c r="C9" s="1643"/>
      <c r="D9" s="1643"/>
      <c r="E9" s="1643"/>
      <c r="F9" s="1643"/>
      <c r="G9" s="1643"/>
      <c r="H9" s="797" t="s">
        <v>1693</v>
      </c>
      <c r="I9" s="797" t="s">
        <v>1694</v>
      </c>
    </row>
    <row r="10" spans="1:9" ht="18.75" customHeight="1">
      <c r="A10" s="1748" t="s">
        <v>2002</v>
      </c>
      <c r="B10" s="1748"/>
      <c r="C10" s="1748"/>
      <c r="D10" s="1748"/>
      <c r="E10" s="1748"/>
      <c r="F10" s="1748"/>
      <c r="G10" s="1748"/>
      <c r="H10" s="345"/>
      <c r="I10" s="345"/>
    </row>
    <row r="11" spans="1:9" ht="18.75" customHeight="1">
      <c r="A11" s="1748" t="s">
        <v>2003</v>
      </c>
      <c r="B11" s="1748"/>
      <c r="C11" s="1748"/>
      <c r="D11" s="1748"/>
      <c r="E11" s="1748"/>
      <c r="F11" s="1748"/>
      <c r="G11" s="1748"/>
      <c r="H11" s="345"/>
      <c r="I11" s="345"/>
    </row>
    <row r="12" spans="1:9" ht="18.75" customHeight="1">
      <c r="A12" s="1748" t="s">
        <v>2004</v>
      </c>
      <c r="B12" s="1748"/>
      <c r="C12" s="1748"/>
      <c r="D12" s="1748"/>
      <c r="E12" s="1748"/>
      <c r="F12" s="1748"/>
      <c r="G12" s="1748"/>
      <c r="H12" s="345"/>
      <c r="I12" s="345"/>
    </row>
    <row r="13" spans="1:9" ht="18.75" customHeight="1">
      <c r="A13" s="1748" t="s">
        <v>2005</v>
      </c>
      <c r="B13" s="1748"/>
      <c r="C13" s="1748"/>
      <c r="D13" s="1748"/>
      <c r="E13" s="1748"/>
      <c r="F13" s="1748"/>
      <c r="G13" s="1748"/>
      <c r="H13" s="345"/>
      <c r="I13" s="345"/>
    </row>
    <row r="14" spans="1:9" ht="18.75" customHeight="1">
      <c r="A14" s="1748" t="s">
        <v>2006</v>
      </c>
      <c r="B14" s="1748"/>
      <c r="C14" s="1748"/>
      <c r="D14" s="1748"/>
      <c r="E14" s="1748"/>
      <c r="F14" s="1748"/>
      <c r="G14" s="1748"/>
      <c r="H14" s="345"/>
      <c r="I14" s="345"/>
    </row>
    <row r="15" spans="1:9" ht="18.75" customHeight="1">
      <c r="A15" s="1748" t="s">
        <v>2007</v>
      </c>
      <c r="B15" s="1748"/>
      <c r="C15" s="1748"/>
      <c r="D15" s="1748"/>
      <c r="E15" s="1748"/>
      <c r="F15" s="1748"/>
      <c r="G15" s="1748"/>
      <c r="H15" s="345"/>
      <c r="I15" s="345"/>
    </row>
    <row r="16" spans="1:9" s="653" customFormat="1" ht="12" customHeight="1">
      <c r="A16" s="798" t="s">
        <v>1761</v>
      </c>
      <c r="B16" s="811"/>
      <c r="C16" s="811"/>
      <c r="D16" s="811"/>
      <c r="E16" s="811"/>
      <c r="F16" s="811"/>
      <c r="G16" s="811"/>
      <c r="H16" s="835"/>
      <c r="I16" s="835"/>
    </row>
    <row r="17" spans="1:9" s="653" customFormat="1" ht="12" customHeight="1">
      <c r="A17" s="800" t="s">
        <v>2008</v>
      </c>
      <c r="B17" s="811"/>
      <c r="C17" s="811"/>
      <c r="D17" s="811"/>
      <c r="E17" s="811"/>
      <c r="F17" s="811"/>
      <c r="G17" s="811"/>
      <c r="H17" s="835"/>
      <c r="I17" s="835"/>
    </row>
    <row r="18" spans="1:9" ht="12.75" customHeight="1">
      <c r="B18" s="317"/>
      <c r="C18" s="317"/>
      <c r="D18" s="317"/>
      <c r="E18" s="317"/>
      <c r="F18" s="317"/>
      <c r="G18" s="317"/>
      <c r="H18" s="317"/>
      <c r="I18" s="626"/>
    </row>
    <row r="19" spans="1:9" ht="27.75" customHeight="1">
      <c r="A19" s="1936" t="s">
        <v>2009</v>
      </c>
      <c r="B19" s="1936"/>
      <c r="C19" s="1936"/>
      <c r="D19" s="1936"/>
      <c r="E19" s="1936"/>
      <c r="F19" s="1936"/>
      <c r="G19" s="1936"/>
      <c r="H19" s="1936"/>
      <c r="I19" s="1936"/>
    </row>
    <row r="20" spans="1:9" ht="18.75" customHeight="1">
      <c r="A20" s="1643" t="s">
        <v>1692</v>
      </c>
      <c r="B20" s="1643"/>
      <c r="C20" s="1643"/>
      <c r="D20" s="1643"/>
      <c r="E20" s="1643"/>
      <c r="F20" s="1643"/>
      <c r="G20" s="1643"/>
      <c r="H20" s="797" t="s">
        <v>1693</v>
      </c>
      <c r="I20" s="797" t="s">
        <v>1694</v>
      </c>
    </row>
    <row r="21" spans="1:9" ht="18.75" customHeight="1">
      <c r="A21" s="1750" t="s">
        <v>2010</v>
      </c>
      <c r="B21" s="1750"/>
      <c r="C21" s="1750"/>
      <c r="D21" s="1750"/>
      <c r="E21" s="1750"/>
      <c r="F21" s="1750"/>
      <c r="G21" s="1750"/>
      <c r="H21" s="384"/>
      <c r="I21" s="384"/>
    </row>
    <row r="22" spans="1:9" ht="18.75" customHeight="1">
      <c r="A22" s="1748" t="s">
        <v>2011</v>
      </c>
      <c r="B22" s="1748"/>
      <c r="C22" s="1748"/>
      <c r="D22" s="1748"/>
      <c r="E22" s="1748"/>
      <c r="F22" s="1748"/>
      <c r="G22" s="1748"/>
      <c r="H22" s="345"/>
      <c r="I22" s="345"/>
    </row>
    <row r="23" spans="1:9" ht="18.75" customHeight="1">
      <c r="A23" s="1748" t="s">
        <v>2012</v>
      </c>
      <c r="B23" s="1748"/>
      <c r="C23" s="1748"/>
      <c r="D23" s="1748"/>
      <c r="E23" s="1748"/>
      <c r="F23" s="1748"/>
      <c r="G23" s="1748"/>
      <c r="H23" s="345"/>
      <c r="I23" s="345"/>
    </row>
    <row r="24" spans="1:9" ht="18.75" customHeight="1">
      <c r="A24" s="1748" t="s">
        <v>2013</v>
      </c>
      <c r="B24" s="1748"/>
      <c r="C24" s="1748"/>
      <c r="D24" s="1748"/>
      <c r="E24" s="1748"/>
      <c r="F24" s="1748"/>
      <c r="G24" s="1748"/>
      <c r="H24" s="345"/>
      <c r="I24" s="345"/>
    </row>
    <row r="25" spans="1:9" ht="18.75" customHeight="1">
      <c r="A25" s="1748" t="s">
        <v>2014</v>
      </c>
      <c r="B25" s="1748"/>
      <c r="C25" s="1748"/>
      <c r="D25" s="1748"/>
      <c r="E25" s="1748"/>
      <c r="F25" s="1748"/>
      <c r="G25" s="1748"/>
      <c r="H25" s="345"/>
      <c r="I25" s="345"/>
    </row>
    <row r="26" spans="1:9" ht="18.75" customHeight="1">
      <c r="A26" s="1748" t="s">
        <v>2015</v>
      </c>
      <c r="B26" s="1748"/>
      <c r="C26" s="1748"/>
      <c r="D26" s="1748"/>
      <c r="E26" s="1748"/>
      <c r="F26" s="1748"/>
      <c r="G26" s="1748"/>
      <c r="H26" s="345"/>
      <c r="I26" s="345"/>
    </row>
    <row r="27" spans="1:9" ht="18.75" customHeight="1">
      <c r="A27" s="1750" t="s">
        <v>2016</v>
      </c>
      <c r="B27" s="1750"/>
      <c r="C27" s="1750"/>
      <c r="D27" s="1750"/>
      <c r="E27" s="1750"/>
      <c r="F27" s="1750"/>
      <c r="G27" s="1750"/>
      <c r="H27" s="384"/>
      <c r="I27" s="384"/>
    </row>
    <row r="28" spans="1:9" s="653" customFormat="1" ht="12" customHeight="1">
      <c r="A28" s="798" t="s">
        <v>1761</v>
      </c>
      <c r="B28" s="832"/>
      <c r="C28" s="832"/>
      <c r="D28" s="832"/>
      <c r="E28" s="832"/>
      <c r="F28" s="832"/>
      <c r="G28" s="832"/>
      <c r="H28" s="833"/>
      <c r="I28" s="833"/>
    </row>
    <row r="29" spans="1:9" s="653" customFormat="1" ht="12" customHeight="1">
      <c r="A29" s="800" t="s">
        <v>2017</v>
      </c>
      <c r="B29" s="832"/>
      <c r="C29" s="832"/>
      <c r="D29" s="832"/>
      <c r="E29" s="832"/>
      <c r="F29" s="832"/>
      <c r="G29" s="832"/>
      <c r="H29" s="833"/>
      <c r="I29" s="833"/>
    </row>
    <row r="30" spans="1:9">
      <c r="A30" s="317"/>
      <c r="B30" s="317"/>
      <c r="C30" s="317"/>
      <c r="D30" s="317"/>
      <c r="E30" s="317"/>
      <c r="F30" s="317"/>
      <c r="G30" s="317"/>
      <c r="H30" s="317"/>
      <c r="I30" s="626"/>
    </row>
    <row r="31" spans="1:9" ht="27.75" customHeight="1">
      <c r="A31" s="1936" t="s">
        <v>2018</v>
      </c>
      <c r="B31" s="1936"/>
      <c r="C31" s="1936"/>
      <c r="D31" s="1936"/>
      <c r="E31" s="1936"/>
      <c r="F31" s="1936"/>
      <c r="G31" s="1936"/>
      <c r="H31" s="1936"/>
      <c r="I31" s="1936"/>
    </row>
    <row r="32" spans="1:9" ht="18.75" customHeight="1">
      <c r="A32" s="1643" t="s">
        <v>1692</v>
      </c>
      <c r="B32" s="1643"/>
      <c r="C32" s="1643"/>
      <c r="D32" s="1643"/>
      <c r="E32" s="1643"/>
      <c r="F32" s="1643" t="s">
        <v>1693</v>
      </c>
      <c r="G32" s="1643"/>
      <c r="H32" s="1643" t="s">
        <v>1694</v>
      </c>
      <c r="I32" s="1643"/>
    </row>
    <row r="33" spans="1:9">
      <c r="A33" s="1876"/>
      <c r="B33" s="1876"/>
      <c r="C33" s="1876"/>
      <c r="D33" s="1876"/>
      <c r="E33" s="1876"/>
      <c r="F33" s="834" t="s">
        <v>2019</v>
      </c>
      <c r="G33" s="834" t="s">
        <v>2020</v>
      </c>
      <c r="H33" s="834" t="s">
        <v>2019</v>
      </c>
      <c r="I33" s="834" t="s">
        <v>2020</v>
      </c>
    </row>
    <row r="34" spans="1:9" ht="18.75" customHeight="1">
      <c r="A34" s="1748" t="s">
        <v>2021</v>
      </c>
      <c r="B34" s="1748"/>
      <c r="C34" s="1748"/>
      <c r="D34" s="1748"/>
      <c r="E34" s="1748"/>
      <c r="F34" s="796"/>
      <c r="G34" s="796"/>
      <c r="H34" s="796"/>
      <c r="I34" s="796"/>
    </row>
    <row r="35" spans="1:9" ht="18.75" customHeight="1">
      <c r="A35" s="1748" t="s">
        <v>2022</v>
      </c>
      <c r="B35" s="1748"/>
      <c r="C35" s="1748"/>
      <c r="D35" s="1748"/>
      <c r="E35" s="1748"/>
      <c r="F35" s="796"/>
      <c r="G35" s="796"/>
      <c r="H35" s="796"/>
      <c r="I35" s="796"/>
    </row>
    <row r="36" spans="1:9" ht="18.75" customHeight="1">
      <c r="A36" s="1748" t="s">
        <v>2023</v>
      </c>
      <c r="B36" s="1748"/>
      <c r="C36" s="1748"/>
      <c r="D36" s="1748"/>
      <c r="E36" s="1748"/>
      <c r="F36" s="796"/>
      <c r="G36" s="796"/>
      <c r="H36" s="796"/>
      <c r="I36" s="796"/>
    </row>
    <row r="37" spans="1:9" s="653" customFormat="1" ht="12" customHeight="1">
      <c r="A37" s="798" t="s">
        <v>1761</v>
      </c>
    </row>
    <row r="38" spans="1:9" s="653" customFormat="1" ht="12" customHeight="1">
      <c r="A38" s="800" t="s">
        <v>2024</v>
      </c>
    </row>
  </sheetData>
  <sheetProtection algorithmName="SHA-512" hashValue="TtpqKYKHodflB0y35+HJfkBW38a2wQ5IISehxFczWy4lYp2eYytWpUMK5IUe8sGwCmI3BmTmyCgFVjhD0dYi1A==" saltValue="dd3KGdhhr7VXHD5TUQNofA==" spinCount="100000" sheet="1" objects="1" scenarios="1" selectLockedCells="1"/>
  <mergeCells count="32">
    <mergeCell ref="A12:G12"/>
    <mergeCell ref="A1:I1"/>
    <mergeCell ref="H2:I2"/>
    <mergeCell ref="C3:I3"/>
    <mergeCell ref="B4:G4"/>
    <mergeCell ref="C5:E5"/>
    <mergeCell ref="C6:E6"/>
    <mergeCell ref="A7:I7"/>
    <mergeCell ref="A8:I8"/>
    <mergeCell ref="A9:G9"/>
    <mergeCell ref="A10:G10"/>
    <mergeCell ref="A11:G11"/>
    <mergeCell ref="A27:G27"/>
    <mergeCell ref="A13:G13"/>
    <mergeCell ref="A14:G14"/>
    <mergeCell ref="A15:G15"/>
    <mergeCell ref="A19:I19"/>
    <mergeCell ref="A20:G20"/>
    <mergeCell ref="A21:G21"/>
    <mergeCell ref="A22:G22"/>
    <mergeCell ref="A23:G23"/>
    <mergeCell ref="A24:G24"/>
    <mergeCell ref="A25:G25"/>
    <mergeCell ref="A26:G26"/>
    <mergeCell ref="A35:E35"/>
    <mergeCell ref="A36:E36"/>
    <mergeCell ref="A31:I31"/>
    <mergeCell ref="A32:E32"/>
    <mergeCell ref="F32:G32"/>
    <mergeCell ref="H32:I32"/>
    <mergeCell ref="A33:E33"/>
    <mergeCell ref="A34:E34"/>
  </mergeCells>
  <dataValidations count="1">
    <dataValidation type="whole" allowBlank="1" showInputMessage="1" showErrorMessage="1" errorTitle="Attention!" error="Valeur numérique attendue" sqref="H21:I27 H10:I15 F34:I36" xr:uid="{11C54EF0-3DCC-42AB-A02E-209CD723A939}">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3"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2D31A-E6D1-4325-B7D2-62687C923805}">
  <sheetPr codeName="Feuil41">
    <tabColor theme="9" tint="0.39997558519241921"/>
    <pageSetUpPr fitToPage="1"/>
  </sheetPr>
  <dimension ref="A1:I25"/>
  <sheetViews>
    <sheetView showGridLines="0" showRowColHeaders="0" topLeftCell="A4" zoomScaleNormal="100" workbookViewId="0">
      <selection activeCell="H10" sqref="H10"/>
    </sheetView>
  </sheetViews>
  <sheetFormatPr baseColWidth="10" defaultColWidth="11.5234375" defaultRowHeight="14.4"/>
  <cols>
    <col min="1" max="1" width="11.5234375" style="103"/>
    <col min="2" max="2" width="15.68359375" style="103" customWidth="1"/>
    <col min="3" max="3" width="8.68359375" style="103" customWidth="1"/>
    <col min="4" max="4" width="9" style="103" customWidth="1"/>
    <col min="5" max="5" width="5.68359375" style="103" customWidth="1"/>
    <col min="6" max="7" width="18.41796875" style="103" customWidth="1"/>
    <col min="8" max="9" width="17" style="103" customWidth="1"/>
    <col min="10" max="16384" width="11.5234375" style="103"/>
  </cols>
  <sheetData>
    <row r="1" spans="1:9">
      <c r="A1" s="1276" t="str">
        <f>"- "&amp;Code!K41&amp;" -"</f>
        <v>- 22 -</v>
      </c>
      <c r="B1" s="1276"/>
      <c r="C1" s="1276"/>
      <c r="D1" s="1276"/>
      <c r="E1" s="1276"/>
      <c r="F1" s="1276"/>
      <c r="G1" s="1276"/>
      <c r="H1" s="1276"/>
      <c r="I1" s="1276"/>
    </row>
    <row r="2" spans="1:9" ht="24.9" customHeight="1">
      <c r="A2" s="576"/>
      <c r="B2" s="576"/>
      <c r="C2" s="576"/>
      <c r="D2" s="576"/>
      <c r="E2" s="576"/>
      <c r="F2" s="576"/>
      <c r="G2" s="576"/>
      <c r="H2" s="1278" t="s">
        <v>2025</v>
      </c>
      <c r="I2" s="1765"/>
    </row>
    <row r="3" spans="1:9" s="626" customFormat="1" ht="15" customHeight="1">
      <c r="A3" s="317" t="s">
        <v>50</v>
      </c>
      <c r="B3" s="317"/>
      <c r="C3" s="1280" t="str">
        <f>'NOTE 11'!C3</f>
        <v>OHADA</v>
      </c>
      <c r="D3" s="1280"/>
      <c r="E3" s="1280"/>
      <c r="F3" s="1280"/>
      <c r="G3" s="1280"/>
      <c r="H3" s="1280"/>
      <c r="I3" s="1280"/>
    </row>
    <row r="4" spans="1:9" s="626" customFormat="1" ht="15" customHeight="1">
      <c r="A4" s="317" t="s">
        <v>51</v>
      </c>
      <c r="B4" s="1280" t="str">
        <f>'NOTE 11'!B4</f>
        <v/>
      </c>
      <c r="C4" s="1281"/>
      <c r="D4" s="1281"/>
      <c r="E4" s="1281"/>
      <c r="F4" s="1281"/>
      <c r="G4" s="1281"/>
      <c r="H4" s="627" t="s">
        <v>1021</v>
      </c>
      <c r="I4" s="630" t="str">
        <f>'NOTE 11'!I4</f>
        <v/>
      </c>
    </row>
    <row r="5" spans="1:9" s="626" customFormat="1" ht="15" customHeight="1">
      <c r="A5" s="317" t="s">
        <v>1597</v>
      </c>
      <c r="B5" s="317"/>
      <c r="C5" s="1281" t="str">
        <f>'NOTE 11'!C5</f>
        <v/>
      </c>
      <c r="D5" s="1281"/>
      <c r="E5" s="1281"/>
      <c r="F5" s="642" t="s">
        <v>54</v>
      </c>
      <c r="G5" s="647">
        <f>'NOTE 11'!F5</f>
        <v>0</v>
      </c>
      <c r="H5" s="627" t="s">
        <v>55</v>
      </c>
      <c r="I5" s="795">
        <f>'NOTE 11'!I5</f>
        <v>1</v>
      </c>
    </row>
    <row r="6" spans="1:9" s="626" customFormat="1" ht="15" customHeight="1">
      <c r="A6" s="317" t="s">
        <v>1533</v>
      </c>
      <c r="B6" s="317"/>
      <c r="C6" s="1275" t="str">
        <f>'NOTE 11'!C6</f>
        <v/>
      </c>
      <c r="D6" s="1275"/>
      <c r="E6" s="630"/>
      <c r="F6" s="638"/>
      <c r="G6" s="630"/>
      <c r="H6" s="629"/>
      <c r="I6" s="630"/>
    </row>
    <row r="7" spans="1:9" ht="36" customHeight="1">
      <c r="A7" s="1273" t="s">
        <v>2026</v>
      </c>
      <c r="B7" s="1273"/>
      <c r="C7" s="1273"/>
      <c r="D7" s="1273"/>
      <c r="E7" s="1273"/>
      <c r="F7" s="1273"/>
      <c r="G7" s="1273"/>
      <c r="H7" s="1273"/>
      <c r="I7" s="1273"/>
    </row>
    <row r="8" spans="1:9" ht="27.75" customHeight="1">
      <c r="A8" s="1936" t="s">
        <v>2027</v>
      </c>
      <c r="B8" s="1936"/>
      <c r="C8" s="1936"/>
      <c r="D8" s="1936"/>
      <c r="E8" s="1936"/>
      <c r="F8" s="1936"/>
      <c r="G8" s="1936"/>
      <c r="H8" s="1936"/>
      <c r="I8" s="1936"/>
    </row>
    <row r="9" spans="1:9" ht="20.25" customHeight="1">
      <c r="A9" s="1643" t="s">
        <v>1692</v>
      </c>
      <c r="B9" s="1643"/>
      <c r="C9" s="1643"/>
      <c r="D9" s="1643"/>
      <c r="E9" s="1643"/>
      <c r="F9" s="1643"/>
      <c r="G9" s="1643"/>
      <c r="H9" s="797" t="s">
        <v>1693</v>
      </c>
      <c r="I9" s="797" t="s">
        <v>1694</v>
      </c>
    </row>
    <row r="10" spans="1:9" ht="25.5" customHeight="1">
      <c r="A10" s="1748" t="s">
        <v>2028</v>
      </c>
      <c r="B10" s="1748"/>
      <c r="C10" s="1748"/>
      <c r="D10" s="1748"/>
      <c r="E10" s="1748"/>
      <c r="F10" s="1748"/>
      <c r="G10" s="1748"/>
      <c r="H10" s="345"/>
      <c r="I10" s="345"/>
    </row>
    <row r="11" spans="1:9" ht="25.5" customHeight="1">
      <c r="A11" s="1748" t="s">
        <v>2029</v>
      </c>
      <c r="B11" s="1748"/>
      <c r="C11" s="1748"/>
      <c r="D11" s="1748"/>
      <c r="E11" s="1748"/>
      <c r="F11" s="1748"/>
      <c r="G11" s="1748"/>
      <c r="H11" s="345"/>
      <c r="I11" s="345"/>
    </row>
    <row r="12" spans="1:9" ht="25.5" customHeight="1">
      <c r="A12" s="1750" t="s">
        <v>2030</v>
      </c>
      <c r="B12" s="1750"/>
      <c r="C12" s="1750"/>
      <c r="D12" s="1750"/>
      <c r="E12" s="1750"/>
      <c r="F12" s="1750"/>
      <c r="G12" s="1750"/>
      <c r="H12" s="582"/>
      <c r="I12" s="582"/>
    </row>
    <row r="13" spans="1:9" s="653" customFormat="1" ht="12" customHeight="1">
      <c r="A13" s="798" t="s">
        <v>1761</v>
      </c>
      <c r="B13" s="832"/>
      <c r="C13" s="832"/>
      <c r="D13" s="832"/>
      <c r="E13" s="832"/>
      <c r="F13" s="832"/>
      <c r="G13" s="832"/>
      <c r="H13" s="833"/>
      <c r="I13" s="833"/>
    </row>
    <row r="14" spans="1:9" s="653" customFormat="1" ht="12" customHeight="1">
      <c r="A14" s="800" t="s">
        <v>2031</v>
      </c>
      <c r="B14" s="832"/>
      <c r="C14" s="832"/>
      <c r="D14" s="832"/>
      <c r="E14" s="832"/>
      <c r="F14" s="832"/>
      <c r="G14" s="832"/>
      <c r="H14" s="833"/>
      <c r="I14" s="833"/>
    </row>
    <row r="15" spans="1:9">
      <c r="A15" s="626"/>
      <c r="B15" s="626"/>
      <c r="C15" s="626"/>
      <c r="D15" s="626"/>
      <c r="E15" s="626"/>
      <c r="F15" s="626"/>
      <c r="G15" s="626"/>
      <c r="H15" s="626"/>
      <c r="I15" s="626"/>
    </row>
    <row r="16" spans="1:9" ht="27.75" customHeight="1">
      <c r="A16" s="1936" t="s">
        <v>2032</v>
      </c>
      <c r="B16" s="1936"/>
      <c r="C16" s="1936"/>
      <c r="D16" s="1936"/>
      <c r="E16" s="1936"/>
      <c r="F16" s="1936"/>
      <c r="G16" s="1936"/>
      <c r="H16" s="1936"/>
      <c r="I16" s="1936"/>
    </row>
    <row r="17" spans="1:9" ht="20.25" customHeight="1">
      <c r="A17" s="1643" t="s">
        <v>1692</v>
      </c>
      <c r="B17" s="1643"/>
      <c r="C17" s="1643"/>
      <c r="D17" s="1643"/>
      <c r="E17" s="1643"/>
      <c r="F17" s="1643" t="s">
        <v>1693</v>
      </c>
      <c r="G17" s="1643"/>
      <c r="H17" s="1643" t="s">
        <v>1694</v>
      </c>
      <c r="I17" s="1643"/>
    </row>
    <row r="18" spans="1:9" ht="26.25" customHeight="1">
      <c r="A18" s="1937"/>
      <c r="B18" s="1937"/>
      <c r="C18" s="1937"/>
      <c r="D18" s="1937"/>
      <c r="E18" s="1937"/>
      <c r="F18" s="834" t="s">
        <v>2033</v>
      </c>
      <c r="G18" s="834" t="s">
        <v>2034</v>
      </c>
      <c r="H18" s="834" t="s">
        <v>2035</v>
      </c>
      <c r="I18" s="834" t="s">
        <v>2034</v>
      </c>
    </row>
    <row r="19" spans="1:9" ht="25.5" customHeight="1">
      <c r="A19" s="1748" t="s">
        <v>1821</v>
      </c>
      <c r="B19" s="1748"/>
      <c r="C19" s="1748"/>
      <c r="D19" s="1748"/>
      <c r="E19" s="1748"/>
      <c r="F19" s="345"/>
      <c r="G19" s="345"/>
      <c r="H19" s="345"/>
      <c r="I19" s="345"/>
    </row>
    <row r="20" spans="1:9" ht="25.5" customHeight="1">
      <c r="A20" s="1748" t="s">
        <v>1822</v>
      </c>
      <c r="B20" s="1748"/>
      <c r="C20" s="1748"/>
      <c r="D20" s="1748"/>
      <c r="E20" s="1748"/>
      <c r="F20" s="345"/>
      <c r="G20" s="345"/>
      <c r="H20" s="345"/>
      <c r="I20" s="345"/>
    </row>
    <row r="21" spans="1:9" ht="25.5" customHeight="1">
      <c r="A21" s="1748" t="s">
        <v>1933</v>
      </c>
      <c r="B21" s="1748"/>
      <c r="C21" s="1748"/>
      <c r="D21" s="1748"/>
      <c r="E21" s="1748"/>
      <c r="F21" s="345"/>
      <c r="G21" s="345"/>
      <c r="H21" s="345"/>
      <c r="I21" s="345"/>
    </row>
    <row r="22" spans="1:9" ht="25.5" customHeight="1">
      <c r="A22" s="1750" t="s">
        <v>2036</v>
      </c>
      <c r="B22" s="1750"/>
      <c r="C22" s="1750"/>
      <c r="D22" s="1750"/>
      <c r="E22" s="1750"/>
      <c r="F22" s="582">
        <f>SUM(F19:F21)</f>
        <v>0</v>
      </c>
      <c r="G22" s="582">
        <f>SUM(G19:G21)</f>
        <v>0</v>
      </c>
      <c r="H22" s="582">
        <f>SUM(H19:H21)</f>
        <v>0</v>
      </c>
      <c r="I22" s="582">
        <f>SUM(I19:I21)</f>
        <v>0</v>
      </c>
    </row>
    <row r="23" spans="1:9" s="653" customFormat="1" ht="12" customHeight="1">
      <c r="A23" s="798" t="s">
        <v>1761</v>
      </c>
    </row>
    <row r="24" spans="1:9" s="653" customFormat="1" ht="12" customHeight="1">
      <c r="A24" s="800" t="s">
        <v>2037</v>
      </c>
    </row>
    <row r="25" spans="1:9" s="653" customFormat="1" ht="12" customHeight="1">
      <c r="A25" s="800" t="s">
        <v>2038</v>
      </c>
    </row>
  </sheetData>
  <sheetProtection algorithmName="SHA-512" hashValue="BlblSQGfg7m8uuUynVXN3/Zak5hA2OHht64wzc6jWR5Qn2RZRGP4+fUdMAFC+JI6bEZO/pzNAHZvUHJrK1C05w==" saltValue="IIl8VdzAmjhYWdT1+zmE7A==" spinCount="100000" sheet="1" objects="1" scenarios="1" selectLockedCells="1"/>
  <mergeCells count="21">
    <mergeCell ref="A12:G12"/>
    <mergeCell ref="A1:I1"/>
    <mergeCell ref="H2:I2"/>
    <mergeCell ref="C3:I3"/>
    <mergeCell ref="B4:G4"/>
    <mergeCell ref="C5:E5"/>
    <mergeCell ref="C6:D6"/>
    <mergeCell ref="A7:I7"/>
    <mergeCell ref="A8:I8"/>
    <mergeCell ref="A9:G9"/>
    <mergeCell ref="A10:G10"/>
    <mergeCell ref="A11:G11"/>
    <mergeCell ref="A20:E20"/>
    <mergeCell ref="A21:E21"/>
    <mergeCell ref="A22:E22"/>
    <mergeCell ref="A16:I16"/>
    <mergeCell ref="A17:E17"/>
    <mergeCell ref="F17:G17"/>
    <mergeCell ref="H17:I17"/>
    <mergeCell ref="A18:E18"/>
    <mergeCell ref="A19:E19"/>
  </mergeCells>
  <conditionalFormatting sqref="F22:I22">
    <cfRule type="cellIs" dxfId="170" priority="1" operator="equal">
      <formula>0</formula>
    </cfRule>
  </conditionalFormatting>
  <dataValidations count="2">
    <dataValidation type="decimal" allowBlank="1" showInputMessage="1" showErrorMessage="1" errorTitle="Attention!" error="Valeur numérique attendue" sqref="F19:F21 H19:H21" xr:uid="{6E04780A-FE34-46EE-9B62-32062198B759}">
      <formula1>-9999999999999</formula1>
      <formula2>9999999999999</formula2>
    </dataValidation>
    <dataValidation type="whole" allowBlank="1" showInputMessage="1" showErrorMessage="1" errorTitle="Attention!" error="Valeur numérique attendue" sqref="G19:G21 I19:I21" xr:uid="{6D706FA8-16F8-499C-9336-D80645A320D3}">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60C34-4208-4443-89A3-01F9B2D565F2}">
  <sheetPr codeName="Feuil42">
    <tabColor theme="9" tint="0.39997558519241921"/>
    <pageSetUpPr fitToPage="1"/>
  </sheetPr>
  <dimension ref="A1:H16"/>
  <sheetViews>
    <sheetView showGridLines="0" showRowColHeaders="0" zoomScaleNormal="100" workbookViewId="0">
      <selection activeCell="A11" sqref="A11:F11"/>
    </sheetView>
  </sheetViews>
  <sheetFormatPr baseColWidth="10" defaultColWidth="11.5234375" defaultRowHeight="14.4"/>
  <cols>
    <col min="1" max="1" width="11.5234375" style="103"/>
    <col min="2" max="2" width="15.89453125" style="103" customWidth="1"/>
    <col min="3" max="3" width="10.1015625" style="103" customWidth="1"/>
    <col min="4" max="4" width="9.3125" style="103" customWidth="1"/>
    <col min="5" max="6" width="13.89453125" style="103" customWidth="1"/>
    <col min="7" max="8" width="15.68359375" style="103" customWidth="1"/>
    <col min="9" max="16384" width="11.5234375" style="103"/>
  </cols>
  <sheetData>
    <row r="1" spans="1:8">
      <c r="A1" s="1276" t="str">
        <f>"- "&amp;Code!K42&amp;" -"</f>
        <v>- 22 -</v>
      </c>
      <c r="B1" s="1276"/>
      <c r="C1" s="1276"/>
      <c r="D1" s="1276"/>
      <c r="E1" s="1276"/>
      <c r="F1" s="1276"/>
      <c r="G1" s="1276"/>
      <c r="H1" s="1276"/>
    </row>
    <row r="2" spans="1:8" ht="24.9" customHeight="1">
      <c r="A2" s="576"/>
      <c r="B2" s="576"/>
      <c r="C2" s="576"/>
      <c r="D2" s="576"/>
      <c r="E2" s="576"/>
      <c r="F2" s="576"/>
      <c r="G2" s="1278" t="s">
        <v>2039</v>
      </c>
      <c r="H2" s="1765"/>
    </row>
    <row r="3" spans="1:8" s="626" customFormat="1" ht="15" customHeight="1">
      <c r="A3" s="317" t="s">
        <v>50</v>
      </c>
      <c r="B3" s="317"/>
      <c r="C3" s="1280" t="str">
        <f>'NOTE 11'!C3</f>
        <v>OHADA</v>
      </c>
      <c r="D3" s="1280"/>
      <c r="E3" s="1280"/>
      <c r="F3" s="1280"/>
      <c r="G3" s="1280"/>
      <c r="H3" s="1280"/>
    </row>
    <row r="4" spans="1:8" s="626" customFormat="1" ht="15" customHeight="1">
      <c r="A4" s="317" t="s">
        <v>51</v>
      </c>
      <c r="B4" s="1280" t="str">
        <f>'NOTE 11'!B4</f>
        <v/>
      </c>
      <c r="C4" s="1281"/>
      <c r="D4" s="1281"/>
      <c r="E4" s="1281"/>
      <c r="F4" s="1281"/>
      <c r="G4" s="627" t="s">
        <v>1021</v>
      </c>
      <c r="H4" s="630" t="str">
        <f>'NOTE 11'!I4</f>
        <v/>
      </c>
    </row>
    <row r="5" spans="1:8" s="626" customFormat="1" ht="15" customHeight="1">
      <c r="A5" s="317" t="s">
        <v>1597</v>
      </c>
      <c r="B5" s="317"/>
      <c r="C5" s="1281" t="str">
        <f>'NOTE 11'!C5</f>
        <v/>
      </c>
      <c r="D5" s="1281"/>
      <c r="E5" s="642" t="s">
        <v>54</v>
      </c>
      <c r="F5" s="647">
        <f>'NOTE 11'!F5</f>
        <v>0</v>
      </c>
      <c r="G5" s="627" t="s">
        <v>55</v>
      </c>
      <c r="H5" s="795">
        <f>'NOTE 11'!I5</f>
        <v>1</v>
      </c>
    </row>
    <row r="6" spans="1:8" s="626" customFormat="1" ht="15" customHeight="1">
      <c r="A6" s="317" t="s">
        <v>56</v>
      </c>
      <c r="B6" s="317"/>
      <c r="C6" s="1275" t="str">
        <f>'NOTE 11'!C6</f>
        <v/>
      </c>
      <c r="D6" s="1275"/>
      <c r="E6" s="1275"/>
      <c r="F6" s="630"/>
      <c r="G6" s="629"/>
      <c r="H6" s="630"/>
    </row>
    <row r="7" spans="1:8" ht="35.25" customHeight="1">
      <c r="A7" s="1273" t="s">
        <v>2040</v>
      </c>
      <c r="B7" s="1273"/>
      <c r="C7" s="1273"/>
      <c r="D7" s="1273"/>
      <c r="E7" s="1273"/>
      <c r="F7" s="1273"/>
      <c r="G7" s="1273"/>
      <c r="H7" s="1273"/>
    </row>
    <row r="8" spans="1:8" ht="27.75" customHeight="1">
      <c r="A8" s="1643" t="s">
        <v>1692</v>
      </c>
      <c r="B8" s="1643"/>
      <c r="C8" s="1643"/>
      <c r="D8" s="1643"/>
      <c r="E8" s="1643"/>
      <c r="F8" s="1643"/>
      <c r="G8" s="797" t="s">
        <v>1693</v>
      </c>
      <c r="H8" s="797" t="s">
        <v>1694</v>
      </c>
    </row>
    <row r="9" spans="1:8" ht="21" customHeight="1">
      <c r="A9" s="1868" t="s">
        <v>2041</v>
      </c>
      <c r="B9" s="1868"/>
      <c r="C9" s="1868"/>
      <c r="D9" s="1868"/>
      <c r="E9" s="1868"/>
      <c r="F9" s="1868"/>
      <c r="G9" s="365">
        <f ca="1">SUM(INDIRECT(SUBSTITUTE(ADDRESS(1,COLUMN(G11)),1,"")&amp;ROW(G11)):INDIRECT(SUBSTITUTE(ADDRESS(1,COLUMN(G12)),1,"")&amp;ROW(G12)-1))</f>
        <v>0</v>
      </c>
      <c r="H9" s="365">
        <f ca="1">SUM(INDIRECT(SUBSTITUTE(ADDRESS(1,COLUMN(H11)),1,"")&amp;ROW(H11)):INDIRECT(SUBSTITUTE(ADDRESS(1,COLUMN(H12)),1,"")&amp;ROW(H12)-1))</f>
        <v>0</v>
      </c>
    </row>
    <row r="10" spans="1:8" ht="16.5" customHeight="1">
      <c r="A10" s="1923" t="s">
        <v>2042</v>
      </c>
      <c r="B10" s="1923"/>
      <c r="C10" s="1923"/>
      <c r="D10" s="1923"/>
      <c r="E10" s="1923"/>
      <c r="F10" s="1923"/>
      <c r="G10" s="364"/>
      <c r="H10" s="364"/>
    </row>
    <row r="11" spans="1:8" ht="24.75" customHeight="1">
      <c r="A11" s="1938"/>
      <c r="B11" s="1938"/>
      <c r="C11" s="1938"/>
      <c r="D11" s="1938"/>
      <c r="E11" s="1938"/>
      <c r="F11" s="1938"/>
      <c r="G11" s="345"/>
      <c r="H11" s="345"/>
    </row>
    <row r="12" spans="1:8" ht="21" customHeight="1">
      <c r="A12" s="1868" t="s">
        <v>2043</v>
      </c>
      <c r="B12" s="1868"/>
      <c r="C12" s="1868"/>
      <c r="D12" s="1868"/>
      <c r="E12" s="1868"/>
      <c r="F12" s="1868"/>
      <c r="G12" s="580">
        <f ca="1">SUM(INDIRECT(SUBSTITUTE(ADDRESS(1,COLUMN(G14)),1,"")&amp;ROW(G14)):INDIRECT(SUBSTITUTE(ADDRESS(1,COLUMN(G15)),1,"")&amp;ROW(G15)-1))</f>
        <v>0</v>
      </c>
      <c r="H12" s="580">
        <f ca="1">SUM(INDIRECT(SUBSTITUTE(ADDRESS(1,COLUMN(H14)),1,"")&amp;ROW(H14)):INDIRECT(SUBSTITUTE(ADDRESS(1,COLUMN(H15)),1,"")&amp;ROW(H15)-1))</f>
        <v>0</v>
      </c>
    </row>
    <row r="13" spans="1:8" ht="16.5" customHeight="1">
      <c r="A13" s="1923" t="s">
        <v>2042</v>
      </c>
      <c r="B13" s="1923"/>
      <c r="C13" s="1923"/>
      <c r="D13" s="1923"/>
      <c r="E13" s="1923"/>
      <c r="F13" s="1923"/>
      <c r="G13" s="364"/>
      <c r="H13" s="364"/>
    </row>
    <row r="14" spans="1:8" ht="24.75" customHeight="1">
      <c r="A14" s="1938"/>
      <c r="B14" s="1938"/>
      <c r="C14" s="1938"/>
      <c r="D14" s="1938"/>
      <c r="E14" s="1938"/>
      <c r="F14" s="1938"/>
      <c r="G14" s="345"/>
      <c r="H14" s="345"/>
    </row>
    <row r="15" spans="1:8" s="653" customFormat="1" ht="14.25" customHeight="1">
      <c r="A15" s="798" t="s">
        <v>1761</v>
      </c>
    </row>
    <row r="16" spans="1:8" s="653" customFormat="1" ht="24.75" customHeight="1">
      <c r="A16" s="1939" t="s">
        <v>2044</v>
      </c>
      <c r="B16" s="1939"/>
      <c r="C16" s="1939"/>
      <c r="D16" s="1939"/>
      <c r="E16" s="1939"/>
      <c r="F16" s="1939"/>
      <c r="G16" s="1939"/>
      <c r="H16" s="1939"/>
    </row>
  </sheetData>
  <sheetProtection algorithmName="SHA-512" hashValue="/gC/CMeiwr2ko7NTsZEEAUvP8bfeyex5s48dC7fDFU6+NEYSo8wZLO7hXlilt/SGf9Zk4sIHXzDp6TwXgLIhQQ==" saltValue="LpowVOLjDOM5LbJpqyL42g==" spinCount="100000" sheet="1" objects="1" scenarios="1" selectLockedCells="1"/>
  <mergeCells count="15">
    <mergeCell ref="A1:H1"/>
    <mergeCell ref="G2:H2"/>
    <mergeCell ref="C3:H3"/>
    <mergeCell ref="B4:F4"/>
    <mergeCell ref="C5:D5"/>
    <mergeCell ref="C6:E6"/>
    <mergeCell ref="A7:H7"/>
    <mergeCell ref="A8:F8"/>
    <mergeCell ref="A9:F9"/>
    <mergeCell ref="A10:F10"/>
    <mergeCell ref="A13:F13"/>
    <mergeCell ref="A14:F14"/>
    <mergeCell ref="A16:H16"/>
    <mergeCell ref="A11:F11"/>
    <mergeCell ref="A12:F12"/>
  </mergeCells>
  <conditionalFormatting sqref="G12:H12 G9:H9">
    <cfRule type="cellIs" dxfId="169" priority="1" operator="equal">
      <formula>0</formula>
    </cfRule>
  </conditionalFormatting>
  <dataValidations count="1">
    <dataValidation type="whole" allowBlank="1" showInputMessage="1" showErrorMessage="1" errorTitle="Attention!" error="Valeur numérique attendue" sqref="G10:H11 G13:H14" xr:uid="{8160EFC6-999B-4618-A72C-20E4A7F8A4CA}">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12993" r:id="rId4" name="AjoutNOTE16C2">
              <controlPr defaultSize="0" print="0" autoFill="0" autoPict="0" macro="[0]!AjoutNOTE16C2_Cliquer">
                <anchor moveWithCells="1">
                  <from>
                    <xdr:col>8</xdr:col>
                    <xdr:colOff>190500</xdr:colOff>
                    <xdr:row>8</xdr:row>
                    <xdr:rowOff>60960</xdr:rowOff>
                  </from>
                  <to>
                    <xdr:col>9</xdr:col>
                    <xdr:colOff>678180</xdr:colOff>
                    <xdr:row>9</xdr:row>
                    <xdr:rowOff>68580</xdr:rowOff>
                  </to>
                </anchor>
              </controlPr>
            </control>
          </mc:Choice>
        </mc:AlternateContent>
        <mc:AlternateContent xmlns:mc="http://schemas.openxmlformats.org/markup-compatibility/2006">
          <mc:Choice Requires="x14">
            <control shapeId="212994" r:id="rId5" name="AjoutNOTE16C3">
              <controlPr defaultSize="0" print="0" autoFill="0" autoPict="0" macro="[0]!AjoutNOTE16C3_Cliquer">
                <anchor moveWithCells="1">
                  <from>
                    <xdr:col>8</xdr:col>
                    <xdr:colOff>198120</xdr:colOff>
                    <xdr:row>11</xdr:row>
                    <xdr:rowOff>106680</xdr:rowOff>
                  </from>
                  <to>
                    <xdr:col>9</xdr:col>
                    <xdr:colOff>685800</xdr:colOff>
                    <xdr:row>12</xdr:row>
                    <xdr:rowOff>121920</xdr:rowOff>
                  </to>
                </anchor>
              </controlPr>
            </control>
          </mc:Choice>
        </mc:AlternateContent>
      </controls>
    </mc:Choice>
  </mc:AlternateConten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68F13-995F-4C52-894E-C5A0FDC342FF}">
  <sheetPr codeName="Feuil43">
    <tabColor theme="9" tint="0.39997558519241921"/>
    <pageSetUpPr fitToPage="1"/>
  </sheetPr>
  <dimension ref="A1:K26"/>
  <sheetViews>
    <sheetView showGridLines="0" showRowColHeaders="0" zoomScaleNormal="100" workbookViewId="0">
      <selection activeCell="J9" sqref="J9"/>
    </sheetView>
  </sheetViews>
  <sheetFormatPr baseColWidth="10" defaultColWidth="11.5234375" defaultRowHeight="14.4"/>
  <cols>
    <col min="1" max="1" width="11.5234375" style="103"/>
    <col min="2" max="2" width="16.41796875" style="103" customWidth="1"/>
    <col min="3" max="4" width="11.5234375" style="103"/>
    <col min="5" max="5" width="5.41796875" style="103" customWidth="1"/>
    <col min="6" max="7" width="15.68359375" style="103" customWidth="1"/>
    <col min="8" max="8" width="11.3125" style="103" customWidth="1"/>
    <col min="9" max="11" width="15.68359375" style="103" customWidth="1"/>
    <col min="12" max="16384" width="11.5234375" style="103"/>
  </cols>
  <sheetData>
    <row r="1" spans="1:11">
      <c r="A1" s="1944" t="str">
        <f>"- "&amp;Code!K43&amp;" -"</f>
        <v>- 23 -</v>
      </c>
      <c r="B1" s="1944"/>
      <c r="C1" s="1944"/>
      <c r="D1" s="1944"/>
      <c r="E1" s="1944"/>
      <c r="F1" s="1944"/>
      <c r="G1" s="1944"/>
      <c r="H1" s="1944"/>
      <c r="I1" s="1944"/>
      <c r="J1" s="1944"/>
      <c r="K1" s="1945"/>
    </row>
    <row r="2" spans="1:11" ht="24.9" customHeight="1">
      <c r="A2" s="584"/>
      <c r="B2" s="584"/>
      <c r="C2" s="584"/>
      <c r="D2" s="584"/>
      <c r="E2" s="584"/>
      <c r="F2" s="584"/>
      <c r="G2" s="129"/>
      <c r="H2" s="129"/>
      <c r="I2" s="129"/>
      <c r="J2" s="1946" t="s">
        <v>2045</v>
      </c>
      <c r="K2" s="1947"/>
    </row>
    <row r="3" spans="1:11" s="626" customFormat="1" ht="15" customHeight="1">
      <c r="A3" s="686" t="s">
        <v>50</v>
      </c>
      <c r="B3" s="686"/>
      <c r="C3" s="1948" t="str">
        <f>'NOTE 11'!C3</f>
        <v>OHADA</v>
      </c>
      <c r="D3" s="1948"/>
      <c r="E3" s="1948"/>
      <c r="F3" s="1948"/>
      <c r="G3" s="1948"/>
      <c r="H3" s="1948"/>
      <c r="I3" s="1948"/>
      <c r="J3" s="1948"/>
      <c r="K3" s="1948"/>
    </row>
    <row r="4" spans="1:11" s="626" customFormat="1" ht="15" customHeight="1">
      <c r="A4" s="686" t="s">
        <v>51</v>
      </c>
      <c r="B4" s="1948" t="str">
        <f>'NOTE 11'!B4</f>
        <v/>
      </c>
      <c r="C4" s="1948"/>
      <c r="D4" s="1948"/>
      <c r="E4" s="1948"/>
      <c r="F4" s="1948"/>
      <c r="G4" s="1948"/>
      <c r="H4" s="1948"/>
      <c r="I4" s="1948"/>
      <c r="J4" s="824" t="s">
        <v>1021</v>
      </c>
      <c r="K4" s="825" t="str">
        <f>'NOTE 11'!I4</f>
        <v/>
      </c>
    </row>
    <row r="5" spans="1:11" s="626" customFormat="1" ht="15" customHeight="1">
      <c r="A5" s="686" t="s">
        <v>1597</v>
      </c>
      <c r="B5" s="686"/>
      <c r="C5" s="1948" t="str">
        <f>'NOTE 11'!C5</f>
        <v/>
      </c>
      <c r="D5" s="1948"/>
      <c r="E5" s="1948"/>
      <c r="F5" s="826" t="s">
        <v>54</v>
      </c>
      <c r="G5" s="1949">
        <f>'NOTE 11'!F5</f>
        <v>0</v>
      </c>
      <c r="H5" s="1949"/>
      <c r="I5" s="1949"/>
      <c r="J5" s="824" t="s">
        <v>55</v>
      </c>
      <c r="K5" s="827">
        <f>'NOTE 11'!I5</f>
        <v>1</v>
      </c>
    </row>
    <row r="6" spans="1:11" s="626" customFormat="1" ht="15" customHeight="1">
      <c r="A6" s="831" t="s">
        <v>56</v>
      </c>
      <c r="B6" s="686"/>
      <c r="C6" s="1275" t="str">
        <f>'NOTE 11'!C6</f>
        <v/>
      </c>
      <c r="D6" s="1275"/>
      <c r="E6" s="1275"/>
      <c r="F6" s="828"/>
      <c r="G6" s="827"/>
      <c r="H6" s="827"/>
      <c r="I6" s="827"/>
      <c r="J6" s="829"/>
      <c r="K6" s="827"/>
    </row>
    <row r="7" spans="1:11" ht="35.25" customHeight="1">
      <c r="A7" s="1941" t="s">
        <v>2046</v>
      </c>
      <c r="B7" s="1941"/>
      <c r="C7" s="1941"/>
      <c r="D7" s="1941"/>
      <c r="E7" s="1941"/>
      <c r="F7" s="1941"/>
      <c r="G7" s="1941"/>
      <c r="H7" s="1941"/>
      <c r="I7" s="1941"/>
      <c r="J7" s="1941"/>
      <c r="K7" s="1941"/>
    </row>
    <row r="8" spans="1:11" ht="60" customHeight="1">
      <c r="A8" s="1643" t="s">
        <v>1692</v>
      </c>
      <c r="B8" s="1643"/>
      <c r="C8" s="1643"/>
      <c r="D8" s="1643"/>
      <c r="E8" s="1643"/>
      <c r="F8" s="797" t="s">
        <v>1693</v>
      </c>
      <c r="G8" s="797" t="s">
        <v>1694</v>
      </c>
      <c r="H8" s="797" t="s">
        <v>1731</v>
      </c>
      <c r="I8" s="797" t="s">
        <v>2047</v>
      </c>
      <c r="J8" s="797" t="s">
        <v>2048</v>
      </c>
      <c r="K8" s="797" t="s">
        <v>1962</v>
      </c>
    </row>
    <row r="9" spans="1:11" ht="23.25" customHeight="1">
      <c r="A9" s="1744" t="s">
        <v>2049</v>
      </c>
      <c r="B9" s="1744"/>
      <c r="C9" s="1744"/>
      <c r="D9" s="1744"/>
      <c r="E9" s="1744"/>
      <c r="F9" s="413">
        <f>SUMIFS(BalanceN[BS_Credit],BalanceN[Table],"&gt;=40110",BalanceN[Table],"&lt;40120")</f>
        <v>26695015</v>
      </c>
      <c r="G9" s="413">
        <f>SUMIFS(BalanceN1[BS_Credit],BalanceN1[Table],"&gt;=40110",BalanceN1[Table],"&lt;40120")</f>
        <v>40583900</v>
      </c>
      <c r="H9" s="414">
        <f>IF(G9,(F9-G9)/G9,IF(ISBLANK(G9),"",IF(F9,IF( F9 &gt; 0,1,-1),"")))</f>
        <v>-0.34222647404512629</v>
      </c>
      <c r="I9" s="413">
        <f>F9-J9-K9</f>
        <v>26695015</v>
      </c>
      <c r="J9" s="415"/>
      <c r="K9" s="415"/>
    </row>
    <row r="10" spans="1:11" ht="23.25" customHeight="1">
      <c r="A10" s="1745" t="s">
        <v>2050</v>
      </c>
      <c r="B10" s="1942"/>
      <c r="C10" s="1942"/>
      <c r="D10" s="1942"/>
      <c r="E10" s="1943"/>
      <c r="F10" s="413">
        <f>SUMIFS(BalanceN[BS_Credit],BalanceN[Table],"&gt;=40130",BalanceN[Table],"&lt;40140")</f>
        <v>0</v>
      </c>
      <c r="G10" s="413">
        <f>SUMIFS(BalanceN1[BS_Credit],BalanceN1[Table],"&gt;=40130",BalanceN1[Table],"&lt;40140")</f>
        <v>0</v>
      </c>
      <c r="H10" s="414"/>
      <c r="I10" s="413">
        <f t="shared" ref="I10:I17" si="0">F10-J10-K10</f>
        <v>0</v>
      </c>
      <c r="J10" s="415"/>
      <c r="K10" s="415"/>
    </row>
    <row r="11" spans="1:11" ht="23.25" customHeight="1">
      <c r="A11" s="1745" t="s">
        <v>2051</v>
      </c>
      <c r="B11" s="1942"/>
      <c r="C11" s="1942"/>
      <c r="D11" s="1942"/>
      <c r="E11" s="1943"/>
      <c r="F11" s="413">
        <f>SUMIFS(BalanceN[BS_Credit],BalanceN[Table],"&gt;=40160",BalanceN[Table],"&lt;40170")</f>
        <v>0</v>
      </c>
      <c r="G11" s="413">
        <f>SUMIFS(BalanceN1[BS_Credit],BalanceN1[Table],"&gt;=40160",BalanceN1[Table],"&lt;40170")</f>
        <v>0</v>
      </c>
      <c r="H11" s="414"/>
      <c r="I11" s="413">
        <f t="shared" si="0"/>
        <v>0</v>
      </c>
      <c r="J11" s="415"/>
      <c r="K11" s="415"/>
    </row>
    <row r="12" spans="1:11" ht="23.25" customHeight="1">
      <c r="A12" s="1745" t="s">
        <v>2052</v>
      </c>
      <c r="B12" s="1942"/>
      <c r="C12" s="1942"/>
      <c r="D12" s="1942"/>
      <c r="E12" s="1943"/>
      <c r="F12" s="413">
        <f>SUMIFS(BalanceN[BS_Credit],BalanceN[Table],"&gt;=40170",BalanceN[Table],"&lt;40180")</f>
        <v>0</v>
      </c>
      <c r="G12" s="413">
        <f>SUMIFS(BalanceN1[BS_Credit],BalanceN1[Table],"&gt;=40170",BalanceN1[Table],"&lt;40180")</f>
        <v>0</v>
      </c>
      <c r="H12" s="414"/>
      <c r="I12" s="413">
        <f t="shared" si="0"/>
        <v>0</v>
      </c>
      <c r="J12" s="415"/>
      <c r="K12" s="415"/>
    </row>
    <row r="13" spans="1:11" ht="23.25" customHeight="1">
      <c r="A13" s="1744" t="s">
        <v>2053</v>
      </c>
      <c r="B13" s="1744"/>
      <c r="C13" s="1744"/>
      <c r="D13" s="1744"/>
      <c r="E13" s="1744"/>
      <c r="F13" s="413">
        <f>SUMIFS(BalanceN[BS_Credit],BalanceN[Table],"&gt;=40210",BalanceN[Table],"&lt;40220")</f>
        <v>0</v>
      </c>
      <c r="G13" s="413">
        <f>SUMIFS(BalanceN1[BS_Credit],BalanceN1[Table],"&gt;=40210",BalanceN1[Table],"&lt;40220")</f>
        <v>0</v>
      </c>
      <c r="H13" s="414" t="str">
        <f t="shared" ref="H13:H22" si="1">IF(G13,(F13-G13)/G13,IF(ISBLANK(G13),"",IF(F13,IF( F13 &gt; 0,1,-1),"")))</f>
        <v/>
      </c>
      <c r="I13" s="413">
        <f t="shared" si="0"/>
        <v>0</v>
      </c>
      <c r="J13" s="415"/>
      <c r="K13" s="415"/>
    </row>
    <row r="14" spans="1:11" ht="23.25" customHeight="1">
      <c r="A14" s="1744" t="s">
        <v>2054</v>
      </c>
      <c r="B14" s="1744"/>
      <c r="C14" s="1744"/>
      <c r="D14" s="1744"/>
      <c r="E14" s="1744"/>
      <c r="F14" s="413">
        <f>SUMIFS(BalanceN[BS_Credit],BalanceN[Table],"&gt;=40120",BalanceN[Table],"&lt;40130")
+
SUMIFS(BalanceN[BS_Credit],BalanceN[Table],"&gt;=40220",BalanceN[Table],"&lt;40230")</f>
        <v>0</v>
      </c>
      <c r="G14" s="413">
        <f>SUMIFS(BalanceN1[BS_Credit],BalanceN1[Table],"&gt;=40120",BalanceN1[Table],"&lt;40130")
+
SUMIFS(BalanceN1[BS_Credit],BalanceN1[Table],"&gt;=40220",BalanceN1[Table],"&lt;40230")</f>
        <v>0</v>
      </c>
      <c r="H14" s="414" t="str">
        <f t="shared" si="1"/>
        <v/>
      </c>
      <c r="I14" s="413">
        <f t="shared" si="0"/>
        <v>0</v>
      </c>
      <c r="J14" s="415"/>
      <c r="K14" s="415"/>
    </row>
    <row r="15" spans="1:11" ht="23.25" customHeight="1">
      <c r="A15" s="1745" t="s">
        <v>2055</v>
      </c>
      <c r="B15" s="1942"/>
      <c r="C15" s="1942"/>
      <c r="D15" s="1942"/>
      <c r="E15" s="1943"/>
      <c r="F15" s="413">
        <f>SUMIFS(BalanceN[BS_Credit],BalanceN[Table],"&gt;=40400",BalanceN[Table],"&lt;40500")</f>
        <v>0</v>
      </c>
      <c r="G15" s="413">
        <f>SUMIFS(BalanceN1[BS_Credit],BalanceN1[Table],"&gt;=40400",BalanceN1[Table],"&lt;40500")</f>
        <v>0</v>
      </c>
      <c r="H15" s="414"/>
      <c r="I15" s="413">
        <f t="shared" si="0"/>
        <v>0</v>
      </c>
      <c r="J15" s="415"/>
      <c r="K15" s="415"/>
    </row>
    <row r="16" spans="1:11" ht="23.25" customHeight="1">
      <c r="A16" s="1744" t="s">
        <v>2056</v>
      </c>
      <c r="B16" s="1744"/>
      <c r="C16" s="1744"/>
      <c r="D16" s="1744"/>
      <c r="E16" s="1744"/>
      <c r="F16" s="413">
        <f>SUMIFS(BalanceN[BS_Credit],BalanceN[Table],"&gt;=40800",BalanceN[Table],"&lt;40900")
-
SUMIFS(BalanceN[BS_Credit],BalanceN[Table],"&gt;=40820",BalanceN[Table],"&lt;40830")</f>
        <v>11515207</v>
      </c>
      <c r="G16" s="413">
        <f>SUMIFS(BalanceN1[BS_Credit],BalanceN1[Table],"&gt;=40800",BalanceN1[Table],"&lt;40900")
-
SUMIFS(BalanceN1[BS_Credit],BalanceN1[Table],"&gt;=40820",BalanceN1[Table],"&lt;40830")</f>
        <v>15310306</v>
      </c>
      <c r="H16" s="414">
        <f t="shared" si="1"/>
        <v>-0.24787871646719536</v>
      </c>
      <c r="I16" s="413">
        <f t="shared" si="0"/>
        <v>11515207</v>
      </c>
      <c r="J16" s="415"/>
      <c r="K16" s="415"/>
    </row>
    <row r="17" spans="1:11" ht="23.25" customHeight="1">
      <c r="A17" s="1744" t="s">
        <v>2057</v>
      </c>
      <c r="B17" s="1744"/>
      <c r="C17" s="1744"/>
      <c r="D17" s="1744"/>
      <c r="E17" s="1744"/>
      <c r="F17" s="413">
        <f>SUMIFS(BalanceN[BS_Credit],BalanceN[Table],"&gt;=40820",BalanceN[Table],"&lt;40830")</f>
        <v>0</v>
      </c>
      <c r="G17" s="413">
        <f>SUMIFS(BalanceN1[BS_Credit],BalanceN1[Table],"&gt;=40820",BalanceN1[Table],"&lt;40830")</f>
        <v>0</v>
      </c>
      <c r="H17" s="414" t="str">
        <f t="shared" si="1"/>
        <v/>
      </c>
      <c r="I17" s="413">
        <f t="shared" si="0"/>
        <v>0</v>
      </c>
      <c r="J17" s="415"/>
      <c r="K17" s="415"/>
    </row>
    <row r="18" spans="1:11" ht="23.25" customHeight="1">
      <c r="A18" s="1940" t="s">
        <v>2058</v>
      </c>
      <c r="B18" s="1940"/>
      <c r="C18" s="1940"/>
      <c r="D18" s="1940"/>
      <c r="E18" s="1940"/>
      <c r="F18" s="416">
        <f>SUM(F9:F17)</f>
        <v>38210222</v>
      </c>
      <c r="G18" s="416">
        <f>SUM(G9:G17)</f>
        <v>55894206</v>
      </c>
      <c r="H18" s="417">
        <f t="shared" si="1"/>
        <v>-0.31638313280628766</v>
      </c>
      <c r="I18" s="416">
        <f>SUM(I9:I17)</f>
        <v>38210222</v>
      </c>
      <c r="J18" s="416">
        <f>SUM(J9:J17)</f>
        <v>0</v>
      </c>
      <c r="K18" s="416">
        <f>SUM(K9:K17)</f>
        <v>0</v>
      </c>
    </row>
    <row r="19" spans="1:11" ht="23.25" customHeight="1">
      <c r="A19" s="1744" t="s">
        <v>2059</v>
      </c>
      <c r="B19" s="1744"/>
      <c r="C19" s="1744"/>
      <c r="D19" s="1744"/>
      <c r="E19" s="1744"/>
      <c r="F19" s="413">
        <f>SUMIFS(BalanceN[BS_Debit],BalanceN[Table],"&gt;=40900",BalanceN[Table],"&lt;41000")
-
SUMIFS(BalanceN[BS_Debit],BalanceN[Table],"&gt;=40920",BalanceN[Table],"&lt;40930")</f>
        <v>857612</v>
      </c>
      <c r="G19" s="413">
        <f>SUMIFS(BalanceN1[BS_Debit],BalanceN1[Table],"&gt;=40900",BalanceN1[Table],"&lt;41000")
-
SUMIFS(BalanceN1[BS_Debit],BalanceN1[Table],"&gt;=40920",BalanceN1[Table],"&lt;40930")</f>
        <v>700000</v>
      </c>
      <c r="H19" s="414">
        <f t="shared" si="1"/>
        <v>0.22516</v>
      </c>
      <c r="I19" s="413">
        <f>F19-J19-K19</f>
        <v>857612</v>
      </c>
      <c r="J19" s="415"/>
      <c r="K19" s="415"/>
    </row>
    <row r="20" spans="1:11" ht="23.25" customHeight="1">
      <c r="A20" s="1744" t="s">
        <v>2060</v>
      </c>
      <c r="B20" s="1744"/>
      <c r="C20" s="1744"/>
      <c r="D20" s="1744"/>
      <c r="E20" s="1744"/>
      <c r="F20" s="413">
        <f>SUMIFS(BalanceN[BS_Debit],BalanceN[Table],"&gt;=40920",BalanceN[Table],"&lt;40930")</f>
        <v>0</v>
      </c>
      <c r="G20" s="413">
        <f>SUMIFS(BalanceN1[BS_Debit],BalanceN1[Table],"&gt;=40920",BalanceN1[Table],"&lt;40930")</f>
        <v>0</v>
      </c>
      <c r="H20" s="414" t="str">
        <f t="shared" si="1"/>
        <v/>
      </c>
      <c r="I20" s="413">
        <f>F20-J20-K20</f>
        <v>0</v>
      </c>
      <c r="J20" s="415"/>
      <c r="K20" s="415"/>
    </row>
    <row r="21" spans="1:11" ht="23.25" customHeight="1">
      <c r="A21" s="1744" t="s">
        <v>2061</v>
      </c>
      <c r="B21" s="1744"/>
      <c r="C21" s="1744"/>
      <c r="D21" s="1744"/>
      <c r="E21" s="1744"/>
      <c r="F21" s="413">
        <v>0</v>
      </c>
      <c r="G21" s="413">
        <v>0</v>
      </c>
      <c r="H21" s="414" t="str">
        <f t="shared" si="1"/>
        <v/>
      </c>
      <c r="I21" s="413">
        <f>F21-J21-K21</f>
        <v>0</v>
      </c>
      <c r="J21" s="415"/>
      <c r="K21" s="415"/>
    </row>
    <row r="22" spans="1:11" ht="23.25" customHeight="1">
      <c r="A22" s="1940" t="s">
        <v>2062</v>
      </c>
      <c r="B22" s="1940"/>
      <c r="C22" s="1940"/>
      <c r="D22" s="1940"/>
      <c r="E22" s="1940"/>
      <c r="F22" s="416">
        <f>SUM(F19:F21)</f>
        <v>857612</v>
      </c>
      <c r="G22" s="416">
        <f>SUM(G19:G21)</f>
        <v>700000</v>
      </c>
      <c r="H22" s="417">
        <f t="shared" si="1"/>
        <v>0.22516</v>
      </c>
      <c r="I22" s="416">
        <f>SUM(I19:I21)</f>
        <v>857612</v>
      </c>
      <c r="J22" s="416">
        <f>SUM(J19:J21)</f>
        <v>0</v>
      </c>
      <c r="K22" s="416">
        <f>SUM(K19:K21)</f>
        <v>0</v>
      </c>
    </row>
    <row r="23" spans="1:11">
      <c r="A23" s="830" t="s">
        <v>2063</v>
      </c>
      <c r="B23" s="816"/>
      <c r="C23" s="129"/>
      <c r="D23" s="129"/>
      <c r="E23" s="129"/>
      <c r="F23" s="129"/>
      <c r="G23" s="129"/>
      <c r="H23" s="129"/>
      <c r="I23" s="129"/>
      <c r="J23" s="129"/>
      <c r="K23" s="129"/>
    </row>
    <row r="24" spans="1:11" ht="12" customHeight="1">
      <c r="A24" s="802" t="s">
        <v>1782</v>
      </c>
      <c r="B24" s="816"/>
      <c r="C24" s="129"/>
      <c r="D24" s="129"/>
      <c r="E24" s="129"/>
      <c r="F24" s="129"/>
      <c r="G24" s="129"/>
      <c r="H24" s="129"/>
      <c r="I24" s="129"/>
      <c r="J24" s="129"/>
      <c r="K24" s="129"/>
    </row>
    <row r="25" spans="1:11" ht="12" customHeight="1">
      <c r="A25" s="802" t="s">
        <v>2064</v>
      </c>
      <c r="B25" s="816"/>
      <c r="C25" s="129"/>
      <c r="D25" s="129"/>
      <c r="E25" s="129"/>
      <c r="F25" s="129"/>
      <c r="G25" s="129"/>
      <c r="H25" s="129"/>
      <c r="I25" s="129"/>
      <c r="J25" s="129"/>
      <c r="K25" s="129"/>
    </row>
    <row r="26" spans="1:11" ht="12" customHeight="1">
      <c r="A26" s="802" t="s">
        <v>2065</v>
      </c>
      <c r="B26" s="816"/>
      <c r="C26" s="129"/>
      <c r="D26" s="129"/>
      <c r="E26" s="129"/>
      <c r="F26" s="129"/>
      <c r="G26" s="129"/>
      <c r="H26" s="129"/>
      <c r="I26" s="129"/>
      <c r="J26" s="129"/>
      <c r="K26" s="129"/>
    </row>
  </sheetData>
  <sheetProtection algorithmName="SHA-512" hashValue="Yw4e2WGuQTQnxlp4One3QzYRDwZkMdOiSODjSKsobMgkz5qDPb8sIPsu7QRuW2LxCu9GX5ioaAz4cmGMv+LaFw==" saltValue="2YgCf3Vzn2m/5BeYhkKKKQ==" spinCount="100000" sheet="1" objects="1" scenarios="1" selectLockedCells="1"/>
  <mergeCells count="23">
    <mergeCell ref="A1:K1"/>
    <mergeCell ref="J2:K2"/>
    <mergeCell ref="C3:K3"/>
    <mergeCell ref="B4:I4"/>
    <mergeCell ref="C5:E5"/>
    <mergeCell ref="G5:I5"/>
    <mergeCell ref="A17:E17"/>
    <mergeCell ref="C6:E6"/>
    <mergeCell ref="A7:K7"/>
    <mergeCell ref="A8:E8"/>
    <mergeCell ref="A9:E9"/>
    <mergeCell ref="A10:E10"/>
    <mergeCell ref="A11:E11"/>
    <mergeCell ref="A12:E12"/>
    <mergeCell ref="A13:E13"/>
    <mergeCell ref="A14:E14"/>
    <mergeCell ref="A15:E15"/>
    <mergeCell ref="A16:E16"/>
    <mergeCell ref="A18:E18"/>
    <mergeCell ref="A19:E19"/>
    <mergeCell ref="A20:E20"/>
    <mergeCell ref="A21:E21"/>
    <mergeCell ref="A22:E22"/>
  </mergeCells>
  <conditionalFormatting sqref="F9:G22 I9:I22 J18:K18 J22:K22">
    <cfRule type="cellIs" dxfId="168" priority="1" operator="equal">
      <formula>0</formula>
    </cfRule>
  </conditionalFormatting>
  <dataValidations count="1">
    <dataValidation type="whole" allowBlank="1" showInputMessage="1" showErrorMessage="1" errorTitle="Attention!" error="Valeur numérique attendue" sqref="F9:G17 F19:G21 I9:K17 I19:K21" xr:uid="{E21F16F1-738C-4272-879A-F6A924CCA085}">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4" orientation="landscape" r:id="rId1"/>
  <ignoredErrors>
    <ignoredError sqref="H18:I18 H22" formula="1"/>
  </ignoredError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1C08B-A279-46A8-95DC-15B9520BEF91}">
  <sheetPr codeName="Feuil44">
    <tabColor theme="9" tint="0.39997558519241921"/>
    <pageSetUpPr fitToPage="1"/>
  </sheetPr>
  <dimension ref="A1:K29"/>
  <sheetViews>
    <sheetView showGridLines="0" showRowColHeaders="0" zoomScaleNormal="100" workbookViewId="0">
      <selection activeCell="J9" sqref="J9"/>
    </sheetView>
  </sheetViews>
  <sheetFormatPr baseColWidth="10" defaultColWidth="11.5234375" defaultRowHeight="14.4"/>
  <cols>
    <col min="1" max="1" width="11.5234375" style="103"/>
    <col min="2" max="2" width="16.41796875" style="103" customWidth="1"/>
    <col min="3" max="4" width="11.5234375" style="103"/>
    <col min="5" max="7" width="15.3125" style="103" customWidth="1"/>
    <col min="8" max="8" width="11.1015625" style="103" customWidth="1"/>
    <col min="9" max="11" width="15.3125" style="103" customWidth="1"/>
    <col min="12" max="16384" width="11.5234375" style="103"/>
  </cols>
  <sheetData>
    <row r="1" spans="1:11">
      <c r="A1" s="1944" t="str">
        <f>"- "&amp;Code!K44&amp;" -"</f>
        <v>- 24 -</v>
      </c>
      <c r="B1" s="1944"/>
      <c r="C1" s="1944"/>
      <c r="D1" s="1944"/>
      <c r="E1" s="1944"/>
      <c r="F1" s="1944"/>
      <c r="G1" s="1944"/>
      <c r="H1" s="1944"/>
      <c r="I1" s="1944"/>
      <c r="J1" s="1944"/>
      <c r="K1" s="1945"/>
    </row>
    <row r="2" spans="1:11" ht="24.9" customHeight="1">
      <c r="A2" s="584"/>
      <c r="B2" s="584"/>
      <c r="C2" s="584"/>
      <c r="D2" s="584"/>
      <c r="E2" s="584"/>
      <c r="F2" s="584"/>
      <c r="G2" s="584"/>
      <c r="H2" s="129"/>
      <c r="I2" s="129"/>
      <c r="J2" s="1946" t="s">
        <v>2066</v>
      </c>
      <c r="K2" s="1947"/>
    </row>
    <row r="3" spans="1:11" s="626" customFormat="1" ht="15" customHeight="1">
      <c r="A3" s="686" t="s">
        <v>50</v>
      </c>
      <c r="B3" s="686"/>
      <c r="C3" s="1948" t="str">
        <f>'NOTE 11'!C3</f>
        <v>OHADA</v>
      </c>
      <c r="D3" s="1948"/>
      <c r="E3" s="1948"/>
      <c r="F3" s="1948"/>
      <c r="G3" s="1948"/>
      <c r="H3" s="1948"/>
      <c r="I3" s="1948"/>
      <c r="J3" s="1948"/>
      <c r="K3" s="1948"/>
    </row>
    <row r="4" spans="1:11" s="626" customFormat="1" ht="15" customHeight="1">
      <c r="A4" s="686" t="s">
        <v>51</v>
      </c>
      <c r="B4" s="1948" t="str">
        <f>'NOTE 11'!B4</f>
        <v/>
      </c>
      <c r="C4" s="1948"/>
      <c r="D4" s="1948"/>
      <c r="E4" s="1948"/>
      <c r="F4" s="1948"/>
      <c r="G4" s="1948"/>
      <c r="H4" s="1948"/>
      <c r="I4" s="1948"/>
      <c r="J4" s="824" t="s">
        <v>1021</v>
      </c>
      <c r="K4" s="825" t="str">
        <f>'NOTE 11'!I4</f>
        <v/>
      </c>
    </row>
    <row r="5" spans="1:11" s="626" customFormat="1" ht="15" customHeight="1">
      <c r="A5" s="686" t="s">
        <v>1597</v>
      </c>
      <c r="B5" s="686"/>
      <c r="C5" s="1948" t="str">
        <f>'NOTE 11'!C5</f>
        <v/>
      </c>
      <c r="D5" s="1948"/>
      <c r="E5" s="1948"/>
      <c r="F5" s="1948"/>
      <c r="G5" s="826" t="s">
        <v>54</v>
      </c>
      <c r="H5" s="1949">
        <f>'NOTE 11'!F5</f>
        <v>0</v>
      </c>
      <c r="I5" s="1949"/>
      <c r="J5" s="824" t="s">
        <v>55</v>
      </c>
      <c r="K5" s="827">
        <f>'NOTE 11'!I5</f>
        <v>1</v>
      </c>
    </row>
    <row r="6" spans="1:11" s="626" customFormat="1" ht="15" customHeight="1">
      <c r="A6" s="686" t="s">
        <v>1533</v>
      </c>
      <c r="B6" s="686"/>
      <c r="C6" s="1275" t="str">
        <f>'NOTE 11'!C6</f>
        <v/>
      </c>
      <c r="D6" s="1275"/>
      <c r="E6" s="1275"/>
      <c r="F6" s="1275"/>
      <c r="G6" s="828"/>
      <c r="H6" s="827"/>
      <c r="I6" s="827"/>
      <c r="J6" s="829"/>
      <c r="K6" s="827"/>
    </row>
    <row r="7" spans="1:11" ht="35.25" customHeight="1">
      <c r="A7" s="1954" t="s">
        <v>2067</v>
      </c>
      <c r="B7" s="1954"/>
      <c r="C7" s="1954"/>
      <c r="D7" s="1954"/>
      <c r="E7" s="1954"/>
      <c r="F7" s="1954"/>
      <c r="G7" s="1954"/>
      <c r="H7" s="1954"/>
      <c r="I7" s="1954"/>
      <c r="J7" s="1954"/>
      <c r="K7" s="1954"/>
    </row>
    <row r="8" spans="1:11" ht="58.5" customHeight="1">
      <c r="A8" s="1643" t="s">
        <v>1692</v>
      </c>
      <c r="B8" s="1643"/>
      <c r="C8" s="1643"/>
      <c r="D8" s="1643"/>
      <c r="E8" s="797" t="s">
        <v>1693</v>
      </c>
      <c r="F8" s="797" t="s">
        <v>1694</v>
      </c>
      <c r="G8" s="797" t="s">
        <v>1904</v>
      </c>
      <c r="H8" s="797" t="s">
        <v>1731</v>
      </c>
      <c r="I8" s="797" t="s">
        <v>1960</v>
      </c>
      <c r="J8" s="797" t="s">
        <v>2068</v>
      </c>
      <c r="K8" s="797" t="s">
        <v>1962</v>
      </c>
    </row>
    <row r="9" spans="1:11" ht="21" customHeight="1">
      <c r="A9" s="1744" t="s">
        <v>2069</v>
      </c>
      <c r="B9" s="1744"/>
      <c r="C9" s="1744"/>
      <c r="D9" s="1744"/>
      <c r="E9" s="413">
        <f>SUMIFS(BalanceN[BS_Credit],BalanceN[Table],"&gt;=42200",BalanceN[Table],"&lt;42300")</f>
        <v>134939</v>
      </c>
      <c r="F9" s="413">
        <f>SUMIFS(BalanceN1[BS_Credit],BalanceN1[Table],"&gt;=42200",BalanceN1[Table],"&lt;42300")</f>
        <v>983251</v>
      </c>
      <c r="G9" s="413">
        <f>(E9-F9)</f>
        <v>-848312</v>
      </c>
      <c r="H9" s="414">
        <f t="shared" ref="H9:H26" si="0">IF(F9,(E9-F9)/F9,IF(ISBLANK(F9),"",IF(E9,IF( E9 &gt; 0,1,-1),"")))</f>
        <v>-0.86276240756429434</v>
      </c>
      <c r="I9" s="413">
        <f>E9-J9-K9</f>
        <v>134939</v>
      </c>
      <c r="J9" s="418"/>
      <c r="K9" s="418"/>
    </row>
    <row r="10" spans="1:11" ht="21" customHeight="1">
      <c r="A10" s="1955" t="s">
        <v>2070</v>
      </c>
      <c r="B10" s="1956"/>
      <c r="C10" s="1956"/>
      <c r="D10" s="1957"/>
      <c r="E10" s="418"/>
      <c r="F10" s="418"/>
      <c r="G10" s="413">
        <f t="shared" ref="G10:G18" si="1">(E10-F10)</f>
        <v>0</v>
      </c>
      <c r="H10" s="414"/>
      <c r="I10" s="413">
        <f t="shared" ref="I10:I18" si="2">E10-J10-K10</f>
        <v>0</v>
      </c>
      <c r="J10" s="418"/>
      <c r="K10" s="418"/>
    </row>
    <row r="11" spans="1:11" ht="21" customHeight="1">
      <c r="A11" s="1955" t="s">
        <v>2071</v>
      </c>
      <c r="B11" s="1956"/>
      <c r="C11" s="1956"/>
      <c r="D11" s="1957"/>
      <c r="E11" s="413">
        <f>SUMIFS(BalanceN[BS_Credit],BalanceN[Table],"&gt;=43820",BalanceN[Table],"&lt;43830")</f>
        <v>479581</v>
      </c>
      <c r="F11" s="413">
        <f>SUMIFS(BalanceN1[BS_Credit],BalanceN1[Table],"&gt;=43820",BalanceN1[Table],"&lt;43830")</f>
        <v>508585</v>
      </c>
      <c r="G11" s="413">
        <f t="shared" si="1"/>
        <v>-29004</v>
      </c>
      <c r="H11" s="414"/>
      <c r="I11" s="413">
        <f t="shared" si="2"/>
        <v>479581</v>
      </c>
      <c r="J11" s="418"/>
      <c r="K11" s="418"/>
    </row>
    <row r="12" spans="1:11" ht="21" customHeight="1">
      <c r="A12" s="1744" t="s">
        <v>2072</v>
      </c>
      <c r="B12" s="1744"/>
      <c r="C12" s="1744"/>
      <c r="D12" s="1744"/>
      <c r="E12" s="413">
        <f>SUMIFS(BalanceN[BS_Credit],BalanceN[Table],"&gt;=42300",BalanceN[Table],"&lt;42900")</f>
        <v>3708640</v>
      </c>
      <c r="F12" s="413">
        <f>SUMIFS(BalanceN1[BS_Credit],BalanceN1[Table],"&gt;=42300",BalanceN1[Table],"&lt;42900")</f>
        <v>4125592</v>
      </c>
      <c r="G12" s="413">
        <f t="shared" si="1"/>
        <v>-416952</v>
      </c>
      <c r="H12" s="414">
        <f t="shared" si="0"/>
        <v>-0.10106476840172271</v>
      </c>
      <c r="I12" s="413">
        <f t="shared" si="2"/>
        <v>3708640</v>
      </c>
      <c r="J12" s="418"/>
      <c r="K12" s="418"/>
    </row>
    <row r="13" spans="1:11" ht="21" customHeight="1">
      <c r="A13" s="1745" t="s">
        <v>2073</v>
      </c>
      <c r="B13" s="1942"/>
      <c r="C13" s="1942"/>
      <c r="D13" s="1943"/>
      <c r="E13" s="413">
        <f>SUMIFS(BalanceN[BS_Credit],BalanceN[Table],"&gt;=43100",BalanceN[Table],"&lt;43200")</f>
        <v>2127881</v>
      </c>
      <c r="F13" s="413">
        <f>SUMIFS(BalanceN1[BS_Credit],BalanceN1[Table],"&gt;=43100",BalanceN1[Table],"&lt;43200")</f>
        <v>2025713</v>
      </c>
      <c r="G13" s="413">
        <f t="shared" si="1"/>
        <v>102168</v>
      </c>
      <c r="H13" s="414">
        <f t="shared" si="0"/>
        <v>5.0435575029631544E-2</v>
      </c>
      <c r="I13" s="413">
        <f t="shared" si="2"/>
        <v>2127881</v>
      </c>
      <c r="J13" s="418"/>
      <c r="K13" s="418"/>
    </row>
    <row r="14" spans="1:11" ht="21" customHeight="1">
      <c r="A14" s="1744" t="s">
        <v>2074</v>
      </c>
      <c r="B14" s="1744"/>
      <c r="C14" s="1744"/>
      <c r="D14" s="1744"/>
      <c r="E14" s="413">
        <f>SUMIFS(BalanceN[BS_Credit],BalanceN[Table],"&gt;=43200",BalanceN[Table],"&lt;43300")</f>
        <v>0</v>
      </c>
      <c r="F14" s="413">
        <f>SUMIFS(BalanceN1[BS_Credit],BalanceN1[Table],"&gt;=43200",BalanceN1[Table],"&lt;43300")</f>
        <v>0</v>
      </c>
      <c r="G14" s="413">
        <f t="shared" si="1"/>
        <v>0</v>
      </c>
      <c r="H14" s="414" t="str">
        <f t="shared" si="0"/>
        <v/>
      </c>
      <c r="I14" s="413">
        <f t="shared" si="2"/>
        <v>0</v>
      </c>
      <c r="J14" s="418"/>
      <c r="K14" s="418"/>
    </row>
    <row r="15" spans="1:11" ht="21" customHeight="1">
      <c r="A15" s="1745" t="s">
        <v>2075</v>
      </c>
      <c r="B15" s="1942"/>
      <c r="C15" s="1942"/>
      <c r="D15" s="1943"/>
      <c r="E15" s="413">
        <f>SUMIFS(BalanceN[BS_Credit],BalanceN[Table],"&gt;=43310",BalanceN[Table],"&lt;43320")</f>
        <v>304999</v>
      </c>
      <c r="F15" s="413">
        <f>SUMIFS(BalanceN1[BS_Credit],BalanceN1[Table],"&gt;=43310",BalanceN1[Table],"&lt;43320")</f>
        <v>470001</v>
      </c>
      <c r="G15" s="413">
        <f t="shared" si="1"/>
        <v>-165002</v>
      </c>
      <c r="H15" s="414"/>
      <c r="I15" s="413">
        <f t="shared" si="2"/>
        <v>304999</v>
      </c>
      <c r="J15" s="418"/>
      <c r="K15" s="418"/>
    </row>
    <row r="16" spans="1:11" ht="21" customHeight="1">
      <c r="A16" s="1745" t="s">
        <v>2076</v>
      </c>
      <c r="B16" s="1942"/>
      <c r="C16" s="1942"/>
      <c r="D16" s="1943"/>
      <c r="E16" s="413">
        <f>SUMIFS(BalanceN[BS_Credit],BalanceN[Table],"&gt;=43320",BalanceN[Table],"&lt;43330")</f>
        <v>0</v>
      </c>
      <c r="F16" s="413">
        <f>SUMIFS(BalanceN1[BS_Credit],BalanceN1[Table],"&gt;=43320",BalanceN1[Table],"&lt;43330")</f>
        <v>0</v>
      </c>
      <c r="G16" s="413">
        <f t="shared" si="1"/>
        <v>0</v>
      </c>
      <c r="H16" s="414"/>
      <c r="I16" s="413">
        <f t="shared" si="2"/>
        <v>0</v>
      </c>
      <c r="J16" s="418"/>
      <c r="K16" s="418"/>
    </row>
    <row r="17" spans="1:11" ht="21" customHeight="1">
      <c r="A17" s="1745" t="s">
        <v>2077</v>
      </c>
      <c r="B17" s="1942"/>
      <c r="C17" s="1942"/>
      <c r="D17" s="1943"/>
      <c r="E17" s="413">
        <f>SUMIFS(BalanceN[BS_Credit],BalanceN[Table],"&gt;=43810",BalanceN[Table],"&lt;43820")</f>
        <v>0</v>
      </c>
      <c r="F17" s="413">
        <f>SUMIFS(BalanceN1[BS_Credit],BalanceN1[Table],"&gt;=43810",BalanceN1[Table],"&lt;43820")</f>
        <v>0</v>
      </c>
      <c r="G17" s="413">
        <f t="shared" si="1"/>
        <v>0</v>
      </c>
      <c r="H17" s="414"/>
      <c r="I17" s="413">
        <f t="shared" si="2"/>
        <v>0</v>
      </c>
      <c r="J17" s="418"/>
      <c r="K17" s="418"/>
    </row>
    <row r="18" spans="1:11" ht="21" customHeight="1">
      <c r="A18" s="1744" t="s">
        <v>2078</v>
      </c>
      <c r="B18" s="1744"/>
      <c r="C18" s="1744"/>
      <c r="D18" s="1744"/>
      <c r="E18" s="413">
        <f>SUMIFS(BalanceN[BS_Credit],BalanceN[Table],"&gt;=43330",BalanceN[Table],"&lt;43340")
+
SUMIFS(BalanceN[BS_Credit],BalanceN[Table],"&gt;=43860",BalanceN[Table],"&lt;43870")</f>
        <v>0</v>
      </c>
      <c r="F18" s="413">
        <f>SUMIFS(BalanceN1[BS_Credit],BalanceN1[Table],"&gt;=43330",BalanceN1[Table],"&lt;43340")
+
SUMIFS(BalanceN1[BS_Credit],BalanceN1[Table],"&gt;=43860",BalanceN1[Table],"&lt;43870")</f>
        <v>0</v>
      </c>
      <c r="G18" s="413">
        <f t="shared" si="1"/>
        <v>0</v>
      </c>
      <c r="H18" s="414" t="str">
        <f t="shared" si="0"/>
        <v/>
      </c>
      <c r="I18" s="413">
        <f t="shared" si="2"/>
        <v>0</v>
      </c>
      <c r="J18" s="418"/>
      <c r="K18" s="418"/>
    </row>
    <row r="19" spans="1:11" ht="21" customHeight="1">
      <c r="A19" s="1950" t="s">
        <v>2079</v>
      </c>
      <c r="B19" s="1950"/>
      <c r="C19" s="1950"/>
      <c r="D19" s="1950"/>
      <c r="E19" s="419">
        <f>SUM(E9:E18)</f>
        <v>6756040</v>
      </c>
      <c r="F19" s="419">
        <f>SUM(F9:F18)</f>
        <v>8113142</v>
      </c>
      <c r="G19" s="419">
        <f>SUM(G9:G18)</f>
        <v>-1357102</v>
      </c>
      <c r="H19" s="417">
        <f t="shared" si="0"/>
        <v>-0.16727206303057435</v>
      </c>
      <c r="I19" s="419">
        <f>SUM(I9:I18)</f>
        <v>6756040</v>
      </c>
      <c r="J19" s="419">
        <f>SUM(J9:J18)</f>
        <v>0</v>
      </c>
      <c r="K19" s="419">
        <f>SUM(K9:K18)</f>
        <v>0</v>
      </c>
    </row>
    <row r="20" spans="1:11" ht="21" customHeight="1">
      <c r="A20" s="1744" t="s">
        <v>2080</v>
      </c>
      <c r="B20" s="1744"/>
      <c r="C20" s="1744"/>
      <c r="D20" s="1744"/>
      <c r="E20" s="413">
        <f>SUMIFS(BalanceN[BS_Credit],BalanceN[Table],"&gt;=44100",BalanceN[Table],"&lt;44200")</f>
        <v>31102200</v>
      </c>
      <c r="F20" s="413">
        <f>SUMIFS(BalanceN1[BS_Credit],BalanceN1[Table],"&gt;=44100",BalanceN1[Table],"&lt;44200")</f>
        <v>23411413</v>
      </c>
      <c r="G20" s="413">
        <f>(E20-F20)</f>
        <v>7690787</v>
      </c>
      <c r="H20" s="414">
        <f t="shared" si="0"/>
        <v>0.32850588727814078</v>
      </c>
      <c r="I20" s="413">
        <f>E20-J20-K20</f>
        <v>31102200</v>
      </c>
      <c r="J20" s="418"/>
      <c r="K20" s="418"/>
    </row>
    <row r="21" spans="1:11" ht="21" customHeight="1">
      <c r="A21" s="1744" t="s">
        <v>2081</v>
      </c>
      <c r="B21" s="1744"/>
      <c r="C21" s="1744"/>
      <c r="D21" s="1744"/>
      <c r="E21" s="413">
        <f>SUMIFS(BalanceN[BS_Credit],BalanceN[Table],"&gt;=44200",BalanceN[Table],"&lt;44300")</f>
        <v>3669336</v>
      </c>
      <c r="F21" s="413">
        <f>SUMIFS(BalanceN1[BS_Credit],BalanceN1[Table],"&gt;=44200",BalanceN1[Table],"&lt;44300")</f>
        <v>3213144</v>
      </c>
      <c r="G21" s="413">
        <f>(E21-F21)</f>
        <v>456192</v>
      </c>
      <c r="H21" s="414">
        <f t="shared" si="0"/>
        <v>0.14197683017007642</v>
      </c>
      <c r="I21" s="413">
        <f>E21-J21-K21</f>
        <v>3669336</v>
      </c>
      <c r="J21" s="418"/>
      <c r="K21" s="418"/>
    </row>
    <row r="22" spans="1:11" ht="21" customHeight="1">
      <c r="A22" s="1744" t="s">
        <v>2082</v>
      </c>
      <c r="B22" s="1744"/>
      <c r="C22" s="1744"/>
      <c r="D22" s="1744"/>
      <c r="E22" s="413">
        <f>SUMIFS(BalanceN[BS_Credit],BalanceN[Table],"&gt;=44300",BalanceN[Table],"&lt;44600")</f>
        <v>0</v>
      </c>
      <c r="F22" s="413">
        <f>SUMIFS(BalanceN1[BS_Credit],BalanceN1[Table],"&gt;=44300",BalanceN1[Table],"&lt;44600")</f>
        <v>89781</v>
      </c>
      <c r="G22" s="413">
        <f>(E22-F22)</f>
        <v>-89781</v>
      </c>
      <c r="H22" s="414">
        <f t="shared" si="0"/>
        <v>-1</v>
      </c>
      <c r="I22" s="413">
        <f>E22-J22-K22</f>
        <v>0</v>
      </c>
      <c r="J22" s="418"/>
      <c r="K22" s="418"/>
    </row>
    <row r="23" spans="1:11" ht="21" customHeight="1">
      <c r="A23" s="1744" t="s">
        <v>2083</v>
      </c>
      <c r="B23" s="1744"/>
      <c r="C23" s="1744"/>
      <c r="D23" s="1744"/>
      <c r="E23" s="413">
        <f>SUMIFS(BalanceN[BS_Credit],BalanceN[Table],"&gt;=44700",BalanceN[Table],"&lt;44800")</f>
        <v>1140671</v>
      </c>
      <c r="F23" s="413">
        <f>SUMIFS(BalanceN1[BS_Credit],BalanceN1[Table],"&gt;=44700",BalanceN1[Table],"&lt;44800")</f>
        <v>1182818</v>
      </c>
      <c r="G23" s="413">
        <f>(E23-F23)</f>
        <v>-42147</v>
      </c>
      <c r="H23" s="414">
        <f t="shared" si="0"/>
        <v>-3.5632700888894149E-2</v>
      </c>
      <c r="I23" s="413">
        <f>E23-J23-K23</f>
        <v>1140671</v>
      </c>
      <c r="J23" s="418"/>
      <c r="K23" s="418"/>
    </row>
    <row r="24" spans="1:11" ht="21" customHeight="1">
      <c r="A24" s="1744" t="s">
        <v>2084</v>
      </c>
      <c r="B24" s="1744"/>
      <c r="C24" s="1744"/>
      <c r="D24" s="1744"/>
      <c r="E24" s="413">
        <f>SUMIFS(BalanceN[BS_Credit],BalanceN[Table],"&gt;=44600",BalanceN[Table],"&lt;44700")+SUMIFS(BalanceN[BS_Credit],BalanceN[Table],"&gt;=44800",BalanceN[Table],"&lt;45000")</f>
        <v>0</v>
      </c>
      <c r="F24" s="413">
        <f>SUMIFS(BalanceN1[BS_Credit],BalanceN1[Table],"&gt;=44600",BalanceN1[Table],"&lt;44700")+SUMIFS(BalanceN1[BS_Credit],BalanceN1[Table],"&gt;=44800",BalanceN1[Table],"&lt;45000")</f>
        <v>0</v>
      </c>
      <c r="G24" s="413">
        <f>(E24-F24)</f>
        <v>0</v>
      </c>
      <c r="H24" s="414" t="str">
        <f t="shared" si="0"/>
        <v/>
      </c>
      <c r="I24" s="413">
        <f>E24-J24-K24</f>
        <v>0</v>
      </c>
      <c r="J24" s="418"/>
      <c r="K24" s="418"/>
    </row>
    <row r="25" spans="1:11" ht="21" customHeight="1">
      <c r="A25" s="1950" t="s">
        <v>2085</v>
      </c>
      <c r="B25" s="1950"/>
      <c r="C25" s="1950"/>
      <c r="D25" s="1950"/>
      <c r="E25" s="419">
        <f>SUM(E20:E24)</f>
        <v>35912207</v>
      </c>
      <c r="F25" s="419">
        <f>SUM(F20:F24)</f>
        <v>27897156</v>
      </c>
      <c r="G25" s="419">
        <f>SUM(G20:G24)</f>
        <v>8015051</v>
      </c>
      <c r="H25" s="417">
        <f t="shared" si="0"/>
        <v>0.28730710040837137</v>
      </c>
      <c r="I25" s="419">
        <f>SUM(I20:I24)</f>
        <v>35912207</v>
      </c>
      <c r="J25" s="419">
        <f>SUM(J20:J24)</f>
        <v>0</v>
      </c>
      <c r="K25" s="419">
        <f>SUM(K20:K24)</f>
        <v>0</v>
      </c>
    </row>
    <row r="26" spans="1:11" ht="21" customHeight="1">
      <c r="A26" s="1951" t="s">
        <v>2086</v>
      </c>
      <c r="B26" s="1952"/>
      <c r="C26" s="1952"/>
      <c r="D26" s="1953"/>
      <c r="E26" s="401">
        <f>E19+E25</f>
        <v>42668247</v>
      </c>
      <c r="F26" s="401">
        <f>F19+F25</f>
        <v>36010298</v>
      </c>
      <c r="G26" s="401">
        <f>G19+G25</f>
        <v>6657949</v>
      </c>
      <c r="H26" s="420">
        <f t="shared" si="0"/>
        <v>0.18489013892637046</v>
      </c>
      <c r="I26" s="401">
        <f>I19+I25</f>
        <v>42668247</v>
      </c>
      <c r="J26" s="401">
        <f>J19+J25</f>
        <v>0</v>
      </c>
      <c r="K26" s="401">
        <f>K19+K25</f>
        <v>0</v>
      </c>
    </row>
    <row r="27" spans="1:11" s="653" customFormat="1" ht="16.5" customHeight="1">
      <c r="A27" s="830" t="s">
        <v>2063</v>
      </c>
      <c r="B27" s="816"/>
      <c r="C27" s="816"/>
      <c r="D27" s="816"/>
      <c r="E27" s="816"/>
      <c r="F27" s="816"/>
      <c r="G27" s="816"/>
      <c r="H27" s="816"/>
      <c r="I27" s="816"/>
      <c r="J27" s="816"/>
      <c r="K27" s="816"/>
    </row>
    <row r="28" spans="1:11" s="653" customFormat="1" ht="10.5">
      <c r="A28" s="802" t="s">
        <v>2087</v>
      </c>
      <c r="B28" s="816"/>
      <c r="C28" s="816"/>
      <c r="D28" s="816"/>
      <c r="E28" s="816"/>
      <c r="F28" s="816"/>
      <c r="G28" s="816"/>
      <c r="H28" s="816"/>
      <c r="I28" s="816"/>
      <c r="J28" s="816"/>
      <c r="K28" s="816"/>
    </row>
    <row r="29" spans="1:11" s="653" customFormat="1" ht="10.5">
      <c r="A29" s="802" t="s">
        <v>2088</v>
      </c>
      <c r="B29" s="816"/>
      <c r="C29" s="816"/>
      <c r="D29" s="816"/>
      <c r="E29" s="816"/>
      <c r="F29" s="816"/>
      <c r="G29" s="816"/>
      <c r="H29" s="816"/>
      <c r="I29" s="816"/>
      <c r="J29" s="816"/>
      <c r="K29" s="816"/>
    </row>
  </sheetData>
  <sheetProtection algorithmName="SHA-512" hashValue="sEIljFEDsksrEoxal7YXaNZxPTh5g9vrbt3yD6qOV+4TvzQh+zYyqy6+j4FS/2Nh20GDt7xPV6b8AEs4OsHC+Q==" saltValue="mb3Fsq7HruN9EW9nZ+I6Xw==" spinCount="100000" sheet="1" objects="1" scenarios="1" selectLockedCells="1"/>
  <mergeCells count="27">
    <mergeCell ref="A1:K1"/>
    <mergeCell ref="J2:K2"/>
    <mergeCell ref="C3:K3"/>
    <mergeCell ref="B4:I4"/>
    <mergeCell ref="C5:F5"/>
    <mergeCell ref="H5:I5"/>
    <mergeCell ref="A17:D17"/>
    <mergeCell ref="C6:F6"/>
    <mergeCell ref="A7:K7"/>
    <mergeCell ref="A8:D8"/>
    <mergeCell ref="A9:D9"/>
    <mergeCell ref="A10:D10"/>
    <mergeCell ref="A11:D11"/>
    <mergeCell ref="A12:D12"/>
    <mergeCell ref="A13:D13"/>
    <mergeCell ref="A14:D14"/>
    <mergeCell ref="A15:D15"/>
    <mergeCell ref="A16:D16"/>
    <mergeCell ref="A24:D24"/>
    <mergeCell ref="A25:D25"/>
    <mergeCell ref="A26:D26"/>
    <mergeCell ref="A18:D18"/>
    <mergeCell ref="A19:D19"/>
    <mergeCell ref="A20:D20"/>
    <mergeCell ref="A21:D21"/>
    <mergeCell ref="A22:D22"/>
    <mergeCell ref="A23:D23"/>
  </mergeCells>
  <conditionalFormatting sqref="I9:K26 E9:G26">
    <cfRule type="cellIs" dxfId="167" priority="1" operator="equal">
      <formula>0</formula>
    </cfRule>
  </conditionalFormatting>
  <dataValidations count="1">
    <dataValidation type="whole" allowBlank="1" showInputMessage="1" showErrorMessage="1" errorTitle="Attention!" error="Valeur numérique attendue" sqref="E20:F24 I20:K24 I9:K18 E9:F18" xr:uid="{915311D3-459B-4F6B-A03E-D3AF37771941}">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8" orientation="landscape" r:id="rId1"/>
  <ignoredErrors>
    <ignoredError sqref="G19:I19 H25:H26" formula="1"/>
  </ignoredError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4637-3A1C-4DC8-9F06-D781C4F0C9BE}">
  <sheetPr codeName="Feuil45">
    <tabColor theme="9" tint="0.39997558519241921"/>
    <pageSetUpPr fitToPage="1"/>
  </sheetPr>
  <dimension ref="A1:K34"/>
  <sheetViews>
    <sheetView showGridLines="0" showRowColHeaders="0" zoomScaleNormal="100" workbookViewId="0">
      <selection activeCell="J9" sqref="J9"/>
    </sheetView>
  </sheetViews>
  <sheetFormatPr baseColWidth="10" defaultColWidth="11.5234375" defaultRowHeight="14.4"/>
  <cols>
    <col min="1" max="1" width="11.5234375" style="103"/>
    <col min="2" max="2" width="16.68359375" style="103" customWidth="1"/>
    <col min="3" max="3" width="11.5234375" style="103"/>
    <col min="4" max="4" width="12.41796875" style="103" customWidth="1"/>
    <col min="5" max="6" width="15.1015625" style="103" customWidth="1"/>
    <col min="7" max="7" width="13.1015625" style="103" customWidth="1"/>
    <col min="8" max="8" width="11.3125" style="103" customWidth="1"/>
    <col min="9" max="11" width="15.1015625" style="103" customWidth="1"/>
    <col min="12" max="16384" width="11.5234375" style="103"/>
  </cols>
  <sheetData>
    <row r="1" spans="1:11">
      <c r="A1" s="1276" t="str">
        <f>"- "&amp;Code!K45&amp;" -"</f>
        <v>- 24 -</v>
      </c>
      <c r="B1" s="1276"/>
      <c r="C1" s="1276"/>
      <c r="D1" s="1276"/>
      <c r="E1" s="1276"/>
      <c r="F1" s="1276"/>
      <c r="G1" s="1276"/>
      <c r="H1" s="1276"/>
      <c r="I1" s="1276"/>
      <c r="J1" s="1276"/>
      <c r="K1" s="1277"/>
    </row>
    <row r="2" spans="1:11" ht="24.9" customHeight="1">
      <c r="A2" s="576"/>
      <c r="B2" s="576"/>
      <c r="C2" s="576"/>
      <c r="D2" s="576"/>
      <c r="E2" s="576"/>
      <c r="F2" s="576"/>
      <c r="G2" s="576"/>
      <c r="J2" s="1278" t="s">
        <v>2089</v>
      </c>
      <c r="K2" s="1279"/>
    </row>
    <row r="3" spans="1:11" s="626" customFormat="1" ht="15" customHeight="1">
      <c r="A3" s="317" t="s">
        <v>50</v>
      </c>
      <c r="B3" s="317"/>
      <c r="C3" s="1280" t="str">
        <f>'NOTE 11'!C3</f>
        <v>OHADA</v>
      </c>
      <c r="D3" s="1280"/>
      <c r="E3" s="1280"/>
      <c r="F3" s="1280"/>
      <c r="G3" s="1280"/>
      <c r="H3" s="1280"/>
      <c r="I3" s="1280"/>
      <c r="J3" s="1280"/>
      <c r="K3" s="1280"/>
    </row>
    <row r="4" spans="1:11" s="626" customFormat="1" ht="15" customHeight="1">
      <c r="A4" s="317" t="s">
        <v>51</v>
      </c>
      <c r="B4" s="1280" t="str">
        <f>'NOTE 11'!B4</f>
        <v/>
      </c>
      <c r="C4" s="1280"/>
      <c r="D4" s="1280"/>
      <c r="E4" s="1280"/>
      <c r="F4" s="1280"/>
      <c r="G4" s="1280"/>
      <c r="H4" s="1280"/>
      <c r="I4" s="1280"/>
      <c r="J4" s="627" t="s">
        <v>1021</v>
      </c>
      <c r="K4" s="628" t="str">
        <f>'NOTE 11'!I4</f>
        <v/>
      </c>
    </row>
    <row r="5" spans="1:11" s="626" customFormat="1" ht="15" customHeight="1">
      <c r="A5" s="317" t="s">
        <v>1597</v>
      </c>
      <c r="B5" s="317"/>
      <c r="C5" s="1280" t="str">
        <f>'NOTE 11'!C5</f>
        <v/>
      </c>
      <c r="D5" s="1280"/>
      <c r="E5" s="1280"/>
      <c r="F5" s="1280"/>
      <c r="G5" s="1488" t="s">
        <v>54</v>
      </c>
      <c r="H5" s="1488"/>
      <c r="I5" s="633">
        <f>'NOTE 11'!F5</f>
        <v>0</v>
      </c>
      <c r="J5" s="627" t="s">
        <v>55</v>
      </c>
      <c r="K5" s="630">
        <f>'NOTE 11'!I5</f>
        <v>1</v>
      </c>
    </row>
    <row r="6" spans="1:11" s="626" customFormat="1" ht="15" customHeight="1">
      <c r="A6" s="748" t="s">
        <v>56</v>
      </c>
      <c r="B6" s="317"/>
      <c r="C6" s="1275" t="str">
        <f>'NOTE 11'!C6</f>
        <v/>
      </c>
      <c r="D6" s="1275"/>
      <c r="E6" s="1275"/>
      <c r="F6" s="1275"/>
      <c r="G6" s="638"/>
      <c r="H6" s="630"/>
      <c r="I6" s="630"/>
      <c r="J6" s="629"/>
      <c r="K6" s="630"/>
    </row>
    <row r="7" spans="1:11" ht="35.25" customHeight="1">
      <c r="A7" s="1273" t="s">
        <v>2090</v>
      </c>
      <c r="B7" s="1273"/>
      <c r="C7" s="1273"/>
      <c r="D7" s="1273"/>
      <c r="E7" s="1273"/>
      <c r="F7" s="1273"/>
      <c r="G7" s="1273"/>
      <c r="H7" s="1273"/>
      <c r="I7" s="1273"/>
      <c r="J7" s="1273"/>
      <c r="K7" s="1273"/>
    </row>
    <row r="8" spans="1:11" ht="41.25" customHeight="1">
      <c r="A8" s="1643" t="s">
        <v>1692</v>
      </c>
      <c r="B8" s="1643"/>
      <c r="C8" s="1643"/>
      <c r="D8" s="1643"/>
      <c r="E8" s="797" t="s">
        <v>1693</v>
      </c>
      <c r="F8" s="797" t="s">
        <v>1694</v>
      </c>
      <c r="G8" s="797" t="s">
        <v>2091</v>
      </c>
      <c r="H8" s="797" t="s">
        <v>1731</v>
      </c>
      <c r="I8" s="797" t="s">
        <v>1960</v>
      </c>
      <c r="J8" s="797" t="s">
        <v>2092</v>
      </c>
      <c r="K8" s="797" t="s">
        <v>1962</v>
      </c>
    </row>
    <row r="9" spans="1:11" ht="17.25" customHeight="1">
      <c r="A9" s="1748" t="s">
        <v>1558</v>
      </c>
      <c r="B9" s="1748"/>
      <c r="C9" s="1748"/>
      <c r="D9" s="1748"/>
      <c r="E9" s="581">
        <f>SUMIFS(BalanceN[BS_Credit],BalanceN[Table],"&gt;=45000",BalanceN[Table],"&lt;46000")</f>
        <v>0</v>
      </c>
      <c r="F9" s="581">
        <f>SUMIFS(BalanceN1[BS_Credit],BalanceN1[Table],"&gt;=45000",BalanceN1[Table],"&lt;46000")</f>
        <v>0</v>
      </c>
      <c r="G9" s="581">
        <f t="shared" ref="G9:G14" si="0">(E9-F9)</f>
        <v>0</v>
      </c>
      <c r="H9" s="361" t="str">
        <f>IF(F9,(E9-F9)/F9,IF(ISBLANK(F9),"",IF(E9,IF( E9 &gt; 0,1,-1),"")))</f>
        <v/>
      </c>
      <c r="I9" s="581">
        <f>E9-J9-K9</f>
        <v>0</v>
      </c>
      <c r="J9" s="372"/>
      <c r="K9" s="372"/>
    </row>
    <row r="10" spans="1:11" ht="17.25" customHeight="1">
      <c r="A10" s="1748" t="s">
        <v>2093</v>
      </c>
      <c r="B10" s="1748"/>
      <c r="C10" s="1748"/>
      <c r="D10" s="1748"/>
      <c r="E10" s="581">
        <f>SUMIFS(BalanceN[BS_Credit],BalanceN[Table],"&gt;=46100",BalanceN[Table],"&lt;46200")</f>
        <v>0</v>
      </c>
      <c r="F10" s="581">
        <f>SUMIFS(BalanceN1[BS_Credit],BalanceN1[Table],"&gt;=46100",BalanceN1[Table],"&lt;46200")</f>
        <v>0</v>
      </c>
      <c r="G10" s="581">
        <f t="shared" si="0"/>
        <v>0</v>
      </c>
      <c r="H10" s="361" t="str">
        <f t="shared" ref="H10:H29" si="1">IF(F10,(E10-F10)/F10,IF(ISBLANK(F10),"",IF(E10,IF( E10 &gt; 0,1,-1),"")))</f>
        <v/>
      </c>
      <c r="I10" s="581">
        <f>E10-J10-K10</f>
        <v>0</v>
      </c>
      <c r="J10" s="372"/>
      <c r="K10" s="372"/>
    </row>
    <row r="11" spans="1:11" ht="17.25" customHeight="1">
      <c r="A11" s="1748" t="s">
        <v>2094</v>
      </c>
      <c r="B11" s="1748"/>
      <c r="C11" s="1748"/>
      <c r="D11" s="1748"/>
      <c r="E11" s="581">
        <f>SUMIFS(BalanceN[BS_Credit],BalanceN[Table],"&gt;=46200",BalanceN[Table],"&lt;46400")</f>
        <v>0</v>
      </c>
      <c r="F11" s="581">
        <f>SUMIFS(BalanceN1[BS_Credit],BalanceN1[Table],"&gt;=46200",BalanceN1[Table],"&lt;46400")</f>
        <v>9938959</v>
      </c>
      <c r="G11" s="581">
        <f t="shared" si="0"/>
        <v>-9938959</v>
      </c>
      <c r="H11" s="361">
        <f t="shared" si="1"/>
        <v>-1</v>
      </c>
      <c r="I11" s="581">
        <f t="shared" ref="I11:I22" si="2">E11-J11-K11</f>
        <v>0</v>
      </c>
      <c r="J11" s="372"/>
      <c r="K11" s="372"/>
    </row>
    <row r="12" spans="1:11" ht="17.25" customHeight="1">
      <c r="A12" s="1748" t="s">
        <v>2095</v>
      </c>
      <c r="B12" s="1748"/>
      <c r="C12" s="1748"/>
      <c r="D12" s="1748"/>
      <c r="E12" s="581">
        <f>SUMIFS(BalanceN[BS_Credit],BalanceN[Table],"&gt;=46500",BalanceN[Table],"&lt;46600")</f>
        <v>0</v>
      </c>
      <c r="F12" s="581">
        <f>SUMIFS(BalanceN1[BS_Credit],BalanceN1[Table],"&gt;=46500",BalanceN1[Table],"&lt;46600")</f>
        <v>0</v>
      </c>
      <c r="G12" s="581">
        <f t="shared" si="0"/>
        <v>0</v>
      </c>
      <c r="H12" s="361" t="str">
        <f t="shared" si="1"/>
        <v/>
      </c>
      <c r="I12" s="581">
        <f t="shared" si="2"/>
        <v>0</v>
      </c>
      <c r="J12" s="372"/>
      <c r="K12" s="372"/>
    </row>
    <row r="13" spans="1:11" ht="17.25" customHeight="1">
      <c r="A13" s="1748" t="s">
        <v>2096</v>
      </c>
      <c r="B13" s="1748"/>
      <c r="C13" s="1748"/>
      <c r="D13" s="1748"/>
      <c r="E13" s="581">
        <f>SUMIFS(BalanceN[BS_Credit],BalanceN[Table],"&gt;=46600",BalanceN[Table],"&lt;46700")</f>
        <v>0</v>
      </c>
      <c r="F13" s="581">
        <f>SUMIFS(BalanceN1[BS_Credit],BalanceN1[Table],"&gt;=46600",BalanceN1[Table],"&lt;46700")</f>
        <v>0</v>
      </c>
      <c r="G13" s="581">
        <f t="shared" si="0"/>
        <v>0</v>
      </c>
      <c r="H13" s="361" t="str">
        <f t="shared" si="1"/>
        <v/>
      </c>
      <c r="I13" s="581">
        <f t="shared" si="2"/>
        <v>0</v>
      </c>
      <c r="J13" s="372"/>
      <c r="K13" s="372"/>
    </row>
    <row r="14" spans="1:11" ht="17.25" customHeight="1">
      <c r="A14" s="1748" t="s">
        <v>2097</v>
      </c>
      <c r="B14" s="1748"/>
      <c r="C14" s="1748"/>
      <c r="D14" s="1748"/>
      <c r="E14" s="581">
        <f>SUMIFS(BalanceN[BS_Credit],BalanceN[Table],"&gt;=46700",BalanceN[Table],"&lt;47000")</f>
        <v>0</v>
      </c>
      <c r="F14" s="581">
        <f>SUMIFS(BalanceN1[BS_Credit],BalanceN1[Table],"&gt;=46700",BalanceN1[Table],"&lt;47000")</f>
        <v>0</v>
      </c>
      <c r="G14" s="581">
        <f t="shared" si="0"/>
        <v>0</v>
      </c>
      <c r="H14" s="361" t="str">
        <f t="shared" si="1"/>
        <v/>
      </c>
      <c r="I14" s="581">
        <f t="shared" si="2"/>
        <v>0</v>
      </c>
      <c r="J14" s="372"/>
      <c r="K14" s="372"/>
    </row>
    <row r="15" spans="1:11" ht="17.25" customHeight="1">
      <c r="A15" s="1868" t="s">
        <v>2098</v>
      </c>
      <c r="B15" s="1868"/>
      <c r="C15" s="1868"/>
      <c r="D15" s="1868"/>
      <c r="E15" s="580">
        <f>SUM(E9:E14)</f>
        <v>0</v>
      </c>
      <c r="F15" s="580">
        <f>SUM(F9:F14)</f>
        <v>9938959</v>
      </c>
      <c r="G15" s="580">
        <f>SUM(G9:G14)</f>
        <v>-9938959</v>
      </c>
      <c r="H15" s="363">
        <f t="shared" si="1"/>
        <v>-1</v>
      </c>
      <c r="I15" s="580">
        <f>SUM(I9:I14)</f>
        <v>0</v>
      </c>
      <c r="J15" s="580">
        <f>SUM(J9:J14)</f>
        <v>0</v>
      </c>
      <c r="K15" s="580">
        <f>SUM(K9:K14)</f>
        <v>0</v>
      </c>
    </row>
    <row r="16" spans="1:11" ht="17.25" customHeight="1">
      <c r="A16" s="1748" t="s">
        <v>1560</v>
      </c>
      <c r="B16" s="1748"/>
      <c r="C16" s="1748"/>
      <c r="D16" s="1748"/>
      <c r="E16" s="581">
        <f>SUMIFS(BalanceN[BS_Credit],BalanceN[Table],"&gt;=47120",BalanceN[Table],"&lt;47130")</f>
        <v>0</v>
      </c>
      <c r="F16" s="581">
        <f>SUMIFS(BalanceN1[BS_Credit],BalanceN1[Table],"&gt;=47120",BalanceN1[Table],"&lt;47130")</f>
        <v>0</v>
      </c>
      <c r="G16" s="581">
        <f>(E16-F16)</f>
        <v>0</v>
      </c>
      <c r="H16" s="361" t="str">
        <f t="shared" si="1"/>
        <v/>
      </c>
      <c r="I16" s="581">
        <f t="shared" si="2"/>
        <v>0</v>
      </c>
      <c r="J16" s="372"/>
      <c r="K16" s="372"/>
    </row>
    <row r="17" spans="1:11" ht="17.25" customHeight="1">
      <c r="A17" s="1748" t="s">
        <v>2099</v>
      </c>
      <c r="B17" s="1748"/>
      <c r="C17" s="1748"/>
      <c r="D17" s="1748"/>
      <c r="E17" s="581">
        <f>SUMIFS(BalanceN[BS_Credit],BalanceN[Table],"&gt;=47130",BalanceN[Table],"&lt;47140")</f>
        <v>620000</v>
      </c>
      <c r="F17" s="581">
        <f>SUMIFS(BalanceN1[BS_Credit],BalanceN1[Table],"&gt;=47130",BalanceN1[Table],"&lt;47140")</f>
        <v>710000</v>
      </c>
      <c r="G17" s="581">
        <f t="shared" ref="G17:G22" si="3">(E17-F17)</f>
        <v>-90000</v>
      </c>
      <c r="H17" s="361">
        <f t="shared" si="1"/>
        <v>-0.12676056338028169</v>
      </c>
      <c r="I17" s="581">
        <f>E17-J17-K17</f>
        <v>620000</v>
      </c>
      <c r="J17" s="372"/>
      <c r="K17" s="372"/>
    </row>
    <row r="18" spans="1:11" ht="17.25" customHeight="1">
      <c r="A18" s="1748" t="s">
        <v>2100</v>
      </c>
      <c r="B18" s="1748"/>
      <c r="C18" s="1748"/>
      <c r="D18" s="1748"/>
      <c r="E18" s="581">
        <f>SUMIFS(BalanceN[BS_Credit],BalanceN[Table],"&gt;=47150",BalanceN[Table],"&lt;47160")</f>
        <v>0</v>
      </c>
      <c r="F18" s="581">
        <f>SUMIFS(BalanceN1[BS_Credit],BalanceN1[Table],"&gt;=47150",BalanceN1[Table],"&lt;47160")</f>
        <v>0</v>
      </c>
      <c r="G18" s="581">
        <f t="shared" si="3"/>
        <v>0</v>
      </c>
      <c r="H18" s="361" t="str">
        <f t="shared" si="1"/>
        <v/>
      </c>
      <c r="I18" s="581">
        <f t="shared" si="2"/>
        <v>0</v>
      </c>
      <c r="J18" s="372"/>
      <c r="K18" s="372"/>
    </row>
    <row r="19" spans="1:11" ht="17.25" customHeight="1">
      <c r="A19" s="1748" t="s">
        <v>2101</v>
      </c>
      <c r="B19" s="1748"/>
      <c r="C19" s="1748"/>
      <c r="D19" s="1748"/>
      <c r="E19" s="581">
        <f>SUMIFS(BalanceN[BS_Credit],BalanceN[Table],"&gt;=47160",BalanceN[Table],"&lt;47170")</f>
        <v>0</v>
      </c>
      <c r="F19" s="581">
        <f>SUMIFS(BalanceN1[BS_Credit],BalanceN1[Table],"&gt;=47160",BalanceN1[Table],"&lt;47170")</f>
        <v>0</v>
      </c>
      <c r="G19" s="581">
        <f t="shared" si="3"/>
        <v>0</v>
      </c>
      <c r="H19" s="361" t="str">
        <f t="shared" si="1"/>
        <v/>
      </c>
      <c r="I19" s="581">
        <f t="shared" si="2"/>
        <v>0</v>
      </c>
      <c r="J19" s="372"/>
      <c r="K19" s="372"/>
    </row>
    <row r="20" spans="1:11" ht="25.5" customHeight="1">
      <c r="A20" s="1748" t="s">
        <v>2102</v>
      </c>
      <c r="B20" s="1748"/>
      <c r="C20" s="1748"/>
      <c r="D20" s="1748"/>
      <c r="E20" s="581">
        <f>SUMIFS(BalanceN[BS_Credit],BalanceN[Table],"&gt;=47260",BalanceN[Table],"&lt;47270")</f>
        <v>0</v>
      </c>
      <c r="F20" s="581">
        <f>SUMIFS(BalanceN1[BS_Credit],BalanceN1[Table],"&gt;=47260",BalanceN1[Table],"&lt;47270")</f>
        <v>0</v>
      </c>
      <c r="G20" s="581">
        <f t="shared" si="3"/>
        <v>0</v>
      </c>
      <c r="H20" s="361" t="str">
        <f t="shared" si="1"/>
        <v/>
      </c>
      <c r="I20" s="581">
        <f t="shared" si="2"/>
        <v>0</v>
      </c>
      <c r="J20" s="372"/>
      <c r="K20" s="372"/>
    </row>
    <row r="21" spans="1:11" ht="25.5" customHeight="1">
      <c r="A21" s="1748" t="s">
        <v>2103</v>
      </c>
      <c r="B21" s="1748"/>
      <c r="C21" s="1748"/>
      <c r="D21" s="1748"/>
      <c r="E21" s="581">
        <f>SUMIFS(BalanceN[BS_Credit],BalanceN[Table],"&gt;=47500",BalanceN[Table],"&lt;47600")</f>
        <v>0</v>
      </c>
      <c r="F21" s="581">
        <f>SUMIFS(BalanceN1[BS_Credit],BalanceN1[Table],"&gt;=47500",BalanceN1[Table],"&lt;47600")</f>
        <v>0</v>
      </c>
      <c r="G21" s="581">
        <f t="shared" si="3"/>
        <v>0</v>
      </c>
      <c r="H21" s="361" t="str">
        <f t="shared" si="1"/>
        <v/>
      </c>
      <c r="I21" s="581">
        <f t="shared" si="2"/>
        <v>0</v>
      </c>
      <c r="J21" s="372"/>
      <c r="K21" s="372"/>
    </row>
    <row r="22" spans="1:11" ht="17.25" customHeight="1">
      <c r="A22" s="1748" t="s">
        <v>2104</v>
      </c>
      <c r="B22" s="1748"/>
      <c r="C22" s="1748"/>
      <c r="D22" s="1748"/>
      <c r="E22" s="581">
        <f>SUMIFS(BalanceN[BS_Credit],BalanceN[Table],"&gt;=47300",BalanceN[Table],"&lt;47400")
+
SUMIFS(BalanceN[BS_Credit],BalanceN[Table],"&gt;=47700",BalanceN[Table],"&lt;47800")</f>
        <v>0</v>
      </c>
      <c r="F22" s="581">
        <f>SUMIFS(BalanceN1[BS_Credit],BalanceN1[Table],"&gt;=47300",BalanceN1[Table],"&lt;47400")
+
SUMIFS(BalanceN1[BS_Credit],BalanceN1[Table],"&gt;=47700",BalanceN1[Table],"&lt;47800")</f>
        <v>0</v>
      </c>
      <c r="G22" s="581">
        <f t="shared" si="3"/>
        <v>0</v>
      </c>
      <c r="H22" s="361" t="str">
        <f t="shared" si="1"/>
        <v/>
      </c>
      <c r="I22" s="581">
        <f t="shared" si="2"/>
        <v>0</v>
      </c>
      <c r="J22" s="372"/>
      <c r="K22" s="372"/>
    </row>
    <row r="23" spans="1:11" ht="17.25" customHeight="1">
      <c r="A23" s="1868" t="s">
        <v>2105</v>
      </c>
      <c r="B23" s="1868"/>
      <c r="C23" s="1868"/>
      <c r="D23" s="1868"/>
      <c r="E23" s="580">
        <f>SUM(E16:E22)</f>
        <v>620000</v>
      </c>
      <c r="F23" s="580">
        <f>SUM(F16:F22)</f>
        <v>710000</v>
      </c>
      <c r="G23" s="580">
        <f>SUM(G16:G22)</f>
        <v>-90000</v>
      </c>
      <c r="H23" s="363">
        <f t="shared" si="1"/>
        <v>-0.12676056338028169</v>
      </c>
      <c r="I23" s="580">
        <f>SUM(I16:I22)</f>
        <v>620000</v>
      </c>
      <c r="J23" s="580">
        <f>SUM(J16:J22)</f>
        <v>0</v>
      </c>
      <c r="K23" s="580">
        <f>SUM(K16:K22)</f>
        <v>0</v>
      </c>
    </row>
    <row r="24" spans="1:11" ht="25.5" customHeight="1">
      <c r="A24" s="1748" t="s">
        <v>2106</v>
      </c>
      <c r="B24" s="1748"/>
      <c r="C24" s="1748"/>
      <c r="D24" s="1748"/>
      <c r="E24" s="581">
        <f>SUMIFS(BalanceN[BS_Credit],BalanceN[Table],"&gt;=18500",BalanceN[Table],"&lt;18600")</f>
        <v>0</v>
      </c>
      <c r="F24" s="581">
        <f>SUMIFS(BalanceN1[BS_Credit],BalanceN1[Table],"&gt;=18500",BalanceN1[Table],"&lt;18600")</f>
        <v>0</v>
      </c>
      <c r="G24" s="581">
        <f>(E24-F24)</f>
        <v>0</v>
      </c>
      <c r="H24" s="361" t="str">
        <f t="shared" si="1"/>
        <v/>
      </c>
      <c r="I24" s="581"/>
      <c r="J24" s="372"/>
      <c r="K24" s="372"/>
    </row>
    <row r="25" spans="1:11" ht="17.25" customHeight="1">
      <c r="A25" s="1749" t="s">
        <v>1793</v>
      </c>
      <c r="B25" s="1783"/>
      <c r="C25" s="1783"/>
      <c r="D25" s="1784"/>
      <c r="E25" s="581">
        <f>SUMIFS(BalanceN[BS_Credit],BalanceN[Table],"&gt;=18600",BalanceN[Table],"&lt;18800")</f>
        <v>0</v>
      </c>
      <c r="F25" s="581">
        <f>SUMIFS(BalanceN1[BS_Credit],BalanceN1[Table],"&gt;=18600",BalanceN1[Table],"&lt;18800")</f>
        <v>0</v>
      </c>
      <c r="G25" s="581">
        <f>(E25-F25)</f>
        <v>0</v>
      </c>
      <c r="H25" s="361" t="str">
        <f t="shared" si="1"/>
        <v/>
      </c>
      <c r="I25" s="581"/>
      <c r="J25" s="372"/>
      <c r="K25" s="372"/>
    </row>
    <row r="26" spans="1:11" ht="17.25" customHeight="1">
      <c r="A26" s="1749" t="s">
        <v>1794</v>
      </c>
      <c r="B26" s="1783"/>
      <c r="C26" s="1783"/>
      <c r="D26" s="1784"/>
      <c r="E26" s="581">
        <f>SUMIFS(BalanceN[BS_Credit],BalanceN[Table],"&gt;=18800",BalanceN[Table],"&lt;18900")</f>
        <v>0</v>
      </c>
      <c r="F26" s="581">
        <f>SUMIFS(BalanceN1[BS_Credit],BalanceN1[Table],"&gt;=18800",BalanceN1[Table],"&lt;18900")</f>
        <v>0</v>
      </c>
      <c r="G26" s="581">
        <f>(E26-F26)</f>
        <v>0</v>
      </c>
      <c r="H26" s="361" t="str">
        <f t="shared" si="1"/>
        <v/>
      </c>
      <c r="I26" s="581"/>
      <c r="J26" s="372"/>
      <c r="K26" s="372"/>
    </row>
    <row r="27" spans="1:11" ht="17.25" customHeight="1">
      <c r="A27" s="1868" t="s">
        <v>2107</v>
      </c>
      <c r="B27" s="1868"/>
      <c r="C27" s="1868"/>
      <c r="D27" s="1868"/>
      <c r="E27" s="580">
        <f>SUM(E24:E26)</f>
        <v>0</v>
      </c>
      <c r="F27" s="580">
        <f>SUM(F24:F26)</f>
        <v>0</v>
      </c>
      <c r="G27" s="580">
        <f>SUM(G24:G26)</f>
        <v>0</v>
      </c>
      <c r="H27" s="363" t="str">
        <f t="shared" si="1"/>
        <v/>
      </c>
      <c r="I27" s="580">
        <f>SUM(I24:I26)</f>
        <v>0</v>
      </c>
      <c r="J27" s="580">
        <f>SUM(J24:J26)</f>
        <v>0</v>
      </c>
      <c r="K27" s="580">
        <f>SUM(K24:K26)</f>
        <v>0</v>
      </c>
    </row>
    <row r="28" spans="1:11" ht="17.25" customHeight="1">
      <c r="A28" s="1930" t="s">
        <v>2108</v>
      </c>
      <c r="B28" s="1930"/>
      <c r="C28" s="1930"/>
      <c r="D28" s="1930"/>
      <c r="E28" s="401">
        <f>E15+E23+E27</f>
        <v>620000</v>
      </c>
      <c r="F28" s="401">
        <f>F15+F23+F27</f>
        <v>10648959</v>
      </c>
      <c r="G28" s="401">
        <f>G15+G23+G27</f>
        <v>-10028959</v>
      </c>
      <c r="H28" s="403">
        <f t="shared" si="1"/>
        <v>-0.94177834659707116</v>
      </c>
      <c r="I28" s="401">
        <f>I15+I23+I27</f>
        <v>620000</v>
      </c>
      <c r="J28" s="401">
        <f>J15+J23+J27</f>
        <v>0</v>
      </c>
      <c r="K28" s="401">
        <f>K15+K23+K27</f>
        <v>0</v>
      </c>
    </row>
    <row r="29" spans="1:11" ht="17.25" customHeight="1">
      <c r="A29" s="1748" t="s">
        <v>2109</v>
      </c>
      <c r="B29" s="1748"/>
      <c r="C29" s="1748"/>
      <c r="D29" s="1748"/>
      <c r="E29" s="581">
        <f>SUMIFS(BalanceN[BS_Credit],BalanceN[Table],"&gt;=49000",BalanceN[Table],"&lt;50000")</f>
        <v>31677520</v>
      </c>
      <c r="F29" s="581">
        <f>SUMIFS(BalanceN1[BS_Credit],BalanceN1[Table],"&gt;=49000",BalanceN1[Table],"&lt;50000")</f>
        <v>31677520</v>
      </c>
      <c r="G29" s="581">
        <f>(E29-F29)</f>
        <v>0</v>
      </c>
      <c r="H29" s="361">
        <f t="shared" si="1"/>
        <v>0</v>
      </c>
      <c r="I29" s="581"/>
      <c r="J29" s="581"/>
      <c r="K29" s="581"/>
    </row>
    <row r="30" spans="1:11" s="653" customFormat="1" ht="15" customHeight="1">
      <c r="A30" s="798" t="s">
        <v>1744</v>
      </c>
    </row>
    <row r="31" spans="1:11" s="653" customFormat="1" ht="12" customHeight="1">
      <c r="A31" s="800" t="s">
        <v>2110</v>
      </c>
    </row>
    <row r="32" spans="1:11" s="653" customFormat="1" ht="12" customHeight="1">
      <c r="A32" s="800" t="s">
        <v>2111</v>
      </c>
    </row>
    <row r="33" spans="1:1" s="653" customFormat="1" ht="12" customHeight="1">
      <c r="A33" s="800" t="s">
        <v>2112</v>
      </c>
    </row>
    <row r="34" spans="1:1" s="653" customFormat="1" ht="12" customHeight="1">
      <c r="A34" s="800" t="s">
        <v>2113</v>
      </c>
    </row>
  </sheetData>
  <sheetProtection algorithmName="SHA-512" hashValue="laJfsfL/bqFUPvYNtb9jjwlhMMKfUKq1DXZBo7u/yA9+/BEkkTe7GJS5VHyOhpINu/XGrV8WiQo95h0nRkEa6g==" saltValue="C6DlILct03lH/Mz7eXdcFw==" spinCount="100000" sheet="1" objects="1" scenarios="1" selectLockedCells="1"/>
  <mergeCells count="30">
    <mergeCell ref="A1:K1"/>
    <mergeCell ref="J2:K2"/>
    <mergeCell ref="C3:K3"/>
    <mergeCell ref="B4:I4"/>
    <mergeCell ref="C5:F5"/>
    <mergeCell ref="G5:H5"/>
    <mergeCell ref="A17:D17"/>
    <mergeCell ref="C6:F6"/>
    <mergeCell ref="A7:K7"/>
    <mergeCell ref="A8:D8"/>
    <mergeCell ref="A9:D9"/>
    <mergeCell ref="A10:D10"/>
    <mergeCell ref="A11:D11"/>
    <mergeCell ref="A12:D12"/>
    <mergeCell ref="A13:D13"/>
    <mergeCell ref="A14:D14"/>
    <mergeCell ref="A15:D15"/>
    <mergeCell ref="A16:D16"/>
    <mergeCell ref="A29:D29"/>
    <mergeCell ref="A18:D18"/>
    <mergeCell ref="A19:D19"/>
    <mergeCell ref="A20:D20"/>
    <mergeCell ref="A21:D21"/>
    <mergeCell ref="A22:D22"/>
    <mergeCell ref="A23:D23"/>
    <mergeCell ref="A24:D24"/>
    <mergeCell ref="A25:D25"/>
    <mergeCell ref="A26:D26"/>
    <mergeCell ref="A27:D27"/>
    <mergeCell ref="A28:D28"/>
  </mergeCells>
  <conditionalFormatting sqref="E9:G28 I9:I28 J27:K28 J23:K23 J15:K15">
    <cfRule type="cellIs" dxfId="166" priority="2" operator="equal">
      <formula>0</formula>
    </cfRule>
  </conditionalFormatting>
  <conditionalFormatting sqref="E29:G29 I29:K29">
    <cfRule type="cellIs" dxfId="165" priority="1" operator="equal">
      <formula>0</formula>
    </cfRule>
  </conditionalFormatting>
  <dataValidations count="1">
    <dataValidation type="whole" allowBlank="1" showInputMessage="1" showErrorMessage="1" errorTitle="Attention!" error="Valeur numérique attendue" sqref="E9:F14 I9:K14 I24:K26 I16:K22 E24:F26 E16:F22" xr:uid="{48053662-E24D-4E66-9E9D-1A4EFB1C907F}">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6" orientation="landscape" r:id="rId1"/>
  <ignoredErrors>
    <ignoredError sqref="G15:I15 G23" formula="1"/>
    <ignoredError sqref="G27:H28" unlockedFormula="1"/>
  </ignoredError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73D1-2728-433A-A711-36A8C5C44745}">
  <sheetPr codeName="Feuil46">
    <tabColor theme="9" tint="0.39997558519241921"/>
    <pageSetUpPr fitToPage="1"/>
  </sheetPr>
  <dimension ref="A1:H23"/>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7.68359375" style="103" customWidth="1"/>
    <col min="3" max="3" width="10.41796875" style="103" customWidth="1"/>
    <col min="4" max="4" width="3.3125" style="103" customWidth="1"/>
    <col min="5" max="5" width="13.68359375" style="103" customWidth="1"/>
    <col min="6" max="7" width="15.68359375" style="103" customWidth="1"/>
    <col min="8" max="8" width="13.89453125" style="103" customWidth="1"/>
    <col min="9" max="16384" width="11.5234375" style="103"/>
  </cols>
  <sheetData>
    <row r="1" spans="1:8">
      <c r="A1" s="1276" t="str">
        <f>"- "&amp;Code!K46&amp;" -"</f>
        <v>- 25 -</v>
      </c>
      <c r="B1" s="1276"/>
      <c r="C1" s="1276"/>
      <c r="D1" s="1276"/>
      <c r="E1" s="1276"/>
      <c r="F1" s="1276"/>
      <c r="G1" s="1276"/>
      <c r="H1" s="1276"/>
    </row>
    <row r="2" spans="1:8" ht="24.9" customHeight="1">
      <c r="A2" s="576"/>
      <c r="B2" s="576"/>
      <c r="C2" s="576"/>
      <c r="D2" s="576"/>
      <c r="E2" s="576"/>
      <c r="F2" s="576"/>
      <c r="G2" s="1278" t="s">
        <v>2114</v>
      </c>
      <c r="H2" s="1765"/>
    </row>
    <row r="3" spans="1:8" s="626" customFormat="1" ht="15" customHeight="1">
      <c r="A3" s="317" t="s">
        <v>50</v>
      </c>
      <c r="B3" s="317"/>
      <c r="C3" s="1280" t="str">
        <f>'NOTE 11'!C3</f>
        <v>OHADA</v>
      </c>
      <c r="D3" s="1280"/>
      <c r="E3" s="1280"/>
      <c r="F3" s="1280"/>
      <c r="G3" s="1280"/>
      <c r="H3" s="1280"/>
    </row>
    <row r="4" spans="1:8" s="626" customFormat="1" ht="15" customHeight="1">
      <c r="A4" s="317" t="s">
        <v>51</v>
      </c>
      <c r="B4" s="1280" t="str">
        <f>'NOTE 11'!B4</f>
        <v/>
      </c>
      <c r="C4" s="1281"/>
      <c r="D4" s="1281"/>
      <c r="E4" s="1281"/>
      <c r="F4" s="1281"/>
      <c r="G4" s="627" t="s">
        <v>1021</v>
      </c>
      <c r="H4" s="630" t="str">
        <f>'NOTE 11'!I4</f>
        <v/>
      </c>
    </row>
    <row r="5" spans="1:8" s="626" customFormat="1" ht="15" customHeight="1">
      <c r="A5" s="317" t="s">
        <v>53</v>
      </c>
      <c r="B5" s="317"/>
      <c r="C5" s="1281" t="str">
        <f>'NOTE 11'!C5</f>
        <v/>
      </c>
      <c r="D5" s="1281"/>
      <c r="E5" s="642" t="s">
        <v>54</v>
      </c>
      <c r="F5" s="647">
        <f>'NOTE 11'!F5</f>
        <v>0</v>
      </c>
      <c r="G5" s="627" t="s">
        <v>55</v>
      </c>
      <c r="H5" s="795">
        <f>'NOTE 11'!I5</f>
        <v>1</v>
      </c>
    </row>
    <row r="6" spans="1:8" s="626" customFormat="1" ht="15" customHeight="1">
      <c r="A6" s="748" t="s">
        <v>56</v>
      </c>
      <c r="B6" s="317"/>
      <c r="C6" s="1275" t="str">
        <f>'NOTE 11'!C6</f>
        <v/>
      </c>
      <c r="D6" s="1275"/>
      <c r="E6" s="638"/>
      <c r="F6" s="630"/>
      <c r="G6" s="629"/>
      <c r="H6" s="630"/>
    </row>
    <row r="7" spans="1:8" ht="35.25" customHeight="1">
      <c r="A7" s="1273" t="s">
        <v>2115</v>
      </c>
      <c r="B7" s="1273"/>
      <c r="C7" s="1273"/>
      <c r="D7" s="1273"/>
      <c r="E7" s="1273"/>
      <c r="F7" s="1273"/>
      <c r="G7" s="1273"/>
      <c r="H7" s="1273"/>
    </row>
    <row r="8" spans="1:8" ht="25.5" customHeight="1">
      <c r="A8" s="1643" t="s">
        <v>1692</v>
      </c>
      <c r="B8" s="1643"/>
      <c r="C8" s="1643"/>
      <c r="D8" s="1643"/>
      <c r="E8" s="1643"/>
      <c r="F8" s="797" t="s">
        <v>1693</v>
      </c>
      <c r="G8" s="797" t="s">
        <v>1694</v>
      </c>
      <c r="H8" s="797" t="s">
        <v>1731</v>
      </c>
    </row>
    <row r="9" spans="1:8" ht="21.75" customHeight="1">
      <c r="A9" s="1748" t="s">
        <v>2116</v>
      </c>
      <c r="B9" s="1748"/>
      <c r="C9" s="1748"/>
      <c r="D9" s="1748"/>
      <c r="E9" s="1748"/>
      <c r="F9" s="581">
        <f>SUMIFS(BalanceN[BS_Credit],BalanceN[Table],"&gt;=56400",BalanceN[Table],"&lt;56500")</f>
        <v>0</v>
      </c>
      <c r="G9" s="581">
        <f>SUMIFS(BalanceN1[BS_Credit],BalanceN1[Table],"&gt;=56400",BalanceN1[Table],"&lt;56500")</f>
        <v>0</v>
      </c>
      <c r="H9" s="361" t="str">
        <f>IF(G9,(F9-G9)/G9,IF(ISBLANK(G9),"",IF(F9,IF( F9 &gt; 0,1,-1),"")))</f>
        <v/>
      </c>
    </row>
    <row r="10" spans="1:8" ht="21.75" customHeight="1">
      <c r="A10" s="1748" t="s">
        <v>2117</v>
      </c>
      <c r="B10" s="1748"/>
      <c r="C10" s="1748"/>
      <c r="D10" s="1748"/>
      <c r="E10" s="1748"/>
      <c r="F10" s="581">
        <f>SUMIFS(BalanceN[BS_Credit],BalanceN[Table],"&gt;=56500",BalanceN[Table],"&lt;56600")</f>
        <v>0</v>
      </c>
      <c r="G10" s="581">
        <f>SUMIFS(BalanceN1[BS_Credit],BalanceN1[Table],"&gt;=56500",BalanceN1[Table],"&lt;56600")</f>
        <v>0</v>
      </c>
      <c r="H10" s="361" t="str">
        <f t="shared" ref="H10:H18" si="0">IF(G10,(F10-G10)/G10,IF(ISBLANK(G10),"",IF(F10,IF( F10 &gt; 0,1,-1),"")))</f>
        <v/>
      </c>
    </row>
    <row r="11" spans="1:8" ht="21.75" customHeight="1">
      <c r="A11" s="1868" t="s">
        <v>2118</v>
      </c>
      <c r="B11" s="1868"/>
      <c r="C11" s="1868"/>
      <c r="D11" s="1868"/>
      <c r="E11" s="1868"/>
      <c r="F11" s="580">
        <f>SUM(F9:F10)</f>
        <v>0</v>
      </c>
      <c r="G11" s="580">
        <f>SUM(G9:G10)</f>
        <v>0</v>
      </c>
      <c r="H11" s="363" t="str">
        <f t="shared" si="0"/>
        <v/>
      </c>
    </row>
    <row r="12" spans="1:8" ht="21.75" customHeight="1">
      <c r="A12" s="1748" t="s">
        <v>1843</v>
      </c>
      <c r="B12" s="1748"/>
      <c r="C12" s="1748"/>
      <c r="D12" s="1748"/>
      <c r="E12" s="1748"/>
      <c r="F12" s="581">
        <f>SUMIFS(BalanceN[BS_Credit],BalanceN[Table],"&gt;=52100",BalanceN[Table],"&lt;52200")</f>
        <v>0</v>
      </c>
      <c r="G12" s="581">
        <f>SUMIFS(BalanceN1[BS_Credit],BalanceN1[Table],"&gt;=52100",BalanceN1[Table],"&lt;52200")</f>
        <v>0</v>
      </c>
      <c r="H12" s="361" t="str">
        <f t="shared" si="0"/>
        <v/>
      </c>
    </row>
    <row r="13" spans="1:8" ht="21.75" customHeight="1">
      <c r="A13" s="1748" t="s">
        <v>1844</v>
      </c>
      <c r="B13" s="1748"/>
      <c r="C13" s="1748"/>
      <c r="D13" s="1748"/>
      <c r="E13" s="1748"/>
      <c r="F13" s="581">
        <f>SUMIFS(BalanceN[BS_Credit],BalanceN[Table],"&gt;=52200",BalanceN[Table],"&lt;52300")</f>
        <v>0</v>
      </c>
      <c r="G13" s="581">
        <f>SUMIFS(BalanceN1[BS_Credit],BalanceN1[Table],"&gt;=52200",BalanceN1[Table],"&lt;52300")</f>
        <v>0</v>
      </c>
      <c r="H13" s="361" t="str">
        <f t="shared" si="0"/>
        <v/>
      </c>
    </row>
    <row r="14" spans="1:8" ht="21.75" customHeight="1">
      <c r="A14" s="1748" t="s">
        <v>1846</v>
      </c>
      <c r="B14" s="1748"/>
      <c r="C14" s="1748"/>
      <c r="D14" s="1748"/>
      <c r="E14" s="1748"/>
      <c r="F14" s="581">
        <f>SUMIFS(BalanceN[BS_Credit],BalanceN[Table],"&gt;=52300",BalanceN[Table],"&lt;52600")</f>
        <v>0</v>
      </c>
      <c r="G14" s="581">
        <f>SUMIFS(BalanceN1[BS_Credit],BalanceN1[Table],"&gt;=52300",BalanceN1[Table],"&lt;52600")</f>
        <v>0</v>
      </c>
      <c r="H14" s="361" t="str">
        <f t="shared" si="0"/>
        <v/>
      </c>
    </row>
    <row r="15" spans="1:8" ht="22.5" customHeight="1">
      <c r="A15" s="1748" t="s">
        <v>1847</v>
      </c>
      <c r="B15" s="1748"/>
      <c r="C15" s="1748"/>
      <c r="D15" s="1748"/>
      <c r="E15" s="1748"/>
      <c r="F15" s="581">
        <f>SUMIFS(BalanceN[BS_Credit],BalanceN[Table],"&gt;=52600",BalanceN[Table],"&lt;52700")</f>
        <v>0</v>
      </c>
      <c r="G15" s="581">
        <f>SUMIFS(BalanceN1[BS_Credit],BalanceN1[Table],"&gt;=52600",BalanceN1[Table],"&lt;52700")</f>
        <v>0</v>
      </c>
      <c r="H15" s="361" t="str">
        <f t="shared" si="0"/>
        <v/>
      </c>
    </row>
    <row r="16" spans="1:8" ht="22.5" customHeight="1">
      <c r="A16" s="1748" t="s">
        <v>2119</v>
      </c>
      <c r="B16" s="1748"/>
      <c r="C16" s="1748"/>
      <c r="D16" s="1748"/>
      <c r="E16" s="1748"/>
      <c r="F16" s="581">
        <f>SUMIFS(BalanceN[BS_Credit],BalanceN[Table],"&gt;=56100",BalanceN[Table],"&lt;56200")</f>
        <v>0</v>
      </c>
      <c r="G16" s="581">
        <f>SUMIFS(BalanceN1[BS_Credit],BalanceN1[Table],"&gt;=56100",BalanceN1[Table],"&lt;56200")</f>
        <v>0</v>
      </c>
      <c r="H16" s="361"/>
    </row>
    <row r="17" spans="1:8" ht="21.75" customHeight="1">
      <c r="A17" s="1868" t="s">
        <v>2120</v>
      </c>
      <c r="B17" s="1868"/>
      <c r="C17" s="1868"/>
      <c r="D17" s="1868"/>
      <c r="E17" s="1868"/>
      <c r="F17" s="580">
        <f>SUM(F12:F16)</f>
        <v>0</v>
      </c>
      <c r="G17" s="580">
        <f>SUM(G12:G16)</f>
        <v>0</v>
      </c>
      <c r="H17" s="363" t="str">
        <f t="shared" si="0"/>
        <v/>
      </c>
    </row>
    <row r="18" spans="1:8" ht="21.75" customHeight="1">
      <c r="A18" s="1930" t="s">
        <v>1232</v>
      </c>
      <c r="B18" s="1930"/>
      <c r="C18" s="1930"/>
      <c r="D18" s="1930"/>
      <c r="E18" s="1930"/>
      <c r="F18" s="401">
        <f>F11+F17</f>
        <v>0</v>
      </c>
      <c r="G18" s="401">
        <f>G11+G17</f>
        <v>0</v>
      </c>
      <c r="H18" s="403" t="str">
        <f t="shared" si="0"/>
        <v/>
      </c>
    </row>
    <row r="19" spans="1:8" s="653" customFormat="1" ht="18" customHeight="1">
      <c r="A19" s="798" t="s">
        <v>1744</v>
      </c>
    </row>
    <row r="20" spans="1:8" s="653" customFormat="1" ht="10.5">
      <c r="A20" s="800" t="s">
        <v>2110</v>
      </c>
    </row>
    <row r="21" spans="1:8" s="653" customFormat="1" ht="10.5">
      <c r="A21" s="800" t="s">
        <v>2121</v>
      </c>
    </row>
    <row r="22" spans="1:8" s="653" customFormat="1" ht="3" customHeight="1">
      <c r="A22" s="822"/>
    </row>
    <row r="23" spans="1:8" s="653" customFormat="1" ht="10.5">
      <c r="A23" s="823" t="s">
        <v>2122</v>
      </c>
    </row>
  </sheetData>
  <sheetProtection algorithmName="SHA-512" hashValue="wm9cPiwbaw3KDuzueMgB3IMekOUdCgXysBlPAbZCz7GAFISn7FSCLjyZte+j83PgLLqrjVnWiB8hs0qJj4Nvpg==" saltValue="J9DWsGeI/IR1IWF2UYu6pw==" spinCount="100000" sheet="1" objects="1" scenarios="1" selectLockedCells="1"/>
  <mergeCells count="18">
    <mergeCell ref="C6:D6"/>
    <mergeCell ref="A1:H1"/>
    <mergeCell ref="G2:H2"/>
    <mergeCell ref="C3:H3"/>
    <mergeCell ref="B4:F4"/>
    <mergeCell ref="C5:D5"/>
    <mergeCell ref="A18:E18"/>
    <mergeCell ref="A7:H7"/>
    <mergeCell ref="A8:E8"/>
    <mergeCell ref="A9:E9"/>
    <mergeCell ref="A10:E10"/>
    <mergeCell ref="A11:E11"/>
    <mergeCell ref="A12:E12"/>
    <mergeCell ref="A13:E13"/>
    <mergeCell ref="A14:E14"/>
    <mergeCell ref="A15:E15"/>
    <mergeCell ref="A16:E16"/>
    <mergeCell ref="A17:E17"/>
  </mergeCells>
  <conditionalFormatting sqref="F9:G18">
    <cfRule type="cellIs" dxfId="164" priority="1" operator="equal">
      <formula>0</formula>
    </cfRule>
  </conditionalFormatting>
  <dataValidations count="1">
    <dataValidation type="whole" allowBlank="1" showInputMessage="1" showErrorMessage="1" errorTitle="Attention!" error="Valeur numérique attendue" sqref="F9:G10 F12:G16" xr:uid="{A5696EDF-0999-4425-8FA8-598B93D2B72D}">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AD898-303F-49E5-BE1C-86F16088A4DD}">
  <sheetPr codeName="Feuil47">
    <tabColor rgb="FFFFC000"/>
    <pageSetUpPr fitToPage="1"/>
  </sheetPr>
  <dimension ref="A1:J45"/>
  <sheetViews>
    <sheetView showGridLines="0" showRowColHeaders="0" topLeftCell="A13" zoomScaleNormal="100" workbookViewId="0">
      <selection activeCell="F16" sqref="F16"/>
    </sheetView>
  </sheetViews>
  <sheetFormatPr baseColWidth="10" defaultColWidth="11.5234375" defaultRowHeight="14.4"/>
  <cols>
    <col min="1" max="1" width="11.5234375" style="103"/>
    <col min="2" max="2" width="18.41796875" style="103" customWidth="1"/>
    <col min="3" max="3" width="8.68359375" style="103" customWidth="1"/>
    <col min="4" max="4" width="6" style="103" customWidth="1"/>
    <col min="5" max="5" width="15.89453125" style="103" customWidth="1"/>
    <col min="6" max="7" width="17" style="103" customWidth="1"/>
    <col min="8" max="8" width="12.41796875" style="103" customWidth="1"/>
    <col min="9" max="16384" width="11.5234375" style="103"/>
  </cols>
  <sheetData>
    <row r="1" spans="1:10">
      <c r="A1" s="1276" t="str">
        <f>"- "&amp;Code!K47&amp;" -"</f>
        <v>- 26 -</v>
      </c>
      <c r="B1" s="1276"/>
      <c r="C1" s="1276"/>
      <c r="D1" s="1276"/>
      <c r="E1" s="1276"/>
      <c r="F1" s="1276"/>
      <c r="G1" s="1276"/>
      <c r="H1" s="1276"/>
    </row>
    <row r="2" spans="1:10" ht="24.9" customHeight="1">
      <c r="A2" s="576"/>
      <c r="B2" s="576"/>
      <c r="C2" s="576"/>
      <c r="D2" s="576"/>
      <c r="E2" s="576"/>
      <c r="F2" s="576"/>
      <c r="G2" s="1278" t="s">
        <v>2123</v>
      </c>
      <c r="H2" s="1765"/>
    </row>
    <row r="3" spans="1:10" s="626" customFormat="1" ht="15" customHeight="1">
      <c r="A3" s="317" t="s">
        <v>50</v>
      </c>
      <c r="B3" s="317"/>
      <c r="C3" s="1280" t="str">
        <f>'NOTE 20'!C3</f>
        <v>OHADA</v>
      </c>
      <c r="D3" s="1280"/>
      <c r="E3" s="1280"/>
      <c r="F3" s="1280"/>
      <c r="G3" s="1280"/>
      <c r="H3" s="1280"/>
    </row>
    <row r="4" spans="1:10" s="626" customFormat="1" ht="15" customHeight="1">
      <c r="A4" s="317" t="s">
        <v>51</v>
      </c>
      <c r="B4" s="1280" t="str">
        <f>'NOTE 20'!B4</f>
        <v/>
      </c>
      <c r="C4" s="1281"/>
      <c r="D4" s="1281"/>
      <c r="E4" s="1281"/>
      <c r="F4" s="1281"/>
      <c r="G4" s="627" t="s">
        <v>1021</v>
      </c>
      <c r="H4" s="630" t="str">
        <f>'NOTE 20'!H4</f>
        <v/>
      </c>
    </row>
    <row r="5" spans="1:10" s="626" customFormat="1" ht="15" customHeight="1">
      <c r="A5" s="317" t="s">
        <v>53</v>
      </c>
      <c r="B5" s="317"/>
      <c r="C5" s="1281" t="str">
        <f>'NOTE 20'!C5</f>
        <v/>
      </c>
      <c r="D5" s="1281"/>
      <c r="E5" s="642" t="s">
        <v>54</v>
      </c>
      <c r="F5" s="647">
        <f>'NOTE 20'!F5</f>
        <v>0</v>
      </c>
      <c r="G5" s="627" t="s">
        <v>55</v>
      </c>
      <c r="H5" s="795">
        <f>'NOTE 20'!H5</f>
        <v>1</v>
      </c>
    </row>
    <row r="6" spans="1:10" s="626" customFormat="1" ht="15" customHeight="1">
      <c r="A6" s="317" t="s">
        <v>56</v>
      </c>
      <c r="B6" s="317"/>
      <c r="C6" s="1275" t="str">
        <f>'NOTE 20'!C6</f>
        <v/>
      </c>
      <c r="D6" s="1275"/>
      <c r="E6" s="648"/>
      <c r="F6" s="648"/>
      <c r="G6" s="648"/>
      <c r="H6" s="648"/>
    </row>
    <row r="7" spans="1:10" ht="35.25" customHeight="1">
      <c r="A7" s="1273" t="s">
        <v>2124</v>
      </c>
      <c r="B7" s="1273"/>
      <c r="C7" s="1273"/>
      <c r="D7" s="1273"/>
      <c r="E7" s="1273"/>
      <c r="F7" s="1273"/>
      <c r="G7" s="1273"/>
      <c r="H7" s="1273"/>
    </row>
    <row r="8" spans="1:10" ht="33" customHeight="1">
      <c r="A8" s="1643" t="s">
        <v>1692</v>
      </c>
      <c r="B8" s="1643"/>
      <c r="C8" s="1643"/>
      <c r="D8" s="1643"/>
      <c r="E8" s="1643"/>
      <c r="F8" s="797" t="s">
        <v>1693</v>
      </c>
      <c r="G8" s="797" t="s">
        <v>1694</v>
      </c>
      <c r="H8" s="797" t="s">
        <v>1731</v>
      </c>
    </row>
    <row r="9" spans="1:10" ht="17.25" customHeight="1">
      <c r="A9" s="1749" t="s">
        <v>2125</v>
      </c>
      <c r="B9" s="1783"/>
      <c r="C9" s="1783"/>
      <c r="D9" s="1783"/>
      <c r="E9" s="1784"/>
      <c r="F9" s="581">
        <f>SUMIFS(BalanceN[BS_Credit],BalanceN[Table],"&gt;=70110",BalanceN[Table],"&lt;70120")-F10-SUMIFS(BalanceN[BS_Debit],BalanceN[Table],"&gt;=70110",BalanceN[Table],"&lt;70120")</f>
        <v>110000000</v>
      </c>
      <c r="G9" s="581">
        <f>SUMIFS(BalanceN1[BS_Credit],BalanceN1[Table],"&gt;=70110",BalanceN1[Table],"&lt;70120")-G10</f>
        <v>0</v>
      </c>
      <c r="H9" s="361">
        <f>IF(G9,(F9-G9)/G9,IF(ISBLANK(G9),"",IF(F9,IF( F9 &gt; 0,1,-1),"")))</f>
        <v>1</v>
      </c>
    </row>
    <row r="10" spans="1:10" ht="17.25" customHeight="1">
      <c r="A10" s="1749" t="s">
        <v>2126</v>
      </c>
      <c r="B10" s="1783"/>
      <c r="C10" s="1783"/>
      <c r="D10" s="1783"/>
      <c r="E10" s="1784"/>
      <c r="F10" s="345"/>
      <c r="G10" s="345"/>
      <c r="H10" s="361" t="str">
        <f t="shared" ref="H10:H34" si="0">IF(G10,(F10-G10)/G10,IF(ISBLANK(G10),"",IF(F10,IF( F10 &gt; 0,1,-1),"")))</f>
        <v/>
      </c>
    </row>
    <row r="11" spans="1:10" ht="17.25" customHeight="1">
      <c r="A11" s="1749" t="s">
        <v>2127</v>
      </c>
      <c r="B11" s="1783"/>
      <c r="C11" s="1783"/>
      <c r="D11" s="1783"/>
      <c r="E11" s="1784"/>
      <c r="F11" s="581">
        <f>SUMIFS(BalanceN[BS_Credit],BalanceN[Table],"&gt;=70120",BalanceN[Table],"&lt;70130")-SUMIFS(BalanceN[BS_Debit],BalanceN[Table],"&gt;=70120",BalanceN[Table],"&lt;70130")</f>
        <v>0</v>
      </c>
      <c r="G11" s="581">
        <f>SUMIFS(BalanceN1[BS_Credit],BalanceN1[Table],"&gt;=70120",BalanceN1[Table],"&lt;70130")</f>
        <v>0</v>
      </c>
      <c r="H11" s="361" t="str">
        <f t="shared" si="0"/>
        <v/>
      </c>
    </row>
    <row r="12" spans="1:10" ht="17.25" customHeight="1">
      <c r="A12" s="1749" t="s">
        <v>2128</v>
      </c>
      <c r="B12" s="1783"/>
      <c r="C12" s="1783"/>
      <c r="D12" s="1783"/>
      <c r="E12" s="1784"/>
      <c r="F12" s="581">
        <f>SUMIFS(BalanceN[BS_Credit],BalanceN[Table],"&gt;=70130",BalanceN[Table],"&lt;70150")-SUMIFS(BalanceN[BS_Debit],BalanceN[Table],"&gt;=70130",BalanceN[Table],"&lt;70150")</f>
        <v>0</v>
      </c>
      <c r="G12" s="581">
        <f>SUMIFS(BalanceN1[BS_Credit],BalanceN1[Table],"&gt;=70130",BalanceN1[Table],"&lt;70150")</f>
        <v>0</v>
      </c>
      <c r="H12" s="361" t="str">
        <f t="shared" si="0"/>
        <v/>
      </c>
    </row>
    <row r="13" spans="1:10" ht="17.25" customHeight="1">
      <c r="A13" s="1749" t="s">
        <v>2129</v>
      </c>
      <c r="B13" s="1783"/>
      <c r="C13" s="1783"/>
      <c r="D13" s="1783"/>
      <c r="E13" s="1784"/>
      <c r="F13" s="581">
        <f>SUMIFS(BalanceN[BS_Credit],BalanceN[Table],"&gt;=70150",BalanceN[Table],"&lt;70160")-SUMIFS(BalanceN[BS_Debit],BalanceN[Table],"&gt;=70150",BalanceN[Table],"&lt;70160")</f>
        <v>0</v>
      </c>
      <c r="G13" s="581">
        <f>SUMIFS(BalanceN1[BS_Credit],BalanceN1[Table],"&gt;=70150",BalanceN1[Table],"&lt;70160")</f>
        <v>0</v>
      </c>
      <c r="H13" s="361" t="str">
        <f t="shared" si="0"/>
        <v/>
      </c>
    </row>
    <row r="14" spans="1:10" ht="17.25" customHeight="1">
      <c r="A14" s="1868" t="s">
        <v>2130</v>
      </c>
      <c r="B14" s="1868"/>
      <c r="C14" s="1868"/>
      <c r="D14" s="1868"/>
      <c r="E14" s="1868"/>
      <c r="F14" s="580">
        <f>SUM(F9:F13)</f>
        <v>110000000</v>
      </c>
      <c r="G14" s="580">
        <f>SUM(G9:G13)</f>
        <v>0</v>
      </c>
      <c r="H14" s="421">
        <f t="shared" si="0"/>
        <v>1</v>
      </c>
      <c r="I14" s="1107">
        <f>SUMIFS(BalanceN[BS_Credit],BalanceN[Table],"&gt;=70100",BalanceN[Table],"&lt;70200")-SUMIFS(BalanceN[BS_Debit],BalanceN[Table],"&gt;=70100",BalanceN[Table],"&lt;70200")-F14</f>
        <v>0</v>
      </c>
      <c r="J14" s="1107">
        <f>SUMIFS(BalanceN1[BS_Credit],BalanceN1[Table],"&gt;=70100",BalanceN1[Table],"&lt;70200")-SUMIFS(BalanceN1[BS_Debit],BalanceN1[Table],"&gt;=70100",BalanceN1[Table],"&lt;70200")-G14</f>
        <v>0</v>
      </c>
    </row>
    <row r="15" spans="1:10" ht="17.25" customHeight="1">
      <c r="A15" s="1748" t="s">
        <v>2131</v>
      </c>
      <c r="B15" s="1748"/>
      <c r="C15" s="1748"/>
      <c r="D15" s="1748"/>
      <c r="E15" s="1748"/>
      <c r="F15" s="581">
        <f>SUMIFS(BalanceN[BS_Credit],BalanceN[Table],"&gt;=70210",BalanceN[Table],"&lt;70220")+SUMIFS(BalanceN[BS_Credit],BalanceN[Table],"&gt;=70310",BalanceN[Table],"&lt;70320")+SUMIFS(BalanceN[BS_Credit],BalanceN[Table],"&gt;=70410",BalanceN[Table],"&lt;70420")-F16-(SUMIFS(BalanceN[BS_Debit],BalanceN[Table],"&gt;=70210",BalanceN[Table],"&lt;70220")+SUMIFS(BalanceN[BS_Debit],BalanceN[Table],"&gt;=70310",BalanceN[Table],"&lt;70320")+SUMIFS(BalanceN[BS_Debit],BalanceN[Table],"&gt;=70410",BalanceN[Table],"&lt;70420"))</f>
        <v>0</v>
      </c>
      <c r="G15" s="581">
        <f>SUMIFS(BalanceN1[BS_Credit],BalanceN1[Table],"&gt;=70210",BalanceN1[Table],"&lt;70220")+SUMIFS(BalanceN1[BS_Credit],BalanceN1[Table],"&gt;=70310",BalanceN1[Table],"&lt;70320")+SUMIFS(BalanceN1[BS_Credit],BalanceN1[Table],"&gt;=70410",BalanceN1[Table],"&lt;70420")-G16</f>
        <v>0</v>
      </c>
      <c r="H15" s="361" t="str">
        <f t="shared" si="0"/>
        <v/>
      </c>
    </row>
    <row r="16" spans="1:10" ht="17.25" customHeight="1">
      <c r="A16" s="1748" t="s">
        <v>2132</v>
      </c>
      <c r="B16" s="1748"/>
      <c r="C16" s="1748"/>
      <c r="D16" s="1748"/>
      <c r="E16" s="1748"/>
      <c r="F16" s="345"/>
      <c r="G16" s="345"/>
      <c r="H16" s="361" t="str">
        <f t="shared" si="0"/>
        <v/>
      </c>
    </row>
    <row r="17" spans="1:10" ht="17.25" customHeight="1">
      <c r="A17" s="1748" t="s">
        <v>2133</v>
      </c>
      <c r="B17" s="1748"/>
      <c r="C17" s="1748"/>
      <c r="D17" s="1748"/>
      <c r="E17" s="1748"/>
      <c r="F17" s="581">
        <f>SUMIFS(BalanceN[BS_Credit],BalanceN[Table],"&gt;=70220",BalanceN[Table],"&lt;70230")+SUMIFS(BalanceN[BS_Credit],BalanceN[Table],"&gt;=70320",BalanceN[Table],"&lt;70330")+SUMIFS(BalanceN[BS_Credit],BalanceN[Table],"&gt;=70420",BalanceN[Table],"&lt;70430")-(SUMIFS(BalanceN[BS_Debit],BalanceN[Table],"&gt;=70220",BalanceN[Table],"&lt;70230")+SUMIFS(BalanceN[BS_Debit],BalanceN[Table],"&gt;=70320",BalanceN[Table],"&lt;70330")+SUMIFS(BalanceN[BS_Debit],BalanceN[Table],"&gt;=70420",BalanceN[Table],"&lt;70430"))</f>
        <v>1941053121</v>
      </c>
      <c r="G17" s="581">
        <f>SUMIFS(BalanceN1[BS_Credit],BalanceN1[Table],"&gt;=70220",BalanceN1[Table],"&lt;70230")+SUMIFS(BalanceN1[BS_Credit],BalanceN1[Table],"&gt;=70320",BalanceN1[Table],"&lt;70330")+SUMIFS(BalanceN1[BS_Credit],BalanceN1[Table],"&gt;=70420",BalanceN1[Table],"&lt;70430")-(SUMIFS(BalanceN1[BS_Debit],BalanceN1[Table],"&gt;=70220",BalanceN1[Table],"&lt;70230")+SUMIFS(BalanceN1[BS_Debit],BalanceN1[Table],"&gt;=70320",BalanceN1[Table],"&lt;70330")+SUMIFS(BalanceN1[BS_Debit],BalanceN1[Table],"&gt;=70420",BalanceN1[Table],"&lt;70430"))</f>
        <v>1858577695</v>
      </c>
      <c r="H17" s="361">
        <f t="shared" si="0"/>
        <v>4.4375559989704924E-2</v>
      </c>
    </row>
    <row r="18" spans="1:10" ht="17.25" customHeight="1">
      <c r="A18" s="1748" t="s">
        <v>2134</v>
      </c>
      <c r="B18" s="1748"/>
      <c r="C18" s="1748"/>
      <c r="D18" s="1748"/>
      <c r="E18" s="1748"/>
      <c r="F18" s="581">
        <f>SUMIFS(BalanceN[BS_Credit],BalanceN[Table],"&gt;=70230",BalanceN[Table],"&lt;70250")+SUMIFS(BalanceN[BS_Credit],BalanceN[Table],"&gt;=70330",BalanceN[Table],"&lt;70350")+SUMIFS(BalanceN[BS_Credit],BalanceN[Table],"&gt;=70430",BalanceN[Table],"&lt;70450")-(SUMIFS(BalanceN[BS_Debit],BalanceN[Table],"&gt;=70230",BalanceN[Table],"&lt;70250")+SUMIFS(BalanceN[BS_Debit],BalanceN[Table],"&gt;=70330",BalanceN[Table],"&lt;70350")+SUMIFS(BalanceN[BS_Debit],BalanceN[Table],"&gt;=70430",BalanceN[Table],"&lt;70450"))</f>
        <v>0</v>
      </c>
      <c r="G18" s="581">
        <f>SUMIFS(BalanceN1[BS_Credit],BalanceN1[Table],"&gt;=70230",BalanceN1[Table],"&lt;70250")+SUMIFS(BalanceN1[BS_Credit],BalanceN1[Table],"&gt;=70330",BalanceN1[Table],"&lt;70350")+SUMIFS(BalanceN1[BS_Credit],BalanceN1[Table],"&gt;=70430",BalanceN1[Table],"&lt;70450")</f>
        <v>0</v>
      </c>
      <c r="H18" s="361" t="str">
        <f t="shared" si="0"/>
        <v/>
      </c>
    </row>
    <row r="19" spans="1:10" ht="17.25" customHeight="1">
      <c r="A19" s="1748" t="s">
        <v>2135</v>
      </c>
      <c r="B19" s="1748"/>
      <c r="C19" s="1748"/>
      <c r="D19" s="1748"/>
      <c r="E19" s="1748"/>
      <c r="F19" s="581">
        <f>SUMIFS(BalanceN[BS_Credit],BalanceN[Table],"&gt;=70250",BalanceN[Table],"&lt;70260")+SUMIFS(BalanceN[BS_Credit],BalanceN[Table],"&gt;=70350",BalanceN[Table],"&lt;70360")+SUMIFS(BalanceN[BS_Credit],BalanceN[Table],"&gt;=70450",BalanceN[Table],"&lt;70460")</f>
        <v>0</v>
      </c>
      <c r="G19" s="581">
        <f>SUMIFS(BalanceN1[BS_Credit],BalanceN1[Table],"&gt;=70250",BalanceN1[Table],"&lt;70260")+SUMIFS(BalanceN1[BS_Credit],BalanceN1[Table],"&gt;=70350",BalanceN1[Table],"&lt;70360")+SUMIFS(BalanceN1[BS_Credit],BalanceN1[Table],"&gt;=70450",BalanceN1[Table],"&lt;70460")</f>
        <v>0</v>
      </c>
      <c r="H19" s="361" t="str">
        <f t="shared" si="0"/>
        <v/>
      </c>
    </row>
    <row r="20" spans="1:10" ht="17.25" customHeight="1">
      <c r="A20" s="1868" t="s">
        <v>2136</v>
      </c>
      <c r="B20" s="1868"/>
      <c r="C20" s="1868"/>
      <c r="D20" s="1868"/>
      <c r="E20" s="1868"/>
      <c r="F20" s="580">
        <f>SUM(F15:F19)</f>
        <v>1941053121</v>
      </c>
      <c r="G20" s="580">
        <f>SUM(G15:G19)</f>
        <v>1858577695</v>
      </c>
      <c r="H20" s="421">
        <f t="shared" si="0"/>
        <v>4.4375559989704924E-2</v>
      </c>
      <c r="I20" s="1107">
        <f>SUMIFS(BalanceN[BS_Credit],BalanceN[Table],"&gt;=70200",BalanceN[Table],"&lt;70500")-SUMIFS(BalanceN[BS_Debit],BalanceN[Table],"&gt;=70200",BalanceN[Table],"&lt;70500")-F20</f>
        <v>-22908376</v>
      </c>
      <c r="J20" s="1107">
        <f>SUMIFS(BalanceN1[BS_Credit],BalanceN1[Table],"&gt;=70200",BalanceN1[Table],"&lt;70500")-SUMIFS(BalanceN1[BS_Debit],BalanceN1[Table],"&gt;=70200",BalanceN1[Table],"&lt;70500")-G20</f>
        <v>-1153585</v>
      </c>
    </row>
    <row r="21" spans="1:10" ht="17.25" customHeight="1">
      <c r="A21" s="1748" t="s">
        <v>2137</v>
      </c>
      <c r="B21" s="1748"/>
      <c r="C21" s="1748"/>
      <c r="D21" s="1748"/>
      <c r="E21" s="1748"/>
      <c r="F21" s="581">
        <f>SUMIFS(BalanceN[BS_Credit],BalanceN[Table],"&gt;=70510",BalanceN[Table],"&lt;70520")+SUMIFS(BalanceN[BS_Credit],BalanceN[Table],"&gt;=70610",BalanceN[Table],"&lt;70620")-F22</f>
        <v>12672000</v>
      </c>
      <c r="G21" s="581">
        <f>SUMIFS(BalanceN1[BS_Credit],BalanceN1[Table],"&gt;=70510",BalanceN1[Table],"&lt;70520")+SUMIFS(BalanceN1[BS_Credit],BalanceN1[Table],"&gt;=70610",BalanceN1[Table],"&lt;70620")-G22</f>
        <v>12804000</v>
      </c>
      <c r="H21" s="361">
        <f t="shared" si="0"/>
        <v>-1.0309278350515464E-2</v>
      </c>
    </row>
    <row r="22" spans="1:10" ht="17.25" customHeight="1">
      <c r="A22" s="1748" t="s">
        <v>2138</v>
      </c>
      <c r="B22" s="1748"/>
      <c r="C22" s="1748"/>
      <c r="D22" s="1748"/>
      <c r="E22" s="1748"/>
      <c r="F22" s="345"/>
      <c r="G22" s="345"/>
      <c r="H22" s="361" t="str">
        <f t="shared" si="0"/>
        <v/>
      </c>
    </row>
    <row r="23" spans="1:10" ht="17.25" customHeight="1">
      <c r="A23" s="1748" t="s">
        <v>2139</v>
      </c>
      <c r="B23" s="1748"/>
      <c r="C23" s="1748"/>
      <c r="D23" s="1748"/>
      <c r="E23" s="1748"/>
      <c r="F23" s="581">
        <f>SUMIFS(BalanceN[BS_Credit],BalanceN[Table],"&gt;=70520",BalanceN[Table],"&lt;70530")+SUMIFS(BalanceN[BS_Credit],BalanceN[Table],"&gt;=70620",BalanceN[Table],"&lt;70630")</f>
        <v>0</v>
      </c>
      <c r="G23" s="581">
        <f>SUMIFS(BalanceN1[BS_Credit],BalanceN1[Table],"&gt;=70520",BalanceN1[Table],"&lt;70530")+SUMIFS(BalanceN1[BS_Credit],BalanceN1[Table],"&gt;=70620",BalanceN1[Table],"&lt;70630")</f>
        <v>0</v>
      </c>
      <c r="H23" s="361" t="str">
        <f t="shared" si="0"/>
        <v/>
      </c>
    </row>
    <row r="24" spans="1:10" ht="17.25" customHeight="1">
      <c r="A24" s="1748" t="s">
        <v>2140</v>
      </c>
      <c r="B24" s="1748"/>
      <c r="C24" s="1748"/>
      <c r="D24" s="1748"/>
      <c r="E24" s="1748"/>
      <c r="F24" s="581">
        <f>SUMIFS(BalanceN[BS_Credit],BalanceN[Table],"&gt;=70530",BalanceN[Table],"&lt;70550")+SUMIFS(BalanceN[BS_Credit],BalanceN[Table],"&gt;=70630",BalanceN[Table],"&lt;70650")</f>
        <v>0</v>
      </c>
      <c r="G24" s="581">
        <f>SUMIFS(BalanceN1[BS_Credit],BalanceN1[Table],"&gt;=70530",BalanceN1[Table],"&lt;70550")+SUMIFS(BalanceN1[BS_Credit],BalanceN1[Table],"&gt;=70630",BalanceN1[Table],"&lt;70650")</f>
        <v>0</v>
      </c>
      <c r="H24" s="361" t="str">
        <f t="shared" si="0"/>
        <v/>
      </c>
    </row>
    <row r="25" spans="1:10" ht="17.25" customHeight="1">
      <c r="A25" s="1748" t="s">
        <v>2141</v>
      </c>
      <c r="B25" s="1748"/>
      <c r="C25" s="1748"/>
      <c r="D25" s="1748"/>
      <c r="E25" s="1748"/>
      <c r="F25" s="581">
        <f>SUMIFS(BalanceN[BS_Credit],BalanceN[Table],"&gt;=70550",BalanceN[Table],"&lt;70560")+SUMIFS(BalanceN[BS_Credit],BalanceN[Table],"&gt;=70650",BalanceN[Table],"&lt;70660")</f>
        <v>0</v>
      </c>
      <c r="G25" s="581">
        <f>SUMIFS(BalanceN1[BS_Credit],BalanceN1[Table],"&gt;=70550",BalanceN1[Table],"&lt;70560")+SUMIFS(BalanceN1[BS_Credit],BalanceN1[Table],"&gt;=70650",BalanceN1[Table],"&lt;70660")</f>
        <v>0</v>
      </c>
      <c r="H25" s="361" t="str">
        <f t="shared" si="0"/>
        <v/>
      </c>
    </row>
    <row r="26" spans="1:10" ht="17.25" customHeight="1">
      <c r="A26" s="1868" t="s">
        <v>2142</v>
      </c>
      <c r="B26" s="1868"/>
      <c r="C26" s="1868"/>
      <c r="D26" s="1868"/>
      <c r="E26" s="1868"/>
      <c r="F26" s="580">
        <f>SUM(F21:F25)</f>
        <v>12672000</v>
      </c>
      <c r="G26" s="580">
        <f>SUM(G21:G25)</f>
        <v>12804000</v>
      </c>
      <c r="H26" s="421">
        <f t="shared" si="0"/>
        <v>-1.0309278350515464E-2</v>
      </c>
      <c r="I26" s="1107">
        <f>SUMIFS(BalanceN[BS_Credit],BalanceN[Table],"&gt;=70500",BalanceN[Table],"&lt;70700")-SUMIFS(BalanceN[BS_Debit],BalanceN[Table],"&gt;=70500",BalanceN[Table],"&lt;70700")-F26</f>
        <v>0</v>
      </c>
      <c r="J26" s="1107">
        <f>SUMIFS(BalanceN1[BS_Credit],BalanceN1[Table],"&gt;=70500",BalanceN1[Table],"&lt;70700")-SUMIFS(BalanceN1[BS_Debit],BalanceN1[Table],"&gt;=70500",BalanceN1[Table],"&lt;70700")-G26</f>
        <v>0</v>
      </c>
    </row>
    <row r="27" spans="1:10" ht="24.75" customHeight="1">
      <c r="A27" s="1962" t="s">
        <v>2143</v>
      </c>
      <c r="B27" s="1962"/>
      <c r="C27" s="1962"/>
      <c r="D27" s="1962"/>
      <c r="E27" s="1962"/>
      <c r="F27" s="383">
        <f ca="1">SUM(INDIRECT(SUBSTITUTE(ADDRESS(1,COLUMN(F28)),1,"")&amp;ROW(F28)):INDIRECT(SUBSTITUTE(ADDRESS(1,COLUMN(F29)),1,"")&amp;ROW(F29)-1))</f>
        <v>0</v>
      </c>
      <c r="G27" s="383">
        <f ca="1">SUM(INDIRECT(SUBSTITUTE(ADDRESS(1,COLUMN(G28)),1,"")&amp;ROW(G28)):INDIRECT(SUBSTITUTE(ADDRESS(1,COLUMN(G29)),1,"")&amp;ROW(G29)-1))</f>
        <v>0</v>
      </c>
      <c r="H27" s="361" t="str">
        <f t="shared" ca="1" si="0"/>
        <v/>
      </c>
      <c r="J27" s="103" t="str">
        <f ca="1">IF(F27=SUMIFS(BalanceN[BS_Credit],BalanceN[Table],"&gt;=70700",BalanceN[Table],"&lt;70800"),"","Veuillez détailler les frais accessoires suivant la fiche R2 de l'exercice N")</f>
        <v>Veuillez détailler les frais accessoires suivant la fiche R2 de l'exercice N</v>
      </c>
    </row>
    <row r="28" spans="1:10" ht="17.25" customHeight="1">
      <c r="A28" s="1963"/>
      <c r="B28" s="1963"/>
      <c r="C28" s="1963"/>
      <c r="D28" s="1963"/>
      <c r="E28" s="1963"/>
      <c r="F28" s="345"/>
      <c r="G28" s="345"/>
      <c r="H28" s="361" t="str">
        <f t="shared" si="0"/>
        <v/>
      </c>
      <c r="J28" s="103" t="str">
        <f ca="1">IF(G27=SUMIFS(BalanceN1[BS_Credit],BalanceN1[Table],"&gt;=70700",BalanceN1[Table],"&lt;70800"),"","Veuillez détailler les frais accessoires suivant la fiche R2 de l'exercice N-1")</f>
        <v>Veuillez détailler les frais accessoires suivant la fiche R2 de l'exercice N-1</v>
      </c>
    </row>
    <row r="29" spans="1:10" ht="17.25" customHeight="1">
      <c r="A29" s="1857" t="s">
        <v>2144</v>
      </c>
      <c r="B29" s="1857"/>
      <c r="C29" s="1857"/>
      <c r="D29" s="1857"/>
      <c r="E29" s="1857"/>
      <c r="F29" s="422">
        <f ca="1">F14+F20+F26+F27</f>
        <v>2063725121</v>
      </c>
      <c r="G29" s="422">
        <f ca="1">G14+G20+G26+G27</f>
        <v>1871381695</v>
      </c>
      <c r="H29" s="421">
        <f t="shared" ca="1" si="0"/>
        <v>0.10278150444343211</v>
      </c>
    </row>
    <row r="30" spans="1:10" ht="17.25" customHeight="1">
      <c r="A30" s="1923" t="s">
        <v>1285</v>
      </c>
      <c r="B30" s="1923"/>
      <c r="C30" s="1923"/>
      <c r="D30" s="1923"/>
      <c r="E30" s="1923"/>
      <c r="F30" s="383"/>
      <c r="G30" s="383"/>
      <c r="H30" s="361" t="str">
        <f t="shared" si="0"/>
        <v/>
      </c>
    </row>
    <row r="31" spans="1:10" ht="17.25" customHeight="1">
      <c r="A31" s="1748" t="s">
        <v>2145</v>
      </c>
      <c r="B31" s="1748"/>
      <c r="C31" s="1748"/>
      <c r="D31" s="1748"/>
      <c r="E31" s="1748"/>
      <c r="F31" s="383"/>
      <c r="G31" s="383"/>
      <c r="H31" s="361" t="str">
        <f t="shared" si="0"/>
        <v/>
      </c>
    </row>
    <row r="32" spans="1:10" ht="17.25" customHeight="1">
      <c r="A32" s="1748" t="s">
        <v>2146</v>
      </c>
      <c r="B32" s="1748"/>
      <c r="C32" s="1748"/>
      <c r="D32" s="1748"/>
      <c r="E32" s="1748"/>
      <c r="F32" s="383"/>
      <c r="G32" s="383"/>
      <c r="H32" s="361" t="str">
        <f t="shared" si="0"/>
        <v/>
      </c>
    </row>
    <row r="33" spans="1:8" ht="17.25" customHeight="1">
      <c r="A33" s="1857" t="s">
        <v>2147</v>
      </c>
      <c r="B33" s="1857"/>
      <c r="C33" s="1857"/>
      <c r="D33" s="1857"/>
      <c r="E33" s="1857"/>
      <c r="F33" s="422">
        <f>F31+F32</f>
        <v>0</v>
      </c>
      <c r="G33" s="422">
        <f>G31+G32</f>
        <v>0</v>
      </c>
      <c r="H33" s="421" t="str">
        <f t="shared" si="0"/>
        <v/>
      </c>
    </row>
    <row r="34" spans="1:8" ht="17.25" customHeight="1">
      <c r="A34" s="1961" t="s">
        <v>1578</v>
      </c>
      <c r="B34" s="1961"/>
      <c r="C34" s="1961"/>
      <c r="D34" s="1961"/>
      <c r="E34" s="1961"/>
      <c r="F34" s="423">
        <f ca="1">F29+F30+F33</f>
        <v>2063725121</v>
      </c>
      <c r="G34" s="423">
        <f ca="1">G29+G30+G33</f>
        <v>1871381695</v>
      </c>
      <c r="H34" s="403">
        <f t="shared" ca="1" si="0"/>
        <v>0.10278150444343211</v>
      </c>
    </row>
    <row r="35" spans="1:8" s="653" customFormat="1" ht="10.5">
      <c r="A35" s="1958" t="s">
        <v>2148</v>
      </c>
      <c r="B35" s="1959"/>
      <c r="C35" s="1959"/>
      <c r="D35" s="1959"/>
      <c r="E35" s="1959"/>
      <c r="F35" s="1959"/>
      <c r="G35" s="1959"/>
      <c r="H35" s="1959"/>
    </row>
    <row r="36" spans="1:8" s="653" customFormat="1" ht="10.5">
      <c r="A36" s="1958" t="s">
        <v>2149</v>
      </c>
      <c r="B36" s="1959"/>
      <c r="C36" s="1959"/>
      <c r="D36" s="1959"/>
      <c r="E36" s="1959"/>
      <c r="F36" s="1959"/>
      <c r="G36" s="1959"/>
      <c r="H36" s="1959"/>
    </row>
    <row r="37" spans="1:8" s="653" customFormat="1" ht="14.25" customHeight="1">
      <c r="A37" s="798" t="s">
        <v>1744</v>
      </c>
    </row>
    <row r="38" spans="1:8" s="653" customFormat="1" ht="12" customHeight="1">
      <c r="A38" s="800" t="s">
        <v>1859</v>
      </c>
    </row>
    <row r="39" spans="1:8" s="653" customFormat="1" ht="12" customHeight="1">
      <c r="A39" s="800" t="s">
        <v>2150</v>
      </c>
    </row>
    <row r="40" spans="1:8" s="653" customFormat="1" ht="12" customHeight="1">
      <c r="A40" s="820" t="s">
        <v>2151</v>
      </c>
    </row>
    <row r="41" spans="1:8" s="653" customFormat="1" ht="12" customHeight="1">
      <c r="A41" s="821" t="s">
        <v>2152</v>
      </c>
    </row>
    <row r="42" spans="1:8" s="653" customFormat="1" ht="12" customHeight="1">
      <c r="A42" s="821" t="s">
        <v>2153</v>
      </c>
    </row>
    <row r="43" spans="1:8" s="653" customFormat="1" ht="12" customHeight="1">
      <c r="A43" s="821" t="s">
        <v>2154</v>
      </c>
    </row>
    <row r="44" spans="1:8" s="653" customFormat="1" ht="12" customHeight="1">
      <c r="A44" s="821" t="s">
        <v>2155</v>
      </c>
    </row>
    <row r="45" spans="1:8" s="653" customFormat="1" ht="36.75" customHeight="1">
      <c r="A45" s="1960" t="s">
        <v>2156</v>
      </c>
      <c r="B45" s="1960"/>
      <c r="C45" s="1960"/>
      <c r="D45" s="1960"/>
      <c r="E45" s="1960"/>
      <c r="F45" s="1960"/>
      <c r="G45" s="1960"/>
    </row>
  </sheetData>
  <sheetProtection algorithmName="SHA-512" hashValue="Z9rDaQcn6FPd1mFuPnW3amH8ygOQJRsxk+F5jrf4HMwpPbK54gxVI05TD7SzzHT2qy4R0EiulJhYHiO6hLtDxg==" saltValue="u55/Any8JnUBB/xnC1x1NA==" spinCount="100000" sheet="1" objects="1" scenarios="1" selectLockedCells="1"/>
  <mergeCells count="37">
    <mergeCell ref="A12:E12"/>
    <mergeCell ref="A1:H1"/>
    <mergeCell ref="G2:H2"/>
    <mergeCell ref="C3:H3"/>
    <mergeCell ref="B4:F4"/>
    <mergeCell ref="C5:D5"/>
    <mergeCell ref="C6:D6"/>
    <mergeCell ref="A7:H7"/>
    <mergeCell ref="A8:E8"/>
    <mergeCell ref="A9:E9"/>
    <mergeCell ref="A10:E10"/>
    <mergeCell ref="A11:E11"/>
    <mergeCell ref="A24:E24"/>
    <mergeCell ref="A13:E13"/>
    <mergeCell ref="A14:E14"/>
    <mergeCell ref="A15:E15"/>
    <mergeCell ref="A16:E16"/>
    <mergeCell ref="A17:E17"/>
    <mergeCell ref="A18:E18"/>
    <mergeCell ref="A19:E19"/>
    <mergeCell ref="A20:E20"/>
    <mergeCell ref="A21:E21"/>
    <mergeCell ref="A22:E22"/>
    <mergeCell ref="A23:E23"/>
    <mergeCell ref="A29:E29"/>
    <mergeCell ref="A25:E25"/>
    <mergeCell ref="A26:E26"/>
    <mergeCell ref="A27:E27"/>
    <mergeCell ref="A28:E28"/>
    <mergeCell ref="A36:H36"/>
    <mergeCell ref="A45:G45"/>
    <mergeCell ref="A30:E30"/>
    <mergeCell ref="A31:E31"/>
    <mergeCell ref="A32:E32"/>
    <mergeCell ref="A33:E33"/>
    <mergeCell ref="A34:E34"/>
    <mergeCell ref="A35:H35"/>
  </mergeCells>
  <conditionalFormatting sqref="F9:G26">
    <cfRule type="cellIs" dxfId="163" priority="4" operator="equal">
      <formula>0</formula>
    </cfRule>
  </conditionalFormatting>
  <conditionalFormatting sqref="F29:G34">
    <cfRule type="cellIs" dxfId="162" priority="3" operator="equal">
      <formula>0</formula>
    </cfRule>
  </conditionalFormatting>
  <conditionalFormatting sqref="F27:G27">
    <cfRule type="cellIs" dxfId="161" priority="2" operator="equal">
      <formula>0</formula>
    </cfRule>
  </conditionalFormatting>
  <conditionalFormatting sqref="I14:J35">
    <cfRule type="cellIs" dxfId="160" priority="1" operator="equal">
      <formula>0</formula>
    </cfRule>
  </conditionalFormatting>
  <dataValidations count="1">
    <dataValidation type="whole" allowBlank="1" showInputMessage="1" showErrorMessage="1" errorTitle="Attention!" error="Valeur numérique attendue" sqref="F27:G28 F15:G19 F21:G25 F9:G13 F30:G32" xr:uid="{4B1D37C7-14FE-44F7-BB8E-A2036C57F5ED}">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58049" r:id="rId4" name="AjoutNOTE21B">
              <controlPr defaultSize="0" print="0" autoFill="0" autoPict="0" macro="[0]!AjoutNOTE21B_Cliquer">
                <anchor moveWithCells="1">
                  <from>
                    <xdr:col>8</xdr:col>
                    <xdr:colOff>297180</xdr:colOff>
                    <xdr:row>25</xdr:row>
                    <xdr:rowOff>190500</xdr:rowOff>
                  </from>
                  <to>
                    <xdr:col>9</xdr:col>
                    <xdr:colOff>784860</xdr:colOff>
                    <xdr:row>26</xdr:row>
                    <xdr:rowOff>266700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992E-C6B6-4085-9B21-4B94AA3D0653}">
  <sheetPr codeName="Feuil48">
    <tabColor rgb="FFFFC000"/>
    <pageSetUpPr fitToPage="1"/>
  </sheetPr>
  <dimension ref="A1:H37"/>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7" style="103" customWidth="1"/>
    <col min="3" max="3" width="1.89453125" style="103" customWidth="1"/>
    <col min="4" max="4" width="12.68359375" style="103" customWidth="1"/>
    <col min="5" max="5" width="18" style="103" customWidth="1"/>
    <col min="6" max="7" width="14.89453125" style="103" customWidth="1"/>
    <col min="8" max="8" width="11.41796875" style="103" customWidth="1"/>
    <col min="9" max="16384" width="11.5234375" style="103"/>
  </cols>
  <sheetData>
    <row r="1" spans="1:8">
      <c r="A1" s="1276" t="str">
        <f>"- "&amp;Code!K48&amp;" -"</f>
        <v>- 27 -</v>
      </c>
      <c r="B1" s="1276"/>
      <c r="C1" s="1276"/>
      <c r="D1" s="1276"/>
      <c r="E1" s="1276"/>
      <c r="F1" s="1276"/>
      <c r="G1" s="1276"/>
      <c r="H1" s="1276"/>
    </row>
    <row r="2" spans="1:8" ht="24.9" customHeight="1">
      <c r="A2" s="576"/>
      <c r="B2" s="576"/>
      <c r="C2" s="576"/>
      <c r="D2" s="576"/>
      <c r="E2" s="576"/>
      <c r="F2" s="576"/>
      <c r="G2" s="1278" t="s">
        <v>2157</v>
      </c>
      <c r="H2" s="1765"/>
    </row>
    <row r="3" spans="1:8" s="626" customFormat="1" ht="15" customHeight="1">
      <c r="A3" s="317" t="s">
        <v>50</v>
      </c>
      <c r="B3" s="317"/>
      <c r="C3" s="1280" t="str">
        <f>'NOTE 21'!C3</f>
        <v>OHADA</v>
      </c>
      <c r="D3" s="1280"/>
      <c r="E3" s="1280"/>
      <c r="F3" s="1280"/>
      <c r="G3" s="1280"/>
      <c r="H3" s="1280"/>
    </row>
    <row r="4" spans="1:8" s="626" customFormat="1" ht="15" customHeight="1">
      <c r="A4" s="317" t="s">
        <v>51</v>
      </c>
      <c r="B4" s="1280" t="str">
        <f>'NOTE 21'!B4</f>
        <v/>
      </c>
      <c r="C4" s="1281"/>
      <c r="D4" s="1281"/>
      <c r="E4" s="1281"/>
      <c r="F4" s="1281"/>
      <c r="G4" s="627" t="s">
        <v>1021</v>
      </c>
      <c r="H4" s="630" t="str">
        <f>'NOTE 21'!H4</f>
        <v/>
      </c>
    </row>
    <row r="5" spans="1:8" s="626" customFormat="1" ht="15" customHeight="1">
      <c r="A5" s="317" t="s">
        <v>53</v>
      </c>
      <c r="B5" s="317"/>
      <c r="C5" s="1281" t="str">
        <f>'NOTE 21'!C5</f>
        <v/>
      </c>
      <c r="D5" s="1281"/>
      <c r="E5" s="642" t="s">
        <v>54</v>
      </c>
      <c r="F5" s="647">
        <f>'NOTE 21'!F5</f>
        <v>0</v>
      </c>
      <c r="G5" s="627" t="s">
        <v>55</v>
      </c>
      <c r="H5" s="795">
        <f>'NOTE 21'!H5</f>
        <v>1</v>
      </c>
    </row>
    <row r="6" spans="1:8" s="626" customFormat="1" ht="15" customHeight="1">
      <c r="A6" s="317" t="s">
        <v>1533</v>
      </c>
      <c r="B6" s="317"/>
      <c r="C6" s="1275" t="str">
        <f>'NOTE 21'!C6</f>
        <v/>
      </c>
      <c r="D6" s="1275"/>
      <c r="E6" s="638"/>
      <c r="F6" s="630"/>
      <c r="G6" s="629"/>
      <c r="H6" s="630"/>
    </row>
    <row r="7" spans="1:8" ht="35.25" customHeight="1">
      <c r="A7" s="1273" t="s">
        <v>2158</v>
      </c>
      <c r="B7" s="1273"/>
      <c r="C7" s="1273"/>
      <c r="D7" s="1273"/>
      <c r="E7" s="1273"/>
      <c r="F7" s="1273"/>
      <c r="G7" s="1273"/>
      <c r="H7" s="1273"/>
    </row>
    <row r="8" spans="1:8" ht="33" customHeight="1">
      <c r="A8" s="1643" t="s">
        <v>1692</v>
      </c>
      <c r="B8" s="1643"/>
      <c r="C8" s="1643"/>
      <c r="D8" s="1643"/>
      <c r="E8" s="1643"/>
      <c r="F8" s="797" t="s">
        <v>1693</v>
      </c>
      <c r="G8" s="797" t="s">
        <v>1694</v>
      </c>
      <c r="H8" s="797" t="s">
        <v>1731</v>
      </c>
    </row>
    <row r="9" spans="1:8" ht="17.25" customHeight="1">
      <c r="A9" s="1964" t="s">
        <v>2159</v>
      </c>
      <c r="B9" s="1965"/>
      <c r="C9" s="1965"/>
      <c r="D9" s="1965"/>
      <c r="E9" s="1966"/>
      <c r="F9" s="581">
        <f>SUMIFS(BalanceN[BS_Debit],BalanceN[Table],"&gt;=60110",BalanceN[Table],"&lt;60120")-F10</f>
        <v>75000000</v>
      </c>
      <c r="G9" s="581">
        <f>SUMIFS(BalanceN1[BS_Debit],BalanceN1[Table],"&gt;=60110",BalanceN1[Table],"&lt;60120")-G10</f>
        <v>0</v>
      </c>
      <c r="H9" s="361">
        <f>IF(G9,(F9-G9)/G9,IF(ISBLANK(G9),"",IF(F9,IF( F9 &gt; 0,1,-1),"")))</f>
        <v>1</v>
      </c>
    </row>
    <row r="10" spans="1:8" ht="17.25" customHeight="1">
      <c r="A10" s="1967" t="s">
        <v>9618</v>
      </c>
      <c r="B10" s="1968"/>
      <c r="C10" s="1968"/>
      <c r="D10" s="1968"/>
      <c r="E10" s="1969"/>
      <c r="F10" s="581"/>
      <c r="G10" s="581"/>
      <c r="H10" s="361" t="str">
        <f t="shared" ref="H10:H33" si="0">IF(G10,(F10-G10)/G10,IF(ISBLANK(G10),"",IF(F10,IF( F10 &gt; 0,1,-1),"")))</f>
        <v/>
      </c>
    </row>
    <row r="11" spans="1:8" ht="17.25" customHeight="1">
      <c r="A11" s="1967" t="s">
        <v>9617</v>
      </c>
      <c r="B11" s="1968"/>
      <c r="C11" s="1968"/>
      <c r="D11" s="1968"/>
      <c r="E11" s="1969"/>
      <c r="F11" s="581">
        <f>SUMIFS(BalanceN[BS_Debit],BalanceN[Table],"&gt;=60120",BalanceN[Table],"&lt;60130")</f>
        <v>0</v>
      </c>
      <c r="G11" s="581">
        <f>SUMIFS(BalanceN1[BS_Debit],BalanceN1[Table],"&gt;=60120",BalanceN1[Table],"&lt;60130")</f>
        <v>0</v>
      </c>
      <c r="H11" s="361" t="str">
        <f t="shared" si="0"/>
        <v/>
      </c>
    </row>
    <row r="12" spans="1:8" ht="17.25" customHeight="1">
      <c r="A12" s="1970" t="s">
        <v>2162</v>
      </c>
      <c r="B12" s="1971"/>
      <c r="C12" s="1971"/>
      <c r="D12" s="1971"/>
      <c r="E12" s="1972"/>
      <c r="F12" s="581">
        <f>SUMIFS(BalanceN[BS_Debit],BalanceN[Table],"&gt;=60130",BalanceN[Table],"&lt;60150")</f>
        <v>0</v>
      </c>
      <c r="G12" s="581">
        <f>SUMIFS(BalanceN1[BS_Debit],BalanceN1[Table],"&gt;=60130",BalanceN1[Table],"&lt;60150")</f>
        <v>0</v>
      </c>
      <c r="H12" s="361" t="str">
        <f t="shared" si="0"/>
        <v/>
      </c>
    </row>
    <row r="13" spans="1:8" ht="17.25" customHeight="1">
      <c r="A13" s="1868" t="s">
        <v>2163</v>
      </c>
      <c r="B13" s="1868"/>
      <c r="C13" s="1868"/>
      <c r="D13" s="1868"/>
      <c r="E13" s="1868"/>
      <c r="F13" s="580">
        <f>SUM(F9:F12)</f>
        <v>75000000</v>
      </c>
      <c r="G13" s="580">
        <f>SUM(G9:G12)</f>
        <v>0</v>
      </c>
      <c r="H13" s="363">
        <f t="shared" si="0"/>
        <v>1</v>
      </c>
    </row>
    <row r="14" spans="1:8" ht="17.25" customHeight="1">
      <c r="A14" s="1964" t="s">
        <v>2164</v>
      </c>
      <c r="B14" s="1965"/>
      <c r="C14" s="1965"/>
      <c r="D14" s="1965"/>
      <c r="E14" s="1966"/>
      <c r="F14" s="581">
        <f>SUMIFS(BalanceN[BS_Debit],BalanceN[Table],"&gt;=60210",BalanceN[Table],"&lt;60220")-F15</f>
        <v>923186842</v>
      </c>
      <c r="G14" s="581">
        <f>SUMIFS(BalanceN1[BS_Debit],BalanceN1[Table],"&gt;=60210",BalanceN1[Table],"&lt;60220")-G15</f>
        <v>954585472</v>
      </c>
      <c r="H14" s="361">
        <f t="shared" si="0"/>
        <v>-3.2892423906489117E-2</v>
      </c>
    </row>
    <row r="15" spans="1:8" ht="27" customHeight="1">
      <c r="A15" s="1967" t="s">
        <v>2165</v>
      </c>
      <c r="B15" s="1968"/>
      <c r="C15" s="1968"/>
      <c r="D15" s="1968"/>
      <c r="E15" s="1969"/>
      <c r="F15" s="581"/>
      <c r="G15" s="581"/>
      <c r="H15" s="361" t="str">
        <f t="shared" si="0"/>
        <v/>
      </c>
    </row>
    <row r="16" spans="1:8" ht="17.25" customHeight="1">
      <c r="A16" s="1967" t="s">
        <v>2166</v>
      </c>
      <c r="B16" s="1968"/>
      <c r="C16" s="1968"/>
      <c r="D16" s="1968"/>
      <c r="E16" s="1969"/>
      <c r="F16" s="581">
        <f>SUMIFS(BalanceN[BS_Debit],BalanceN[Table],"&gt;=60220",BalanceN[Table],"&lt;60230")</f>
        <v>5116850</v>
      </c>
      <c r="G16" s="581">
        <f>SUMIFS(BalanceN1[BS_Debit],BalanceN1[Table],"&gt;=60220",BalanceN1[Table],"&lt;60230")</f>
        <v>0</v>
      </c>
      <c r="H16" s="361">
        <f t="shared" si="0"/>
        <v>1</v>
      </c>
    </row>
    <row r="17" spans="1:8" ht="17.25" customHeight="1">
      <c r="A17" s="1970" t="s">
        <v>2167</v>
      </c>
      <c r="B17" s="1971"/>
      <c r="C17" s="1971"/>
      <c r="D17" s="1971"/>
      <c r="E17" s="1972"/>
      <c r="F17" s="581">
        <f>SUMIFS(BalanceN[BS_Debit],BalanceN[Table],"&gt;=60230",BalanceN[Table],"&lt;60250")</f>
        <v>0</v>
      </c>
      <c r="G17" s="581">
        <f>SUMIFS(BalanceN1[BS_Debit],BalanceN1[Table],"&gt;=60230",BalanceN1[Table],"&lt;60250")</f>
        <v>0</v>
      </c>
      <c r="H17" s="361" t="str">
        <f t="shared" si="0"/>
        <v/>
      </c>
    </row>
    <row r="18" spans="1:8" ht="17.25" customHeight="1">
      <c r="A18" s="1868" t="s">
        <v>2168</v>
      </c>
      <c r="B18" s="1868"/>
      <c r="C18" s="1868"/>
      <c r="D18" s="1868"/>
      <c r="E18" s="1868"/>
      <c r="F18" s="580">
        <f>SUM(F14:F17)</f>
        <v>928303692</v>
      </c>
      <c r="G18" s="580">
        <f>SUM(G14:G17)</f>
        <v>954585472</v>
      </c>
      <c r="H18" s="363">
        <f t="shared" si="0"/>
        <v>-2.7532139102154699E-2</v>
      </c>
    </row>
    <row r="19" spans="1:8" ht="17.25" customHeight="1">
      <c r="A19" s="1748" t="s">
        <v>2169</v>
      </c>
      <c r="B19" s="1748"/>
      <c r="C19" s="1748"/>
      <c r="D19" s="1748"/>
      <c r="E19" s="1748"/>
      <c r="F19" s="581">
        <f>SUMIFS(BalanceN[BS_Debit],BalanceN[Table],"&gt;=60410",BalanceN[Table],"&lt;60420")</f>
        <v>0</v>
      </c>
      <c r="G19" s="581">
        <f>SUMIFS(BalanceN1[BS_Debit],BalanceN1[Table],"&gt;=60410",BalanceN1[Table],"&lt;60420")</f>
        <v>0</v>
      </c>
      <c r="H19" s="361" t="str">
        <f t="shared" si="0"/>
        <v/>
      </c>
    </row>
    <row r="20" spans="1:8" ht="17.25" customHeight="1">
      <c r="A20" s="1748" t="s">
        <v>2170</v>
      </c>
      <c r="B20" s="1748"/>
      <c r="C20" s="1748"/>
      <c r="D20" s="1748"/>
      <c r="E20" s="1748"/>
      <c r="F20" s="581">
        <f>SUMIFS(BalanceN[BS_Debit],BalanceN[Table],"&gt;=60420",BalanceN[Table],"&lt;60430")</f>
        <v>11259476</v>
      </c>
      <c r="G20" s="581">
        <f>SUMIFS(BalanceN1[BS_Debit],BalanceN1[Table],"&gt;=60420",BalanceN1[Table],"&lt;60430")</f>
        <v>12683576</v>
      </c>
      <c r="H20" s="361">
        <f t="shared" si="0"/>
        <v>-0.1122790607317684</v>
      </c>
    </row>
    <row r="21" spans="1:8" ht="17.25" customHeight="1">
      <c r="A21" s="1748" t="s">
        <v>2171</v>
      </c>
      <c r="B21" s="1748"/>
      <c r="C21" s="1748"/>
      <c r="D21" s="1748"/>
      <c r="E21" s="1748"/>
      <c r="F21" s="581">
        <f>SUMIFS(BalanceN[BS_Debit],BalanceN[Table],"&gt;=60430",BalanceN[Table],"&lt;60440")</f>
        <v>0</v>
      </c>
      <c r="G21" s="581">
        <f>SUMIFS(BalanceN1[BS_Debit],BalanceN1[Table],"&gt;=60430",BalanceN1[Table],"&lt;60440")</f>
        <v>1144000</v>
      </c>
      <c r="H21" s="361">
        <f t="shared" si="0"/>
        <v>-1</v>
      </c>
    </row>
    <row r="22" spans="1:8" ht="17.25" customHeight="1">
      <c r="A22" s="1748" t="s">
        <v>2172</v>
      </c>
      <c r="B22" s="1748"/>
      <c r="C22" s="1748"/>
      <c r="D22" s="1748"/>
      <c r="E22" s="1748"/>
      <c r="F22" s="581">
        <f>SUMIFS(BalanceN[BS_Debit],BalanceN[Table],"&gt;=60440",BalanceN[Table],"&lt;60450")+SUMIFS(BalanceN[BS_Debit],BalanceN[Table],"&gt;=60460",BalanceN[Table],"&lt;60470")</f>
        <v>0</v>
      </c>
      <c r="G22" s="581">
        <f>SUMIFS(BalanceN1[BS_Debit],BalanceN1[Table],"&gt;=60440",BalanceN1[Table],"&lt;60450")+SUMIFS(BalanceN1[BS_Debit],BalanceN1[Table],"&gt;=60460",BalanceN1[Table],"&lt;60470")</f>
        <v>0</v>
      </c>
      <c r="H22" s="361" t="str">
        <f t="shared" si="0"/>
        <v/>
      </c>
    </row>
    <row r="23" spans="1:8" ht="17.25" customHeight="1">
      <c r="A23" s="1748" t="s">
        <v>2173</v>
      </c>
      <c r="B23" s="1748"/>
      <c r="C23" s="1748"/>
      <c r="D23" s="1748"/>
      <c r="E23" s="1748"/>
      <c r="F23" s="581">
        <f>SUMIFS(BalanceN[BS_Debit],BalanceN[Table],"&gt;=60510",BalanceN[Table],"&lt;60520")</f>
        <v>5507820</v>
      </c>
      <c r="G23" s="581">
        <f>SUMIFS(BalanceN1[BS_Debit],BalanceN1[Table],"&gt;=60510",BalanceN1[Table],"&lt;60520")</f>
        <v>4659249</v>
      </c>
      <c r="H23" s="361">
        <f t="shared" si="0"/>
        <v>0.18212613234450445</v>
      </c>
    </row>
    <row r="24" spans="1:8" ht="17.25" customHeight="1">
      <c r="A24" s="1748" t="s">
        <v>2174</v>
      </c>
      <c r="B24" s="1748"/>
      <c r="C24" s="1748"/>
      <c r="D24" s="1748"/>
      <c r="E24" s="1748"/>
      <c r="F24" s="581">
        <f>SUMIFS(BalanceN[BS_Debit],BalanceN[Table],"&gt;=60520",BalanceN[Table],"&lt;60530")</f>
        <v>23946351</v>
      </c>
      <c r="G24" s="581">
        <f>SUMIFS(BalanceN1[BS_Debit],BalanceN1[Table],"&gt;=60520",BalanceN1[Table],"&lt;60530")</f>
        <v>21760619</v>
      </c>
      <c r="H24" s="361">
        <f t="shared" si="0"/>
        <v>0.10044438533664875</v>
      </c>
    </row>
    <row r="25" spans="1:8" ht="17.25" customHeight="1">
      <c r="A25" s="1748" t="s">
        <v>2175</v>
      </c>
      <c r="B25" s="1748"/>
      <c r="C25" s="1748"/>
      <c r="D25" s="1748"/>
      <c r="E25" s="1748"/>
      <c r="F25" s="581">
        <f>SUMIFS(BalanceN[BS_Debit],BalanceN[Table],"&gt;=60530",BalanceN[Table],"&lt;60540")</f>
        <v>0</v>
      </c>
      <c r="G25" s="581">
        <f>SUMIFS(BalanceN1[BS_Debit],BalanceN1[Table],"&gt;=60530",BalanceN1[Table],"&lt;60540")</f>
        <v>0</v>
      </c>
      <c r="H25" s="361" t="str">
        <f t="shared" si="0"/>
        <v/>
      </c>
    </row>
    <row r="26" spans="1:8" ht="17.25" customHeight="1">
      <c r="A26" s="1748" t="s">
        <v>2176</v>
      </c>
      <c r="B26" s="1748"/>
      <c r="C26" s="1748"/>
      <c r="D26" s="1748"/>
      <c r="E26" s="1748"/>
      <c r="F26" s="581">
        <f>SUMIFS(BalanceN[BS_Debit],BalanceN[Table],"&gt;=60540",BalanceN[Table],"&lt;60550")</f>
        <v>3983103</v>
      </c>
      <c r="G26" s="581">
        <f>SUMIFS(BalanceN1[BS_Debit],BalanceN1[Table],"&gt;=60540",BalanceN1[Table],"&lt;60550")</f>
        <v>2179626</v>
      </c>
      <c r="H26" s="361">
        <f t="shared" si="0"/>
        <v>0.8274249802489051</v>
      </c>
    </row>
    <row r="27" spans="1:8" ht="17.25" customHeight="1">
      <c r="A27" s="1748" t="s">
        <v>2177</v>
      </c>
      <c r="B27" s="1748"/>
      <c r="C27" s="1748"/>
      <c r="D27" s="1748"/>
      <c r="E27" s="1748"/>
      <c r="F27" s="581">
        <f>SUMIFS(BalanceN[BS_Debit],BalanceN[Table],"&gt;=60470",BalanceN[Table],"&lt;60480")+SUMIFS(BalanceN[BS_Debit],BalanceN[Table],"&gt;=60550",BalanceN[Table],"&lt;60560")</f>
        <v>4273500</v>
      </c>
      <c r="G27" s="581">
        <f>SUMIFS(BalanceN1[BS_Debit],BalanceN1[Table],"&gt;=60470",BalanceN1[Table],"&lt;60480")+SUMIFS(BalanceN1[BS_Debit],BalanceN1[Table],"&gt;=60550",BalanceN1[Table],"&lt;60560")</f>
        <v>5034950</v>
      </c>
      <c r="H27" s="361">
        <f t="shared" si="0"/>
        <v>-0.15123288215374531</v>
      </c>
    </row>
    <row r="28" spans="1:8" ht="17.25" customHeight="1">
      <c r="A28" s="1748" t="s">
        <v>2178</v>
      </c>
      <c r="B28" s="1748"/>
      <c r="C28" s="1748"/>
      <c r="D28" s="1748"/>
      <c r="E28" s="1748"/>
      <c r="F28" s="581">
        <f>SUMIFS(BalanceN[BS_Debit],BalanceN[Table],"&gt;=60560",BalanceN[Table],"&lt;60570")</f>
        <v>13718052</v>
      </c>
      <c r="G28" s="581">
        <f>SUMIFS(BalanceN1[BS_Debit],BalanceN1[Table],"&gt;=60560",BalanceN1[Table],"&lt;60570")</f>
        <v>11441377</v>
      </c>
      <c r="H28" s="361">
        <f t="shared" si="0"/>
        <v>0.19898610106108733</v>
      </c>
    </row>
    <row r="29" spans="1:8" ht="27.75" customHeight="1">
      <c r="A29" s="1748" t="s">
        <v>2179</v>
      </c>
      <c r="B29" s="1748"/>
      <c r="C29" s="1748"/>
      <c r="D29" s="1748"/>
      <c r="E29" s="1748"/>
      <c r="F29" s="581">
        <f>SUMIFS(BalanceN[BS_Debit],BalanceN[Table],"&gt;=60570",BalanceN[Table],"&lt;60590")</f>
        <v>12000</v>
      </c>
      <c r="G29" s="581">
        <f>SUMIFS(BalanceN1[BS_Debit],BalanceN1[Table],"&gt;=60570",BalanceN1[Table],"&lt;60590")</f>
        <v>925025</v>
      </c>
      <c r="H29" s="361">
        <f t="shared" si="0"/>
        <v>-0.98702737763844217</v>
      </c>
    </row>
    <row r="30" spans="1:8" ht="17.25" customHeight="1">
      <c r="A30" s="1748" t="s">
        <v>2180</v>
      </c>
      <c r="B30" s="1748"/>
      <c r="C30" s="1748"/>
      <c r="D30" s="1748"/>
      <c r="E30" s="1748"/>
      <c r="F30" s="581">
        <f>SUMIFS(BalanceN[BS_Debit],BalanceN[Table],"&gt;=60800",BalanceN[Table],"&lt;60840")</f>
        <v>95566657</v>
      </c>
      <c r="G30" s="581">
        <f>SUMIFS(BalanceN1[BS_Debit],BalanceN1[Table],"&gt;=60800",BalanceN1[Table],"&lt;60840")</f>
        <v>101292095</v>
      </c>
      <c r="H30" s="361">
        <f t="shared" si="0"/>
        <v>-5.6524035760144954E-2</v>
      </c>
    </row>
    <row r="31" spans="1:8" ht="17.25" customHeight="1">
      <c r="A31" s="1748" t="s">
        <v>2181</v>
      </c>
      <c r="B31" s="1748"/>
      <c r="C31" s="1748"/>
      <c r="D31" s="1748"/>
      <c r="E31" s="1748"/>
      <c r="F31" s="581">
        <f>SUMIFS(BalanceN[BS_Debit],BalanceN[Table],"&gt;=60150",BalanceN[Table],"&lt;60160")+SUMIFS(BalanceN[BS_Debit],BalanceN[Table],"&gt;=60250",BalanceN[Table],"&lt;60260")+SUMIFS(BalanceN[BS_Debit],BalanceN[Table],"&gt;=60450",BalanceN[Table],"&lt;60460")+SUMIFS(BalanceN[BS_Debit],BalanceN[Table],"&gt;=60850",BalanceN[Table],"&lt;60860")</f>
        <v>0</v>
      </c>
      <c r="G31" s="581">
        <f>SUMIFS(BalanceN1[BS_Debit],BalanceN1[Table],"&gt;=60150",BalanceN1[Table],"&lt;60160")+SUMIFS(BalanceN1[BS_Debit],BalanceN1[Table],"&gt;=60250",BalanceN1[Table],"&lt;60260")+SUMIFS(BalanceN1[BS_Debit],BalanceN1[Table],"&gt;=60450",BalanceN1[Table],"&lt;60460")+SUMIFS(BalanceN1[BS_Debit],BalanceN1[Table],"&gt;=60850",BalanceN1[Table],"&lt;60860")</f>
        <v>0</v>
      </c>
      <c r="H31" s="361" t="str">
        <f t="shared" si="0"/>
        <v/>
      </c>
    </row>
    <row r="32" spans="1:8" ht="17.25" customHeight="1">
      <c r="A32" s="1748" t="s">
        <v>2182</v>
      </c>
      <c r="B32" s="1748"/>
      <c r="C32" s="1748"/>
      <c r="D32" s="1748"/>
      <c r="E32" s="1748"/>
      <c r="F32" s="581">
        <f>-(SUMIFS(BalanceN[BS_Credit],BalanceN[Table],"&gt;=60190",BalanceN[Table],"&lt;60200")+SUMIFS(BalanceN[BS_Credit],BalanceN[Table],"&gt;=60290",BalanceN[Table],"&lt;60300")+SUMIFS(BalanceN[BS_Credit],BalanceN[Table],"&gt;=60490",BalanceN[Table],"&lt;60500")+SUMIFS(BalanceN[BS_Credit],BalanceN[Table],"&gt;=60590",BalanceN[Table],"&lt;60600")+SUMIFS(BalanceN[BS_Credit],BalanceN[Table],"&gt;=60890",BalanceN[Table],"&lt;60900"))</f>
        <v>0</v>
      </c>
      <c r="G32" s="581">
        <f>-(SUMIFS(BalanceN1[BS_Credit],BalanceN1[Table],"&gt;=60190",BalanceN1[Table],"&lt;60200")+SUMIFS(BalanceN1[BS_Credit],BalanceN1[Table],"&gt;=60290",BalanceN1[Table],"&lt;60300")+SUMIFS(BalanceN1[BS_Credit],BalanceN1[Table],"&gt;=60490",BalanceN1[Table],"&lt;60500")+SUMIFS(BalanceN1[BS_Credit],BalanceN1[Table],"&gt;=60590",BalanceN1[Table],"&lt;60600")+SUMIFS(BalanceN1[BS_Credit],BalanceN1[Table],"&gt;=60890",BalanceN1[Table],"&lt;60900"))</f>
        <v>0</v>
      </c>
      <c r="H32" s="361" t="str">
        <f t="shared" si="0"/>
        <v/>
      </c>
    </row>
    <row r="33" spans="1:8" ht="17.25" customHeight="1">
      <c r="A33" s="1857" t="s">
        <v>2183</v>
      </c>
      <c r="B33" s="1857"/>
      <c r="C33" s="1857"/>
      <c r="D33" s="1857"/>
      <c r="E33" s="1857"/>
      <c r="F33" s="362">
        <f>SUM(F19:F32)</f>
        <v>158266959</v>
      </c>
      <c r="G33" s="362">
        <f>SUM(G19:G32)</f>
        <v>161120517</v>
      </c>
      <c r="H33" s="363">
        <f t="shared" si="0"/>
        <v>-1.7710705334938816E-2</v>
      </c>
    </row>
    <row r="34" spans="1:8" s="653" customFormat="1" ht="10.5">
      <c r="A34" s="793" t="s">
        <v>2184</v>
      </c>
      <c r="F34" s="653" t="str">
        <f>IF((F33+F18+F13)=(SUMIFS(BalanceN[BS_Debit],BalanceN[Table],"&gt;=60100",BalanceN[Table],"&lt;60300")+SUMIFS(BalanceN[BS_Debit],BalanceN[Table],"&gt;=60400",BalanceN[Table],"&lt;60900")-SUMIFS(BalanceN[BS_Credit],BalanceN[Table],"&gt;=60100",BalanceN[Table],"&lt;60300")+SUMIFS(BalanceN[BS_Credit],BalanceN[Table],"&gt;=60400",BalanceN[Table],"&lt;60900")),"","Veuillez vérifier les comptes 60")</f>
        <v/>
      </c>
      <c r="G34" s="653" t="str">
        <f>IF((G33+G18+G13)=(SUMIFS(BalanceN1[BS_Debit],BalanceN1[Table],"&gt;=60100",BalanceN1[Table],"&lt;60300")+SUMIFS(BalanceN1[BS_Debit],BalanceN1[Table],"&gt;=60400",BalanceN1[Table],"&lt;60900")-SUMIFS(BalanceN1[BS_Credit],BalanceN1[Table],"&gt;=60100",BalanceN1[Table],"&lt;60300")+SUMIFS(BalanceN1[BS_Credit],BalanceN1[Table],"&gt;=60400",BalanceN1[Table],"&lt;60900")),"","Veuillez vérifier les comptes 60")</f>
        <v/>
      </c>
    </row>
    <row r="35" spans="1:8" s="653" customFormat="1" ht="10.5">
      <c r="A35" s="818" t="s">
        <v>2149</v>
      </c>
    </row>
    <row r="36" spans="1:8" s="653" customFormat="1" ht="10.5">
      <c r="A36" s="798" t="s">
        <v>1761</v>
      </c>
    </row>
    <row r="37" spans="1:8" s="653" customFormat="1" ht="10.5">
      <c r="A37" s="819" t="s">
        <v>2087</v>
      </c>
    </row>
  </sheetData>
  <sheetProtection algorithmName="SHA-512" hashValue="vkVdjNwvGPLxdUEj+OiUhnY11z/tKHzFPSB/6f0DtOh8SmvMoBH6N71HVEo2CeOaoeUYFX066vWW3qTJwwpa5A==" saltValue="HPsn8gyKbT8QARshtPQGDw==" spinCount="100000" sheet="1" objects="1" scenarios="1" selectLockedCells="1"/>
  <mergeCells count="33">
    <mergeCell ref="A12:E12"/>
    <mergeCell ref="A1:H1"/>
    <mergeCell ref="G2:H2"/>
    <mergeCell ref="C3:H3"/>
    <mergeCell ref="B4:F4"/>
    <mergeCell ref="C5:D5"/>
    <mergeCell ref="C6:D6"/>
    <mergeCell ref="A7:H7"/>
    <mergeCell ref="A8:E8"/>
    <mergeCell ref="A9:E9"/>
    <mergeCell ref="A10:E10"/>
    <mergeCell ref="A11:E11"/>
    <mergeCell ref="A24:E24"/>
    <mergeCell ref="A13:E13"/>
    <mergeCell ref="A14:E14"/>
    <mergeCell ref="A15:E15"/>
    <mergeCell ref="A16:E16"/>
    <mergeCell ref="A17:E17"/>
    <mergeCell ref="A18:E18"/>
    <mergeCell ref="A19:E19"/>
    <mergeCell ref="A20:E20"/>
    <mergeCell ref="A21:E21"/>
    <mergeCell ref="A22:E22"/>
    <mergeCell ref="A23:E23"/>
    <mergeCell ref="A31:E31"/>
    <mergeCell ref="A32:E32"/>
    <mergeCell ref="A33:E33"/>
    <mergeCell ref="A25:E25"/>
    <mergeCell ref="A26:E26"/>
    <mergeCell ref="A27:E27"/>
    <mergeCell ref="A28:E28"/>
    <mergeCell ref="A29:E29"/>
    <mergeCell ref="A30:E30"/>
  </mergeCells>
  <conditionalFormatting sqref="F9:G33">
    <cfRule type="cellIs" dxfId="159" priority="1" operator="equal">
      <formula>0</formula>
    </cfRule>
  </conditionalFormatting>
  <dataValidations count="1">
    <dataValidation type="whole" allowBlank="1" showInputMessage="1" showErrorMessage="1" errorTitle="Attention!" error="Valeur numérique attendue" sqref="F9:G12 F14:G17 F19:G32" xr:uid="{33BEEF3B-756C-4DF6-ACF9-97D3CEC76619}">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D3B6-840E-48BD-A041-32D336A7EDF9}">
  <sheetPr codeName="Feuil49">
    <tabColor theme="9" tint="0.39997558519241921"/>
    <pageSetUpPr fitToPage="1"/>
  </sheetPr>
  <dimension ref="A1:H18"/>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6.41796875" style="103" customWidth="1"/>
    <col min="3" max="3" width="1.89453125" style="103" customWidth="1"/>
    <col min="4" max="4" width="14" style="103" customWidth="1"/>
    <col min="5" max="5" width="13.68359375" style="103" customWidth="1"/>
    <col min="6" max="7" width="15.68359375" style="103" customWidth="1"/>
    <col min="8" max="8" width="13.1015625" style="103" customWidth="1"/>
    <col min="9" max="16384" width="11.5234375" style="103"/>
  </cols>
  <sheetData>
    <row r="1" spans="1:8">
      <c r="A1" s="1276" t="str">
        <f>"- "&amp;Code!K49&amp;" -"</f>
        <v>- 28 -</v>
      </c>
      <c r="B1" s="1276"/>
      <c r="C1" s="1276"/>
      <c r="D1" s="1276"/>
      <c r="E1" s="1276"/>
      <c r="F1" s="1276"/>
      <c r="G1" s="1276"/>
      <c r="H1" s="1276"/>
    </row>
    <row r="2" spans="1:8" ht="24.9" customHeight="1">
      <c r="A2" s="576"/>
      <c r="B2" s="576"/>
      <c r="C2" s="576"/>
      <c r="D2" s="576"/>
      <c r="E2" s="576"/>
      <c r="F2" s="576"/>
      <c r="G2" s="1278" t="s">
        <v>2185</v>
      </c>
      <c r="H2" s="1765"/>
    </row>
    <row r="3" spans="1:8" s="626" customFormat="1" ht="15" customHeight="1">
      <c r="A3" s="317" t="s">
        <v>50</v>
      </c>
      <c r="B3" s="317"/>
      <c r="C3" s="1280" t="str">
        <f>'NOTE 21'!C3</f>
        <v>OHADA</v>
      </c>
      <c r="D3" s="1280"/>
      <c r="E3" s="1280"/>
      <c r="F3" s="1280"/>
      <c r="G3" s="1280"/>
      <c r="H3" s="1280"/>
    </row>
    <row r="4" spans="1:8" s="626" customFormat="1" ht="15" customHeight="1">
      <c r="A4" s="317" t="s">
        <v>51</v>
      </c>
      <c r="B4" s="1280" t="str">
        <f>'NOTE 21'!B4</f>
        <v/>
      </c>
      <c r="C4" s="1281"/>
      <c r="D4" s="1281"/>
      <c r="E4" s="1281"/>
      <c r="F4" s="1281"/>
      <c r="G4" s="627" t="s">
        <v>1021</v>
      </c>
      <c r="H4" s="630" t="str">
        <f>'NOTE 21'!H4</f>
        <v/>
      </c>
    </row>
    <row r="5" spans="1:8" s="626" customFormat="1" ht="15" customHeight="1">
      <c r="A5" s="317" t="s">
        <v>1597</v>
      </c>
      <c r="B5" s="317"/>
      <c r="C5" s="1281" t="str">
        <f>'NOTE 21'!C5</f>
        <v/>
      </c>
      <c r="D5" s="1281"/>
      <c r="E5" s="642" t="s">
        <v>54</v>
      </c>
      <c r="F5" s="647">
        <f>'NOTE 21'!F5</f>
        <v>0</v>
      </c>
      <c r="G5" s="627" t="s">
        <v>55</v>
      </c>
      <c r="H5" s="795">
        <f>'NOTE 21'!H5</f>
        <v>1</v>
      </c>
    </row>
    <row r="6" spans="1:8" s="626" customFormat="1" ht="15" customHeight="1">
      <c r="A6" s="317" t="s">
        <v>1533</v>
      </c>
      <c r="B6" s="317"/>
      <c r="C6" s="1275" t="str">
        <f>'NOTE 21'!C6</f>
        <v/>
      </c>
      <c r="D6" s="1275"/>
      <c r="E6" s="638"/>
      <c r="F6" s="630"/>
      <c r="G6" s="629"/>
      <c r="H6" s="630"/>
    </row>
    <row r="7" spans="1:8" ht="35.25" customHeight="1">
      <c r="A7" s="1273" t="s">
        <v>2186</v>
      </c>
      <c r="B7" s="1273"/>
      <c r="C7" s="1273"/>
      <c r="D7" s="1273"/>
      <c r="E7" s="1273"/>
      <c r="F7" s="1273"/>
      <c r="G7" s="1273"/>
      <c r="H7" s="1273"/>
    </row>
    <row r="8" spans="1:8" ht="33" customHeight="1">
      <c r="A8" s="1643" t="s">
        <v>1692</v>
      </c>
      <c r="B8" s="1643"/>
      <c r="C8" s="1643"/>
      <c r="D8" s="1643"/>
      <c r="E8" s="1643"/>
      <c r="F8" s="797" t="s">
        <v>1693</v>
      </c>
      <c r="G8" s="797" t="s">
        <v>1694</v>
      </c>
      <c r="H8" s="797" t="s">
        <v>1731</v>
      </c>
    </row>
    <row r="9" spans="1:8" ht="23.25" customHeight="1">
      <c r="A9" s="1748" t="s">
        <v>2187</v>
      </c>
      <c r="B9" s="1748"/>
      <c r="C9" s="1748"/>
      <c r="D9" s="1748"/>
      <c r="E9" s="1748"/>
      <c r="F9" s="581">
        <f>SUMIFS(BalanceN[BS_Debit],BalanceN[Table],"&gt;=61200",BalanceN[Table],"&lt;61300")</f>
        <v>323526071</v>
      </c>
      <c r="G9" s="581">
        <f>SUMIFS(BalanceN1[BS_Debit],BalanceN1[Table],"&gt;=61200",BalanceN1[Table],"&lt;61300")</f>
        <v>327994361</v>
      </c>
      <c r="H9" s="361">
        <f>IF(G9,(F9-G9)/G9,IF(ISBLANK(G9),"",IF(F9,IF( F9 &gt; 0,1,-1),"")))</f>
        <v>-1.3623069574662597E-2</v>
      </c>
    </row>
    <row r="10" spans="1:8" ht="23.25" customHeight="1">
      <c r="A10" s="1748" t="s">
        <v>2188</v>
      </c>
      <c r="B10" s="1748"/>
      <c r="C10" s="1748"/>
      <c r="D10" s="1748"/>
      <c r="E10" s="1748"/>
      <c r="F10" s="581">
        <f>SUMIFS(BalanceN[BS_Debit],BalanceN[Table],"&gt;=61300",BalanceN[Table],"&lt;61400")</f>
        <v>0</v>
      </c>
      <c r="G10" s="581">
        <f>SUMIFS(BalanceN1[BS_Debit],BalanceN1[Table],"&gt;=61300",BalanceN1[Table],"&lt;61400")</f>
        <v>0</v>
      </c>
      <c r="H10" s="361" t="str">
        <f t="shared" ref="H10:H16" si="0">IF(G10,(F10-G10)/G10,IF(ISBLANK(G10),"",IF(F10,IF( F10 &gt; 0,1,-1),"")))</f>
        <v/>
      </c>
    </row>
    <row r="11" spans="1:8" ht="23.25" customHeight="1">
      <c r="A11" s="1748" t="s">
        <v>2189</v>
      </c>
      <c r="B11" s="1748"/>
      <c r="C11" s="1748"/>
      <c r="D11" s="1748"/>
      <c r="E11" s="1748"/>
      <c r="F11" s="581">
        <f>SUMIFS(BalanceN[BS_Debit],BalanceN[Table],"&gt;=61400",BalanceN[Table],"&lt;61500")</f>
        <v>0</v>
      </c>
      <c r="G11" s="581">
        <f>SUMIFS(BalanceN1[BS_Debit],BalanceN1[Table],"&gt;=61400",BalanceN1[Table],"&lt;61500")</f>
        <v>0</v>
      </c>
      <c r="H11" s="361" t="str">
        <f t="shared" si="0"/>
        <v/>
      </c>
    </row>
    <row r="12" spans="1:8" ht="23.25" customHeight="1">
      <c r="A12" s="1748" t="s">
        <v>2190</v>
      </c>
      <c r="B12" s="1748"/>
      <c r="C12" s="1748"/>
      <c r="D12" s="1748"/>
      <c r="E12" s="1748"/>
      <c r="F12" s="581">
        <f>SUMIFS(BalanceN[BS_Debit],BalanceN[Table],"&gt;=61600",BalanceN[Table],"&lt;61700")</f>
        <v>0</v>
      </c>
      <c r="G12" s="581">
        <f>SUMIFS(BalanceN1[BS_Debit],BalanceN1[Table],"&gt;=61600",BalanceN1[Table],"&lt;61700")</f>
        <v>86870</v>
      </c>
      <c r="H12" s="361">
        <f t="shared" si="0"/>
        <v>-1</v>
      </c>
    </row>
    <row r="13" spans="1:8" ht="23.25" customHeight="1">
      <c r="A13" s="1748" t="s">
        <v>2191</v>
      </c>
      <c r="B13" s="1748"/>
      <c r="C13" s="1748"/>
      <c r="D13" s="1748"/>
      <c r="E13" s="1748"/>
      <c r="F13" s="581">
        <f>SUMIFS(BalanceN[BS_Debit],BalanceN[Table],"&gt;=61810",BalanceN[Table],"&lt;61820")</f>
        <v>3958126</v>
      </c>
      <c r="G13" s="581">
        <f>SUMIFS(BalanceN1[BS_Debit],BalanceN1[Table],"&gt;=61810",BalanceN1[Table],"&lt;61820")</f>
        <v>306500</v>
      </c>
      <c r="H13" s="361">
        <f t="shared" si="0"/>
        <v>11.91395106035889</v>
      </c>
    </row>
    <row r="14" spans="1:8" ht="23.25" customHeight="1">
      <c r="A14" s="1748" t="s">
        <v>2192</v>
      </c>
      <c r="B14" s="1748"/>
      <c r="C14" s="1748"/>
      <c r="D14" s="1748"/>
      <c r="E14" s="1748"/>
      <c r="F14" s="581">
        <f>SUMIFS(BalanceN[BS_Debit],BalanceN[Table],"&gt;=61820",BalanceN[Table],"&lt;61830")</f>
        <v>0</v>
      </c>
      <c r="G14" s="581">
        <f>SUMIFS(BalanceN1[BS_Debit],BalanceN1[Table],"&gt;=61820",BalanceN1[Table],"&lt;61830")</f>
        <v>0</v>
      </c>
      <c r="H14" s="361" t="str">
        <f t="shared" si="0"/>
        <v/>
      </c>
    </row>
    <row r="15" spans="1:8" ht="23.25" customHeight="1">
      <c r="A15" s="1748" t="s">
        <v>2193</v>
      </c>
      <c r="B15" s="1748"/>
      <c r="C15" s="1748"/>
      <c r="D15" s="1748"/>
      <c r="E15" s="1748"/>
      <c r="F15" s="581">
        <f>SUMIFS(BalanceN[BS_Debit],BalanceN[Table],"&gt;=61830",BalanceN[Table],"&lt;61840")</f>
        <v>1662475</v>
      </c>
      <c r="G15" s="581">
        <f>SUMIFS(BalanceN1[BS_Debit],BalanceN1[Table],"&gt;=61830",BalanceN1[Table],"&lt;61840")</f>
        <v>685825</v>
      </c>
      <c r="H15" s="361">
        <f t="shared" si="0"/>
        <v>1.4240513250464768</v>
      </c>
    </row>
    <row r="16" spans="1:8" ht="23.25" customHeight="1">
      <c r="A16" s="1868" t="s">
        <v>1578</v>
      </c>
      <c r="B16" s="1868"/>
      <c r="C16" s="1868"/>
      <c r="D16" s="1868"/>
      <c r="E16" s="1868"/>
      <c r="F16" s="580">
        <f>SUM(F9:F15)</f>
        <v>329146672</v>
      </c>
      <c r="G16" s="580">
        <f>SUM(G9:G15)</f>
        <v>329073556</v>
      </c>
      <c r="H16" s="363">
        <f t="shared" si="0"/>
        <v>2.2218740663561553E-4</v>
      </c>
    </row>
    <row r="17" spans="1:7" s="653" customFormat="1" ht="14.25" customHeight="1">
      <c r="A17" s="798" t="s">
        <v>1761</v>
      </c>
      <c r="F17" s="653" t="str">
        <f>IF(F16=SUMIFS(BalanceN[BS_Debit],BalanceN[Table],"&gt;=61000",BalanceN[Table],"&lt;62000"),"","Veuillez vérifier les comptes 62")</f>
        <v/>
      </c>
      <c r="G17" s="653" t="str">
        <f>IF(G16=SUMIFS(BalanceN1[BS_Debit],BalanceN1[Table],"&gt;=61000",BalanceN1[Table],"&lt;62000"),"","Veuillez vérifier les comptes 62")</f>
        <v/>
      </c>
    </row>
    <row r="18" spans="1:7" s="653" customFormat="1" ht="10.5">
      <c r="A18" s="800" t="s">
        <v>2110</v>
      </c>
    </row>
  </sheetData>
  <sheetProtection algorithmName="SHA-512" hashValue="tNasmRMgOp6AR+4l390H7qJ9nCLSomVSiNdJF3xMeYu9LgtcHihH8DZ/qGnJNjyRab3D5a+kVrgH9+WJvSugmw==" saltValue="dQdyZsrkDHPMmaF0SRY33Q==" spinCount="100000" sheet="1" objects="1" scenarios="1" selectLockedCells="1"/>
  <mergeCells count="16">
    <mergeCell ref="C6:D6"/>
    <mergeCell ref="A1:H1"/>
    <mergeCell ref="G2:H2"/>
    <mergeCell ref="C3:H3"/>
    <mergeCell ref="B4:F4"/>
    <mergeCell ref="C5:D5"/>
    <mergeCell ref="A13:E13"/>
    <mergeCell ref="A14:E14"/>
    <mergeCell ref="A15:E15"/>
    <mergeCell ref="A16:E16"/>
    <mergeCell ref="A7:H7"/>
    <mergeCell ref="A8:E8"/>
    <mergeCell ref="A9:E9"/>
    <mergeCell ref="A10:E10"/>
    <mergeCell ref="A11:E11"/>
    <mergeCell ref="A12:E12"/>
  </mergeCells>
  <conditionalFormatting sqref="F9:G16">
    <cfRule type="cellIs" dxfId="158" priority="1" operator="equal">
      <formula>0</formula>
    </cfRule>
  </conditionalFormatting>
  <dataValidations count="1">
    <dataValidation type="whole" allowBlank="1" showInputMessage="1" showErrorMessage="1" errorTitle="Attention!" error="Valeur numérique attendue" sqref="F9:G15" xr:uid="{67725810-3EC0-4377-ADC0-AB115567D208}">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45ADE-62E7-45CB-9B0B-DDD04EBE987A}">
  <sheetPr codeName="Feuil50">
    <tabColor theme="9" tint="0.39997558519241921"/>
    <pageSetUpPr fitToPage="1"/>
  </sheetPr>
  <dimension ref="A1:H26"/>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6.41796875" style="103" customWidth="1"/>
    <col min="3" max="3" width="2.41796875" style="103" customWidth="1"/>
    <col min="4" max="4" width="11.3125" style="103" customWidth="1"/>
    <col min="5" max="5" width="13.89453125" style="103" customWidth="1"/>
    <col min="6" max="7" width="15.68359375" style="103" customWidth="1"/>
    <col min="8" max="8" width="12.41796875" style="103" customWidth="1"/>
    <col min="9" max="16384" width="11.5234375" style="103"/>
  </cols>
  <sheetData>
    <row r="1" spans="1:8">
      <c r="A1" s="1276" t="str">
        <f>"- "&amp;Code!K50&amp;" -"</f>
        <v>- 29 -</v>
      </c>
      <c r="B1" s="1276"/>
      <c r="C1" s="1276"/>
      <c r="D1" s="1276"/>
      <c r="E1" s="1276"/>
      <c r="F1" s="1276"/>
      <c r="G1" s="1276"/>
      <c r="H1" s="1276"/>
    </row>
    <row r="2" spans="1:8" ht="24.9" customHeight="1">
      <c r="A2" s="576"/>
      <c r="B2" s="576"/>
      <c r="C2" s="576"/>
      <c r="D2" s="576"/>
      <c r="E2" s="576"/>
      <c r="F2" s="576"/>
      <c r="G2" s="1278" t="s">
        <v>2194</v>
      </c>
      <c r="H2" s="1765"/>
    </row>
    <row r="3" spans="1:8" s="626" customFormat="1" ht="15" customHeight="1">
      <c r="A3" s="317" t="s">
        <v>50</v>
      </c>
      <c r="B3" s="317"/>
      <c r="C3" s="1280" t="str">
        <f>'NOTE 21'!C3</f>
        <v>OHADA</v>
      </c>
      <c r="D3" s="1280"/>
      <c r="E3" s="1280"/>
      <c r="F3" s="1280"/>
      <c r="G3" s="1280"/>
      <c r="H3" s="1280"/>
    </row>
    <row r="4" spans="1:8" s="626" customFormat="1" ht="15" customHeight="1">
      <c r="A4" s="317" t="s">
        <v>51</v>
      </c>
      <c r="B4" s="1280" t="str">
        <f>'NOTE 21'!B4</f>
        <v/>
      </c>
      <c r="C4" s="1281"/>
      <c r="D4" s="1281"/>
      <c r="E4" s="1281"/>
      <c r="F4" s="1281"/>
      <c r="G4" s="627" t="s">
        <v>1021</v>
      </c>
      <c r="H4" s="630" t="str">
        <f>'NOTE 21'!H4</f>
        <v/>
      </c>
    </row>
    <row r="5" spans="1:8" s="626" customFormat="1" ht="15" customHeight="1">
      <c r="A5" s="317" t="s">
        <v>1597</v>
      </c>
      <c r="B5" s="317"/>
      <c r="C5" s="1281" t="str">
        <f>'NOTE 21'!C5</f>
        <v/>
      </c>
      <c r="D5" s="1281"/>
      <c r="E5" s="642" t="s">
        <v>54</v>
      </c>
      <c r="F5" s="647">
        <f>'NOTE 21'!F5</f>
        <v>0</v>
      </c>
      <c r="G5" s="627" t="s">
        <v>55</v>
      </c>
      <c r="H5" s="795">
        <f>'NOTE 21'!H5</f>
        <v>1</v>
      </c>
    </row>
    <row r="6" spans="1:8" s="626" customFormat="1" ht="15" customHeight="1">
      <c r="A6" s="748" t="s">
        <v>56</v>
      </c>
      <c r="B6" s="317"/>
      <c r="C6" s="1275" t="str">
        <f>'NOTE 21'!C6</f>
        <v/>
      </c>
      <c r="D6" s="1275"/>
      <c r="E6" s="638"/>
      <c r="F6" s="630"/>
      <c r="G6" s="629"/>
      <c r="H6" s="630"/>
    </row>
    <row r="7" spans="1:8" ht="35.25" customHeight="1">
      <c r="A7" s="1273" t="s">
        <v>2195</v>
      </c>
      <c r="B7" s="1273"/>
      <c r="C7" s="1273"/>
      <c r="D7" s="1273"/>
      <c r="E7" s="1273"/>
      <c r="F7" s="1273"/>
      <c r="G7" s="1273"/>
      <c r="H7" s="1273"/>
    </row>
    <row r="8" spans="1:8" ht="33" customHeight="1">
      <c r="A8" s="1643" t="s">
        <v>1692</v>
      </c>
      <c r="B8" s="1643"/>
      <c r="C8" s="1643"/>
      <c r="D8" s="1643"/>
      <c r="E8" s="1643"/>
      <c r="F8" s="797" t="s">
        <v>1693</v>
      </c>
      <c r="G8" s="797" t="s">
        <v>1694</v>
      </c>
      <c r="H8" s="797" t="s">
        <v>1731</v>
      </c>
    </row>
    <row r="9" spans="1:8" ht="21" customHeight="1">
      <c r="A9" s="1748" t="s">
        <v>2196</v>
      </c>
      <c r="B9" s="1748"/>
      <c r="C9" s="1748"/>
      <c r="D9" s="1748"/>
      <c r="E9" s="1748"/>
      <c r="F9" s="581">
        <f>SUMIFS(BalanceN[BS_Debit],BalanceN[Table],"&gt;=62100",BalanceN[Table],"&lt;62200")</f>
        <v>0</v>
      </c>
      <c r="G9" s="581">
        <f>SUMIFS(BalanceN1[BS_Debit],BalanceN1[Table],"&gt;=62100",BalanceN1[Table],"&lt;62200")</f>
        <v>0</v>
      </c>
      <c r="H9" s="361" t="str">
        <f>IF(G9,(F9-G9)/G9,IF(ISBLANK(G9),"",IF(F9,IF( F9 &gt; 0,1,-1),"")))</f>
        <v/>
      </c>
    </row>
    <row r="10" spans="1:8" ht="21" customHeight="1">
      <c r="A10" s="1748" t="s">
        <v>2197</v>
      </c>
      <c r="B10" s="1748"/>
      <c r="C10" s="1748"/>
      <c r="D10" s="1748"/>
      <c r="E10" s="1748"/>
      <c r="F10" s="581">
        <f>SUMIFS(BalanceN[BS_Debit],BalanceN[Table],"&gt;=62200",BalanceN[Table],"&lt;62300")</f>
        <v>20807898</v>
      </c>
      <c r="G10" s="581">
        <f>SUMIFS(BalanceN1[BS_Debit],BalanceN1[Table],"&gt;=62200",BalanceN1[Table],"&lt;62300")</f>
        <v>23133759</v>
      </c>
      <c r="H10" s="361">
        <f t="shared" ref="H10:H24" si="0">IF(G10,(F10-G10)/G10,IF(ISBLANK(G10),"",IF(F10,IF( F10 &gt; 0,1,-1),"")))</f>
        <v>-0.10053969179846647</v>
      </c>
    </row>
    <row r="11" spans="1:8" ht="21" customHeight="1">
      <c r="A11" s="1748" t="s">
        <v>2198</v>
      </c>
      <c r="B11" s="1748"/>
      <c r="C11" s="1748"/>
      <c r="D11" s="1748"/>
      <c r="E11" s="1748"/>
      <c r="F11" s="581">
        <f>SUMIFS(BalanceN[BS_Debit],BalanceN[Table],"&gt;=62300",BalanceN[Table],"&lt;62400")</f>
        <v>0</v>
      </c>
      <c r="G11" s="581">
        <f>SUMIFS(BalanceN1[BS_Debit],BalanceN1[Table],"&gt;=62300",BalanceN1[Table],"&lt;62400")</f>
        <v>0</v>
      </c>
      <c r="H11" s="361" t="str">
        <f t="shared" si="0"/>
        <v/>
      </c>
    </row>
    <row r="12" spans="1:8" ht="21" customHeight="1">
      <c r="A12" s="1748" t="s">
        <v>2199</v>
      </c>
      <c r="B12" s="1748"/>
      <c r="C12" s="1748"/>
      <c r="D12" s="1748"/>
      <c r="E12" s="1748"/>
      <c r="F12" s="581">
        <f>SUMIFS(BalanceN[BS_Debit],BalanceN[Table],"&gt;=62400",BalanceN[Table],"&lt;62500")</f>
        <v>12018564</v>
      </c>
      <c r="G12" s="581">
        <f>SUMIFS(BalanceN1[BS_Debit],BalanceN1[Table],"&gt;=62400",BalanceN1[Table],"&lt;62500")</f>
        <v>9706145</v>
      </c>
      <c r="H12" s="361">
        <f t="shared" si="0"/>
        <v>0.2382427833089244</v>
      </c>
    </row>
    <row r="13" spans="1:8" ht="21" customHeight="1">
      <c r="A13" s="1748" t="s">
        <v>2200</v>
      </c>
      <c r="B13" s="1748"/>
      <c r="C13" s="1748"/>
      <c r="D13" s="1748"/>
      <c r="E13" s="1748"/>
      <c r="F13" s="581">
        <f>SUMIFS(BalanceN[BS_Debit],BalanceN[Table],"&gt;=62500",BalanceN[Table],"&lt;62600")</f>
        <v>2461776</v>
      </c>
      <c r="G13" s="581">
        <f>SUMIFS(BalanceN1[BS_Debit],BalanceN1[Table],"&gt;=62500",BalanceN1[Table],"&lt;62600")</f>
        <v>2440484</v>
      </c>
      <c r="H13" s="361">
        <f t="shared" si="0"/>
        <v>8.724498910871778E-3</v>
      </c>
    </row>
    <row r="14" spans="1:8" ht="21" customHeight="1">
      <c r="A14" s="1748" t="s">
        <v>2201</v>
      </c>
      <c r="B14" s="1748"/>
      <c r="C14" s="1748"/>
      <c r="D14" s="1748"/>
      <c r="E14" s="1748"/>
      <c r="F14" s="581">
        <f>SUMIFS(BalanceN[BS_Debit],BalanceN[Table],"&gt;=62600",BalanceN[Table],"&lt;62700")</f>
        <v>0</v>
      </c>
      <c r="G14" s="581">
        <f>SUMIFS(BalanceN1[BS_Debit],BalanceN1[Table],"&gt;=62600",BalanceN1[Table],"&lt;62700")</f>
        <v>30000</v>
      </c>
      <c r="H14" s="361">
        <f t="shared" si="0"/>
        <v>-1</v>
      </c>
    </row>
    <row r="15" spans="1:8" ht="21" customHeight="1">
      <c r="A15" s="1748" t="s">
        <v>2202</v>
      </c>
      <c r="B15" s="1748"/>
      <c r="C15" s="1748"/>
      <c r="D15" s="1748"/>
      <c r="E15" s="1748"/>
      <c r="F15" s="581">
        <f>SUMIFS(BalanceN[BS_Debit],BalanceN[Table],"&gt;=62700",BalanceN[Table],"&lt;62800")</f>
        <v>0</v>
      </c>
      <c r="G15" s="581">
        <f>SUMIFS(BalanceN1[BS_Debit],BalanceN1[Table],"&gt;=62700",BalanceN1[Table],"&lt;62800")</f>
        <v>200000</v>
      </c>
      <c r="H15" s="361">
        <f t="shared" si="0"/>
        <v>-1</v>
      </c>
    </row>
    <row r="16" spans="1:8" ht="21" customHeight="1">
      <c r="A16" s="1748" t="s">
        <v>2203</v>
      </c>
      <c r="B16" s="1748"/>
      <c r="C16" s="1748"/>
      <c r="D16" s="1748"/>
      <c r="E16" s="1748"/>
      <c r="F16" s="581">
        <f>SUMIFS(BalanceN[BS_Debit],BalanceN[Table],"&gt;=62800",BalanceN[Table],"&lt;62900")</f>
        <v>7316650</v>
      </c>
      <c r="G16" s="581">
        <f>SUMIFS(BalanceN1[BS_Debit],BalanceN1[Table],"&gt;=62800",BalanceN1[Table],"&lt;62900")</f>
        <v>5223250</v>
      </c>
      <c r="H16" s="361">
        <f t="shared" si="0"/>
        <v>0.40078495189776481</v>
      </c>
    </row>
    <row r="17" spans="1:8" ht="21" customHeight="1">
      <c r="A17" s="1748" t="s">
        <v>2204</v>
      </c>
      <c r="B17" s="1748"/>
      <c r="C17" s="1748"/>
      <c r="D17" s="1748"/>
      <c r="E17" s="1748"/>
      <c r="F17" s="581">
        <f>SUMIFS(BalanceN[BS_Debit],BalanceN[Table],"&gt;=63100",BalanceN[Table],"&lt;63200")</f>
        <v>8430066</v>
      </c>
      <c r="G17" s="581">
        <f>SUMIFS(BalanceN1[BS_Debit],BalanceN1[Table],"&gt;=63100",BalanceN1[Table],"&lt;63200")</f>
        <v>12728046</v>
      </c>
      <c r="H17" s="361">
        <f t="shared" si="0"/>
        <v>-0.33767791222627574</v>
      </c>
    </row>
    <row r="18" spans="1:8" ht="21" customHeight="1">
      <c r="A18" s="1748" t="s">
        <v>2205</v>
      </c>
      <c r="B18" s="1748"/>
      <c r="C18" s="1748"/>
      <c r="D18" s="1748"/>
      <c r="E18" s="1748"/>
      <c r="F18" s="581">
        <f>SUMIFS(BalanceN[BS_Debit],BalanceN[Table],"&gt;=63200",BalanceN[Table],"&lt;63300")</f>
        <v>21254575</v>
      </c>
      <c r="G18" s="581">
        <f>SUMIFS(BalanceN1[BS_Debit],BalanceN1[Table],"&gt;=63200",BalanceN1[Table],"&lt;63300")</f>
        <v>7017695</v>
      </c>
      <c r="H18" s="361">
        <f t="shared" si="0"/>
        <v>2.0287117066216185</v>
      </c>
    </row>
    <row r="19" spans="1:8" ht="21" customHeight="1">
      <c r="A19" s="1748" t="s">
        <v>2206</v>
      </c>
      <c r="B19" s="1748"/>
      <c r="C19" s="1748"/>
      <c r="D19" s="1748"/>
      <c r="E19" s="1748"/>
      <c r="F19" s="581">
        <f>SUMIFS(BalanceN[BS_Debit],BalanceN[Table],"&gt;=63300",BalanceN[Table],"&lt;63400")</f>
        <v>0</v>
      </c>
      <c r="G19" s="581">
        <f>SUMIFS(BalanceN1[BS_Debit],BalanceN1[Table],"&gt;=63300",BalanceN1[Table],"&lt;63400")</f>
        <v>0</v>
      </c>
      <c r="H19" s="361" t="str">
        <f t="shared" si="0"/>
        <v/>
      </c>
    </row>
    <row r="20" spans="1:8" ht="25.5" customHeight="1">
      <c r="A20" s="1748" t="s">
        <v>2207</v>
      </c>
      <c r="B20" s="1748"/>
      <c r="C20" s="1748"/>
      <c r="D20" s="1748"/>
      <c r="E20" s="1748"/>
      <c r="F20" s="581">
        <f>SUMIFS(BalanceN[BS_Debit],BalanceN[Table],"&gt;=63400",BalanceN[Table],"&lt;63500")</f>
        <v>48000</v>
      </c>
      <c r="G20" s="581">
        <f>SUMIFS(BalanceN1[BS_Debit],BalanceN1[Table],"&gt;=63400",BalanceN1[Table],"&lt;63500")</f>
        <v>0</v>
      </c>
      <c r="H20" s="361">
        <f t="shared" si="0"/>
        <v>1</v>
      </c>
    </row>
    <row r="21" spans="1:8" ht="21" customHeight="1">
      <c r="A21" s="1748" t="s">
        <v>2208</v>
      </c>
      <c r="B21" s="1748"/>
      <c r="C21" s="1748"/>
      <c r="D21" s="1748"/>
      <c r="E21" s="1748"/>
      <c r="F21" s="581">
        <f>SUMIFS(BalanceN[BS_Debit],BalanceN[Table],"&gt;=63500",BalanceN[Table],"&lt;63600")</f>
        <v>200000</v>
      </c>
      <c r="G21" s="581">
        <f>SUMIFS(BalanceN1[BS_Debit],BalanceN1[Table],"&gt;=63500",BalanceN1[Table],"&lt;63600")</f>
        <v>290000</v>
      </c>
      <c r="H21" s="361">
        <f t="shared" si="0"/>
        <v>-0.31034482758620691</v>
      </c>
    </row>
    <row r="22" spans="1:8" ht="21" customHeight="1">
      <c r="A22" s="1748" t="s">
        <v>2209</v>
      </c>
      <c r="B22" s="1748"/>
      <c r="C22" s="1748"/>
      <c r="D22" s="1748"/>
      <c r="E22" s="1748"/>
      <c r="F22" s="581">
        <f>SUMIFS(BalanceN[BS_Debit],BalanceN[Table],"&gt;=63700",BalanceN[Table],"&lt;63800")</f>
        <v>0</v>
      </c>
      <c r="G22" s="581">
        <f>SUMIFS(BalanceN1[BS_Debit],BalanceN1[Table],"&gt;=63700",BalanceN1[Table],"&lt;63800")</f>
        <v>0</v>
      </c>
      <c r="H22" s="361"/>
    </row>
    <row r="23" spans="1:8" ht="21" customHeight="1">
      <c r="A23" s="1748" t="s">
        <v>2210</v>
      </c>
      <c r="B23" s="1748"/>
      <c r="C23" s="1748"/>
      <c r="D23" s="1748"/>
      <c r="E23" s="1748"/>
      <c r="F23" s="581">
        <f>SUMIFS(BalanceN[BS_Debit],BalanceN[Table],"&gt;=63800",BalanceN[Table],"&lt;63900")</f>
        <v>61800</v>
      </c>
      <c r="G23" s="581">
        <f>SUMIFS(BalanceN1[BS_Debit],BalanceN1[Table],"&gt;=63800",BalanceN1[Table],"&lt;63900")</f>
        <v>18000</v>
      </c>
      <c r="H23" s="361">
        <f t="shared" si="0"/>
        <v>2.4333333333333331</v>
      </c>
    </row>
    <row r="24" spans="1:8" ht="21" customHeight="1">
      <c r="A24" s="1857" t="s">
        <v>1578</v>
      </c>
      <c r="B24" s="1857"/>
      <c r="C24" s="1857"/>
      <c r="D24" s="1857"/>
      <c r="E24" s="1857"/>
      <c r="F24" s="362">
        <f>SUM(F9:F23)</f>
        <v>72599329</v>
      </c>
      <c r="G24" s="362">
        <f>SUM(G9:G23)</f>
        <v>60787379</v>
      </c>
      <c r="H24" s="363">
        <f t="shared" si="0"/>
        <v>0.1943158299356845</v>
      </c>
    </row>
    <row r="25" spans="1:8" s="653" customFormat="1" ht="12.75" customHeight="1">
      <c r="A25" s="798" t="s">
        <v>1761</v>
      </c>
      <c r="F25" s="653" t="str">
        <f>IF(F24=SUMIFS(BalanceN[BS_Debit],BalanceN[Table],"&gt;=62000",BalanceN[Table],"&lt;64000"),"","Veuillez vérifier les comptes 62 et 63")</f>
        <v/>
      </c>
      <c r="G25" s="653" t="str">
        <f>IF(G24=SUMIFS(BalanceN1[BS_Debit],BalanceN1[Table],"&gt;=62000",BalanceN1[Table],"&lt;64000"),"","Veuillez vérifier les comptes 62 et 63")</f>
        <v/>
      </c>
    </row>
    <row r="26" spans="1:8" s="653" customFormat="1" ht="10.5">
      <c r="A26" s="817" t="s">
        <v>2087</v>
      </c>
    </row>
  </sheetData>
  <sheetProtection algorithmName="SHA-512" hashValue="l36zuIjfjPi9asorLhglTt7koNcbE+bBO6d+CiM24KELjDUgVIVbMjKkrc+1z7R6CvN6YH8sLHG8LeC5cBcRUw==" saltValue="XPUTS8LBHcYGs+nYGJf/ng==" spinCount="100000" sheet="1" objects="1" scenarios="1" selectLockedCells="1"/>
  <mergeCells count="24">
    <mergeCell ref="A12:E12"/>
    <mergeCell ref="A1:H1"/>
    <mergeCell ref="G2:H2"/>
    <mergeCell ref="C3:H3"/>
    <mergeCell ref="B4:F4"/>
    <mergeCell ref="C5:D5"/>
    <mergeCell ref="C6:D6"/>
    <mergeCell ref="A7:H7"/>
    <mergeCell ref="A8:E8"/>
    <mergeCell ref="A9:E9"/>
    <mergeCell ref="A10:E10"/>
    <mergeCell ref="A11:E11"/>
    <mergeCell ref="A24:E24"/>
    <mergeCell ref="A13:E13"/>
    <mergeCell ref="A14:E14"/>
    <mergeCell ref="A15:E15"/>
    <mergeCell ref="A16:E16"/>
    <mergeCell ref="A17:E17"/>
    <mergeCell ref="A18:E18"/>
    <mergeCell ref="A19:E19"/>
    <mergeCell ref="A20:E20"/>
    <mergeCell ref="A21:E21"/>
    <mergeCell ref="A22:E22"/>
    <mergeCell ref="A23:E23"/>
  </mergeCells>
  <conditionalFormatting sqref="F9:G24">
    <cfRule type="cellIs" dxfId="157" priority="1" operator="equal">
      <formula>0</formula>
    </cfRule>
  </conditionalFormatting>
  <dataValidations count="1">
    <dataValidation type="whole" allowBlank="1" showInputMessage="1" showErrorMessage="1" errorTitle="Attention!" error="Valeur numérique attendue" sqref="F9:G23" xr:uid="{E0753259-1E92-42EE-8556-08BA07E1EE3B}">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0B798-8D6E-4109-94CC-B2F6950F464B}">
  <sheetPr codeName="Feuil51">
    <tabColor theme="9" tint="0.39997558519241921"/>
    <pageSetUpPr fitToPage="1"/>
  </sheetPr>
  <dimension ref="A1:H17"/>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7" style="103" customWidth="1"/>
    <col min="3" max="3" width="11.5234375" style="103"/>
    <col min="4" max="4" width="3.1015625" style="103" customWidth="1"/>
    <col min="5" max="5" width="13.68359375" style="103" customWidth="1"/>
    <col min="6" max="7" width="15.68359375" style="103" customWidth="1"/>
    <col min="8" max="8" width="12.41796875" style="103" customWidth="1"/>
    <col min="9" max="16384" width="11.5234375" style="103"/>
  </cols>
  <sheetData>
    <row r="1" spans="1:8">
      <c r="A1" s="1276" t="str">
        <f>"- "&amp;Code!K51&amp;" -"</f>
        <v>- 30 -</v>
      </c>
      <c r="B1" s="1276"/>
      <c r="C1" s="1276"/>
      <c r="D1" s="1276"/>
      <c r="E1" s="1276"/>
      <c r="F1" s="1276"/>
      <c r="G1" s="1276"/>
      <c r="H1" s="1276"/>
    </row>
    <row r="2" spans="1:8" ht="24.9" customHeight="1">
      <c r="A2" s="576"/>
      <c r="B2" s="576"/>
      <c r="C2" s="576"/>
      <c r="D2" s="576"/>
      <c r="E2" s="576"/>
      <c r="F2" s="576"/>
      <c r="G2" s="1278" t="s">
        <v>2211</v>
      </c>
      <c r="H2" s="1765"/>
    </row>
    <row r="3" spans="1:8" s="626" customFormat="1" ht="15" customHeight="1">
      <c r="A3" s="317" t="s">
        <v>50</v>
      </c>
      <c r="B3" s="317"/>
      <c r="C3" s="1280" t="str">
        <f>'NOTE 21'!C3</f>
        <v>OHADA</v>
      </c>
      <c r="D3" s="1280"/>
      <c r="E3" s="1280"/>
      <c r="F3" s="1280"/>
      <c r="G3" s="1280"/>
      <c r="H3" s="1280"/>
    </row>
    <row r="4" spans="1:8" s="626" customFormat="1" ht="15" customHeight="1">
      <c r="A4" s="317" t="s">
        <v>51</v>
      </c>
      <c r="B4" s="1280" t="str">
        <f>'NOTE 21'!B4</f>
        <v/>
      </c>
      <c r="C4" s="1281"/>
      <c r="D4" s="1281"/>
      <c r="E4" s="1281"/>
      <c r="F4" s="1281"/>
      <c r="G4" s="627" t="s">
        <v>1021</v>
      </c>
      <c r="H4" s="630" t="str">
        <f>'NOTE 21'!H4</f>
        <v/>
      </c>
    </row>
    <row r="5" spans="1:8" s="626" customFormat="1" ht="15" customHeight="1">
      <c r="A5" s="317" t="s">
        <v>1597</v>
      </c>
      <c r="B5" s="317"/>
      <c r="C5" s="1281" t="str">
        <f>'NOTE 21'!C5</f>
        <v/>
      </c>
      <c r="D5" s="1281"/>
      <c r="E5" s="642" t="s">
        <v>54</v>
      </c>
      <c r="F5" s="647">
        <f>'NOTE 21'!F5</f>
        <v>0</v>
      </c>
      <c r="G5" s="627" t="s">
        <v>55</v>
      </c>
      <c r="H5" s="795">
        <f>'NOTE 21'!H5</f>
        <v>1</v>
      </c>
    </row>
    <row r="6" spans="1:8" s="626" customFormat="1" ht="15" customHeight="1">
      <c r="A6" s="748" t="s">
        <v>56</v>
      </c>
      <c r="B6" s="317"/>
      <c r="C6" s="1275" t="str">
        <f>'NOTE 21'!C6</f>
        <v/>
      </c>
      <c r="D6" s="1275"/>
      <c r="E6" s="638"/>
      <c r="F6" s="630"/>
      <c r="G6" s="629"/>
      <c r="H6" s="630"/>
    </row>
    <row r="7" spans="1:8" ht="35.25" customHeight="1">
      <c r="A7" s="1273" t="s">
        <v>2212</v>
      </c>
      <c r="B7" s="1273"/>
      <c r="C7" s="1273"/>
      <c r="D7" s="1273"/>
      <c r="E7" s="1273"/>
      <c r="F7" s="1273"/>
      <c r="G7" s="1273"/>
      <c r="H7" s="1273"/>
    </row>
    <row r="8" spans="1:8" ht="33" customHeight="1">
      <c r="A8" s="1643" t="s">
        <v>1692</v>
      </c>
      <c r="B8" s="1643"/>
      <c r="C8" s="1643"/>
      <c r="D8" s="1643"/>
      <c r="E8" s="1643"/>
      <c r="F8" s="797" t="s">
        <v>1693</v>
      </c>
      <c r="G8" s="797" t="s">
        <v>1694</v>
      </c>
      <c r="H8" s="797" t="s">
        <v>1731</v>
      </c>
    </row>
    <row r="9" spans="1:8" ht="21" customHeight="1">
      <c r="A9" s="1748" t="s">
        <v>2213</v>
      </c>
      <c r="B9" s="1748"/>
      <c r="C9" s="1748"/>
      <c r="D9" s="1748"/>
      <c r="E9" s="1748"/>
      <c r="F9" s="581">
        <f>SUMIFS(BalanceN[BS_Debit],BalanceN[Table],"&gt;=64100",BalanceN[Table],"&lt;64200")</f>
        <v>0</v>
      </c>
      <c r="G9" s="581">
        <f>SUMIFS(BalanceN1[BS_Debit],BalanceN1[Table],"&gt;=64100",BalanceN1[Table],"&lt;64200")</f>
        <v>0</v>
      </c>
      <c r="H9" s="361" t="str">
        <f t="shared" ref="H9:H14" si="0">IF(G9,(F9-G9)/G9,IF(ISBLANK(G9),"",IF(F9,IF( F9 &gt; 0,1,-1),"")))</f>
        <v/>
      </c>
    </row>
    <row r="10" spans="1:8" ht="21" customHeight="1">
      <c r="A10" s="1748" t="s">
        <v>2214</v>
      </c>
      <c r="B10" s="1748"/>
      <c r="C10" s="1748"/>
      <c r="D10" s="1748"/>
      <c r="E10" s="1748"/>
      <c r="F10" s="581">
        <f>SUMIFS(BalanceN[BS_Debit],BalanceN[Table],"&gt;=64500",BalanceN[Table],"&lt;64600")</f>
        <v>0</v>
      </c>
      <c r="G10" s="581">
        <f>SUMIFS(BalanceN1[BS_Debit],BalanceN1[Table],"&gt;=64500",BalanceN1[Table],"&lt;64600")</f>
        <v>0</v>
      </c>
      <c r="H10" s="361" t="str">
        <f t="shared" si="0"/>
        <v/>
      </c>
    </row>
    <row r="11" spans="1:8" ht="21" customHeight="1">
      <c r="A11" s="1748" t="s">
        <v>2215</v>
      </c>
      <c r="B11" s="1748"/>
      <c r="C11" s="1748"/>
      <c r="D11" s="1748"/>
      <c r="E11" s="1748"/>
      <c r="F11" s="581">
        <f>SUMIFS(BalanceN[BS_Debit],BalanceN[Table],"&gt;=64600",BalanceN[Table],"&lt;64700")</f>
        <v>3045200</v>
      </c>
      <c r="G11" s="581">
        <f>SUMIFS(BalanceN1[BS_Debit],BalanceN1[Table],"&gt;=64600",BalanceN1[Table],"&lt;64700")</f>
        <v>35000</v>
      </c>
      <c r="H11" s="361">
        <f t="shared" si="0"/>
        <v>86.005714285714291</v>
      </c>
    </row>
    <row r="12" spans="1:8" ht="21" customHeight="1">
      <c r="A12" s="1748" t="s">
        <v>2216</v>
      </c>
      <c r="B12" s="1748"/>
      <c r="C12" s="1748"/>
      <c r="D12" s="1748"/>
      <c r="E12" s="1748"/>
      <c r="F12" s="581">
        <f>SUMIFS(BalanceN[BS_Debit],BalanceN[Table],"&gt;=64700",BalanceN[Table],"&lt;64800")</f>
        <v>90000</v>
      </c>
      <c r="G12" s="581">
        <f>SUMIFS(BalanceN1[BS_Debit],BalanceN1[Table],"&gt;=64700",BalanceN1[Table],"&lt;64800")</f>
        <v>75000</v>
      </c>
      <c r="H12" s="361">
        <f t="shared" si="0"/>
        <v>0.2</v>
      </c>
    </row>
    <row r="13" spans="1:8" ht="21" customHeight="1">
      <c r="A13" s="1748" t="s">
        <v>2217</v>
      </c>
      <c r="B13" s="1748"/>
      <c r="C13" s="1748"/>
      <c r="D13" s="1748"/>
      <c r="E13" s="1748"/>
      <c r="F13" s="581">
        <f>SUMIFS(BalanceN[BS_Debit],BalanceN[Table],"&gt;=64800",BalanceN[Table],"&lt;64900")</f>
        <v>0</v>
      </c>
      <c r="G13" s="581">
        <f>SUMIFS(BalanceN1[BS_Debit],BalanceN1[Table],"&gt;=64800",BalanceN1[Table],"&lt;64900")</f>
        <v>0</v>
      </c>
      <c r="H13" s="361" t="str">
        <f t="shared" si="0"/>
        <v/>
      </c>
    </row>
    <row r="14" spans="1:8" ht="21" customHeight="1">
      <c r="A14" s="1857" t="s">
        <v>1578</v>
      </c>
      <c r="B14" s="1857"/>
      <c r="C14" s="1857"/>
      <c r="D14" s="1857"/>
      <c r="E14" s="1857"/>
      <c r="F14" s="362">
        <f>SUM(F9:F13)</f>
        <v>3135200</v>
      </c>
      <c r="G14" s="362">
        <f>SUM(G9:G13)</f>
        <v>110000</v>
      </c>
      <c r="H14" s="363">
        <f t="shared" si="0"/>
        <v>27.50181818181818</v>
      </c>
    </row>
    <row r="15" spans="1:8" s="653" customFormat="1" ht="14.25" customHeight="1">
      <c r="A15" s="798" t="s">
        <v>1744</v>
      </c>
      <c r="F15" s="653" t="str">
        <f>IF(F14=SUMIFS(BalanceN[BS_Debit],BalanceN[Table],"&gt;=64000",BalanceN[Table],"&lt;65000"),"","Veuillez vérifier les comptes 64")</f>
        <v/>
      </c>
      <c r="G15" s="653" t="str">
        <f>IF(G14=SUMIFS(BalanceN1[BS_Debit],BalanceN1[Table],"&gt;=64000",BalanceN1[Table],"&lt;65000"),"","Veuillez vérifier les comptes 64")</f>
        <v/>
      </c>
    </row>
    <row r="16" spans="1:8" s="653" customFormat="1" ht="14.25" customHeight="1">
      <c r="A16" s="800" t="s">
        <v>2110</v>
      </c>
    </row>
    <row r="17" spans="1:1" s="653" customFormat="1" ht="14.25" customHeight="1">
      <c r="A17" s="800" t="s">
        <v>2218</v>
      </c>
    </row>
  </sheetData>
  <sheetProtection algorithmName="SHA-512" hashValue="y3dEvNZACtX+ncYwsvBI8x0IB096e2n1LED1ztKXX9wc0LsXGOXbLvOehwXRscCpTerFSCaWSsJy9+Tl/O7CIQ==" saltValue="ku1S9xEAQfogoyFAIlGAAg==" spinCount="100000" sheet="1" objects="1" scenarios="1" selectLockedCells="1"/>
  <mergeCells count="14">
    <mergeCell ref="C6:D6"/>
    <mergeCell ref="A1:H1"/>
    <mergeCell ref="G2:H2"/>
    <mergeCell ref="C3:H3"/>
    <mergeCell ref="B4:F4"/>
    <mergeCell ref="C5:D5"/>
    <mergeCell ref="A13:E13"/>
    <mergeCell ref="A14:E14"/>
    <mergeCell ref="A7:H7"/>
    <mergeCell ref="A8:E8"/>
    <mergeCell ref="A9:E9"/>
    <mergeCell ref="A10:E10"/>
    <mergeCell ref="A11:E11"/>
    <mergeCell ref="A12:E12"/>
  </mergeCells>
  <conditionalFormatting sqref="F9:G14">
    <cfRule type="cellIs" dxfId="156" priority="1" operator="equal">
      <formula>0</formula>
    </cfRule>
  </conditionalFormatting>
  <dataValidations count="1">
    <dataValidation type="whole" allowBlank="1" showInputMessage="1" showErrorMessage="1" errorTitle="Attention!" error="Valeur numérique attendue" sqref="F9:G13" xr:uid="{96816984-2C9C-4301-80EA-549C30ADFC33}">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6"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CAB1A-7B6C-40B6-AEFD-41B11E8F4038}">
  <sheetPr codeName="Feuil52">
    <tabColor theme="9" tint="0.39997558519241921"/>
    <pageSetUpPr fitToPage="1"/>
  </sheetPr>
  <dimension ref="A1:H23"/>
  <sheetViews>
    <sheetView showGridLines="0" showRowColHeaders="0" topLeftCell="A13" zoomScaleNormal="100" workbookViewId="0">
      <selection activeCell="W46" sqref="W46"/>
    </sheetView>
  </sheetViews>
  <sheetFormatPr baseColWidth="10" defaultColWidth="11.5234375" defaultRowHeight="14.4"/>
  <cols>
    <col min="1" max="1" width="11.5234375" style="103"/>
    <col min="2" max="2" width="17" style="103" customWidth="1"/>
    <col min="3" max="3" width="2.41796875" style="103" customWidth="1"/>
    <col min="4" max="4" width="11.3125" style="103" customWidth="1"/>
    <col min="5" max="5" width="13.89453125" style="103" customWidth="1"/>
    <col min="6" max="7" width="15.68359375" style="103" customWidth="1"/>
    <col min="8" max="8" width="12.41796875" style="103" customWidth="1"/>
    <col min="9" max="16384" width="11.5234375" style="103"/>
  </cols>
  <sheetData>
    <row r="1" spans="1:8">
      <c r="A1" s="1276" t="str">
        <f>"- "&amp;Code!K52&amp;" -"</f>
        <v>- 30 -</v>
      </c>
      <c r="B1" s="1276"/>
      <c r="C1" s="1276"/>
      <c r="D1" s="1276"/>
      <c r="E1" s="1276"/>
      <c r="F1" s="1276"/>
      <c r="G1" s="1276"/>
      <c r="H1" s="1276"/>
    </row>
    <row r="2" spans="1:8" ht="24.9" customHeight="1">
      <c r="A2" s="576"/>
      <c r="B2" s="576"/>
      <c r="C2" s="576"/>
      <c r="D2" s="576"/>
      <c r="E2" s="576"/>
      <c r="F2" s="576"/>
      <c r="G2" s="1278" t="s">
        <v>2219</v>
      </c>
      <c r="H2" s="1765"/>
    </row>
    <row r="3" spans="1:8" s="626" customFormat="1" ht="15" customHeight="1">
      <c r="A3" s="317" t="s">
        <v>50</v>
      </c>
      <c r="B3" s="317"/>
      <c r="C3" s="1280" t="str">
        <f>'NOTE 21'!C3</f>
        <v>OHADA</v>
      </c>
      <c r="D3" s="1280"/>
      <c r="E3" s="1280"/>
      <c r="F3" s="1280"/>
      <c r="G3" s="1280"/>
      <c r="H3" s="1280"/>
    </row>
    <row r="4" spans="1:8" s="626" customFormat="1" ht="15" customHeight="1">
      <c r="A4" s="317" t="s">
        <v>51</v>
      </c>
      <c r="B4" s="1280" t="str">
        <f>'NOTE 21'!B4</f>
        <v/>
      </c>
      <c r="C4" s="1281"/>
      <c r="D4" s="1281"/>
      <c r="E4" s="1281"/>
      <c r="F4" s="1281"/>
      <c r="G4" s="627" t="s">
        <v>1021</v>
      </c>
      <c r="H4" s="630" t="str">
        <f>'NOTE 21'!H4</f>
        <v/>
      </c>
    </row>
    <row r="5" spans="1:8" s="626" customFormat="1" ht="15" customHeight="1">
      <c r="A5" s="317" t="s">
        <v>1597</v>
      </c>
      <c r="B5" s="317"/>
      <c r="C5" s="1281" t="str">
        <f>'NOTE 21'!C5</f>
        <v/>
      </c>
      <c r="D5" s="1281"/>
      <c r="E5" s="642" t="s">
        <v>54</v>
      </c>
      <c r="F5" s="647">
        <f>'NOTE 21'!F5</f>
        <v>0</v>
      </c>
      <c r="G5" s="627" t="s">
        <v>55</v>
      </c>
      <c r="H5" s="795">
        <f>'NOTE 21'!H5</f>
        <v>1</v>
      </c>
    </row>
    <row r="6" spans="1:8" s="626" customFormat="1" ht="15" customHeight="1">
      <c r="A6" s="748" t="s">
        <v>56</v>
      </c>
      <c r="B6" s="317"/>
      <c r="C6" s="1275" t="str">
        <f>'NOTE 21'!C6</f>
        <v/>
      </c>
      <c r="D6" s="1275"/>
      <c r="E6" s="638"/>
      <c r="F6" s="630"/>
      <c r="G6" s="629"/>
      <c r="H6" s="630"/>
    </row>
    <row r="7" spans="1:8" ht="35.25" customHeight="1">
      <c r="A7" s="1273" t="s">
        <v>2220</v>
      </c>
      <c r="B7" s="1273"/>
      <c r="C7" s="1273"/>
      <c r="D7" s="1273"/>
      <c r="E7" s="1273"/>
      <c r="F7" s="1273"/>
      <c r="G7" s="1273"/>
      <c r="H7" s="1273"/>
    </row>
    <row r="8" spans="1:8" ht="33" customHeight="1">
      <c r="A8" s="1643" t="s">
        <v>1692</v>
      </c>
      <c r="B8" s="1643"/>
      <c r="C8" s="1643"/>
      <c r="D8" s="1643"/>
      <c r="E8" s="1643"/>
      <c r="F8" s="797" t="s">
        <v>1693</v>
      </c>
      <c r="G8" s="797" t="s">
        <v>1694</v>
      </c>
      <c r="H8" s="797" t="s">
        <v>1731</v>
      </c>
    </row>
    <row r="9" spans="1:8" ht="21" customHeight="1">
      <c r="A9" s="1749" t="s">
        <v>2221</v>
      </c>
      <c r="B9" s="1783"/>
      <c r="C9" s="1783"/>
      <c r="D9" s="1783"/>
      <c r="E9" s="1784"/>
      <c r="F9" s="581">
        <f>SUMIFS(BalanceN[BS_Debit],BalanceN[Table],"&gt;=65110",BalanceN[Table],"&lt;65120")</f>
        <v>4150956</v>
      </c>
      <c r="G9" s="581">
        <f>SUMIFS(BalanceN1[BS_Debit],BalanceN1[Table],"&gt;=65110",BalanceN1[Table],"&lt;65120")</f>
        <v>0</v>
      </c>
      <c r="H9" s="361">
        <f>IF(G9,(F9-G9)/G9,IF(ISBLANK(G9),"",IF(F9,IF( F9 &gt; 0,1,-1),"")))</f>
        <v>1</v>
      </c>
    </row>
    <row r="10" spans="1:8" ht="21" customHeight="1">
      <c r="A10" s="1749" t="s">
        <v>2222</v>
      </c>
      <c r="B10" s="1783"/>
      <c r="C10" s="1783"/>
      <c r="D10" s="1783"/>
      <c r="E10" s="1784"/>
      <c r="F10" s="581">
        <f>SUMIFS(BalanceN[BS_Debit],BalanceN[Table],"&gt;=65150",BalanceN[Table],"&lt;65160")</f>
        <v>0</v>
      </c>
      <c r="G10" s="581">
        <f>SUMIFS(BalanceN1[BS_Debit],BalanceN1[Table],"&gt;=65150",BalanceN1[Table],"&lt;65160")</f>
        <v>0</v>
      </c>
      <c r="H10" s="361" t="str">
        <f t="shared" ref="H10:H19" si="0">IF(G10,(F10-G10)/G10,IF(ISBLANK(G10),"",IF(F10,IF( F10 &gt; 0,1,-1),"")))</f>
        <v/>
      </c>
    </row>
    <row r="11" spans="1:8" ht="21" customHeight="1">
      <c r="A11" s="1749" t="s">
        <v>2223</v>
      </c>
      <c r="B11" s="1783"/>
      <c r="C11" s="1783"/>
      <c r="D11" s="1783"/>
      <c r="E11" s="1784"/>
      <c r="F11" s="581">
        <f>SUMIFS(BalanceN[BS_Debit],BalanceN[Table],"&gt;=65200",BalanceN[Table],"&lt;65300")</f>
        <v>0</v>
      </c>
      <c r="G11" s="581">
        <f>SUMIFS(BalanceN1[BS_Debit],BalanceN1[Table],"&gt;=65200",BalanceN1[Table],"&lt;65300")</f>
        <v>0</v>
      </c>
      <c r="H11" s="361" t="str">
        <f t="shared" si="0"/>
        <v/>
      </c>
    </row>
    <row r="12" spans="1:8" ht="21" customHeight="1">
      <c r="A12" s="1749" t="s">
        <v>2224</v>
      </c>
      <c r="B12" s="1783"/>
      <c r="C12" s="1783"/>
      <c r="D12" s="1783"/>
      <c r="E12" s="1784"/>
      <c r="F12" s="581">
        <f>SUMIFS(BalanceN[BS_Debit],BalanceN[Table],"&gt;=65400",BalanceN[Table],"&lt;65500")</f>
        <v>0</v>
      </c>
      <c r="G12" s="581">
        <f>SUMIFS(BalanceN1[BS_Debit],BalanceN1[Table],"&gt;=65400",BalanceN1[Table],"&lt;65500")</f>
        <v>0</v>
      </c>
      <c r="H12" s="361" t="str">
        <f t="shared" si="0"/>
        <v/>
      </c>
    </row>
    <row r="13" spans="1:8" ht="21" customHeight="1">
      <c r="A13" s="1745" t="s">
        <v>2225</v>
      </c>
      <c r="B13" s="1942"/>
      <c r="C13" s="1942"/>
      <c r="D13" s="1942"/>
      <c r="E13" s="1943"/>
      <c r="F13" s="581">
        <f>SUMIFS(BalanceN[BS_Debit],BalanceN[Table],"&gt;=65600",BalanceN[Table],"&lt;65700")</f>
        <v>0</v>
      </c>
      <c r="G13" s="581">
        <f>SUMIFS(BalanceN1[BS_Debit],BalanceN1[Table],"&gt;=65600",BalanceN1[Table],"&lt;65700")</f>
        <v>0</v>
      </c>
      <c r="H13" s="361" t="str">
        <f t="shared" si="0"/>
        <v/>
      </c>
    </row>
    <row r="14" spans="1:8" ht="21" customHeight="1">
      <c r="A14" s="1745" t="s">
        <v>2226</v>
      </c>
      <c r="B14" s="1942"/>
      <c r="C14" s="1942"/>
      <c r="D14" s="1942"/>
      <c r="E14" s="1943"/>
      <c r="F14" s="581">
        <f>SUMIFS(BalanceN[BS_Debit],BalanceN[Table],"&gt;=65700",BalanceN[Table],"&lt;65800")</f>
        <v>0</v>
      </c>
      <c r="G14" s="581">
        <f>SUMIFS(BalanceN1[BS_Debit],BalanceN1[Table],"&gt;=65700",BalanceN1[Table],"&lt;65800")</f>
        <v>0</v>
      </c>
      <c r="H14" s="361" t="str">
        <f t="shared" si="0"/>
        <v/>
      </c>
    </row>
    <row r="15" spans="1:8" ht="21" customHeight="1">
      <c r="A15" s="1749" t="s">
        <v>2227</v>
      </c>
      <c r="B15" s="1783"/>
      <c r="C15" s="1783"/>
      <c r="D15" s="1783"/>
      <c r="E15" s="1784"/>
      <c r="F15" s="581">
        <f>SUMIFS(BalanceN[BS_Debit],BalanceN[Table],"&gt;=65810",BalanceN[Table],"&lt;65820")</f>
        <v>0</v>
      </c>
      <c r="G15" s="581">
        <f>SUMIFS(BalanceN1[BS_Debit],BalanceN1[Table],"&gt;=65810",BalanceN1[Table],"&lt;65820")</f>
        <v>0</v>
      </c>
      <c r="H15" s="361" t="str">
        <f t="shared" si="0"/>
        <v/>
      </c>
    </row>
    <row r="16" spans="1:8" ht="21" customHeight="1">
      <c r="A16" s="1749" t="s">
        <v>2228</v>
      </c>
      <c r="B16" s="1783"/>
      <c r="C16" s="1783"/>
      <c r="D16" s="1783"/>
      <c r="E16" s="1784"/>
      <c r="F16" s="581">
        <f>SUMIFS(BalanceN[BS_Debit],BalanceN[Table],"&gt;=65820",BalanceN[Table],"&lt;65840")</f>
        <v>100000</v>
      </c>
      <c r="G16" s="581">
        <f>SUMIFS(BalanceN1[BS_Debit],BalanceN1[Table],"&gt;=65820",BalanceN1[Table],"&lt;65840")</f>
        <v>0</v>
      </c>
      <c r="H16" s="361">
        <f t="shared" si="0"/>
        <v>1</v>
      </c>
    </row>
    <row r="17" spans="1:8" ht="21" customHeight="1">
      <c r="A17" s="1749" t="s">
        <v>2229</v>
      </c>
      <c r="B17" s="1783"/>
      <c r="C17" s="1783"/>
      <c r="D17" s="1783"/>
      <c r="E17" s="1784"/>
      <c r="F17" s="581">
        <f>SUMIFS(BalanceN[BS_Debit],BalanceN[Table],"&gt;=65880",BalanceN[Table],"&lt;65900")+SUMIFS(BalanceN[BS_Debit],BalanceN[Table],"&gt;=65600",BalanceN[Table],"&lt;65800")</f>
        <v>12973</v>
      </c>
      <c r="G17" s="581">
        <f>SUMIFS(BalanceN1[BS_Debit],BalanceN1[Table],"&gt;=65880",BalanceN1[Table],"&lt;65900")+SUMIFS(BalanceN1[BS_Debit],BalanceN1[Table],"&gt;=65600",BalanceN1[Table],"&lt;65800")</f>
        <v>67670</v>
      </c>
      <c r="H17" s="361">
        <f t="shared" si="0"/>
        <v>-0.80829023200827543</v>
      </c>
    </row>
    <row r="18" spans="1:8" ht="28.5" customHeight="1">
      <c r="A18" s="1749" t="s">
        <v>2230</v>
      </c>
      <c r="B18" s="1783"/>
      <c r="C18" s="1783"/>
      <c r="D18" s="1783"/>
      <c r="E18" s="1784"/>
      <c r="F18" s="581">
        <f>SUMIFS(BalanceN[BS_Debit],BalanceN[Table],"&gt;=65900",BalanceN[Table],"&lt;66000")</f>
        <v>0</v>
      </c>
      <c r="G18" s="581">
        <f>SUMIFS(BalanceN1[BS_Debit],BalanceN1[Table],"&gt;=65900",BalanceN1[Table],"&lt;66000")</f>
        <v>0</v>
      </c>
      <c r="H18" s="361" t="str">
        <f>IF(G18,(F18-G18)/G18,IF(ISBLANK(G18),"",IF(F18,IF( F18 &gt; 0,1,-1),"")))</f>
        <v/>
      </c>
    </row>
    <row r="19" spans="1:8" ht="21" customHeight="1">
      <c r="A19" s="1857" t="s">
        <v>1578</v>
      </c>
      <c r="B19" s="1857"/>
      <c r="C19" s="1857"/>
      <c r="D19" s="1857"/>
      <c r="E19" s="1857"/>
      <c r="F19" s="362">
        <f>SUM(F9:F18)</f>
        <v>4263929</v>
      </c>
      <c r="G19" s="362">
        <f>SUM(G9:G18)</f>
        <v>67670</v>
      </c>
      <c r="H19" s="363">
        <f t="shared" si="0"/>
        <v>62.01062509235998</v>
      </c>
    </row>
    <row r="20" spans="1:8" s="653" customFormat="1" ht="10.5">
      <c r="A20" s="798" t="s">
        <v>1761</v>
      </c>
      <c r="F20" s="653" t="str">
        <f>IF(F19=SUMIFS(BalanceN[BS_Debit],BalanceN[Table],"&gt;=65000",BalanceN[Table],"&lt;66000"),"","Veuillez vérifier les comptes 65")</f>
        <v/>
      </c>
      <c r="G20" s="653" t="str">
        <f>IF(G19=SUMIFS(BalanceN1[BS_Debit],BalanceN1[Table],"&gt;=65000",BalanceN1[Table],"&lt;66000"),"","Veuillez vérifier les comptes 65")</f>
        <v/>
      </c>
    </row>
    <row r="21" spans="1:8" s="653" customFormat="1" ht="10.5">
      <c r="A21" s="800" t="s">
        <v>2110</v>
      </c>
    </row>
    <row r="22" spans="1:8" s="653" customFormat="1" ht="10.5">
      <c r="A22" s="800" t="s">
        <v>2231</v>
      </c>
    </row>
    <row r="23" spans="1:8" s="653" customFormat="1" ht="10.5">
      <c r="A23" s="800" t="s">
        <v>2232</v>
      </c>
    </row>
  </sheetData>
  <sheetProtection algorithmName="SHA-512" hashValue="Z/PyUa3OMYFpovD1cuWC66ZeWMuTaCqv8ltII0SJMy642JcKdB0vFX4xvTTOFRPPNtUHQKJfOt6q4/zDu61vRw==" saltValue="5ZtKoHOK1u4UDou9+deGRg==" spinCount="100000" sheet="1" objects="1" scenarios="1" selectLockedCells="1"/>
  <mergeCells count="19">
    <mergeCell ref="A12:E12"/>
    <mergeCell ref="A1:H1"/>
    <mergeCell ref="G2:H2"/>
    <mergeCell ref="C3:H3"/>
    <mergeCell ref="B4:F4"/>
    <mergeCell ref="C5:D5"/>
    <mergeCell ref="C6:D6"/>
    <mergeCell ref="A7:H7"/>
    <mergeCell ref="A8:E8"/>
    <mergeCell ref="A9:E9"/>
    <mergeCell ref="A10:E10"/>
    <mergeCell ref="A11:E11"/>
    <mergeCell ref="A19:E19"/>
    <mergeCell ref="A13:E13"/>
    <mergeCell ref="A14:E14"/>
    <mergeCell ref="A15:E15"/>
    <mergeCell ref="A16:E16"/>
    <mergeCell ref="A17:E17"/>
    <mergeCell ref="A18:E18"/>
  </mergeCells>
  <conditionalFormatting sqref="F9:G19">
    <cfRule type="cellIs" dxfId="155" priority="1" operator="equal">
      <formula>0</formula>
    </cfRule>
  </conditionalFormatting>
  <dataValidations count="1">
    <dataValidation type="whole" allowBlank="1" showInputMessage="1" showErrorMessage="1" errorTitle="Attention!" error="Valeur numérique attendue" sqref="F9:G18" xr:uid="{16450D40-90E6-496E-BE9B-2842976E0EAA}">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1E186-BB0E-46C1-B7EA-0636228C19D8}">
  <sheetPr codeName="Feuil53">
    <tabColor rgb="FFFFC000"/>
  </sheetPr>
  <dimension ref="A1:H20"/>
  <sheetViews>
    <sheetView showGridLines="0" showRowColHeaders="0" topLeftCell="B1" zoomScaleNormal="100" workbookViewId="0">
      <selection activeCell="W46" sqref="W46"/>
    </sheetView>
  </sheetViews>
  <sheetFormatPr baseColWidth="10" defaultColWidth="11.5234375" defaultRowHeight="14.4"/>
  <cols>
    <col min="1" max="1" width="11.5234375" style="103"/>
    <col min="2" max="2" width="12.89453125" style="103" customWidth="1"/>
    <col min="3" max="3" width="2.41796875" style="103" customWidth="1"/>
    <col min="4" max="4" width="11.3125" style="103" customWidth="1"/>
    <col min="5" max="5" width="20" style="103" customWidth="1"/>
    <col min="6" max="7" width="15.68359375" style="103" customWidth="1"/>
    <col min="8" max="8" width="12.41796875" style="103" customWidth="1"/>
    <col min="9" max="16384" width="11.5234375" style="103"/>
  </cols>
  <sheetData>
    <row r="1" spans="1:8">
      <c r="A1" s="1276" t="str">
        <f>"- "&amp;Code!K53&amp;" -"</f>
        <v>- 31 -</v>
      </c>
      <c r="B1" s="1276"/>
      <c r="C1" s="1276"/>
      <c r="D1" s="1276"/>
      <c r="E1" s="1276"/>
      <c r="F1" s="1276"/>
      <c r="G1" s="1276"/>
      <c r="H1" s="1276"/>
    </row>
    <row r="2" spans="1:8" ht="24.9" customHeight="1">
      <c r="A2" s="576"/>
      <c r="B2" s="576"/>
      <c r="C2" s="576"/>
      <c r="D2" s="576"/>
      <c r="E2" s="576"/>
      <c r="F2" s="576"/>
      <c r="G2" s="1278" t="s">
        <v>2233</v>
      </c>
      <c r="H2" s="1765"/>
    </row>
    <row r="3" spans="1:8" s="626" customFormat="1" ht="15" customHeight="1">
      <c r="A3" s="317" t="s">
        <v>50</v>
      </c>
      <c r="B3" s="317"/>
      <c r="C3" s="1280" t="str">
        <f>'NOTE 20'!C3</f>
        <v>OHADA</v>
      </c>
      <c r="D3" s="1280"/>
      <c r="E3" s="1280"/>
      <c r="F3" s="1280"/>
      <c r="G3" s="1280"/>
      <c r="H3" s="1280"/>
    </row>
    <row r="4" spans="1:8" s="626" customFormat="1" ht="15" customHeight="1">
      <c r="A4" s="317" t="s">
        <v>51</v>
      </c>
      <c r="B4" s="1280" t="str">
        <f>'NOTE 21'!B4</f>
        <v/>
      </c>
      <c r="C4" s="1281"/>
      <c r="D4" s="1281"/>
      <c r="E4" s="1281"/>
      <c r="F4" s="1281"/>
      <c r="G4" s="627" t="s">
        <v>1021</v>
      </c>
      <c r="H4" s="630" t="str">
        <f>'NOTE 21'!H4</f>
        <v/>
      </c>
    </row>
    <row r="5" spans="1:8" s="626" customFormat="1" ht="15" customHeight="1">
      <c r="A5" s="317" t="s">
        <v>1597</v>
      </c>
      <c r="B5" s="317"/>
      <c r="C5" s="1281" t="str">
        <f>'NOTE 21'!C5</f>
        <v/>
      </c>
      <c r="D5" s="1281"/>
      <c r="E5" s="642" t="s">
        <v>54</v>
      </c>
      <c r="F5" s="647">
        <f>'NOTE 21'!F5</f>
        <v>0</v>
      </c>
      <c r="G5" s="627" t="s">
        <v>55</v>
      </c>
      <c r="H5" s="795">
        <f>'NOTE 21'!H5</f>
        <v>1</v>
      </c>
    </row>
    <row r="6" spans="1:8" s="626" customFormat="1" ht="15" customHeight="1">
      <c r="A6" s="317" t="s">
        <v>1533</v>
      </c>
      <c r="B6" s="317"/>
      <c r="C6" s="1275" t="str">
        <f>'NOTE 21'!C6</f>
        <v/>
      </c>
      <c r="D6" s="1275"/>
      <c r="E6" s="638"/>
      <c r="F6" s="630"/>
      <c r="G6" s="629"/>
      <c r="H6" s="630"/>
    </row>
    <row r="7" spans="1:8" ht="35.25" customHeight="1">
      <c r="A7" s="1273" t="s">
        <v>2234</v>
      </c>
      <c r="B7" s="1273"/>
      <c r="C7" s="1273"/>
      <c r="D7" s="1273"/>
      <c r="E7" s="1273"/>
      <c r="F7" s="1273"/>
      <c r="G7" s="1273"/>
      <c r="H7" s="1273"/>
    </row>
    <row r="8" spans="1:8" ht="33" customHeight="1">
      <c r="A8" s="1643" t="s">
        <v>1692</v>
      </c>
      <c r="B8" s="1643"/>
      <c r="C8" s="1643"/>
      <c r="D8" s="1643"/>
      <c r="E8" s="1643"/>
      <c r="F8" s="797" t="s">
        <v>1693</v>
      </c>
      <c r="G8" s="797" t="s">
        <v>1694</v>
      </c>
      <c r="H8" s="797" t="s">
        <v>1731</v>
      </c>
    </row>
    <row r="9" spans="1:8" ht="21" customHeight="1">
      <c r="A9" s="1749" t="s">
        <v>2235</v>
      </c>
      <c r="B9" s="1783"/>
      <c r="C9" s="1783"/>
      <c r="D9" s="1783"/>
      <c r="E9" s="1784"/>
      <c r="F9" s="581">
        <f>SUMIFS(BalanceN[BS_Debit],BalanceN[Table],"&gt;=66100",BalanceN[Table],"&lt;66200")</f>
        <v>151588008</v>
      </c>
      <c r="G9" s="581">
        <f>SUMIFS(BalanceN1[BS_Debit],BalanceN1[Table],"&gt;=66100",BalanceN1[Table],"&lt;66200")</f>
        <v>140716466</v>
      </c>
      <c r="H9" s="361">
        <f>IF(G9,(F9-G9)/G9,IF(ISBLANK(G9),"",IF(F9,IF( F9 &gt; 0,1,-1),"")))</f>
        <v>7.7258492264864018E-2</v>
      </c>
    </row>
    <row r="10" spans="1:8" ht="21" customHeight="1">
      <c r="A10" s="1749" t="s">
        <v>2236</v>
      </c>
      <c r="B10" s="1783"/>
      <c r="C10" s="1783"/>
      <c r="D10" s="1783"/>
      <c r="E10" s="1784"/>
      <c r="F10" s="581">
        <f>SUMIFS(BalanceN[BS_Debit],BalanceN[Table],"&gt;=66200",BalanceN[Table],"&lt;66300")</f>
        <v>26965034</v>
      </c>
      <c r="G10" s="581">
        <f>SUMIFS(BalanceN1[BS_Debit],BalanceN1[Table],"&gt;=66200",BalanceN1[Table],"&lt;66300")</f>
        <v>27063888</v>
      </c>
      <c r="H10" s="361">
        <f t="shared" ref="H10:H17" si="0">IF(G10,(F10-G10)/G10,IF(ISBLANK(G10),"",IF(F10,IF( F10 &gt; 0,1,-1),"")))</f>
        <v>-3.6526163572654455E-3</v>
      </c>
    </row>
    <row r="11" spans="1:8" ht="21" customHeight="1">
      <c r="A11" s="1749" t="s">
        <v>2237</v>
      </c>
      <c r="B11" s="1783"/>
      <c r="C11" s="1783"/>
      <c r="D11" s="1783"/>
      <c r="E11" s="1784"/>
      <c r="F11" s="581">
        <f>SUMIFS(BalanceN[BS_Debit],BalanceN[Table],"&gt;=66300",BalanceN[Table],"&lt;66400")</f>
        <v>13275177</v>
      </c>
      <c r="G11" s="581">
        <f>SUMIFS(BalanceN1[BS_Debit],BalanceN1[Table],"&gt;=66300",BalanceN1[Table],"&lt;66400")</f>
        <v>13352744</v>
      </c>
      <c r="H11" s="361">
        <f t="shared" si="0"/>
        <v>-5.8090681585747468E-3</v>
      </c>
    </row>
    <row r="12" spans="1:8" ht="21" customHeight="1">
      <c r="A12" s="1745" t="s">
        <v>2238</v>
      </c>
      <c r="B12" s="1942"/>
      <c r="C12" s="1942"/>
      <c r="D12" s="1942"/>
      <c r="E12" s="1943"/>
      <c r="F12" s="581">
        <f>SUMIFS(BalanceN[BS_Debit],BalanceN[Table],"&gt;=66410",BalanceN[Table],"&lt;66420")</f>
        <v>18011685</v>
      </c>
      <c r="G12" s="581">
        <f>SUMIFS(BalanceN1[BS_Debit],BalanceN1[Table],"&gt;=66410",BalanceN1[Table],"&lt;66420")</f>
        <v>22736375</v>
      </c>
      <c r="H12" s="361">
        <f t="shared" si="0"/>
        <v>-0.20780313484449478</v>
      </c>
    </row>
    <row r="13" spans="1:8" ht="21" customHeight="1">
      <c r="A13" s="1745" t="s">
        <v>2239</v>
      </c>
      <c r="B13" s="1942"/>
      <c r="C13" s="1942"/>
      <c r="D13" s="1942"/>
      <c r="E13" s="1943"/>
      <c r="F13" s="581">
        <f>SUMIFS(BalanceN[BS_Debit],BalanceN[Table],"&gt;=66420",BalanceN[Table],"&lt;66430")</f>
        <v>6271700</v>
      </c>
      <c r="G13" s="581">
        <f>SUMIFS(BalanceN1[BS_Debit],BalanceN1[Table],"&gt;=66420",BalanceN1[Table],"&lt;66430")</f>
        <v>513033</v>
      </c>
      <c r="H13" s="361">
        <f t="shared" si="0"/>
        <v>11.224749674972175</v>
      </c>
    </row>
    <row r="14" spans="1:8" ht="21" customHeight="1">
      <c r="A14" s="1749" t="s">
        <v>2240</v>
      </c>
      <c r="B14" s="1783"/>
      <c r="C14" s="1783"/>
      <c r="D14" s="1783"/>
      <c r="E14" s="1784"/>
      <c r="F14" s="581">
        <f>SUMIFS(BalanceN[BS_Debit],BalanceN[Table],"&gt;=66600",BalanceN[Table],"&lt;66700")</f>
        <v>0</v>
      </c>
      <c r="G14" s="581">
        <f>SUMIFS(BalanceN1[BS_Debit],BalanceN1[Table],"&gt;=66600",BalanceN1[Table],"&lt;66700")</f>
        <v>0</v>
      </c>
      <c r="H14" s="361" t="str">
        <f t="shared" si="0"/>
        <v/>
      </c>
    </row>
    <row r="15" spans="1:8" ht="21" customHeight="1">
      <c r="A15" s="1749" t="s">
        <v>2241</v>
      </c>
      <c r="B15" s="1783"/>
      <c r="C15" s="1783"/>
      <c r="D15" s="1783"/>
      <c r="E15" s="1784"/>
      <c r="F15" s="581">
        <f>SUMIFS(BalanceN[BS_Debit],BalanceN[Table],"&gt;=66700",BalanceN[Table],"&lt;66800")</f>
        <v>0</v>
      </c>
      <c r="G15" s="581">
        <f>SUMIFS(BalanceN1[BS_Debit],BalanceN1[Table],"&gt;=66700",BalanceN1[Table],"&lt;66800")</f>
        <v>0</v>
      </c>
      <c r="H15" s="361" t="str">
        <f t="shared" si="0"/>
        <v/>
      </c>
    </row>
    <row r="16" spans="1:8" ht="21" customHeight="1">
      <c r="A16" s="1749" t="s">
        <v>2242</v>
      </c>
      <c r="B16" s="1783"/>
      <c r="C16" s="1783"/>
      <c r="D16" s="1783"/>
      <c r="E16" s="1784"/>
      <c r="F16" s="581">
        <f>SUMIFS(BalanceN[BS_Debit],BalanceN[Table],"&gt;=66800",BalanceN[Table],"&lt;66900")</f>
        <v>2105489</v>
      </c>
      <c r="G16" s="581">
        <f>SUMIFS(BalanceN1[BS_Debit],BalanceN1[Table],"&gt;=66800",BalanceN1[Table],"&lt;66900")</f>
        <v>4469745</v>
      </c>
      <c r="H16" s="361">
        <f t="shared" si="0"/>
        <v>-0.52894650589686887</v>
      </c>
    </row>
    <row r="17" spans="1:8" ht="21" customHeight="1">
      <c r="A17" s="1857" t="s">
        <v>1578</v>
      </c>
      <c r="B17" s="1857"/>
      <c r="C17" s="1857"/>
      <c r="D17" s="1857"/>
      <c r="E17" s="1857"/>
      <c r="F17" s="362">
        <f>SUM(F9:F16)</f>
        <v>218217093</v>
      </c>
      <c r="G17" s="362">
        <f>SUM(G9:G16)</f>
        <v>208852251</v>
      </c>
      <c r="H17" s="363">
        <f t="shared" si="0"/>
        <v>4.4839555021123523E-2</v>
      </c>
    </row>
    <row r="18" spans="1:8" s="653" customFormat="1" ht="10.5">
      <c r="A18" s="798" t="s">
        <v>1761</v>
      </c>
      <c r="F18" s="653" t="str">
        <f>IF(F17=SUMIFS(BalanceN[BS_Debit],BalanceN[Table],"&gt;=66000",BalanceN[Table],"&lt;67000"),"","Veuillez vérifier les comptes 66")</f>
        <v/>
      </c>
      <c r="G18" s="653" t="str">
        <f>IF(G17=SUMIFS(BalanceN1[BS_Debit],BalanceN1[Table],"&gt;=66000",BalanceN1[Table],"&lt;67000"),"","Veuillez vérifier les comptes 66")</f>
        <v/>
      </c>
    </row>
    <row r="19" spans="1:8" s="653" customFormat="1" ht="10.5">
      <c r="A19" s="800" t="s">
        <v>2110</v>
      </c>
    </row>
    <row r="20" spans="1:8" s="653" customFormat="1" ht="10.5">
      <c r="A20" s="800" t="s">
        <v>2243</v>
      </c>
    </row>
  </sheetData>
  <sheetProtection algorithmName="SHA-512" hashValue="yuHaqIJbdpRqr5Y4C3fmfpTDxeHiyqVKqqY0VNE7I0L54bcae7tOO9onply6LTd+nuZ1j2c9Iron+5nMMkqWQA==" saltValue="VSdmbN08/50os5Tv0p9fTg==" spinCount="100000" sheet="1" objects="1" scenarios="1" selectLockedCells="1"/>
  <mergeCells count="17">
    <mergeCell ref="A12:E12"/>
    <mergeCell ref="A1:H1"/>
    <mergeCell ref="G2:H2"/>
    <mergeCell ref="C3:H3"/>
    <mergeCell ref="B4:F4"/>
    <mergeCell ref="C5:D5"/>
    <mergeCell ref="C6:D6"/>
    <mergeCell ref="A7:H7"/>
    <mergeCell ref="A8:E8"/>
    <mergeCell ref="A9:E9"/>
    <mergeCell ref="A10:E10"/>
    <mergeCell ref="A11:E11"/>
    <mergeCell ref="A13:E13"/>
    <mergeCell ref="A14:E14"/>
    <mergeCell ref="A15:E15"/>
    <mergeCell ref="A16:E16"/>
    <mergeCell ref="A17:E17"/>
  </mergeCells>
  <conditionalFormatting sqref="F9:G17">
    <cfRule type="cellIs" dxfId="154" priority="1" operator="equal">
      <formula>0</formula>
    </cfRule>
  </conditionalFormatting>
  <dataValidations count="1">
    <dataValidation type="whole" allowBlank="1" showInputMessage="1" showErrorMessage="1" errorTitle="Attention!" error="Valeur numérique attendue" sqref="F9:G16" xr:uid="{05AB2EC6-F6BF-42CA-9F8D-8C46C32E7025}">
      <formula1>-9999999999999</formula1>
      <formula2>9999999999999</formula2>
    </dataValidation>
  </dataValidations>
  <printOptions horizontalCentered="1"/>
  <pageMargins left="0.3152778" right="0.3152778" top="0.3541667" bottom="0.3541667" header="0.3152778" footer="0.3152778"/>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2743F-80F4-4EAB-ABF8-2D878B91C314}">
  <sheetPr codeName="Feuil54">
    <tabColor rgb="FFFFC000"/>
    <pageSetUpPr fitToPage="1"/>
  </sheetPr>
  <dimension ref="A1:S31"/>
  <sheetViews>
    <sheetView showGridLines="0" showRowColHeaders="0" zoomScaleNormal="100" workbookViewId="0">
      <selection activeCell="E12" sqref="E12"/>
    </sheetView>
  </sheetViews>
  <sheetFormatPr baseColWidth="10" defaultColWidth="11.5234375" defaultRowHeight="14.4"/>
  <cols>
    <col min="1" max="1" width="4" style="103" customWidth="1"/>
    <col min="2" max="3" width="11.5234375" style="103"/>
    <col min="4" max="4" width="7.41796875" style="103" customWidth="1"/>
    <col min="5" max="10" width="5.1015625" style="103" customWidth="1"/>
    <col min="11" max="11" width="8.68359375" style="103" customWidth="1"/>
    <col min="12" max="13" width="13.68359375" style="103" customWidth="1"/>
    <col min="14" max="14" width="0.41796875" style="103" customWidth="1"/>
    <col min="15" max="19" width="13.68359375" style="103" customWidth="1"/>
    <col min="20" max="16384" width="11.5234375" style="103"/>
  </cols>
  <sheetData>
    <row r="1" spans="1:19">
      <c r="A1" s="1276" t="str">
        <f>"- "&amp;Code!K54&amp;" -"</f>
        <v>- 32 -</v>
      </c>
      <c r="B1" s="1276"/>
      <c r="C1" s="1276"/>
      <c r="D1" s="1276"/>
      <c r="E1" s="1276"/>
      <c r="F1" s="1276"/>
      <c r="G1" s="1276"/>
      <c r="H1" s="1276"/>
      <c r="I1" s="1276"/>
      <c r="J1" s="1276"/>
      <c r="K1" s="1277"/>
      <c r="L1" s="1277"/>
      <c r="M1" s="1277"/>
      <c r="N1" s="1277"/>
      <c r="O1" s="1277"/>
      <c r="P1" s="1277"/>
      <c r="Q1" s="1277"/>
      <c r="R1" s="1277"/>
      <c r="S1" s="1277"/>
    </row>
    <row r="2" spans="1:19" ht="24.9" customHeight="1">
      <c r="A2" s="576"/>
      <c r="B2" s="576"/>
      <c r="C2" s="576"/>
      <c r="D2" s="576"/>
      <c r="E2" s="576"/>
      <c r="F2" s="576"/>
      <c r="R2" s="1278" t="s">
        <v>2244</v>
      </c>
      <c r="S2" s="1765"/>
    </row>
    <row r="3" spans="1:19" s="626" customFormat="1" ht="15" customHeight="1">
      <c r="A3" s="317" t="s">
        <v>50</v>
      </c>
      <c r="B3" s="317"/>
      <c r="D3" s="1280" t="str">
        <f>'NOTE 21'!C3</f>
        <v>OHADA</v>
      </c>
      <c r="E3" s="1280"/>
      <c r="F3" s="1280"/>
      <c r="G3" s="1280"/>
      <c r="H3" s="1280"/>
      <c r="I3" s="1280"/>
      <c r="J3" s="1280"/>
      <c r="K3" s="1280"/>
      <c r="L3" s="1280"/>
      <c r="M3" s="1280"/>
      <c r="N3" s="1280"/>
      <c r="O3" s="1280"/>
      <c r="P3" s="1280"/>
      <c r="Q3" s="1280"/>
      <c r="R3" s="1280"/>
      <c r="S3" s="1280"/>
    </row>
    <row r="4" spans="1:19" s="626" customFormat="1" ht="15" customHeight="1">
      <c r="A4" s="317" t="s">
        <v>51</v>
      </c>
      <c r="C4" s="1280" t="str">
        <f>'NOTE 21'!B4</f>
        <v/>
      </c>
      <c r="D4" s="1280"/>
      <c r="E4" s="1280"/>
      <c r="F4" s="1280"/>
      <c r="G4" s="1280"/>
      <c r="H4" s="1280"/>
      <c r="I4" s="1280"/>
      <c r="J4" s="1280"/>
      <c r="K4" s="1280"/>
      <c r="L4" s="1280"/>
      <c r="M4" s="1280"/>
      <c r="N4" s="1280"/>
      <c r="O4" s="1280"/>
      <c r="P4" s="1280"/>
      <c r="Q4" s="803" t="s">
        <v>1021</v>
      </c>
      <c r="R4" s="1489" t="str">
        <f>'NOTE 21'!H4</f>
        <v/>
      </c>
      <c r="S4" s="1489"/>
    </row>
    <row r="5" spans="1:19" s="626" customFormat="1" ht="15" customHeight="1">
      <c r="A5" s="317" t="s">
        <v>1597</v>
      </c>
      <c r="B5" s="317"/>
      <c r="D5" s="1280" t="str">
        <f>'NOTE 21'!C5</f>
        <v/>
      </c>
      <c r="E5" s="1280"/>
      <c r="F5" s="1280"/>
      <c r="G5" s="1280"/>
      <c r="H5" s="1280"/>
      <c r="I5" s="1280"/>
      <c r="J5" s="1280"/>
      <c r="K5" s="1280"/>
      <c r="L5" s="1677" t="s">
        <v>54</v>
      </c>
      <c r="M5" s="1677"/>
      <c r="N5" s="1677"/>
      <c r="O5" s="1282">
        <f>'NOTE 21'!F5</f>
        <v>0</v>
      </c>
      <c r="P5" s="1282"/>
      <c r="R5" s="627" t="s">
        <v>55</v>
      </c>
      <c r="S5" s="630">
        <f>'NOTE 21'!H5</f>
        <v>1</v>
      </c>
    </row>
    <row r="6" spans="1:19" s="626" customFormat="1" ht="15" customHeight="1">
      <c r="A6" s="317" t="s">
        <v>56</v>
      </c>
      <c r="B6" s="317"/>
      <c r="D6" s="1683" t="str">
        <f>'NOTE 21'!C6</f>
        <v/>
      </c>
      <c r="E6" s="1683"/>
      <c r="F6" s="1683"/>
      <c r="G6" s="1683"/>
      <c r="H6" s="1683"/>
      <c r="I6" s="1683"/>
      <c r="J6" s="1683"/>
      <c r="K6" s="1683"/>
      <c r="L6" s="1683"/>
      <c r="M6" s="1683"/>
      <c r="N6" s="1683"/>
      <c r="O6" s="1683"/>
      <c r="P6" s="1683"/>
      <c r="Q6" s="1683"/>
      <c r="R6" s="1683"/>
      <c r="S6" s="1683"/>
    </row>
    <row r="7" spans="1:19" ht="35.25" customHeight="1">
      <c r="A7" s="1273" t="s">
        <v>2245</v>
      </c>
      <c r="B7" s="1273"/>
      <c r="C7" s="1273"/>
      <c r="D7" s="1273"/>
      <c r="E7" s="1273"/>
      <c r="F7" s="1273"/>
      <c r="G7" s="1273"/>
      <c r="H7" s="1273"/>
      <c r="I7" s="1273"/>
      <c r="J7" s="1273"/>
      <c r="K7" s="1273"/>
      <c r="L7" s="1273"/>
      <c r="M7" s="1273"/>
      <c r="N7" s="1273"/>
      <c r="O7" s="1273"/>
      <c r="P7" s="1273"/>
      <c r="Q7" s="1273"/>
      <c r="R7" s="1273"/>
      <c r="S7" s="1273"/>
    </row>
    <row r="8" spans="1:19">
      <c r="A8" s="804"/>
      <c r="B8" s="1994" t="s">
        <v>2246</v>
      </c>
      <c r="C8" s="1994"/>
      <c r="D8" s="1994"/>
      <c r="E8" s="1645" t="s">
        <v>2247</v>
      </c>
      <c r="F8" s="1645"/>
      <c r="G8" s="1645"/>
      <c r="H8" s="1645"/>
      <c r="I8" s="1645"/>
      <c r="J8" s="1645"/>
      <c r="K8" s="1645"/>
      <c r="L8" s="1645" t="s">
        <v>2248</v>
      </c>
      <c r="M8" s="1645"/>
      <c r="N8" s="1645"/>
      <c r="O8" s="1645"/>
      <c r="P8" s="1645"/>
      <c r="Q8" s="1645"/>
      <c r="R8" s="1645"/>
      <c r="S8" s="1645"/>
    </row>
    <row r="9" spans="1:19">
      <c r="A9" s="804"/>
      <c r="B9" s="1992"/>
      <c r="C9" s="1992"/>
      <c r="D9" s="1992"/>
      <c r="E9" s="1990" t="s">
        <v>2249</v>
      </c>
      <c r="F9" s="1990"/>
      <c r="G9" s="1990" t="s">
        <v>2250</v>
      </c>
      <c r="H9" s="1990"/>
      <c r="I9" s="1990" t="s">
        <v>2251</v>
      </c>
      <c r="J9" s="1990"/>
      <c r="K9" s="1990" t="s">
        <v>1578</v>
      </c>
      <c r="L9" s="1990" t="s">
        <v>2249</v>
      </c>
      <c r="M9" s="1990"/>
      <c r="N9" s="805"/>
      <c r="O9" s="1990" t="s">
        <v>2252</v>
      </c>
      <c r="P9" s="1990"/>
      <c r="Q9" s="1990" t="s">
        <v>2253</v>
      </c>
      <c r="R9" s="1990"/>
      <c r="S9" s="1990" t="s">
        <v>1578</v>
      </c>
    </row>
    <row r="10" spans="1:19" ht="24" customHeight="1">
      <c r="A10" s="804"/>
      <c r="B10" s="1993"/>
      <c r="C10" s="1993"/>
      <c r="D10" s="1993"/>
      <c r="E10" s="1990"/>
      <c r="F10" s="1990"/>
      <c r="G10" s="1990"/>
      <c r="H10" s="1990"/>
      <c r="I10" s="1990"/>
      <c r="J10" s="1990"/>
      <c r="K10" s="1990"/>
      <c r="L10" s="1990"/>
      <c r="M10" s="1990"/>
      <c r="N10" s="806"/>
      <c r="O10" s="1990"/>
      <c r="P10" s="1990"/>
      <c r="Q10" s="1990"/>
      <c r="R10" s="1990"/>
      <c r="S10" s="1990"/>
    </row>
    <row r="11" spans="1:19" s="593" customFormat="1" ht="14.25" customHeight="1">
      <c r="A11" s="804"/>
      <c r="B11" s="1991" t="s">
        <v>2254</v>
      </c>
      <c r="C11" s="1991"/>
      <c r="D11" s="1991"/>
      <c r="E11" s="805" t="s">
        <v>2255</v>
      </c>
      <c r="F11" s="805" t="s">
        <v>1410</v>
      </c>
      <c r="G11" s="805" t="s">
        <v>2255</v>
      </c>
      <c r="H11" s="805" t="s">
        <v>1410</v>
      </c>
      <c r="I11" s="805" t="s">
        <v>2255</v>
      </c>
      <c r="J11" s="805" t="s">
        <v>1410</v>
      </c>
      <c r="K11" s="807"/>
      <c r="L11" s="805" t="s">
        <v>2255</v>
      </c>
      <c r="M11" s="805" t="s">
        <v>1410</v>
      </c>
      <c r="N11" s="805"/>
      <c r="O11" s="805" t="s">
        <v>2255</v>
      </c>
      <c r="P11" s="805" t="s">
        <v>1410</v>
      </c>
      <c r="Q11" s="805" t="s">
        <v>2255</v>
      </c>
      <c r="R11" s="805" t="s">
        <v>1410</v>
      </c>
      <c r="S11" s="807"/>
    </row>
    <row r="12" spans="1:19">
      <c r="A12" s="808" t="s">
        <v>2256</v>
      </c>
      <c r="B12" s="1976" t="s">
        <v>2257</v>
      </c>
      <c r="C12" s="1976"/>
      <c r="D12" s="1976"/>
      <c r="E12" s="424"/>
      <c r="F12" s="424"/>
      <c r="G12" s="424"/>
      <c r="H12" s="424"/>
      <c r="I12" s="424"/>
      <c r="J12" s="424"/>
      <c r="K12" s="425">
        <f>SUM(E12:J12)</f>
        <v>0</v>
      </c>
      <c r="L12" s="426"/>
      <c r="M12" s="426"/>
      <c r="N12" s="427"/>
      <c r="O12" s="426"/>
      <c r="P12" s="426"/>
      <c r="Q12" s="426"/>
      <c r="R12" s="426"/>
      <c r="S12" s="428">
        <f>L12+M12+O12+P12+Q12+R12</f>
        <v>0</v>
      </c>
    </row>
    <row r="13" spans="1:19" ht="25.5" customHeight="1">
      <c r="A13" s="808" t="s">
        <v>2258</v>
      </c>
      <c r="B13" s="1976" t="s">
        <v>2259</v>
      </c>
      <c r="C13" s="1976"/>
      <c r="D13" s="1976"/>
      <c r="E13" s="424"/>
      <c r="F13" s="424"/>
      <c r="G13" s="424"/>
      <c r="H13" s="424"/>
      <c r="I13" s="424"/>
      <c r="J13" s="424"/>
      <c r="K13" s="425">
        <f>SUM(E13:J13)</f>
        <v>0</v>
      </c>
      <c r="L13" s="426"/>
      <c r="M13" s="426"/>
      <c r="N13" s="427"/>
      <c r="O13" s="426"/>
      <c r="P13" s="426"/>
      <c r="Q13" s="426"/>
      <c r="R13" s="426"/>
      <c r="S13" s="428">
        <f t="shared" ref="S13:S18" si="0">L13+M13+O13+P13+Q13+R13</f>
        <v>0</v>
      </c>
    </row>
    <row r="14" spans="1:19" ht="25.5" customHeight="1">
      <c r="A14" s="808" t="s">
        <v>2260</v>
      </c>
      <c r="B14" s="1976" t="s">
        <v>2261</v>
      </c>
      <c r="C14" s="1976"/>
      <c r="D14" s="1976"/>
      <c r="E14" s="424"/>
      <c r="F14" s="424"/>
      <c r="G14" s="424"/>
      <c r="H14" s="424"/>
      <c r="I14" s="424"/>
      <c r="J14" s="424"/>
      <c r="K14" s="425">
        <f>SUM(E14:J14)</f>
        <v>0</v>
      </c>
      <c r="L14" s="426"/>
      <c r="M14" s="426"/>
      <c r="N14" s="427"/>
      <c r="O14" s="426"/>
      <c r="P14" s="426"/>
      <c r="Q14" s="426"/>
      <c r="R14" s="426"/>
      <c r="S14" s="428">
        <f t="shared" si="0"/>
        <v>0</v>
      </c>
    </row>
    <row r="15" spans="1:19" ht="25.5" customHeight="1">
      <c r="A15" s="808" t="s">
        <v>2262</v>
      </c>
      <c r="B15" s="1976" t="s">
        <v>2263</v>
      </c>
      <c r="C15" s="1976"/>
      <c r="D15" s="1976"/>
      <c r="E15" s="424"/>
      <c r="F15" s="424"/>
      <c r="G15" s="424"/>
      <c r="H15" s="424"/>
      <c r="I15" s="424"/>
      <c r="J15" s="424"/>
      <c r="K15" s="425">
        <f>SUM(E15:J15)</f>
        <v>0</v>
      </c>
      <c r="L15" s="426"/>
      <c r="M15" s="426"/>
      <c r="N15" s="427"/>
      <c r="O15" s="426"/>
      <c r="P15" s="426"/>
      <c r="Q15" s="426"/>
      <c r="R15" s="426"/>
      <c r="S15" s="428">
        <f t="shared" si="0"/>
        <v>0</v>
      </c>
    </row>
    <row r="16" spans="1:19">
      <c r="A16" s="808" t="s">
        <v>2264</v>
      </c>
      <c r="B16" s="1973" t="s">
        <v>2265</v>
      </c>
      <c r="C16" s="1973"/>
      <c r="D16" s="1973"/>
      <c r="E16" s="425">
        <f>SUM(E12:E15)</f>
        <v>0</v>
      </c>
      <c r="F16" s="425">
        <f t="shared" ref="F16:K16" si="1">SUM(F12:F15)</f>
        <v>0</v>
      </c>
      <c r="G16" s="425">
        <f t="shared" si="1"/>
        <v>0</v>
      </c>
      <c r="H16" s="425">
        <f t="shared" si="1"/>
        <v>0</v>
      </c>
      <c r="I16" s="425">
        <f t="shared" si="1"/>
        <v>0</v>
      </c>
      <c r="J16" s="425">
        <f t="shared" si="1"/>
        <v>0</v>
      </c>
      <c r="K16" s="425">
        <f t="shared" si="1"/>
        <v>0</v>
      </c>
      <c r="L16" s="428">
        <f>SUM(L12:L15)</f>
        <v>0</v>
      </c>
      <c r="M16" s="428">
        <f>SUM(M12:M15)</f>
        <v>0</v>
      </c>
      <c r="N16" s="428"/>
      <c r="O16" s="428">
        <f>SUM(O12:O15)</f>
        <v>0</v>
      </c>
      <c r="P16" s="428">
        <f>SUM(P12:P15)</f>
        <v>0</v>
      </c>
      <c r="Q16" s="428">
        <f>SUM(Q12:Q15)</f>
        <v>0</v>
      </c>
      <c r="R16" s="428">
        <f>SUM(R12:R15)</f>
        <v>0</v>
      </c>
      <c r="S16" s="428">
        <f t="shared" si="0"/>
        <v>0</v>
      </c>
    </row>
    <row r="17" spans="1:19">
      <c r="A17" s="808" t="s">
        <v>2266</v>
      </c>
      <c r="B17" s="1976" t="s">
        <v>2267</v>
      </c>
      <c r="C17" s="1976"/>
      <c r="D17" s="1976"/>
      <c r="E17" s="424"/>
      <c r="F17" s="424"/>
      <c r="G17" s="424"/>
      <c r="H17" s="424"/>
      <c r="I17" s="424"/>
      <c r="J17" s="424"/>
      <c r="K17" s="425">
        <f>SUM(E17:J17)</f>
        <v>0</v>
      </c>
      <c r="L17" s="426"/>
      <c r="M17" s="426"/>
      <c r="N17" s="427"/>
      <c r="O17" s="426"/>
      <c r="P17" s="426"/>
      <c r="Q17" s="426"/>
      <c r="R17" s="426"/>
      <c r="S17" s="428">
        <f t="shared" si="0"/>
        <v>0</v>
      </c>
    </row>
    <row r="18" spans="1:19">
      <c r="A18" s="808" t="s">
        <v>2268</v>
      </c>
      <c r="B18" s="1976" t="s">
        <v>2269</v>
      </c>
      <c r="C18" s="1976"/>
      <c r="D18" s="1976"/>
      <c r="E18" s="424"/>
      <c r="F18" s="424"/>
      <c r="G18" s="424"/>
      <c r="H18" s="424"/>
      <c r="I18" s="424"/>
      <c r="J18" s="424"/>
      <c r="K18" s="425">
        <f>SUM(E18:J18)</f>
        <v>0</v>
      </c>
      <c r="L18" s="426"/>
      <c r="M18" s="426"/>
      <c r="N18" s="427"/>
      <c r="O18" s="426"/>
      <c r="P18" s="426"/>
      <c r="Q18" s="426"/>
      <c r="R18" s="426"/>
      <c r="S18" s="428">
        <f t="shared" si="0"/>
        <v>0</v>
      </c>
    </row>
    <row r="19" spans="1:19" ht="7.5" customHeight="1">
      <c r="A19" s="809"/>
      <c r="B19" s="804"/>
      <c r="C19" s="312"/>
      <c r="D19" s="312"/>
      <c r="E19" s="809"/>
      <c r="F19" s="809"/>
      <c r="G19" s="809"/>
      <c r="H19" s="809"/>
      <c r="I19" s="809"/>
      <c r="J19" s="809"/>
      <c r="K19" s="810"/>
      <c r="L19" s="804"/>
      <c r="M19" s="804"/>
      <c r="N19" s="804"/>
      <c r="O19" s="804"/>
      <c r="P19" s="804"/>
      <c r="Q19" s="804"/>
      <c r="R19" s="804"/>
      <c r="S19" s="804"/>
    </row>
    <row r="20" spans="1:19" ht="17.25" customHeight="1">
      <c r="A20" s="809"/>
      <c r="B20" s="804"/>
      <c r="C20" s="312"/>
      <c r="D20" s="312"/>
      <c r="E20" s="809"/>
      <c r="F20" s="809"/>
      <c r="G20" s="809"/>
      <c r="H20" s="809"/>
      <c r="I20" s="809"/>
      <c r="J20" s="809"/>
      <c r="K20" s="810"/>
      <c r="L20" s="1981" t="s">
        <v>2270</v>
      </c>
      <c r="M20" s="1982"/>
      <c r="N20" s="809"/>
      <c r="P20" s="811"/>
      <c r="Q20" s="811"/>
      <c r="R20" s="812"/>
      <c r="S20" s="1985" t="s">
        <v>9222</v>
      </c>
    </row>
    <row r="21" spans="1:19" ht="17.25" customHeight="1">
      <c r="A21" s="809"/>
      <c r="B21" s="1987" t="s">
        <v>2271</v>
      </c>
      <c r="C21" s="1987"/>
      <c r="D21" s="1987"/>
      <c r="E21" s="809"/>
      <c r="F21" s="809"/>
      <c r="G21" s="809"/>
      <c r="H21" s="809"/>
      <c r="I21" s="809"/>
      <c r="J21" s="809"/>
      <c r="K21" s="810"/>
      <c r="L21" s="1983"/>
      <c r="M21" s="1984"/>
      <c r="N21" s="809"/>
      <c r="O21" s="811"/>
      <c r="P21" s="811"/>
      <c r="Q21" s="811"/>
      <c r="R21" s="812"/>
      <c r="S21" s="1986"/>
    </row>
    <row r="22" spans="1:19" ht="17.25" customHeight="1">
      <c r="A22" s="808" t="s">
        <v>2272</v>
      </c>
      <c r="B22" s="1976" t="s">
        <v>2257</v>
      </c>
      <c r="C22" s="1976"/>
      <c r="D22" s="1976"/>
      <c r="E22" s="424"/>
      <c r="F22" s="424"/>
      <c r="G22" s="424"/>
      <c r="H22" s="424"/>
      <c r="I22" s="424"/>
      <c r="J22" s="424"/>
      <c r="K22" s="425">
        <f>SUM(E22:J22)</f>
        <v>0</v>
      </c>
      <c r="L22" s="426"/>
      <c r="M22" s="426"/>
      <c r="N22" s="813"/>
      <c r="O22" s="1976" t="s">
        <v>2273</v>
      </c>
      <c r="P22" s="1976"/>
      <c r="Q22" s="1976"/>
      <c r="R22" s="1988"/>
      <c r="S22" s="1989"/>
    </row>
    <row r="23" spans="1:19" ht="25.5" customHeight="1">
      <c r="A23" s="808" t="s">
        <v>2274</v>
      </c>
      <c r="B23" s="1976" t="s">
        <v>2259</v>
      </c>
      <c r="C23" s="1976"/>
      <c r="D23" s="1976"/>
      <c r="E23" s="424"/>
      <c r="F23" s="424"/>
      <c r="G23" s="424"/>
      <c r="H23" s="424"/>
      <c r="I23" s="424"/>
      <c r="J23" s="424"/>
      <c r="K23" s="425">
        <f t="shared" ref="K23:K28" si="2">SUM(E23:J23)</f>
        <v>0</v>
      </c>
      <c r="L23" s="426"/>
      <c r="M23" s="426"/>
      <c r="N23" s="813"/>
      <c r="O23" s="1976"/>
      <c r="P23" s="1976"/>
      <c r="Q23" s="1976"/>
      <c r="R23" s="1988"/>
      <c r="S23" s="1989"/>
    </row>
    <row r="24" spans="1:19" ht="36.75" customHeight="1">
      <c r="A24" s="808" t="s">
        <v>2275</v>
      </c>
      <c r="B24" s="1976" t="s">
        <v>2261</v>
      </c>
      <c r="C24" s="1976"/>
      <c r="D24" s="1976"/>
      <c r="E24" s="424"/>
      <c r="F24" s="424"/>
      <c r="G24" s="424"/>
      <c r="H24" s="424"/>
      <c r="I24" s="424"/>
      <c r="J24" s="424"/>
      <c r="K24" s="425">
        <f t="shared" si="2"/>
        <v>0</v>
      </c>
      <c r="L24" s="426"/>
      <c r="M24" s="426"/>
      <c r="N24" s="813"/>
      <c r="O24" s="1976" t="s">
        <v>9234</v>
      </c>
      <c r="P24" s="1976"/>
      <c r="Q24" s="1976"/>
      <c r="R24" s="429"/>
      <c r="S24" s="430"/>
    </row>
    <row r="25" spans="1:19" ht="25.5" customHeight="1">
      <c r="A25" s="808" t="s">
        <v>2276</v>
      </c>
      <c r="B25" s="1976" t="s">
        <v>2263</v>
      </c>
      <c r="C25" s="1976"/>
      <c r="D25" s="1976"/>
      <c r="E25" s="424"/>
      <c r="F25" s="424"/>
      <c r="G25" s="424"/>
      <c r="H25" s="424"/>
      <c r="I25" s="424"/>
      <c r="J25" s="424"/>
      <c r="K25" s="425">
        <f t="shared" si="2"/>
        <v>0</v>
      </c>
      <c r="L25" s="426"/>
      <c r="M25" s="426"/>
      <c r="N25" s="813"/>
      <c r="O25" s="1973" t="s">
        <v>2277</v>
      </c>
      <c r="P25" s="1973"/>
      <c r="Q25" s="1973"/>
      <c r="R25" s="431">
        <f>S16+R22+R24</f>
        <v>0</v>
      </c>
      <c r="S25" s="432"/>
    </row>
    <row r="26" spans="1:19" ht="15" customHeight="1">
      <c r="A26" s="808" t="s">
        <v>2278</v>
      </c>
      <c r="B26" s="1973" t="s">
        <v>2279</v>
      </c>
      <c r="C26" s="1973"/>
      <c r="D26" s="1973"/>
      <c r="E26" s="425">
        <f>SUM(E22:E25)</f>
        <v>0</v>
      </c>
      <c r="F26" s="425">
        <f t="shared" ref="F26:M26" si="3">SUM(F22:F25)</f>
        <v>0</v>
      </c>
      <c r="G26" s="425">
        <f t="shared" si="3"/>
        <v>0</v>
      </c>
      <c r="H26" s="425">
        <f t="shared" si="3"/>
        <v>0</v>
      </c>
      <c r="I26" s="425">
        <f t="shared" si="3"/>
        <v>0</v>
      </c>
      <c r="J26" s="425">
        <f t="shared" si="3"/>
        <v>0</v>
      </c>
      <c r="K26" s="425">
        <f t="shared" si="3"/>
        <v>0</v>
      </c>
      <c r="L26" s="425">
        <f t="shared" si="3"/>
        <v>0</v>
      </c>
      <c r="M26" s="425">
        <f t="shared" si="3"/>
        <v>0</v>
      </c>
      <c r="N26" s="814"/>
      <c r="O26" s="1974" t="s">
        <v>2280</v>
      </c>
      <c r="P26" s="1974"/>
      <c r="Q26" s="1974"/>
      <c r="R26" s="1974"/>
      <c r="S26" s="1974"/>
    </row>
    <row r="27" spans="1:19">
      <c r="A27" s="808" t="s">
        <v>2281</v>
      </c>
      <c r="B27" s="1976" t="s">
        <v>2267</v>
      </c>
      <c r="C27" s="1976"/>
      <c r="D27" s="1976"/>
      <c r="E27" s="424"/>
      <c r="F27" s="424"/>
      <c r="G27" s="424"/>
      <c r="H27" s="424"/>
      <c r="I27" s="424"/>
      <c r="J27" s="424"/>
      <c r="K27" s="425">
        <f t="shared" si="2"/>
        <v>0</v>
      </c>
      <c r="L27" s="426"/>
      <c r="M27" s="426"/>
      <c r="N27" s="813"/>
      <c r="O27" s="1977" t="s">
        <v>2282</v>
      </c>
      <c r="P27" s="1977"/>
      <c r="Q27" s="1977"/>
      <c r="R27" s="1977"/>
      <c r="S27" s="1977"/>
    </row>
    <row r="28" spans="1:19" ht="23.4" customHeight="1">
      <c r="A28" s="808" t="s">
        <v>2283</v>
      </c>
      <c r="B28" s="1976" t="s">
        <v>2269</v>
      </c>
      <c r="C28" s="1976"/>
      <c r="D28" s="1976"/>
      <c r="E28" s="424"/>
      <c r="F28" s="424"/>
      <c r="G28" s="424"/>
      <c r="H28" s="424"/>
      <c r="I28" s="424"/>
      <c r="J28" s="424"/>
      <c r="K28" s="425">
        <f t="shared" si="2"/>
        <v>0</v>
      </c>
      <c r="L28" s="426"/>
      <c r="M28" s="426"/>
      <c r="N28" s="813"/>
      <c r="O28" s="1978" t="s">
        <v>2284</v>
      </c>
      <c r="P28" s="1977"/>
      <c r="Q28" s="1977"/>
      <c r="R28" s="1977"/>
      <c r="S28" s="804"/>
    </row>
    <row r="29" spans="1:19" ht="20.100000000000001" customHeight="1">
      <c r="A29" s="808" t="s">
        <v>2285</v>
      </c>
      <c r="B29" s="1973" t="s">
        <v>2286</v>
      </c>
      <c r="C29" s="1973"/>
      <c r="D29" s="1973"/>
      <c r="E29" s="425">
        <f>E16+E26</f>
        <v>0</v>
      </c>
      <c r="F29" s="425">
        <f t="shared" ref="F29:K29" si="4">F16+F26</f>
        <v>0</v>
      </c>
      <c r="G29" s="425">
        <f t="shared" si="4"/>
        <v>0</v>
      </c>
      <c r="H29" s="425">
        <f t="shared" si="4"/>
        <v>0</v>
      </c>
      <c r="I29" s="425">
        <f t="shared" si="4"/>
        <v>0</v>
      </c>
      <c r="J29" s="425">
        <f t="shared" si="4"/>
        <v>0</v>
      </c>
      <c r="K29" s="425">
        <f t="shared" si="4"/>
        <v>0</v>
      </c>
      <c r="L29" s="1979"/>
      <c r="M29" s="1979"/>
      <c r="N29" s="815"/>
      <c r="O29" s="1980" t="s">
        <v>2287</v>
      </c>
      <c r="P29" s="1980"/>
      <c r="Q29" s="1980"/>
      <c r="R29" s="804"/>
      <c r="S29" s="804"/>
    </row>
    <row r="30" spans="1:19" ht="12" customHeight="1">
      <c r="A30" s="1975" t="s">
        <v>2288</v>
      </c>
      <c r="B30" s="1975"/>
      <c r="C30" s="1975"/>
      <c r="D30" s="1975"/>
      <c r="E30" s="816"/>
      <c r="F30" s="816"/>
      <c r="G30" s="816"/>
      <c r="H30" s="816"/>
      <c r="I30" s="816"/>
      <c r="J30" s="816"/>
      <c r="K30" s="816"/>
      <c r="L30" s="816"/>
      <c r="M30" s="816"/>
      <c r="N30" s="816"/>
      <c r="O30" s="816"/>
      <c r="P30" s="816"/>
    </row>
    <row r="31" spans="1:19" ht="12" customHeight="1">
      <c r="A31" s="1975" t="s">
        <v>2289</v>
      </c>
      <c r="B31" s="1975"/>
      <c r="C31" s="1975"/>
      <c r="D31" s="1975"/>
      <c r="E31" s="1975"/>
      <c r="F31" s="1975"/>
      <c r="G31" s="1975"/>
      <c r="H31" s="1975"/>
      <c r="I31" s="1975"/>
      <c r="J31" s="1975"/>
      <c r="K31" s="1975"/>
      <c r="L31" s="1975"/>
      <c r="M31" s="1975"/>
      <c r="N31" s="1975"/>
      <c r="O31" s="1975"/>
      <c r="P31" s="1975"/>
    </row>
  </sheetData>
  <sheetProtection algorithmName="SHA-512" hashValue="YZGIhLXC0oSXOxAtNMW+rk+d+ynn2IHWbmHqTA1b2HoNuON3WKdt6MfFrovF07LilqkdT4qNCn2YmNYYuEPKkg==" saltValue="iPoKZUi4KUDUThoNRoHEug==" spinCount="100000" sheet="1" objects="1" scenarios="1" selectLockedCells="1"/>
  <mergeCells count="53">
    <mergeCell ref="D5:K5"/>
    <mergeCell ref="L5:N5"/>
    <mergeCell ref="O5:P5"/>
    <mergeCell ref="A1:S1"/>
    <mergeCell ref="R2:S2"/>
    <mergeCell ref="D3:S3"/>
    <mergeCell ref="C4:P4"/>
    <mergeCell ref="R4:S4"/>
    <mergeCell ref="A7:S7"/>
    <mergeCell ref="B8:D8"/>
    <mergeCell ref="E8:K8"/>
    <mergeCell ref="L8:S8"/>
    <mergeCell ref="D6:S6"/>
    <mergeCell ref="Q9:R10"/>
    <mergeCell ref="S9:S10"/>
    <mergeCell ref="B11:D11"/>
    <mergeCell ref="K9:K10"/>
    <mergeCell ref="B17:D17"/>
    <mergeCell ref="B13:D13"/>
    <mergeCell ref="B14:D14"/>
    <mergeCell ref="B15:D15"/>
    <mergeCell ref="B16:D16"/>
    <mergeCell ref="B12:D12"/>
    <mergeCell ref="B9:D10"/>
    <mergeCell ref="E9:F10"/>
    <mergeCell ref="G9:H10"/>
    <mergeCell ref="I9:J10"/>
    <mergeCell ref="L9:M10"/>
    <mergeCell ref="O9:P10"/>
    <mergeCell ref="S20:S21"/>
    <mergeCell ref="B21:D21"/>
    <mergeCell ref="B22:D22"/>
    <mergeCell ref="O22:Q23"/>
    <mergeCell ref="R22:R23"/>
    <mergeCell ref="S22:S23"/>
    <mergeCell ref="B23:D23"/>
    <mergeCell ref="B18:D18"/>
    <mergeCell ref="B24:D24"/>
    <mergeCell ref="O24:Q24"/>
    <mergeCell ref="B25:D25"/>
    <mergeCell ref="O25:Q25"/>
    <mergeCell ref="L20:M21"/>
    <mergeCell ref="B26:D26"/>
    <mergeCell ref="O26:S26"/>
    <mergeCell ref="A30:D30"/>
    <mergeCell ref="A31:P31"/>
    <mergeCell ref="B27:D27"/>
    <mergeCell ref="O27:S27"/>
    <mergeCell ref="B28:D28"/>
    <mergeCell ref="O28:R28"/>
    <mergeCell ref="B29:D29"/>
    <mergeCell ref="L29:M29"/>
    <mergeCell ref="O29:Q29"/>
  </mergeCells>
  <conditionalFormatting sqref="E12:S18">
    <cfRule type="cellIs" dxfId="153" priority="5" operator="equal">
      <formula>0</formula>
    </cfRule>
  </conditionalFormatting>
  <conditionalFormatting sqref="E22:M28">
    <cfRule type="cellIs" dxfId="152" priority="4" operator="equal">
      <formula>0</formula>
    </cfRule>
  </conditionalFormatting>
  <conditionalFormatting sqref="E29:J29">
    <cfRule type="cellIs" dxfId="151" priority="3" operator="equal">
      <formula>0</formula>
    </cfRule>
  </conditionalFormatting>
  <conditionalFormatting sqref="K29">
    <cfRule type="cellIs" dxfId="150" priority="2" operator="equal">
      <formula>0</formula>
    </cfRule>
  </conditionalFormatting>
  <conditionalFormatting sqref="R22:S25">
    <cfRule type="cellIs" dxfId="149" priority="1" operator="equal">
      <formula>0</formula>
    </cfRule>
  </conditionalFormatting>
  <dataValidations count="1">
    <dataValidation type="whole" allowBlank="1" showInputMessage="1" showErrorMessage="1" errorTitle="Attention!" error="Valeur numérique attendue" sqref="L12:M15 L27:M28 L17:M18 O12:R15 O17:R18 E12:J15 E17:J18 E22:J25 E27:J28 L22:M25 R22:S24" xr:uid="{441DD7A3-5097-4CD0-8EA5-C1121637C612}">
      <formula1>-9999999999999</formula1>
      <formula2>9999999999999</formula2>
    </dataValidation>
  </dataValidations>
  <printOptions horizontalCentered="1"/>
  <pageMargins left="0.31496062992125984" right="0.31496062992125984" top="0.27559055118110237" bottom="0.27559055118110237" header="0.31496062992125984" footer="0.31496062992125984"/>
  <pageSetup paperSize="9" scale="82" orientation="landscape" r:id="rId1"/>
  <ignoredErrors>
    <ignoredError sqref="K16 K26" formula="1"/>
  </ignoredErrors>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7DD3-8469-4DB6-A8D1-D1D7DFE6BA9D}">
  <sheetPr codeName="Feuil56">
    <tabColor theme="9" tint="0.39997558519241921"/>
    <pageSetUpPr fitToPage="1"/>
  </sheetPr>
  <dimension ref="A1:N31"/>
  <sheetViews>
    <sheetView showGridLines="0" showRowColHeaders="0" topLeftCell="A7" zoomScaleNormal="100" workbookViewId="0">
      <selection activeCell="G12" sqref="G12"/>
    </sheetView>
  </sheetViews>
  <sheetFormatPr baseColWidth="10" defaultColWidth="11.41796875" defaultRowHeight="14.4"/>
  <cols>
    <col min="1" max="1" width="11.41796875" style="103"/>
    <col min="2" max="2" width="12" style="103" customWidth="1"/>
    <col min="3" max="3" width="4.1015625" style="103" customWidth="1"/>
    <col min="4" max="4" width="11.89453125" style="103" customWidth="1"/>
    <col min="5" max="12" width="15.68359375" style="103" customWidth="1"/>
    <col min="13" max="16384" width="11.41796875" style="103"/>
  </cols>
  <sheetData>
    <row r="1" spans="1:14">
      <c r="A1" s="1276" t="str">
        <f>"- "&amp;Code!K55&amp;" -"</f>
        <v>- 33 -</v>
      </c>
      <c r="B1" s="1276"/>
      <c r="C1" s="1276"/>
      <c r="D1" s="1276"/>
      <c r="E1" s="1276"/>
      <c r="F1" s="1276"/>
      <c r="G1" s="1276"/>
      <c r="H1" s="1276"/>
      <c r="I1" s="1276"/>
      <c r="J1" s="1276"/>
      <c r="K1" s="1277"/>
      <c r="L1" s="1277"/>
    </row>
    <row r="2" spans="1:14" ht="24.9" customHeight="1">
      <c r="A2" s="576"/>
      <c r="B2" s="576"/>
      <c r="C2" s="576"/>
      <c r="D2" s="576"/>
      <c r="E2" s="576"/>
      <c r="F2" s="576"/>
      <c r="K2" s="1278" t="s">
        <v>2290</v>
      </c>
      <c r="L2" s="1765"/>
    </row>
    <row r="3" spans="1:14" s="626" customFormat="1" ht="15" customHeight="1">
      <c r="A3" s="317" t="s">
        <v>50</v>
      </c>
      <c r="B3" s="317"/>
      <c r="D3" s="1699" t="str">
        <f>'NOTE 21'!C3</f>
        <v>OHADA</v>
      </c>
      <c r="E3" s="1699"/>
      <c r="F3" s="1699"/>
      <c r="G3" s="1699"/>
      <c r="H3" s="1699"/>
      <c r="I3" s="1699"/>
      <c r="J3" s="1699"/>
      <c r="K3" s="1699"/>
      <c r="L3" s="1699"/>
    </row>
    <row r="4" spans="1:14" s="626" customFormat="1" ht="15" customHeight="1">
      <c r="A4" s="317" t="s">
        <v>51</v>
      </c>
      <c r="B4" s="1699" t="str">
        <f>'NOTE 21'!B4</f>
        <v/>
      </c>
      <c r="C4" s="1699"/>
      <c r="D4" s="1699"/>
      <c r="E4" s="1699"/>
      <c r="F4" s="1699"/>
      <c r="G4" s="1699"/>
      <c r="H4" s="1699"/>
      <c r="I4" s="1699"/>
      <c r="J4" s="627" t="s">
        <v>1021</v>
      </c>
      <c r="K4" s="1489" t="str">
        <f>'NOTE 21'!H4</f>
        <v/>
      </c>
      <c r="L4" s="1489"/>
    </row>
    <row r="5" spans="1:14" s="626" customFormat="1" ht="15" customHeight="1">
      <c r="A5" s="317" t="s">
        <v>1597</v>
      </c>
      <c r="B5" s="317"/>
      <c r="C5" s="1280" t="str">
        <f>'NOTE 21'!C5</f>
        <v/>
      </c>
      <c r="D5" s="1280"/>
      <c r="E5" s="1280"/>
      <c r="F5" s="1280"/>
      <c r="G5" s="642" t="s">
        <v>54</v>
      </c>
      <c r="H5" s="1282">
        <f>'NOTE 21'!F5</f>
        <v>0</v>
      </c>
      <c r="I5" s="1282"/>
      <c r="J5" s="627" t="s">
        <v>55</v>
      </c>
      <c r="K5" s="1489">
        <f>'NOTE 21'!H5</f>
        <v>1</v>
      </c>
      <c r="L5" s="1489"/>
    </row>
    <row r="6" spans="1:14" s="626" customFormat="1" ht="15" customHeight="1">
      <c r="A6" s="317" t="s">
        <v>2291</v>
      </c>
      <c r="B6" s="317"/>
      <c r="C6" s="1275" t="str">
        <f>'NOTE 21'!C6</f>
        <v/>
      </c>
      <c r="D6" s="1275"/>
      <c r="E6" s="1275"/>
      <c r="F6" s="1275"/>
      <c r="G6" s="638"/>
      <c r="H6" s="630"/>
      <c r="I6" s="630"/>
      <c r="J6" s="629"/>
      <c r="K6" s="630"/>
      <c r="L6" s="630"/>
    </row>
    <row r="7" spans="1:14" ht="35.25" customHeight="1">
      <c r="A7" s="1273" t="s">
        <v>2292</v>
      </c>
      <c r="B7" s="1273"/>
      <c r="C7" s="1273"/>
      <c r="D7" s="1273"/>
      <c r="E7" s="1273"/>
      <c r="F7" s="1273"/>
      <c r="G7" s="1273"/>
      <c r="H7" s="1273"/>
      <c r="I7" s="1273"/>
      <c r="J7" s="1273"/>
      <c r="K7" s="1273"/>
      <c r="L7" s="1273"/>
    </row>
    <row r="8" spans="1:14">
      <c r="A8" s="2001" t="s">
        <v>1599</v>
      </c>
      <c r="B8" s="2002"/>
      <c r="C8" s="2002"/>
      <c r="D8" s="2003"/>
      <c r="E8" s="649" t="s">
        <v>1261</v>
      </c>
      <c r="F8" s="1645" t="s">
        <v>1273</v>
      </c>
      <c r="G8" s="1645"/>
      <c r="H8" s="1645"/>
      <c r="I8" s="1645" t="s">
        <v>1276</v>
      </c>
      <c r="J8" s="1645"/>
      <c r="K8" s="1645"/>
      <c r="L8" s="649" t="s">
        <v>1602</v>
      </c>
      <c r="M8" s="1102" t="s">
        <v>11588</v>
      </c>
      <c r="N8" s="1103"/>
    </row>
    <row r="9" spans="1:14">
      <c r="A9" s="2004"/>
      <c r="B9" s="2005"/>
      <c r="C9" s="2005"/>
      <c r="D9" s="2006"/>
      <c r="E9" s="1645" t="s">
        <v>2293</v>
      </c>
      <c r="F9" s="1645" t="s">
        <v>2294</v>
      </c>
      <c r="G9" s="1645"/>
      <c r="H9" s="1645"/>
      <c r="I9" s="1645" t="s">
        <v>2295</v>
      </c>
      <c r="J9" s="1645"/>
      <c r="K9" s="1645"/>
      <c r="L9" s="1645" t="s">
        <v>2296</v>
      </c>
      <c r="M9" s="1102" t="s">
        <v>11589</v>
      </c>
      <c r="N9" s="1102" t="s">
        <v>11590</v>
      </c>
    </row>
    <row r="10" spans="1:14" ht="20.399999999999999">
      <c r="A10" s="1998" t="s">
        <v>2297</v>
      </c>
      <c r="B10" s="1999"/>
      <c r="C10" s="1999"/>
      <c r="D10" s="2000"/>
      <c r="E10" s="1645"/>
      <c r="F10" s="649" t="s">
        <v>2298</v>
      </c>
      <c r="G10" s="649" t="s">
        <v>2299</v>
      </c>
      <c r="H10" s="649" t="s">
        <v>2300</v>
      </c>
      <c r="I10" s="649" t="s">
        <v>2298</v>
      </c>
      <c r="J10" s="649" t="s">
        <v>2299</v>
      </c>
      <c r="K10" s="649" t="s">
        <v>2300</v>
      </c>
      <c r="L10" s="1645"/>
      <c r="M10" s="1104"/>
      <c r="N10" s="1104"/>
    </row>
    <row r="11" spans="1:14" ht="17.25" customHeight="1">
      <c r="A11" s="1748" t="s">
        <v>2301</v>
      </c>
      <c r="B11" s="1748"/>
      <c r="C11" s="1748"/>
      <c r="D11" s="1748"/>
      <c r="E11" s="581">
        <f>SUMIFS(BalanceN[BE_Credit],BalanceN[Table],"&gt;=15000",BalanceN[Table],"&lt;16000")</f>
        <v>0</v>
      </c>
      <c r="F11" s="433"/>
      <c r="G11" s="433"/>
      <c r="H11" s="581">
        <f>SUMIFS(BalanceN[Mvt_Credit],BalanceN[Table],"&gt;=15000",BalanceN[Table],"&lt;16000")</f>
        <v>40000000</v>
      </c>
      <c r="I11" s="434"/>
      <c r="J11" s="434"/>
      <c r="K11" s="581">
        <f>SUMIFS(BalanceN[Mvt_Debit],BalanceN[Table],"&gt;=15000",BalanceN[Table],"&lt;16000")</f>
        <v>0</v>
      </c>
      <c r="L11" s="581">
        <f>E11+F11+G11+H11-I11-J11-K11</f>
        <v>40000000</v>
      </c>
    </row>
    <row r="12" spans="1:14" ht="17.25" customHeight="1">
      <c r="A12" s="1748" t="s">
        <v>2302</v>
      </c>
      <c r="B12" s="1748"/>
      <c r="C12" s="1748"/>
      <c r="D12" s="1748"/>
      <c r="E12" s="581">
        <f>SUMIFS(BalanceN[BE_Credit],BalanceN[Table],"&gt;=19000",BalanceN[Table],"&lt;20000")</f>
        <v>54864697</v>
      </c>
      <c r="F12" s="581">
        <f>SUMIFS(BalanceN[Mvt_Credit],BalanceN[Table],"&gt;=19000",BalanceN[Table],"&lt;20000")-G12-H12</f>
        <v>13953199</v>
      </c>
      <c r="G12" s="435"/>
      <c r="H12" s="345"/>
      <c r="I12" s="581">
        <f>SUMIFS(BalanceN[Mvt_Debit],BalanceN[Table],"&gt;=19000",BalanceN[Table],"&lt;20000")-J12-K12</f>
        <v>6701530</v>
      </c>
      <c r="J12" s="345"/>
      <c r="K12" s="345"/>
      <c r="L12" s="581">
        <f t="shared" ref="L12:L29" si="0">E12+F12+G12+H12-I12-J12-K12</f>
        <v>62116366</v>
      </c>
    </row>
    <row r="13" spans="1:14" ht="17.25" customHeight="1">
      <c r="A13" s="1748" t="s">
        <v>2303</v>
      </c>
      <c r="B13" s="1748"/>
      <c r="C13" s="1748"/>
      <c r="D13" s="1748"/>
      <c r="E13" s="581">
        <f>SUMIFS(BalanceN[BE_Credit],BalanceN[Table],"&gt;=29000",BalanceN[Table],"&lt;30000")</f>
        <v>0</v>
      </c>
      <c r="F13" s="581">
        <f>SUMIFS(BalanceN[Mvt_Credit],BalanceN[Table],"&gt;=29000",BalanceN[Table],"&lt;30000")-G13-H13</f>
        <v>0</v>
      </c>
      <c r="G13" s="435"/>
      <c r="H13" s="345"/>
      <c r="I13" s="581">
        <f>SUMIFS(BalanceN[Mvt_Debit],BalanceN[Table],"&gt;=29000",BalanceN[Table],"&lt;30000")-J13-K13</f>
        <v>0</v>
      </c>
      <c r="J13" s="345"/>
      <c r="K13" s="345"/>
      <c r="L13" s="581">
        <f>E13+F13+G13+H13-I13-J13-K13</f>
        <v>0</v>
      </c>
    </row>
    <row r="14" spans="1:14" ht="17.25" customHeight="1">
      <c r="A14" s="1868" t="s">
        <v>2304</v>
      </c>
      <c r="B14" s="1868"/>
      <c r="C14" s="1868"/>
      <c r="D14" s="1868"/>
      <c r="E14" s="580">
        <f t="shared" ref="E14:K14" si="1">SUM(E11:E13)</f>
        <v>54864697</v>
      </c>
      <c r="F14" s="580">
        <f t="shared" si="1"/>
        <v>13953199</v>
      </c>
      <c r="G14" s="580">
        <f t="shared" si="1"/>
        <v>0</v>
      </c>
      <c r="H14" s="580">
        <f t="shared" si="1"/>
        <v>40000000</v>
      </c>
      <c r="I14" s="580">
        <f t="shared" si="1"/>
        <v>6701530</v>
      </c>
      <c r="J14" s="580">
        <f t="shared" si="1"/>
        <v>0</v>
      </c>
      <c r="K14" s="580">
        <f t="shared" si="1"/>
        <v>0</v>
      </c>
      <c r="L14" s="580">
        <f t="shared" si="0"/>
        <v>102116366</v>
      </c>
      <c r="M14" s="1105">
        <f>(F14+G14+H14)-(SUMIFS(BalanceN[BS_Debit],BalanceN[Table],"&gt;=69000",BalanceN[Table],"&lt;70000")+SUMIFS(BalanceN[BS_Debit],BalanceN[Table],"&gt;=85000",BalanceN[Table],"&lt;86000"))</f>
        <v>46701530</v>
      </c>
      <c r="N14" s="1105">
        <f>(I14+J14+K14)-(SUMIFS(BalanceN[BS_Credit],BalanceN[Table],"&gt;=79000",BalanceN[Table],"&lt;80000")+SUMIFS(BalanceN[BS_Credit],BalanceN[Table],"&gt;=86000",BalanceN[Table],"&lt;87000"))</f>
        <v>6701530</v>
      </c>
    </row>
    <row r="15" spans="1:14" ht="17.25" customHeight="1">
      <c r="A15" s="1748" t="s">
        <v>2305</v>
      </c>
      <c r="B15" s="1748"/>
      <c r="C15" s="1748"/>
      <c r="D15" s="1748"/>
      <c r="E15" s="581">
        <f>SUMIFS(BalanceN[BE_Credit],BalanceN[Table],"&gt;=39000",BalanceN[Table],"&lt;40000")</f>
        <v>0</v>
      </c>
      <c r="F15" s="581">
        <f>SUMIFS(BalanceN[Mvt_Credit],BalanceN[Table],"&gt;=39000",BalanceN[Table],"&lt;40000")-H15</f>
        <v>0</v>
      </c>
      <c r="G15" s="434"/>
      <c r="H15" s="345"/>
      <c r="I15" s="581">
        <f>SUMIFS(BalanceN[Mvt_Debit],BalanceN[Table],"&gt;=39000",BalanceN[Table],"&lt;40000")-K15</f>
        <v>0</v>
      </c>
      <c r="J15" s="434"/>
      <c r="K15" s="345"/>
      <c r="L15" s="581">
        <f t="shared" si="0"/>
        <v>0</v>
      </c>
    </row>
    <row r="16" spans="1:14" ht="17.25" customHeight="1">
      <c r="A16" s="1748" t="s">
        <v>2306</v>
      </c>
      <c r="B16" s="1748"/>
      <c r="C16" s="1748"/>
      <c r="D16" s="1748"/>
      <c r="E16" s="581">
        <f>SUMIFS(BalanceN[BE_Credit],BalanceN[Table],"&gt;=49000",BalanceN[Table],"&lt;49100")</f>
        <v>0</v>
      </c>
      <c r="F16" s="581">
        <f>SUMIFS(BalanceN[Mvt_Credit],BalanceN[Table],"&gt;=49000",BalanceN[Table],"&lt;49100")-H16</f>
        <v>0</v>
      </c>
      <c r="G16" s="434"/>
      <c r="H16" s="345"/>
      <c r="I16" s="581">
        <f>SUMIFS(BalanceN[Mvt_Debit],BalanceN[Table],"&gt;=49000",BalanceN[Table],"&lt;49100")-K16</f>
        <v>0</v>
      </c>
      <c r="J16" s="434"/>
      <c r="K16" s="345"/>
      <c r="L16" s="581">
        <f t="shared" si="0"/>
        <v>0</v>
      </c>
    </row>
    <row r="17" spans="1:14" ht="17.25" customHeight="1">
      <c r="A17" s="1748" t="s">
        <v>1777</v>
      </c>
      <c r="B17" s="1748"/>
      <c r="C17" s="1748"/>
      <c r="D17" s="1748"/>
      <c r="E17" s="581">
        <f>SUMIFS(BalanceN[BE_Credit],BalanceN[Table],"&gt;=49100",BalanceN[Table],"&lt;49200")</f>
        <v>31677520</v>
      </c>
      <c r="F17" s="581">
        <f>SUMIFS(BalanceN[Mvt_Credit],BalanceN[Table],"&gt;=49100",BalanceN[Table],"&lt;49200")-H17</f>
        <v>0</v>
      </c>
      <c r="G17" s="434"/>
      <c r="H17" s="345"/>
      <c r="I17" s="581">
        <f>SUMIFS(BalanceN[Mvt_Debit],BalanceN[Table],"&gt;=49100",BalanceN[Table],"&lt;49200")-K17</f>
        <v>0</v>
      </c>
      <c r="J17" s="434"/>
      <c r="K17" s="345"/>
      <c r="L17" s="581">
        <f t="shared" si="0"/>
        <v>31677520</v>
      </c>
    </row>
    <row r="18" spans="1:14" ht="17.25" customHeight="1">
      <c r="A18" s="1748" t="s">
        <v>2307</v>
      </c>
      <c r="B18" s="1748"/>
      <c r="C18" s="1748"/>
      <c r="D18" s="1748"/>
      <c r="E18" s="581">
        <f>SUMIFS(BalanceN[BE_Credit],BalanceN[Table],"&gt;=49700",BalanceN[Table],"&lt;49800")</f>
        <v>0</v>
      </c>
      <c r="F18" s="581">
        <f>SUMIFS(BalanceN[Mvt_Credit],BalanceN[Table],"&gt;=49700",BalanceN[Table],"&lt;49800")-H18</f>
        <v>0</v>
      </c>
      <c r="G18" s="434"/>
      <c r="H18" s="345"/>
      <c r="I18" s="581">
        <f>SUMIFS(BalanceN[Mvt_Debit],BalanceN[Table],"&gt;=49700",BalanceN[Table],"&lt;49800")-K18</f>
        <v>0</v>
      </c>
      <c r="J18" s="434"/>
      <c r="K18" s="345"/>
      <c r="L18" s="581">
        <f t="shared" si="0"/>
        <v>0</v>
      </c>
    </row>
    <row r="19" spans="1:14" ht="17.25" customHeight="1">
      <c r="A19" s="1748" t="s">
        <v>2308</v>
      </c>
      <c r="B19" s="1748"/>
      <c r="C19" s="1748"/>
      <c r="D19" s="1748"/>
      <c r="E19" s="581">
        <f>SUMIFS(BalanceN[BE_Credit],BalanceN[Table],"&gt;=49800",BalanceN[Table],"&lt;49900")</f>
        <v>0</v>
      </c>
      <c r="F19" s="345"/>
      <c r="G19" s="434"/>
      <c r="H19" s="581">
        <f>SUMIFS(BalanceN[Mvt_Credit],BalanceN[Table],"&gt;=49800",BalanceN[Table],"&lt;49900")-F19</f>
        <v>0</v>
      </c>
      <c r="I19" s="581">
        <f>SUMIFS(BalanceN[Mvt_Debit],BalanceN[Table],"&gt;=49800",BalanceN[Table],"&lt;49900")-K19</f>
        <v>0</v>
      </c>
      <c r="J19" s="434"/>
      <c r="K19" s="345"/>
      <c r="L19" s="581">
        <f t="shared" si="0"/>
        <v>0</v>
      </c>
    </row>
    <row r="20" spans="1:14" ht="17.25" customHeight="1">
      <c r="A20" s="1748" t="s">
        <v>2309</v>
      </c>
      <c r="B20" s="1748"/>
      <c r="C20" s="1748"/>
      <c r="D20" s="1748"/>
      <c r="E20" s="581">
        <f>SUMIFS(BalanceN[BE_Credit],BalanceN[Table],"&gt;=59000",BalanceN[Table],"&lt;59100")</f>
        <v>0</v>
      </c>
      <c r="F20" s="434"/>
      <c r="G20" s="581">
        <f>SUMIFS(BalanceN[Mvt_Credit],BalanceN[Table],"&gt;=59000",BalanceN[Table],"&lt;59100")-H20</f>
        <v>0</v>
      </c>
      <c r="H20" s="345"/>
      <c r="I20" s="434"/>
      <c r="J20" s="581">
        <f>SUMIFS(BalanceN[Mvt_Debit],BalanceN[Table],"&gt;=59000",BalanceN[Table],"&lt;59100")-K20</f>
        <v>0</v>
      </c>
      <c r="K20" s="345"/>
      <c r="L20" s="581">
        <f t="shared" si="0"/>
        <v>0</v>
      </c>
    </row>
    <row r="21" spans="1:14" ht="17.25" customHeight="1">
      <c r="A21" s="1748" t="s">
        <v>2310</v>
      </c>
      <c r="B21" s="1748"/>
      <c r="C21" s="1748"/>
      <c r="D21" s="1748"/>
      <c r="E21" s="581">
        <f>SUMIFS(BalanceN[BE_Credit],BalanceN[Table],"&gt;=59100",BalanceN[Table],"&lt;59200")</f>
        <v>0</v>
      </c>
      <c r="F21" s="434"/>
      <c r="G21" s="581">
        <f>SUMIFS(BalanceN[Mvt_Credit],BalanceN[Table],"&gt;=59100",BalanceN[Table],"&lt;59200")-H21</f>
        <v>0</v>
      </c>
      <c r="H21" s="345"/>
      <c r="I21" s="434"/>
      <c r="J21" s="581">
        <f>SUMIFS(BalanceN[Mvt_Debit],BalanceN[Table],"&gt;=59100",BalanceN[Table],"&lt;59200")-K21</f>
        <v>0</v>
      </c>
      <c r="K21" s="345"/>
      <c r="L21" s="581">
        <f t="shared" si="0"/>
        <v>0</v>
      </c>
    </row>
    <row r="22" spans="1:14" ht="17.25" customHeight="1">
      <c r="A22" s="1748" t="s">
        <v>2311</v>
      </c>
      <c r="B22" s="1748"/>
      <c r="C22" s="1748"/>
      <c r="D22" s="1748"/>
      <c r="E22" s="581">
        <f>SUMIFS(BalanceN[BE_Credit],BalanceN[Table],"&gt;=59200",BalanceN[Table],"&lt;59300")</f>
        <v>0</v>
      </c>
      <c r="F22" s="434"/>
      <c r="G22" s="581">
        <f>SUMIFS(BalanceN[Mvt_Credit],BalanceN[Table],"&gt;=59200",BalanceN[Table],"&lt;59300")-H22</f>
        <v>0</v>
      </c>
      <c r="H22" s="345"/>
      <c r="I22" s="434"/>
      <c r="J22" s="581">
        <f>SUMIFS(BalanceN[Mvt_Debit],BalanceN[Table],"&gt;=59200",BalanceN[Table],"&lt;59300")-K22</f>
        <v>0</v>
      </c>
      <c r="K22" s="345"/>
      <c r="L22" s="581">
        <f t="shared" si="0"/>
        <v>0</v>
      </c>
    </row>
    <row r="23" spans="1:14" ht="26.25" customHeight="1">
      <c r="A23" s="1748" t="s">
        <v>2312</v>
      </c>
      <c r="B23" s="1748"/>
      <c r="C23" s="1748"/>
      <c r="D23" s="1748"/>
      <c r="E23" s="581">
        <f>SUMIFS(BalanceN[BE_Credit],BalanceN[Table],"&gt;=59300",BalanceN[Table],"&lt;59400")</f>
        <v>0</v>
      </c>
      <c r="F23" s="434"/>
      <c r="G23" s="581">
        <f>SUMIFS(BalanceN[Mvt_Credit],BalanceN[Table],"&gt;=59300",BalanceN[Table],"&lt;59400")-H23</f>
        <v>0</v>
      </c>
      <c r="H23" s="345"/>
      <c r="I23" s="434"/>
      <c r="J23" s="581">
        <f>SUMIFS(BalanceN[Mvt_Debit],BalanceN[Table],"&gt;=59300",BalanceN[Table],"&lt;59400")-K23</f>
        <v>0</v>
      </c>
      <c r="K23" s="345"/>
      <c r="L23" s="581">
        <f t="shared" si="0"/>
        <v>0</v>
      </c>
    </row>
    <row r="24" spans="1:14" ht="26.25" customHeight="1">
      <c r="A24" s="1995" t="s">
        <v>2313</v>
      </c>
      <c r="B24" s="1996"/>
      <c r="C24" s="1996"/>
      <c r="D24" s="1997"/>
      <c r="E24" s="581">
        <f>SUMIFS(BalanceN[BE_Credit],BalanceN[Table],"&gt;=59400",BalanceN[Table],"&lt;59500")</f>
        <v>0</v>
      </c>
      <c r="F24" s="434"/>
      <c r="G24" s="581">
        <f>SUMIFS(BalanceN[Mvt_Credit],BalanceN[Table],"&gt;=59400",BalanceN[Table],"&lt;59500")-H24</f>
        <v>0</v>
      </c>
      <c r="H24" s="345"/>
      <c r="I24" s="434"/>
      <c r="J24" s="581">
        <f>SUMIFS(BalanceN[Mvt_Debit],BalanceN[Table],"&gt;=59400",BalanceN[Table],"&lt;59500")-K24</f>
        <v>0</v>
      </c>
      <c r="K24" s="345"/>
      <c r="L24" s="581">
        <f t="shared" si="0"/>
        <v>0</v>
      </c>
    </row>
    <row r="25" spans="1:14" ht="26.25" customHeight="1">
      <c r="A25" s="1995" t="s">
        <v>2314</v>
      </c>
      <c r="B25" s="1996"/>
      <c r="C25" s="1996"/>
      <c r="D25" s="1997"/>
      <c r="E25" s="581">
        <f>SUMIFS(BalanceN[BE_Credit],BalanceN[Table],"&gt;=49910",BalanceN[Table],"&lt;49920")</f>
        <v>0</v>
      </c>
      <c r="F25" s="581">
        <f>SUMIFS(BalanceN[Mvt_Credit],BalanceN[Table],"&gt;=49910",BalanceN[Table],"&lt;49920")</f>
        <v>0</v>
      </c>
      <c r="G25" s="434"/>
      <c r="H25" s="434"/>
      <c r="I25" s="581">
        <f>SUMIFS(BalanceN[Mvt_Debit],BalanceN[Table],"&gt;=49910",BalanceN[Table],"&lt;49920")</f>
        <v>0</v>
      </c>
      <c r="J25" s="434"/>
      <c r="K25" s="434"/>
      <c r="L25" s="581">
        <f t="shared" si="0"/>
        <v>0</v>
      </c>
    </row>
    <row r="26" spans="1:14" ht="26.25" customHeight="1">
      <c r="A26" s="1995" t="s">
        <v>2315</v>
      </c>
      <c r="B26" s="1996"/>
      <c r="C26" s="1996"/>
      <c r="D26" s="1997"/>
      <c r="E26" s="581">
        <f>SUMIFS(BalanceN[BE_Credit],BalanceN[Table],"&gt;=49980",BalanceN[Table],"&lt;49990")</f>
        <v>0</v>
      </c>
      <c r="F26" s="434"/>
      <c r="G26" s="434"/>
      <c r="H26" s="581">
        <f>SUMIFS(BalanceN[Mvt_Credit],BalanceN[Table],"&gt;=49980",BalanceN[Table],"&lt;49990")</f>
        <v>0</v>
      </c>
      <c r="I26" s="434"/>
      <c r="J26" s="434"/>
      <c r="K26" s="581">
        <f>SUMIFS(BalanceN[Mvt_Debit],BalanceN[Table],"&gt;=49980",BalanceN[Table],"&lt;49990")</f>
        <v>0</v>
      </c>
      <c r="L26" s="581">
        <f t="shared" si="0"/>
        <v>0</v>
      </c>
    </row>
    <row r="27" spans="1:14" ht="26.25" customHeight="1">
      <c r="A27" s="1995" t="s">
        <v>2316</v>
      </c>
      <c r="B27" s="1996"/>
      <c r="C27" s="1996"/>
      <c r="D27" s="1997"/>
      <c r="E27" s="581">
        <f>SUMIFS(BalanceN[BE_Credit],BalanceN[Table],"&gt;=59900",BalanceN[Table],"&lt;60000")</f>
        <v>0</v>
      </c>
      <c r="F27" s="434"/>
      <c r="G27" s="581">
        <f>SUMIFS(BalanceN[Mvt_Credit],BalanceN[Table],"&gt;=59900",BalanceN[Table],"&lt;60000")</f>
        <v>0</v>
      </c>
      <c r="H27" s="434"/>
      <c r="I27" s="434"/>
      <c r="J27" s="581">
        <f>SUMIFS(BalanceN[Mvt_Debit],BalanceN[Table],"&gt;=59900",BalanceN[Table],"&lt;60000")</f>
        <v>0</v>
      </c>
      <c r="K27" s="434"/>
      <c r="L27" s="581">
        <f t="shared" si="0"/>
        <v>0</v>
      </c>
    </row>
    <row r="28" spans="1:14" ht="30" customHeight="1">
      <c r="A28" s="1868" t="s">
        <v>2317</v>
      </c>
      <c r="B28" s="1868"/>
      <c r="C28" s="1868"/>
      <c r="D28" s="1868"/>
      <c r="E28" s="580">
        <f>SUM(E15:E27)</f>
        <v>31677520</v>
      </c>
      <c r="F28" s="580">
        <f t="shared" ref="F28:K28" si="2">SUM(F15:F27)</f>
        <v>0</v>
      </c>
      <c r="G28" s="580">
        <f t="shared" si="2"/>
        <v>0</v>
      </c>
      <c r="H28" s="580">
        <f t="shared" si="2"/>
        <v>0</v>
      </c>
      <c r="I28" s="580">
        <f t="shared" si="2"/>
        <v>0</v>
      </c>
      <c r="J28" s="580">
        <f t="shared" si="2"/>
        <v>0</v>
      </c>
      <c r="K28" s="580">
        <f t="shared" si="2"/>
        <v>0</v>
      </c>
      <c r="L28" s="580">
        <f t="shared" si="0"/>
        <v>31677520</v>
      </c>
      <c r="M28" s="1105">
        <f>F28+G28+H28-(SUMIFS(BalanceN[BS_Debit],BalanceN[Table],"&gt;=65900",BalanceN[Table],"&lt;66000")+SUMIFS(BalanceN[BS_Debit],BalanceN[Table],"&gt;=67900",BalanceN[Table],"&lt;68000")+SUMIFS(BalanceN[BS_Credit],BalanceN[Table],"&gt;=83900",BalanceN[Table],"&lt;84000"))</f>
        <v>0</v>
      </c>
      <c r="N28" s="1105">
        <f>I28+J28+K28-(SUMIFS(BalanceN[BS_Credit],BalanceN[Table],"&gt;=75900",BalanceN[Table],"&lt;76000")+SUMIFS(BalanceN[BS_Credit],BalanceN[Table],"&gt;=77900",BalanceN[Table],"&lt;78000")+SUMIFS(BalanceN[BS_Credit],BalanceN[Table],"&gt;=84900",BalanceN[Table],"&lt;85000"))</f>
        <v>0</v>
      </c>
    </row>
    <row r="29" spans="1:14">
      <c r="A29" s="1930" t="s">
        <v>2318</v>
      </c>
      <c r="B29" s="1930"/>
      <c r="C29" s="1930"/>
      <c r="D29" s="1930"/>
      <c r="E29" s="401">
        <f t="shared" ref="E29:K29" si="3">E14+E28</f>
        <v>86542217</v>
      </c>
      <c r="F29" s="401">
        <f t="shared" si="3"/>
        <v>13953199</v>
      </c>
      <c r="G29" s="401">
        <f t="shared" si="3"/>
        <v>0</v>
      </c>
      <c r="H29" s="401">
        <f t="shared" si="3"/>
        <v>40000000</v>
      </c>
      <c r="I29" s="401">
        <f t="shared" si="3"/>
        <v>6701530</v>
      </c>
      <c r="J29" s="401">
        <f t="shared" si="3"/>
        <v>0</v>
      </c>
      <c r="K29" s="401">
        <f t="shared" si="3"/>
        <v>0</v>
      </c>
      <c r="L29" s="401">
        <f t="shared" si="0"/>
        <v>133793886</v>
      </c>
    </row>
    <row r="30" spans="1:14">
      <c r="A30" s="798" t="s">
        <v>1744</v>
      </c>
    </row>
    <row r="31" spans="1:14">
      <c r="A31" s="800" t="s">
        <v>2319</v>
      </c>
    </row>
  </sheetData>
  <sheetProtection algorithmName="SHA-512" hashValue="dXziIoc5DlE9+Ynjk3Qp4jFwbo986y9lVBg2hi4B/HWvdX+vTFpSgIbqANg+Wa5/ntGEQQ30jYDlIP8yEwTjeg==" saltValue="NlhK+ByeZF76ZQyvIjQvHg==" spinCount="100000" sheet="1" objects="1" scenarios="1" selectLockedCells="1"/>
  <mergeCells count="39">
    <mergeCell ref="C5:F5"/>
    <mergeCell ref="H5:I5"/>
    <mergeCell ref="K5:L5"/>
    <mergeCell ref="A1:L1"/>
    <mergeCell ref="K2:L2"/>
    <mergeCell ref="D3:L3"/>
    <mergeCell ref="B4:I4"/>
    <mergeCell ref="K4:L4"/>
    <mergeCell ref="A9:D9"/>
    <mergeCell ref="E9:E10"/>
    <mergeCell ref="F9:H9"/>
    <mergeCell ref="I9:K9"/>
    <mergeCell ref="L9:L10"/>
    <mergeCell ref="A7:L7"/>
    <mergeCell ref="A8:D8"/>
    <mergeCell ref="F8:H8"/>
    <mergeCell ref="I8:K8"/>
    <mergeCell ref="C6:D6"/>
    <mergeCell ref="E6:F6"/>
    <mergeCell ref="A21:D21"/>
    <mergeCell ref="A10:D10"/>
    <mergeCell ref="A11:D11"/>
    <mergeCell ref="A12:D12"/>
    <mergeCell ref="A13:D13"/>
    <mergeCell ref="A14:D14"/>
    <mergeCell ref="A15:D15"/>
    <mergeCell ref="A16:D16"/>
    <mergeCell ref="A17:D17"/>
    <mergeCell ref="A18:D18"/>
    <mergeCell ref="A19:D19"/>
    <mergeCell ref="A20:D20"/>
    <mergeCell ref="A28:D28"/>
    <mergeCell ref="A29:D29"/>
    <mergeCell ref="A22:D22"/>
    <mergeCell ref="A23:D23"/>
    <mergeCell ref="A24:D24"/>
    <mergeCell ref="A25:D25"/>
    <mergeCell ref="A26:D26"/>
    <mergeCell ref="A27:D27"/>
  </mergeCells>
  <conditionalFormatting sqref="E11:L29">
    <cfRule type="cellIs" dxfId="148" priority="5" operator="equal">
      <formula>0</formula>
    </cfRule>
  </conditionalFormatting>
  <conditionalFormatting sqref="M14:N14 M28:N28">
    <cfRule type="cellIs" dxfId="147" priority="4" operator="equal">
      <formula>0</formula>
    </cfRule>
  </conditionalFormatting>
  <conditionalFormatting sqref="M9">
    <cfRule type="expression" dxfId="146" priority="3">
      <formula>OR($O$14,$O$28&lt;&gt;0)</formula>
    </cfRule>
  </conditionalFormatting>
  <conditionalFormatting sqref="N9">
    <cfRule type="expression" dxfId="145" priority="2">
      <formula>OR($P$14,$P$28&lt;&gt;0)</formula>
    </cfRule>
  </conditionalFormatting>
  <conditionalFormatting sqref="M8:N8">
    <cfRule type="expression" dxfId="144" priority="1">
      <formula>OR($O$14&lt;&gt;0,$P$15&lt;&gt;0,$O$28&lt;&gt;0,$P$28&lt;&gt;0)</formula>
    </cfRule>
  </conditionalFormatting>
  <dataValidations count="1">
    <dataValidation type="whole" allowBlank="1" showInputMessage="1" showErrorMessage="1" errorTitle="Attention!" error="Valeur numérique attendue" sqref="E11:G11 I11:J11" xr:uid="{E702BEB9-B016-466A-81BD-1285C09BBAD6}">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5" orientation="landscape"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9B84-89F7-4124-9F0E-571679FFF79E}">
  <sheetPr codeName="Feuil57">
    <tabColor theme="9" tint="0.39997558519241921"/>
    <pageSetUpPr fitToPage="1"/>
  </sheetPr>
  <dimension ref="A1:H38"/>
  <sheetViews>
    <sheetView showGridLines="0" showRowColHeaders="0" zoomScaleNormal="100" workbookViewId="0">
      <selection activeCell="W46" sqref="W46"/>
    </sheetView>
  </sheetViews>
  <sheetFormatPr baseColWidth="10" defaultColWidth="11.5234375" defaultRowHeight="14.4"/>
  <cols>
    <col min="1" max="1" width="11.5234375" style="103"/>
    <col min="2" max="2" width="16.68359375" style="103" customWidth="1"/>
    <col min="3" max="3" width="2.41796875" style="103" customWidth="1"/>
    <col min="4" max="4" width="11.3125" style="103" customWidth="1"/>
    <col min="5" max="5" width="22.1015625" style="103" customWidth="1"/>
    <col min="6" max="7" width="15.68359375" style="103" customWidth="1"/>
    <col min="8" max="8" width="12.41796875" style="103" customWidth="1"/>
    <col min="9" max="16384" width="11.5234375" style="103"/>
  </cols>
  <sheetData>
    <row r="1" spans="1:8">
      <c r="A1" s="1276" t="str">
        <f>"- "&amp;Code!K56&amp;" -"</f>
        <v>- 33 -</v>
      </c>
      <c r="B1" s="1276"/>
      <c r="C1" s="1276"/>
      <c r="D1" s="1276"/>
      <c r="E1" s="1276"/>
      <c r="F1" s="1276"/>
      <c r="G1" s="1276"/>
      <c r="H1" s="1276"/>
    </row>
    <row r="2" spans="1:8" ht="24.9" customHeight="1">
      <c r="A2" s="576"/>
      <c r="B2" s="576"/>
      <c r="C2" s="576"/>
      <c r="D2" s="576"/>
      <c r="E2" s="576"/>
      <c r="F2" s="576"/>
      <c r="G2" s="1278" t="s">
        <v>2320</v>
      </c>
      <c r="H2" s="1765"/>
    </row>
    <row r="3" spans="1:8" s="626" customFormat="1" ht="15" customHeight="1">
      <c r="A3" s="317" t="s">
        <v>50</v>
      </c>
      <c r="B3" s="317"/>
      <c r="C3" s="1280" t="str">
        <f>'NOTE 21'!C3</f>
        <v>OHADA</v>
      </c>
      <c r="D3" s="1280"/>
      <c r="E3" s="1280"/>
      <c r="F3" s="1280"/>
      <c r="G3" s="1280"/>
      <c r="H3" s="1280"/>
    </row>
    <row r="4" spans="1:8" s="626" customFormat="1" ht="15" customHeight="1">
      <c r="A4" s="317" t="s">
        <v>51</v>
      </c>
      <c r="B4" s="1280" t="str">
        <f>'NOTE 21'!B4</f>
        <v/>
      </c>
      <c r="C4" s="1281"/>
      <c r="D4" s="1281"/>
      <c r="E4" s="1281"/>
      <c r="F4" s="1281"/>
      <c r="G4" s="627" t="s">
        <v>1021</v>
      </c>
      <c r="H4" s="630" t="str">
        <f>'NOTE 21'!H4</f>
        <v/>
      </c>
    </row>
    <row r="5" spans="1:8" s="626" customFormat="1" ht="15" customHeight="1">
      <c r="A5" s="317" t="s">
        <v>1597</v>
      </c>
      <c r="B5" s="317"/>
      <c r="C5" s="1281" t="str">
        <f>'NOTE 21'!C5</f>
        <v/>
      </c>
      <c r="D5" s="1281"/>
      <c r="E5" s="642" t="s">
        <v>54</v>
      </c>
      <c r="F5" s="647">
        <f>'NOTE 21'!F5</f>
        <v>0</v>
      </c>
      <c r="G5" s="627" t="s">
        <v>55</v>
      </c>
      <c r="H5" s="795">
        <f>'NOTE 21'!H5</f>
        <v>1</v>
      </c>
    </row>
    <row r="6" spans="1:8" s="626" customFormat="1" ht="15" customHeight="1">
      <c r="A6" s="317" t="s">
        <v>1533</v>
      </c>
      <c r="B6" s="317"/>
      <c r="C6" s="1275" t="str">
        <f>'NOTE 21'!C6</f>
        <v/>
      </c>
      <c r="D6" s="1275"/>
      <c r="E6" s="638"/>
      <c r="F6" s="630"/>
      <c r="G6" s="629"/>
      <c r="H6" s="630"/>
    </row>
    <row r="7" spans="1:8" ht="35.25" customHeight="1">
      <c r="A7" s="1273" t="s">
        <v>2321</v>
      </c>
      <c r="B7" s="1273"/>
      <c r="C7" s="1273"/>
      <c r="D7" s="1273"/>
      <c r="E7" s="1273"/>
      <c r="F7" s="1273"/>
      <c r="G7" s="1273"/>
      <c r="H7" s="1273"/>
    </row>
    <row r="8" spans="1:8" ht="33" customHeight="1">
      <c r="A8" s="1643" t="s">
        <v>1692</v>
      </c>
      <c r="B8" s="1643"/>
      <c r="C8" s="1643"/>
      <c r="D8" s="1643"/>
      <c r="E8" s="1643"/>
      <c r="F8" s="797" t="s">
        <v>1693</v>
      </c>
      <c r="G8" s="797" t="s">
        <v>1694</v>
      </c>
      <c r="H8" s="797" t="s">
        <v>1731</v>
      </c>
    </row>
    <row r="9" spans="1:8" ht="17.25" customHeight="1">
      <c r="A9" s="1749" t="s">
        <v>2322</v>
      </c>
      <c r="B9" s="1783"/>
      <c r="C9" s="1783"/>
      <c r="D9" s="1783"/>
      <c r="E9" s="1784"/>
      <c r="F9" s="413">
        <f>SUMIFS(BalanceN[BS_Debit],BalanceN[Table],"&gt;=67100",BalanceN[Table],"&lt;67200")</f>
        <v>3500000</v>
      </c>
      <c r="G9" s="413">
        <f>SUMIFS(BalanceN1[BS_Debit],BalanceN1[Table],"&gt;=67100",BalanceN1[Table],"&lt;67200")</f>
        <v>0</v>
      </c>
      <c r="H9" s="414">
        <f t="shared" ref="H9:H18" si="0">IF(G9,(F9-G9)/G9,IF(ISBLANK(G9),"",IF(F9,IF( F9 &gt; 0,1,-1),"")))</f>
        <v>1</v>
      </c>
    </row>
    <row r="10" spans="1:8" ht="17.25" customHeight="1">
      <c r="A10" s="1749" t="s">
        <v>2323</v>
      </c>
      <c r="B10" s="1783"/>
      <c r="C10" s="1783"/>
      <c r="D10" s="1783"/>
      <c r="E10" s="1784"/>
      <c r="F10" s="413">
        <f>SUMIFS(BalanceN[BS_Debit],BalanceN[Table],"&gt;=67200",BalanceN[Table],"&lt;67300")</f>
        <v>0</v>
      </c>
      <c r="G10" s="413">
        <f>SUMIFS(BalanceN1[BS_Debit],BalanceN1[Table],"&gt;=67200",BalanceN1[Table],"&lt;67300")</f>
        <v>0</v>
      </c>
      <c r="H10" s="414" t="str">
        <f t="shared" si="0"/>
        <v/>
      </c>
    </row>
    <row r="11" spans="1:8" ht="17.25" customHeight="1">
      <c r="A11" s="1749" t="s">
        <v>2324</v>
      </c>
      <c r="B11" s="1783"/>
      <c r="C11" s="1783"/>
      <c r="D11" s="1783"/>
      <c r="E11" s="1784"/>
      <c r="F11" s="413">
        <f>SUMIFS(BalanceN[BS_Debit],BalanceN[Table],"&gt;=67300",BalanceN[Table],"&lt;67400")</f>
        <v>0</v>
      </c>
      <c r="G11" s="413">
        <f>SUMIFS(BalanceN1[BS_Debit],BalanceN1[Table],"&gt;=67300",BalanceN1[Table],"&lt;67400")</f>
        <v>0</v>
      </c>
      <c r="H11" s="414" t="str">
        <f t="shared" si="0"/>
        <v/>
      </c>
    </row>
    <row r="12" spans="1:8" ht="17.25" customHeight="1">
      <c r="A12" s="1749" t="s">
        <v>2325</v>
      </c>
      <c r="B12" s="1783"/>
      <c r="C12" s="1783"/>
      <c r="D12" s="1783"/>
      <c r="E12" s="1784"/>
      <c r="F12" s="413">
        <f>SUMIFS(BalanceN[BS_Debit],BalanceN[Table],"&gt;=67400",BalanceN[Table],"&lt;67500")</f>
        <v>0</v>
      </c>
      <c r="G12" s="413">
        <f>SUMIFS(BalanceN1[BS_Debit],BalanceN1[Table],"&gt;=67400",BalanceN1[Table],"&lt;67500")</f>
        <v>0</v>
      </c>
      <c r="H12" s="414" t="str">
        <f t="shared" si="0"/>
        <v/>
      </c>
    </row>
    <row r="13" spans="1:8" ht="17.25" customHeight="1">
      <c r="A13" s="1749" t="s">
        <v>2326</v>
      </c>
      <c r="B13" s="1783"/>
      <c r="C13" s="1783"/>
      <c r="D13" s="1783"/>
      <c r="E13" s="1784"/>
      <c r="F13" s="413">
        <f>SUMIFS(BalanceN[BS_Debit],BalanceN[Table],"&gt;=67500",BalanceN[Table],"&lt;67600")</f>
        <v>0</v>
      </c>
      <c r="G13" s="413">
        <f>SUMIFS(BalanceN1[BS_Debit],BalanceN1[Table],"&gt;=67500",BalanceN1[Table],"&lt;67600")</f>
        <v>0</v>
      </c>
      <c r="H13" s="414" t="str">
        <f t="shared" si="0"/>
        <v/>
      </c>
    </row>
    <row r="14" spans="1:8" ht="17.25" customHeight="1">
      <c r="A14" s="1749" t="s">
        <v>2327</v>
      </c>
      <c r="B14" s="1783"/>
      <c r="C14" s="1783"/>
      <c r="D14" s="1783"/>
      <c r="E14" s="1784"/>
      <c r="F14" s="413">
        <f>SUMIFS(BalanceN[BS_Debit],BalanceN[Table],"&gt;=67600",BalanceN[Table],"&lt;67700")</f>
        <v>0</v>
      </c>
      <c r="G14" s="413">
        <f>SUMIFS(BalanceN1[BS_Debit],BalanceN1[Table],"&gt;=67600",BalanceN1[Table],"&lt;67700")</f>
        <v>0</v>
      </c>
      <c r="H14" s="414" t="str">
        <f t="shared" si="0"/>
        <v/>
      </c>
    </row>
    <row r="15" spans="1:8" ht="17.25" customHeight="1">
      <c r="A15" s="1749" t="s">
        <v>2328</v>
      </c>
      <c r="B15" s="1783"/>
      <c r="C15" s="1783"/>
      <c r="D15" s="1783"/>
      <c r="E15" s="1784"/>
      <c r="F15" s="413">
        <f>SUMIFS(BalanceN[BS_Debit],BalanceN[Table],"&gt;=67710",BalanceN[Table],"&lt;67720")</f>
        <v>0</v>
      </c>
      <c r="G15" s="413">
        <f>SUMIFS(BalanceN1[BS_Debit],BalanceN1[Table],"&gt;=67710",BalanceN1[Table],"&lt;67720")</f>
        <v>0</v>
      </c>
      <c r="H15" s="414" t="str">
        <f t="shared" si="0"/>
        <v/>
      </c>
    </row>
    <row r="16" spans="1:8" ht="27" customHeight="1">
      <c r="A16" s="1749" t="s">
        <v>2329</v>
      </c>
      <c r="B16" s="1783"/>
      <c r="C16" s="1783"/>
      <c r="D16" s="1783"/>
      <c r="E16" s="1784"/>
      <c r="F16" s="413">
        <f>SUMIFS(BalanceN[BS_Debit],BalanceN[Table],"&gt;=67720",BalanceN[Table],"&lt;67730")</f>
        <v>0</v>
      </c>
      <c r="G16" s="413">
        <f>SUMIFS(BalanceN1[BS_Debit],BalanceN1[Table],"&gt;=67720",BalanceN1[Table],"&lt;67730")</f>
        <v>0</v>
      </c>
      <c r="H16" s="414" t="str">
        <f t="shared" si="0"/>
        <v/>
      </c>
    </row>
    <row r="17" spans="1:8" ht="17.25" customHeight="1">
      <c r="A17" s="1749" t="s">
        <v>2330</v>
      </c>
      <c r="B17" s="1783"/>
      <c r="C17" s="1783"/>
      <c r="D17" s="1783"/>
      <c r="E17" s="1784"/>
      <c r="F17" s="413">
        <f>SUMIFS(BalanceN[BS_Debit],BalanceN[Table],"&gt;=67800",BalanceN[Table],"&lt;67900")</f>
        <v>0</v>
      </c>
      <c r="G17" s="413">
        <f>SUMIFS(BalanceN1[BS_Debit],BalanceN1[Table],"&gt;=67800",BalanceN1[Table],"&lt;67900")</f>
        <v>0</v>
      </c>
      <c r="H17" s="414" t="str">
        <f t="shared" si="0"/>
        <v/>
      </c>
    </row>
    <row r="18" spans="1:8" ht="27" customHeight="1">
      <c r="A18" s="1749" t="s">
        <v>2331</v>
      </c>
      <c r="B18" s="1783"/>
      <c r="C18" s="1783"/>
      <c r="D18" s="1783"/>
      <c r="E18" s="1784"/>
      <c r="F18" s="413">
        <f>SUMIFS(BalanceN[BS_Debit],BalanceN[Table],"&gt;=67900",BalanceN[Table],"&lt;68000")</f>
        <v>0</v>
      </c>
      <c r="G18" s="413">
        <f>SUMIFS(BalanceN1[BS_Debit],BalanceN1[Table],"&gt;=67900",BalanceN1[Table],"&lt;68000")</f>
        <v>0</v>
      </c>
      <c r="H18" s="414" t="str">
        <f t="shared" si="0"/>
        <v/>
      </c>
    </row>
    <row r="19" spans="1:8" ht="17.25" customHeight="1">
      <c r="A19" s="1820" t="s">
        <v>2332</v>
      </c>
      <c r="B19" s="1821"/>
      <c r="C19" s="1821"/>
      <c r="D19" s="1821"/>
      <c r="E19" s="1822"/>
      <c r="F19" s="419">
        <f>SUM(F9:F18)</f>
        <v>3500000</v>
      </c>
      <c r="G19" s="419">
        <f>SUM(G9:G18)</f>
        <v>0</v>
      </c>
      <c r="H19" s="417">
        <f>IF(G19,(F19-G19)/G19,IF(ISBLANK(G19),"",IF(F19,IF( F19 &gt; 0,1,-1),"")))</f>
        <v>1</v>
      </c>
    </row>
    <row r="20" spans="1:8" ht="17.25" customHeight="1">
      <c r="A20" s="1749" t="s">
        <v>2333</v>
      </c>
      <c r="B20" s="1783"/>
      <c r="C20" s="1783"/>
      <c r="D20" s="1783"/>
      <c r="E20" s="1784"/>
      <c r="F20" s="581">
        <f>SUMIFS(BalanceN[BS_Credit],BalanceN[Table],"&gt;=77100",BalanceN[Table],"&lt;77200")</f>
        <v>0</v>
      </c>
      <c r="G20" s="581">
        <f>SUMIFS(BalanceN1[BS_Credit],BalanceN1[Table],"&gt;=77100",BalanceN1[Table],"&lt;77200")</f>
        <v>0</v>
      </c>
      <c r="H20" s="414" t="str">
        <f>IF(G20,(F20-G20)/G20,IF(ISBLANK(G20),"",IF(F20,IF( F20 &gt; 0,1,-1),"")))</f>
        <v/>
      </c>
    </row>
    <row r="21" spans="1:8" ht="17.25" customHeight="1">
      <c r="A21" s="1749" t="s">
        <v>2334</v>
      </c>
      <c r="B21" s="1783"/>
      <c r="C21" s="1783"/>
      <c r="D21" s="1783"/>
      <c r="E21" s="1784"/>
      <c r="F21" s="581">
        <f>SUMIFS(BalanceN[BS_Credit],BalanceN[Table],"&gt;=77200",BalanceN[Table],"&lt;77300")</f>
        <v>0</v>
      </c>
      <c r="G21" s="581">
        <f>SUMIFS(BalanceN1[BS_Credit],BalanceN1[Table],"&gt;=77200",BalanceN1[Table],"&lt;77300")</f>
        <v>0</v>
      </c>
      <c r="H21" s="414" t="str">
        <f t="shared" ref="H21:H28" si="1">IF(G21,(F21-G21)/G21,IF(ISBLANK(G21),"",IF(F21,IF( F21 &gt; 0,1,-1),"")))</f>
        <v/>
      </c>
    </row>
    <row r="22" spans="1:8" ht="17.25" customHeight="1">
      <c r="A22" s="1749" t="s">
        <v>2335</v>
      </c>
      <c r="B22" s="1783"/>
      <c r="C22" s="1783"/>
      <c r="D22" s="1783"/>
      <c r="E22" s="1784"/>
      <c r="F22" s="581">
        <f>SUMIFS(BalanceN[BS_Credit],BalanceN[Table],"&gt;=77300",BalanceN[Table],"&lt;77400")</f>
        <v>7500000</v>
      </c>
      <c r="G22" s="581">
        <f>SUMIFS(BalanceN1[BS_Credit],BalanceN1[Table],"&gt;=77300",BalanceN1[Table],"&lt;77400")</f>
        <v>0</v>
      </c>
      <c r="H22" s="414">
        <f t="shared" si="1"/>
        <v>1</v>
      </c>
    </row>
    <row r="23" spans="1:8" ht="17.25" customHeight="1">
      <c r="A23" s="1749" t="s">
        <v>2336</v>
      </c>
      <c r="B23" s="1783"/>
      <c r="C23" s="1783"/>
      <c r="D23" s="1783"/>
      <c r="E23" s="1784"/>
      <c r="F23" s="581">
        <f>SUMIFS(BalanceN[BS_Credit],BalanceN[Table],"&gt;=77400",BalanceN[Table],"&lt;77500")</f>
        <v>0</v>
      </c>
      <c r="G23" s="581">
        <f>SUMIFS(BalanceN1[BS_Credit],BalanceN1[Table],"&gt;=77400",BalanceN1[Table],"&lt;77500")</f>
        <v>0</v>
      </c>
      <c r="H23" s="414" t="str">
        <f t="shared" si="1"/>
        <v/>
      </c>
    </row>
    <row r="24" spans="1:8" ht="17.25" customHeight="1">
      <c r="A24" s="1749" t="s">
        <v>2337</v>
      </c>
      <c r="B24" s="1783"/>
      <c r="C24" s="1783"/>
      <c r="D24" s="1783"/>
      <c r="E24" s="1784"/>
      <c r="F24" s="124">
        <f>SUMIFS(BalanceN[BS_Credit],BalanceN[Table],"&gt;=77500",BalanceN[Table],"&lt;77600")</f>
        <v>0</v>
      </c>
      <c r="G24" s="581">
        <f>SUMIFS(BalanceN1[BS_Credit],BalanceN1[Table],"&gt;=77500",BalanceN1[Table],"&lt;77600")</f>
        <v>0</v>
      </c>
      <c r="H24" s="414" t="str">
        <f t="shared" si="1"/>
        <v/>
      </c>
    </row>
    <row r="25" spans="1:8" ht="17.25" customHeight="1">
      <c r="A25" s="1749" t="s">
        <v>2338</v>
      </c>
      <c r="B25" s="1783"/>
      <c r="C25" s="1783"/>
      <c r="D25" s="1783"/>
      <c r="E25" s="1784"/>
      <c r="F25" s="581">
        <f>SUMIFS(BalanceN[BS_Credit],BalanceN[Table],"&gt;=77600",BalanceN[Table],"&lt;77700")</f>
        <v>0</v>
      </c>
      <c r="G25" s="581">
        <f>SUMIFS(BalanceN1[BS_Credit],BalanceN1[Table],"&gt;=77600",BalanceN1[Table],"&lt;77700")</f>
        <v>0</v>
      </c>
      <c r="H25" s="414" t="str">
        <f t="shared" si="1"/>
        <v/>
      </c>
    </row>
    <row r="26" spans="1:8" ht="17.25" customHeight="1">
      <c r="A26" s="1749" t="s">
        <v>2339</v>
      </c>
      <c r="B26" s="1783"/>
      <c r="C26" s="1783"/>
      <c r="D26" s="1783"/>
      <c r="E26" s="1784"/>
      <c r="F26" s="581">
        <f>SUMIFS(BalanceN[BS_Credit],BalanceN[Table],"&gt;=77700",BalanceN[Table],"&lt;77800")</f>
        <v>0</v>
      </c>
      <c r="G26" s="581">
        <f>SUMIFS(BalanceN1[BS_Credit],BalanceN1[Table],"&gt;=77700",BalanceN1[Table],"&lt;77800")</f>
        <v>0</v>
      </c>
      <c r="H26" s="414" t="str">
        <f t="shared" si="1"/>
        <v/>
      </c>
    </row>
    <row r="27" spans="1:8" ht="17.25" customHeight="1">
      <c r="A27" s="1749" t="s">
        <v>2340</v>
      </c>
      <c r="B27" s="1783"/>
      <c r="C27" s="1783"/>
      <c r="D27" s="1783"/>
      <c r="E27" s="1784"/>
      <c r="F27" s="581">
        <f>SUMIFS(BalanceN[BS_Credit],BalanceN[Table],"&gt;=77800",BalanceN[Table],"&lt;77900")</f>
        <v>0</v>
      </c>
      <c r="G27" s="581">
        <f>SUMIFS(BalanceN1[BS_Credit],BalanceN1[Table],"&gt;=77800",BalanceN1[Table],"&lt;77900")</f>
        <v>0</v>
      </c>
      <c r="H27" s="414" t="str">
        <f t="shared" si="1"/>
        <v/>
      </c>
    </row>
    <row r="28" spans="1:8" ht="27" customHeight="1">
      <c r="A28" s="1749" t="s">
        <v>2341</v>
      </c>
      <c r="B28" s="1783"/>
      <c r="C28" s="1783"/>
      <c r="D28" s="1783"/>
      <c r="E28" s="1784"/>
      <c r="F28" s="581">
        <f>SUMIFS(BalanceN[BS_Credit],BalanceN[Table],"&gt;=77900",BalanceN[Table],"&lt;78000")</f>
        <v>0</v>
      </c>
      <c r="G28" s="581">
        <f>SUMIFS(BalanceN1[BS_Credit],BalanceN1[Table],"&gt;=77900",BalanceN1[Table],"&lt;78000")</f>
        <v>0</v>
      </c>
      <c r="H28" s="414" t="str">
        <f t="shared" si="1"/>
        <v/>
      </c>
    </row>
    <row r="29" spans="1:8" ht="21" customHeight="1">
      <c r="A29" s="1820" t="s">
        <v>2342</v>
      </c>
      <c r="B29" s="1821"/>
      <c r="C29" s="1821"/>
      <c r="D29" s="1821"/>
      <c r="E29" s="1822"/>
      <c r="F29" s="582">
        <f>SUM(F20:F28)</f>
        <v>7500000</v>
      </c>
      <c r="G29" s="582">
        <f>SUM(G20:G28)</f>
        <v>0</v>
      </c>
      <c r="H29" s="417">
        <f>IF(G29,(F29-G29)/G29,IF(ISBLANK(G29),"",IF(F29,IF( F29 &gt; 0,1,-1),"")))</f>
        <v>1</v>
      </c>
    </row>
    <row r="30" spans="1:8" ht="21" customHeight="1">
      <c r="A30" s="1746" t="s">
        <v>2343</v>
      </c>
      <c r="B30" s="1746"/>
      <c r="C30" s="1746"/>
      <c r="D30" s="1746"/>
      <c r="E30" s="1746"/>
      <c r="F30" s="348">
        <f>F29-F19</f>
        <v>4000000</v>
      </c>
      <c r="G30" s="348">
        <f>G29-G19</f>
        <v>0</v>
      </c>
      <c r="H30" s="436">
        <f>IF(G30,(F30-G30)/G30,IF(ISBLANK(G30),"",IF(F30,IF( F30 &gt; 0,1,-1),"")))</f>
        <v>1</v>
      </c>
    </row>
    <row r="31" spans="1:8" s="653" customFormat="1" ht="13.5" customHeight="1">
      <c r="A31" s="798" t="s">
        <v>1761</v>
      </c>
    </row>
    <row r="32" spans="1:8" s="793" customFormat="1" ht="10.5">
      <c r="A32" s="800" t="s">
        <v>1957</v>
      </c>
    </row>
    <row r="33" spans="1:1" s="793" customFormat="1" ht="10.5">
      <c r="A33" s="800" t="s">
        <v>2344</v>
      </c>
    </row>
    <row r="34" spans="1:1" s="636" customFormat="1" ht="10.5">
      <c r="A34" s="801" t="s">
        <v>2345</v>
      </c>
    </row>
    <row r="35" spans="1:1" s="636" customFormat="1" ht="10.5">
      <c r="A35" s="801" t="s">
        <v>2346</v>
      </c>
    </row>
    <row r="36" spans="1:1" s="636" customFormat="1" ht="10.5">
      <c r="A36" s="802" t="s">
        <v>2347</v>
      </c>
    </row>
    <row r="37" spans="1:1" s="636" customFormat="1" ht="10.5">
      <c r="A37" s="801" t="s">
        <v>2348</v>
      </c>
    </row>
    <row r="38" spans="1:1" s="636" customFormat="1" ht="10.5">
      <c r="A38" s="801" t="s">
        <v>2349</v>
      </c>
    </row>
  </sheetData>
  <sheetProtection algorithmName="SHA-512" hashValue="J6fhTf/KqbTaBqUD3zokzx9TADqzgtAl11TjcTJv/2j2tUfPMBoeOi8jL2roQezmCSFnjXFUS3ZBeMO6Lk6Jzg==" saltValue="KgRnJpJZ2PGPVija1Kl9zQ==" spinCount="100000" sheet="1" objects="1" scenarios="1" selectLockedCells="1"/>
  <mergeCells count="30">
    <mergeCell ref="C6:D6"/>
    <mergeCell ref="A1:H1"/>
    <mergeCell ref="G2:H2"/>
    <mergeCell ref="C3:H3"/>
    <mergeCell ref="B4:F4"/>
    <mergeCell ref="C5:D5"/>
    <mergeCell ref="A18:E18"/>
    <mergeCell ref="A7:H7"/>
    <mergeCell ref="A8:E8"/>
    <mergeCell ref="A9:E9"/>
    <mergeCell ref="A10:E10"/>
    <mergeCell ref="A11:E11"/>
    <mergeCell ref="A12:E12"/>
    <mergeCell ref="A13:E13"/>
    <mergeCell ref="A14:E14"/>
    <mergeCell ref="A15:E15"/>
    <mergeCell ref="A16:E16"/>
    <mergeCell ref="A17:E17"/>
    <mergeCell ref="A30:E30"/>
    <mergeCell ref="A19:E19"/>
    <mergeCell ref="A20:E20"/>
    <mergeCell ref="A21:E21"/>
    <mergeCell ref="A22:E22"/>
    <mergeCell ref="A23:E23"/>
    <mergeCell ref="A24:E24"/>
    <mergeCell ref="A25:E25"/>
    <mergeCell ref="A26:E26"/>
    <mergeCell ref="A27:E27"/>
    <mergeCell ref="A28:E28"/>
    <mergeCell ref="A29:E29"/>
  </mergeCells>
  <conditionalFormatting sqref="F9:G30">
    <cfRule type="cellIs" dxfId="143" priority="1" operator="equal">
      <formula>0</formula>
    </cfRule>
  </conditionalFormatting>
  <dataValidations count="1">
    <dataValidation type="whole" allowBlank="1" showInputMessage="1" showErrorMessage="1" errorTitle="Attention!" error="Valeur numérique attendue" sqref="F9:G18 F25:F28 F20:G23 G24:G28" xr:uid="{E7820F31-DDEB-4503-BE4E-B1E5C7FB89B1}">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32453-1CF1-4C77-B2B1-B7798B18DE7E}">
  <sheetPr codeName="Feuil58">
    <tabColor theme="9" tint="0.39997558519241921"/>
    <pageSetUpPr fitToPage="1"/>
  </sheetPr>
  <dimension ref="A1:H32"/>
  <sheetViews>
    <sheetView showGridLines="0" showRowColHeaders="0" zoomScaleNormal="100" workbookViewId="0">
      <selection activeCell="A10" sqref="A10:E10"/>
    </sheetView>
  </sheetViews>
  <sheetFormatPr baseColWidth="10" defaultColWidth="11.41796875" defaultRowHeight="14.4"/>
  <cols>
    <col min="1" max="1" width="11.41796875" style="103"/>
    <col min="2" max="2" width="16.41796875" style="103" customWidth="1"/>
    <col min="3" max="3" width="2.41796875" style="103" customWidth="1"/>
    <col min="4" max="4" width="11.3125" style="103" customWidth="1"/>
    <col min="5" max="5" width="20.41796875" style="103" customWidth="1"/>
    <col min="6" max="7" width="15.68359375" style="103" customWidth="1"/>
    <col min="8" max="8" width="12.41796875" style="103" customWidth="1"/>
    <col min="9" max="16384" width="11.41796875" style="103"/>
  </cols>
  <sheetData>
    <row r="1" spans="1:8">
      <c r="A1" s="1276" t="str">
        <f>"- "&amp;Code!K57&amp;" -"</f>
        <v>- 33 -</v>
      </c>
      <c r="B1" s="1276"/>
      <c r="C1" s="1276"/>
      <c r="D1" s="1276"/>
      <c r="E1" s="1276"/>
      <c r="F1" s="1276"/>
      <c r="G1" s="1276"/>
      <c r="H1" s="1276"/>
    </row>
    <row r="2" spans="1:8" ht="24.9" customHeight="1">
      <c r="A2" s="576"/>
      <c r="B2" s="576"/>
      <c r="C2" s="576"/>
      <c r="D2" s="576"/>
      <c r="E2" s="576"/>
      <c r="F2" s="576"/>
      <c r="G2" s="1278" t="s">
        <v>2350</v>
      </c>
      <c r="H2" s="1765"/>
    </row>
    <row r="3" spans="1:8" s="626" customFormat="1" ht="15" customHeight="1">
      <c r="A3" s="317" t="s">
        <v>50</v>
      </c>
      <c r="B3" s="317"/>
      <c r="C3" s="1280" t="str">
        <f>'NOTE 21'!C3</f>
        <v>OHADA</v>
      </c>
      <c r="D3" s="1280"/>
      <c r="E3" s="1280"/>
      <c r="F3" s="1280"/>
      <c r="G3" s="1280"/>
      <c r="H3" s="1280"/>
    </row>
    <row r="4" spans="1:8" s="626" customFormat="1" ht="15" customHeight="1">
      <c r="A4" s="317" t="s">
        <v>51</v>
      </c>
      <c r="B4" s="1280" t="str">
        <f>'NOTE 21'!B4</f>
        <v/>
      </c>
      <c r="C4" s="1281"/>
      <c r="D4" s="1281"/>
      <c r="E4" s="1281"/>
      <c r="F4" s="1281"/>
      <c r="G4" s="627" t="s">
        <v>1021</v>
      </c>
      <c r="H4" s="630" t="str">
        <f>'NOTE 21'!H4</f>
        <v/>
      </c>
    </row>
    <row r="5" spans="1:8" s="626" customFormat="1" ht="15" customHeight="1">
      <c r="A5" s="317" t="s">
        <v>53</v>
      </c>
      <c r="B5" s="317"/>
      <c r="C5" s="1281" t="str">
        <f>'NOTE 21'!C5</f>
        <v/>
      </c>
      <c r="D5" s="1281"/>
      <c r="E5" s="642" t="s">
        <v>54</v>
      </c>
      <c r="F5" s="647">
        <f>'NOTE 21'!F5</f>
        <v>0</v>
      </c>
      <c r="G5" s="627" t="s">
        <v>55</v>
      </c>
      <c r="H5" s="795">
        <f>'NOTE 21'!H5</f>
        <v>1</v>
      </c>
    </row>
    <row r="6" spans="1:8" s="626" customFormat="1" ht="15" customHeight="1">
      <c r="A6" s="317" t="s">
        <v>1533</v>
      </c>
      <c r="B6" s="317"/>
      <c r="C6" s="1275" t="str">
        <f>'NOTE 21'!C6</f>
        <v/>
      </c>
      <c r="D6" s="1275"/>
      <c r="E6" s="638"/>
      <c r="F6" s="630"/>
      <c r="G6" s="629"/>
      <c r="H6" s="630"/>
    </row>
    <row r="7" spans="1:8" ht="35.25" customHeight="1">
      <c r="A7" s="1273" t="s">
        <v>2351</v>
      </c>
      <c r="B7" s="1273"/>
      <c r="C7" s="1273"/>
      <c r="D7" s="1273"/>
      <c r="E7" s="1273"/>
      <c r="F7" s="1273"/>
      <c r="G7" s="1273"/>
      <c r="H7" s="1273"/>
    </row>
    <row r="8" spans="1:8" ht="33" customHeight="1">
      <c r="A8" s="1643" t="s">
        <v>1692</v>
      </c>
      <c r="B8" s="1643"/>
      <c r="C8" s="1643"/>
      <c r="D8" s="1643"/>
      <c r="E8" s="1643"/>
      <c r="F8" s="797" t="s">
        <v>1693</v>
      </c>
      <c r="G8" s="797" t="s">
        <v>1694</v>
      </c>
      <c r="H8" s="797" t="s">
        <v>1731</v>
      </c>
    </row>
    <row r="9" spans="1:8" ht="18" customHeight="1">
      <c r="A9" s="1749" t="s">
        <v>2352</v>
      </c>
      <c r="B9" s="1783"/>
      <c r="C9" s="1783"/>
      <c r="D9" s="1783"/>
      <c r="E9" s="1784"/>
      <c r="F9" s="413">
        <f ca="1">SUM(INDIRECT(SUBSTITUTE(ADDRESS(1,COLUMN(F10)),1,"")&amp;ROW(F10)):INDIRECT(SUBSTITUTE(ADDRESS(1,COLUMN(F11)),1,"")&amp;ROW(F11)-1))</f>
        <v>0</v>
      </c>
      <c r="G9" s="413">
        <f ca="1">SUM(INDIRECT(SUBSTITUTE(ADDRESS(1,COLUMN(G10)),1,"")&amp;ROW(G10)):INDIRECT(SUBSTITUTE(ADDRESS(1,COLUMN(G11)),1,"")&amp;ROW(G11)-1))</f>
        <v>0</v>
      </c>
      <c r="H9" s="414" t="str">
        <f ca="1">IF(G9,(F9-G9)/G9,IF(ISBLANK(G9),"",IF(F9,IF( F9 &gt; 0,1,-1),"")))</f>
        <v/>
      </c>
    </row>
    <row r="10" spans="1:8" ht="18" customHeight="1">
      <c r="A10" s="2010"/>
      <c r="B10" s="2011"/>
      <c r="C10" s="2011"/>
      <c r="D10" s="2011"/>
      <c r="E10" s="2012"/>
      <c r="F10" s="418"/>
      <c r="G10" s="418"/>
      <c r="H10" s="414" t="str">
        <f>IF(G10,(F10-G10)/G10,IF(ISBLANK(G10),"",IF(F10,IF( F10 &gt; 0,1,-1),"")))</f>
        <v/>
      </c>
    </row>
    <row r="11" spans="1:8" ht="18" customHeight="1">
      <c r="A11" s="1749" t="s">
        <v>2353</v>
      </c>
      <c r="B11" s="1783"/>
      <c r="C11" s="1783"/>
      <c r="D11" s="1783"/>
      <c r="E11" s="1784"/>
      <c r="F11" s="413"/>
      <c r="G11" s="413"/>
      <c r="H11" s="414" t="str">
        <f>IF(G11,(F11-G11)/G11,IF(ISBLANK(G11),"",IF(F11,IF( F11 &gt; 0,1,-1),"")))</f>
        <v/>
      </c>
    </row>
    <row r="12" spans="1:8" ht="18" customHeight="1">
      <c r="A12" s="1749" t="s">
        <v>2354</v>
      </c>
      <c r="B12" s="1783"/>
      <c r="C12" s="1783"/>
      <c r="D12" s="1783"/>
      <c r="E12" s="1784"/>
      <c r="F12" s="413"/>
      <c r="G12" s="413"/>
      <c r="H12" s="414" t="str">
        <f t="shared" ref="H12:H28" si="0">IF(G12,(F12-G12)/G12,IF(ISBLANK(G12),"",IF(F12,IF( F12 &gt; 0,1,-1),"")))</f>
        <v/>
      </c>
    </row>
    <row r="13" spans="1:8" ht="18" customHeight="1">
      <c r="A13" s="1749" t="s">
        <v>2355</v>
      </c>
      <c r="B13" s="1783"/>
      <c r="C13" s="1783"/>
      <c r="D13" s="1783"/>
      <c r="E13" s="1784"/>
      <c r="F13" s="413"/>
      <c r="G13" s="413"/>
      <c r="H13" s="414" t="str">
        <f t="shared" si="0"/>
        <v/>
      </c>
    </row>
    <row r="14" spans="1:8" ht="18" customHeight="1">
      <c r="A14" s="1749" t="s">
        <v>2356</v>
      </c>
      <c r="B14" s="1783"/>
      <c r="C14" s="1783"/>
      <c r="D14" s="1783"/>
      <c r="E14" s="1784"/>
      <c r="F14" s="413"/>
      <c r="G14" s="413"/>
      <c r="H14" s="414" t="str">
        <f t="shared" si="0"/>
        <v/>
      </c>
    </row>
    <row r="15" spans="1:8" ht="18" customHeight="1">
      <c r="A15" s="1749" t="s">
        <v>2357</v>
      </c>
      <c r="B15" s="1783"/>
      <c r="C15" s="1783"/>
      <c r="D15" s="1783"/>
      <c r="E15" s="1784"/>
      <c r="F15" s="413"/>
      <c r="G15" s="413"/>
      <c r="H15" s="414" t="str">
        <f t="shared" si="0"/>
        <v/>
      </c>
    </row>
    <row r="16" spans="1:8" ht="18" customHeight="1">
      <c r="A16" s="1749" t="s">
        <v>2358</v>
      </c>
      <c r="B16" s="1783"/>
      <c r="C16" s="1783"/>
      <c r="D16" s="1783"/>
      <c r="E16" s="1784"/>
      <c r="F16" s="413"/>
      <c r="G16" s="413"/>
      <c r="H16" s="414" t="str">
        <f t="shared" si="0"/>
        <v/>
      </c>
    </row>
    <row r="17" spans="1:8" ht="18" customHeight="1">
      <c r="A17" s="1749" t="s">
        <v>1347</v>
      </c>
      <c r="B17" s="1783"/>
      <c r="C17" s="1783"/>
      <c r="D17" s="1783"/>
      <c r="E17" s="1784"/>
      <c r="F17" s="413"/>
      <c r="G17" s="413"/>
      <c r="H17" s="414" t="str">
        <f t="shared" si="0"/>
        <v/>
      </c>
    </row>
    <row r="18" spans="1:8" ht="18" customHeight="1">
      <c r="A18" s="1820" t="s">
        <v>2359</v>
      </c>
      <c r="B18" s="1821"/>
      <c r="C18" s="1821"/>
      <c r="D18" s="1821"/>
      <c r="E18" s="1822"/>
      <c r="F18" s="582">
        <f ca="1">F9+SUM(F11:F17)</f>
        <v>0</v>
      </c>
      <c r="G18" s="582">
        <f ca="1">G9+SUM(G11:G17)</f>
        <v>0</v>
      </c>
      <c r="H18" s="417" t="str">
        <f ca="1">IF(G18,(F18-G18)/G18,IF(ISBLANK(G18),"",IF(F18,IF( F18 &gt; 0,1,-1),"")))</f>
        <v/>
      </c>
    </row>
    <row r="19" spans="1:8" ht="18" customHeight="1">
      <c r="A19" s="1749" t="s">
        <v>2360</v>
      </c>
      <c r="B19" s="1783"/>
      <c r="C19" s="1783"/>
      <c r="D19" s="1783"/>
      <c r="E19" s="1784"/>
      <c r="F19" s="581">
        <f ca="1">SUM(INDIRECT(SUBSTITUTE(ADDRESS(1,COLUMN(F20)),1,"")&amp;ROW(F20)):INDIRECT(SUBSTITUTE(ADDRESS(1,COLUMN(F21)),1,"")&amp;ROW(F21)-1))</f>
        <v>0</v>
      </c>
      <c r="G19" s="581">
        <f ca="1">SUM(INDIRECT(SUBSTITUTE(ADDRESS(1,COLUMN(G20)),1,"")&amp;ROW(G20)):INDIRECT(SUBSTITUTE(ADDRESS(1,COLUMN(G21)),1,"")&amp;ROW(G21)-1))</f>
        <v>0</v>
      </c>
      <c r="H19" s="414" t="str">
        <f t="shared" ca="1" si="0"/>
        <v/>
      </c>
    </row>
    <row r="20" spans="1:8" ht="18" customHeight="1">
      <c r="A20" s="2010"/>
      <c r="B20" s="2011"/>
      <c r="C20" s="2011"/>
      <c r="D20" s="2011"/>
      <c r="E20" s="2012"/>
      <c r="F20" s="345"/>
      <c r="G20" s="345"/>
      <c r="H20" s="414" t="str">
        <f t="shared" si="0"/>
        <v/>
      </c>
    </row>
    <row r="21" spans="1:8" ht="18" customHeight="1">
      <c r="A21" s="2007" t="s">
        <v>2361</v>
      </c>
      <c r="B21" s="2008"/>
      <c r="C21" s="2008"/>
      <c r="D21" s="2008"/>
      <c r="E21" s="2009"/>
      <c r="F21" s="581"/>
      <c r="G21" s="581"/>
      <c r="H21" s="414" t="str">
        <f t="shared" si="0"/>
        <v/>
      </c>
    </row>
    <row r="22" spans="1:8" ht="18" customHeight="1">
      <c r="A22" s="1745" t="s">
        <v>2362</v>
      </c>
      <c r="B22" s="1942"/>
      <c r="C22" s="1942"/>
      <c r="D22" s="1942"/>
      <c r="E22" s="1943"/>
      <c r="F22" s="581"/>
      <c r="G22" s="581"/>
      <c r="H22" s="414" t="str">
        <f t="shared" si="0"/>
        <v/>
      </c>
    </row>
    <row r="23" spans="1:8" ht="18" customHeight="1">
      <c r="A23" s="1745" t="s">
        <v>2363</v>
      </c>
      <c r="B23" s="1942"/>
      <c r="C23" s="1942"/>
      <c r="D23" s="1942"/>
      <c r="E23" s="1943"/>
      <c r="F23" s="581"/>
      <c r="G23" s="581"/>
      <c r="H23" s="414" t="str">
        <f t="shared" si="0"/>
        <v/>
      </c>
    </row>
    <row r="24" spans="1:8" ht="18" customHeight="1">
      <c r="A24" s="1745" t="s">
        <v>2364</v>
      </c>
      <c r="B24" s="1942"/>
      <c r="C24" s="1942"/>
      <c r="D24" s="1942"/>
      <c r="E24" s="1943"/>
      <c r="F24" s="581"/>
      <c r="G24" s="581"/>
      <c r="H24" s="414" t="str">
        <f t="shared" si="0"/>
        <v/>
      </c>
    </row>
    <row r="25" spans="1:8" ht="18" customHeight="1">
      <c r="A25" s="2007" t="s">
        <v>2365</v>
      </c>
      <c r="B25" s="2008"/>
      <c r="C25" s="2008"/>
      <c r="D25" s="2008"/>
      <c r="E25" s="2009"/>
      <c r="F25" s="581"/>
      <c r="G25" s="581"/>
      <c r="H25" s="414" t="str">
        <f t="shared" si="0"/>
        <v/>
      </c>
    </row>
    <row r="26" spans="1:8" ht="27.75" customHeight="1">
      <c r="A26" s="1745" t="s">
        <v>2366</v>
      </c>
      <c r="B26" s="1942"/>
      <c r="C26" s="1942"/>
      <c r="D26" s="1942"/>
      <c r="E26" s="1943"/>
      <c r="F26" s="581"/>
      <c r="G26" s="581"/>
      <c r="H26" s="414" t="str">
        <f t="shared" si="0"/>
        <v/>
      </c>
    </row>
    <row r="27" spans="1:8" ht="18.75" customHeight="1">
      <c r="A27" s="1745" t="s">
        <v>2367</v>
      </c>
      <c r="B27" s="1942"/>
      <c r="C27" s="1942"/>
      <c r="D27" s="1942"/>
      <c r="E27" s="1943"/>
      <c r="F27" s="581"/>
      <c r="G27" s="581"/>
      <c r="H27" s="414" t="str">
        <f t="shared" si="0"/>
        <v/>
      </c>
    </row>
    <row r="28" spans="1:8" ht="18" customHeight="1">
      <c r="A28" s="1745" t="s">
        <v>2368</v>
      </c>
      <c r="B28" s="1942"/>
      <c r="C28" s="1942"/>
      <c r="D28" s="1942"/>
      <c r="E28" s="1943"/>
      <c r="F28" s="581"/>
      <c r="G28" s="581"/>
      <c r="H28" s="414" t="str">
        <f t="shared" si="0"/>
        <v/>
      </c>
    </row>
    <row r="29" spans="1:8" ht="18" customHeight="1">
      <c r="A29" s="1820" t="s">
        <v>2369</v>
      </c>
      <c r="B29" s="1821"/>
      <c r="C29" s="1821"/>
      <c r="D29" s="1821"/>
      <c r="E29" s="1822"/>
      <c r="F29" s="582">
        <f ca="1">F19+SUM(F21:F28)</f>
        <v>0</v>
      </c>
      <c r="G29" s="582">
        <f ca="1">G19+SUM(G21:G28)</f>
        <v>0</v>
      </c>
      <c r="H29" s="417" t="str">
        <f ca="1">IF(G29,(F29-G29)/G29,IF(ISBLANK(G29),"",IF(F29,IF( F29 &gt; 0,1,-1),"")))</f>
        <v/>
      </c>
    </row>
    <row r="30" spans="1:8">
      <c r="A30" s="798" t="s">
        <v>1761</v>
      </c>
    </row>
    <row r="31" spans="1:8" s="653" customFormat="1" ht="12" customHeight="1">
      <c r="A31" s="799" t="s">
        <v>2370</v>
      </c>
    </row>
    <row r="32" spans="1:8" s="653" customFormat="1" ht="12" customHeight="1"/>
  </sheetData>
  <sheetProtection algorithmName="SHA-512" hashValue="sKy9cPmqOdu6uB935of8IzL1Vd4t3AI5Vv7c70DGeLgCdHPL7H8nB7NvlLo6io2l+uiuYIxppoWXnHp1quSMug==" saltValue="K8bSjTWtysQX4yi/ARzX9g==" spinCount="100000" sheet="1" objects="1" scenarios="1" selectLockedCells="1"/>
  <mergeCells count="29">
    <mergeCell ref="C6:D6"/>
    <mergeCell ref="A1:H1"/>
    <mergeCell ref="G2:H2"/>
    <mergeCell ref="C3:H3"/>
    <mergeCell ref="B4:F4"/>
    <mergeCell ref="C5:D5"/>
    <mergeCell ref="A19:E19"/>
    <mergeCell ref="A20:E20"/>
    <mergeCell ref="A13:E13"/>
    <mergeCell ref="A7:H7"/>
    <mergeCell ref="A8:E8"/>
    <mergeCell ref="A9:E9"/>
    <mergeCell ref="A10:E10"/>
    <mergeCell ref="A11:E11"/>
    <mergeCell ref="A12:E12"/>
    <mergeCell ref="A14:E14"/>
    <mergeCell ref="A15:E15"/>
    <mergeCell ref="A16:E16"/>
    <mergeCell ref="A17:E17"/>
    <mergeCell ref="A18:E18"/>
    <mergeCell ref="A27:E27"/>
    <mergeCell ref="A28:E28"/>
    <mergeCell ref="A29:E29"/>
    <mergeCell ref="A21:E21"/>
    <mergeCell ref="A22:E22"/>
    <mergeCell ref="A23:E23"/>
    <mergeCell ref="A24:E24"/>
    <mergeCell ref="A25:E25"/>
    <mergeCell ref="A26:E26"/>
  </mergeCells>
  <conditionalFormatting sqref="F9:H29">
    <cfRule type="cellIs" dxfId="142" priority="1" operator="equal">
      <formula>0</formula>
    </cfRule>
  </conditionalFormatting>
  <dataValidations count="1">
    <dataValidation type="whole" allowBlank="1" showInputMessage="1" showErrorMessage="1" errorTitle="Attention!" error="Valeur numérique attendue" sqref="F19:G28 F9:G17" xr:uid="{496C8F5A-4622-4D22-A05E-A7158ADAE683}">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drawing r:id="rId1"/>
  <legacyDrawing r:id="rId2"/>
  <mc:AlternateContent xmlns:mc="http://schemas.openxmlformats.org/markup-compatibility/2006">
    <mc:Choice Requires="x14">
      <controls>
        <mc:AlternateContent xmlns:mc="http://schemas.openxmlformats.org/markup-compatibility/2006">
          <mc:Choice Requires="x14">
            <control shapeId="266241" r:id="rId3" name="AjoutNOTE30B">
              <controlPr defaultSize="0" print="0" autoFill="0" autoPict="0" macro="[0]!AjoutNOTE30B_Cliquer">
                <anchor moveWithCells="1">
                  <from>
                    <xdr:col>8</xdr:col>
                    <xdr:colOff>259080</xdr:colOff>
                    <xdr:row>7</xdr:row>
                    <xdr:rowOff>388620</xdr:rowOff>
                  </from>
                  <to>
                    <xdr:col>9</xdr:col>
                    <xdr:colOff>754380</xdr:colOff>
                    <xdr:row>9</xdr:row>
                    <xdr:rowOff>30480</xdr:rowOff>
                  </to>
                </anchor>
              </controlPr>
            </control>
          </mc:Choice>
        </mc:AlternateContent>
        <mc:AlternateContent xmlns:mc="http://schemas.openxmlformats.org/markup-compatibility/2006">
          <mc:Choice Requires="x14">
            <control shapeId="266242" r:id="rId4" name="AjoutNOTE30C">
              <controlPr defaultSize="0" print="0" autoFill="0" autoPict="0" macro="[0]!AjoutNOTE30C_Cliquer">
                <anchor moveWithCells="1">
                  <from>
                    <xdr:col>8</xdr:col>
                    <xdr:colOff>266700</xdr:colOff>
                    <xdr:row>17</xdr:row>
                    <xdr:rowOff>137160</xdr:rowOff>
                  </from>
                  <to>
                    <xdr:col>9</xdr:col>
                    <xdr:colOff>762000</xdr:colOff>
                    <xdr:row>18</xdr:row>
                    <xdr:rowOff>190500</xdr:rowOff>
                  </to>
                </anchor>
              </controlPr>
            </control>
          </mc:Choice>
        </mc:AlternateContent>
      </controls>
    </mc:Choice>
  </mc:AlternateConten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3D02-4096-4169-ACCC-7774798A2980}">
  <sheetPr codeName="Feuil59">
    <tabColor theme="9" tint="0.39997558519241921"/>
    <pageSetUpPr fitToPage="1"/>
  </sheetPr>
  <dimension ref="A1:K37"/>
  <sheetViews>
    <sheetView showGridLines="0" showRowColHeaders="0" topLeftCell="A10" zoomScaleNormal="100" workbookViewId="0">
      <selection activeCell="I11" sqref="I11"/>
    </sheetView>
  </sheetViews>
  <sheetFormatPr baseColWidth="10" defaultColWidth="11.5234375" defaultRowHeight="14.4"/>
  <cols>
    <col min="1" max="1" width="11.5234375" style="103"/>
    <col min="2" max="2" width="17.1015625" style="103" customWidth="1"/>
    <col min="3" max="3" width="11.5234375" style="103"/>
    <col min="4" max="4" width="2.89453125" style="103" customWidth="1"/>
    <col min="5" max="5" width="14.41796875" style="103" customWidth="1"/>
    <col min="6" max="6" width="20.41796875" style="103" customWidth="1"/>
    <col min="7" max="11" width="15.68359375" style="103" customWidth="1"/>
    <col min="12" max="16384" width="11.5234375" style="103"/>
  </cols>
  <sheetData>
    <row r="1" spans="1:11">
      <c r="A1" s="1276" t="str">
        <f>"- "&amp;Code!K58&amp;" -"</f>
        <v>- 34 -</v>
      </c>
      <c r="B1" s="1276"/>
      <c r="C1" s="1276"/>
      <c r="D1" s="1276"/>
      <c r="E1" s="1276"/>
      <c r="F1" s="1276"/>
      <c r="G1" s="1276"/>
      <c r="H1" s="1276"/>
      <c r="I1" s="1276"/>
      <c r="J1" s="1276"/>
      <c r="K1" s="1277"/>
    </row>
    <row r="2" spans="1:11" ht="22.5" customHeight="1">
      <c r="A2" s="576"/>
      <c r="B2" s="576"/>
      <c r="C2" s="576"/>
      <c r="D2" s="576"/>
      <c r="E2" s="576"/>
      <c r="F2" s="576"/>
      <c r="J2" s="1278" t="s">
        <v>2371</v>
      </c>
      <c r="K2" s="1279"/>
    </row>
    <row r="3" spans="1:11" s="626" customFormat="1" ht="15" customHeight="1">
      <c r="A3" s="317" t="s">
        <v>50</v>
      </c>
      <c r="B3" s="317"/>
      <c r="C3" s="1280" t="str">
        <f>'NOTE 30'!C3</f>
        <v>OHADA</v>
      </c>
      <c r="D3" s="1280"/>
      <c r="E3" s="1280"/>
      <c r="F3" s="1280"/>
      <c r="G3" s="1280"/>
      <c r="H3" s="1280"/>
      <c r="I3" s="1280"/>
      <c r="J3" s="1280"/>
      <c r="K3" s="1280"/>
    </row>
    <row r="4" spans="1:11" s="626" customFormat="1" ht="15" customHeight="1">
      <c r="A4" s="317" t="s">
        <v>51</v>
      </c>
      <c r="B4" s="1280" t="str">
        <f>'NOTE 30'!B4</f>
        <v/>
      </c>
      <c r="C4" s="1280"/>
      <c r="D4" s="1280"/>
      <c r="E4" s="1280"/>
      <c r="F4" s="1280"/>
      <c r="G4" s="1280"/>
      <c r="H4" s="1280"/>
      <c r="I4" s="1280"/>
      <c r="J4" s="627" t="s">
        <v>1021</v>
      </c>
      <c r="K4" s="630" t="str">
        <f>'NOTE 30'!H4</f>
        <v/>
      </c>
    </row>
    <row r="5" spans="1:11" s="626" customFormat="1" ht="15" customHeight="1">
      <c r="A5" s="317" t="s">
        <v>53</v>
      </c>
      <c r="B5" s="317"/>
      <c r="C5" s="1280" t="str">
        <f>'NOTE 30'!C5</f>
        <v/>
      </c>
      <c r="D5" s="1280"/>
      <c r="E5" s="1280"/>
      <c r="F5" s="1280"/>
      <c r="G5" s="642" t="s">
        <v>54</v>
      </c>
      <c r="H5" s="1282">
        <f>'NOTE 30'!F5</f>
        <v>0</v>
      </c>
      <c r="I5" s="1282"/>
      <c r="J5" s="627" t="s">
        <v>55</v>
      </c>
      <c r="K5" s="795">
        <f>'NOTE 30'!H5</f>
        <v>1</v>
      </c>
    </row>
    <row r="6" spans="1:11" s="626" customFormat="1" ht="15" customHeight="1">
      <c r="A6" s="317" t="s">
        <v>1533</v>
      </c>
      <c r="B6" s="317"/>
      <c r="C6" s="1275" t="str">
        <f>'NOTE 30'!C6</f>
        <v/>
      </c>
      <c r="D6" s="1275"/>
      <c r="E6" s="1275"/>
      <c r="F6" s="1275"/>
      <c r="G6" s="638"/>
      <c r="H6" s="630"/>
      <c r="I6" s="630"/>
      <c r="J6" s="629"/>
      <c r="K6" s="630"/>
    </row>
    <row r="7" spans="1:11" ht="27.75" customHeight="1">
      <c r="A7" s="1273" t="s">
        <v>2372</v>
      </c>
      <c r="B7" s="1273"/>
      <c r="C7" s="1273"/>
      <c r="D7" s="1273"/>
      <c r="E7" s="1273"/>
      <c r="F7" s="1273"/>
      <c r="G7" s="1273"/>
      <c r="H7" s="1273"/>
      <c r="I7" s="1273"/>
      <c r="J7" s="1273"/>
      <c r="K7" s="1273"/>
    </row>
    <row r="8" spans="1:11" ht="12.75" customHeight="1">
      <c r="A8" s="2014" t="s">
        <v>2373</v>
      </c>
      <c r="B8" s="2015"/>
      <c r="C8" s="2015"/>
      <c r="D8" s="2015"/>
      <c r="E8" s="2015"/>
      <c r="F8" s="2016"/>
      <c r="G8" s="2017" t="s">
        <v>1361</v>
      </c>
      <c r="H8" s="2017" t="s">
        <v>1362</v>
      </c>
      <c r="I8" s="2017" t="s">
        <v>2374</v>
      </c>
      <c r="J8" s="2017" t="s">
        <v>2375</v>
      </c>
      <c r="K8" s="2017" t="s">
        <v>2376</v>
      </c>
    </row>
    <row r="9" spans="1:11" ht="15" customHeight="1">
      <c r="A9" s="2019" t="s">
        <v>2377</v>
      </c>
      <c r="B9" s="2020"/>
      <c r="C9" s="2020"/>
      <c r="D9" s="2020"/>
      <c r="E9" s="2020"/>
      <c r="F9" s="2021"/>
      <c r="G9" s="2018"/>
      <c r="H9" s="2018"/>
      <c r="I9" s="2018"/>
      <c r="J9" s="2018"/>
      <c r="K9" s="2018"/>
    </row>
    <row r="10" spans="1:11" ht="15" customHeight="1">
      <c r="A10" s="1868" t="s">
        <v>2378</v>
      </c>
      <c r="B10" s="1868"/>
      <c r="C10" s="1868"/>
      <c r="D10" s="1868"/>
      <c r="E10" s="1868"/>
      <c r="F10" s="1868"/>
      <c r="G10" s="580">
        <f>SUM(G11:G16)</f>
        <v>400000000</v>
      </c>
      <c r="H10" s="580">
        <f>SUM(H11:H16)</f>
        <v>100000000</v>
      </c>
      <c r="I10" s="580">
        <f>SUM(I11:I16)</f>
        <v>0</v>
      </c>
      <c r="J10" s="580">
        <f>SUM(J11:J16)</f>
        <v>0</v>
      </c>
      <c r="K10" s="580">
        <f>SUM(K11:K16)</f>
        <v>0</v>
      </c>
    </row>
    <row r="11" spans="1:11" ht="15" customHeight="1">
      <c r="A11" s="1748" t="s">
        <v>2379</v>
      </c>
      <c r="B11" s="1748"/>
      <c r="C11" s="1748"/>
      <c r="D11" s="1748"/>
      <c r="E11" s="1748"/>
      <c r="F11" s="1748"/>
      <c r="G11" s="581">
        <f>SUMIFS(BalanceN[BS_Credit],BalanceN[Table],"&gt;=10100",BalanceN[Table],"&lt;10200")</f>
        <v>400000000</v>
      </c>
      <c r="H11" s="581">
        <f>SUMIFS(BalanceN1[BS_Credit],BalanceN1[Table],"&gt;=10100",BalanceN1[Table],"&lt;10200")</f>
        <v>100000000</v>
      </c>
      <c r="I11" s="345"/>
      <c r="J11" s="345"/>
      <c r="K11" s="345"/>
    </row>
    <row r="12" spans="1:11" ht="15" customHeight="1">
      <c r="A12" s="1748" t="s">
        <v>2380</v>
      </c>
      <c r="B12" s="1748"/>
      <c r="C12" s="1748"/>
      <c r="D12" s="1748"/>
      <c r="E12" s="1748"/>
      <c r="F12" s="1748"/>
      <c r="G12" s="345"/>
      <c r="H12" s="345"/>
      <c r="I12" s="345"/>
      <c r="J12" s="345"/>
      <c r="K12" s="345"/>
    </row>
    <row r="13" spans="1:11" ht="15" customHeight="1">
      <c r="A13" s="1748" t="s">
        <v>2381</v>
      </c>
      <c r="B13" s="1748"/>
      <c r="C13" s="1748"/>
      <c r="D13" s="1748"/>
      <c r="E13" s="1748"/>
      <c r="F13" s="1748"/>
      <c r="G13" s="345"/>
      <c r="H13" s="345"/>
      <c r="I13" s="345"/>
      <c r="J13" s="345"/>
      <c r="K13" s="345"/>
    </row>
    <row r="14" spans="1:11" ht="15" customHeight="1">
      <c r="A14" s="1748" t="s">
        <v>2382</v>
      </c>
      <c r="B14" s="1748"/>
      <c r="C14" s="1748"/>
      <c r="D14" s="1748"/>
      <c r="E14" s="1748"/>
      <c r="F14" s="1748"/>
      <c r="G14" s="345"/>
      <c r="H14" s="345"/>
      <c r="I14" s="345"/>
      <c r="J14" s="345"/>
      <c r="K14" s="345"/>
    </row>
    <row r="15" spans="1:11" ht="15" customHeight="1">
      <c r="A15" s="1748" t="s">
        <v>2383</v>
      </c>
      <c r="B15" s="1748"/>
      <c r="C15" s="1748"/>
      <c r="D15" s="1748"/>
      <c r="E15" s="1748"/>
      <c r="F15" s="1748"/>
      <c r="G15" s="345"/>
      <c r="H15" s="345"/>
      <c r="I15" s="345"/>
      <c r="J15" s="345"/>
      <c r="K15" s="345"/>
    </row>
    <row r="16" spans="1:11" ht="15" customHeight="1">
      <c r="A16" s="1748" t="s">
        <v>2384</v>
      </c>
      <c r="B16" s="1748"/>
      <c r="C16" s="1748"/>
      <c r="D16" s="1748"/>
      <c r="E16" s="1748"/>
      <c r="F16" s="1748"/>
      <c r="G16" s="345"/>
      <c r="H16" s="345"/>
      <c r="I16" s="345"/>
      <c r="J16" s="345"/>
      <c r="K16" s="345"/>
    </row>
    <row r="17" spans="1:11" ht="15" customHeight="1">
      <c r="A17" s="1868" t="s">
        <v>2385</v>
      </c>
      <c r="B17" s="1868"/>
      <c r="C17" s="1868"/>
      <c r="D17" s="1868"/>
      <c r="E17" s="1868"/>
      <c r="F17" s="1868"/>
      <c r="G17" s="580">
        <f>SUM(G18:G22)</f>
        <v>2559314759</v>
      </c>
      <c r="H17" s="580">
        <f>SUM(H18:H22)</f>
        <v>2187446486</v>
      </c>
      <c r="I17" s="580">
        <f>SUM(I18:I22)</f>
        <v>0</v>
      </c>
      <c r="J17" s="580">
        <f>SUM(J18:J22)</f>
        <v>0</v>
      </c>
      <c r="K17" s="580">
        <f>SUM(K18:K22)</f>
        <v>0</v>
      </c>
    </row>
    <row r="18" spans="1:11" ht="15" customHeight="1">
      <c r="A18" s="1748" t="s">
        <v>2386</v>
      </c>
      <c r="B18" s="1748"/>
      <c r="C18" s="1748"/>
      <c r="D18" s="1748"/>
      <c r="E18" s="1748"/>
      <c r="F18" s="1748"/>
      <c r="G18" s="581">
        <f>SUMIFS(BalanceN[BS_Credit],BalanceN[Table],"&gt;=70100",BalanceN[Table],"&lt;70200")-SUMIFS(BalanceN[BS_Debit],BalanceN[Table],"&gt;=70100",BalanceN[Table],"&lt;70200")+SUMIFS(BalanceN[BS_Credit],BalanceN[Table],"&gt;=70200",BalanceN[Table],"&lt;70500")-SUMIFS(BalanceN[BS_Debit],BalanceN[Table],"&gt;=70200",BalanceN[Table],"&lt;70500")+SUMIFS(BalanceN[BS_Credit],BalanceN[Table],"&gt;=70500",BalanceN[Table],"&lt;70700")-SUMIFS(BalanceN[BS_Debit],BalanceN[Table],"&gt;=70500",BalanceN[Table],"&lt;70700")+SUMIFS(BalanceN[BS_Credit],BalanceN[Table],"&gt;=70700",BalanceN[Table],"&lt;70800")-SUMIFS(BalanceN[BS_Debit],BalanceN[Table],"&gt;=70700",BalanceN[Table],"&lt;70800")</f>
        <v>2041946745</v>
      </c>
      <c r="H18" s="581">
        <f>SUMIFS(BalanceN1[BS_Credit],BalanceN1[Table],"&gt;=70100",BalanceN1[Table],"&lt;70200")-SUMIFS(BalanceN1[BS_Debit],BalanceN1[Table],"&gt;=70100",BalanceN1[Table],"&lt;70200")+SUMIFS(BalanceN1[BS_Credit],BalanceN1[Table],"&gt;=70200",BalanceN1[Table],"&lt;70500")-SUMIFS(BalanceN1[BS_Debit],BalanceN1[Table],"&gt;=70200",BalanceN1[Table],"&lt;70500")+SUMIFS(BalanceN1[BS_Credit],BalanceN1[Table],"&gt;=70500",BalanceN1[Table],"&lt;70700")-SUMIFS(BalanceN1[BS_Debit],BalanceN1[Table],"&gt;=70500",BalanceN1[Table],"&lt;70700")+SUMIFS(BalanceN1[BS_Credit],BalanceN1[Table],"&gt;=70700",BalanceN1[Table],"&lt;70800")-SUMIFS(BalanceN1[BS_Debit],BalanceN1[Table],"&gt;=70700",BalanceN1[Table],"&lt;70800")</f>
        <v>1871826890</v>
      </c>
      <c r="I18" s="345"/>
      <c r="J18" s="345"/>
      <c r="K18" s="345"/>
    </row>
    <row r="19" spans="1:11" ht="15" customHeight="1">
      <c r="A19" s="1748" t="s">
        <v>2387</v>
      </c>
      <c r="B19" s="1748"/>
      <c r="C19" s="1748"/>
      <c r="D19" s="1748"/>
      <c r="E19" s="1748"/>
      <c r="F19" s="1748"/>
      <c r="G19" s="581">
        <f>RESULTAT!I44-(
SUMIFS(BalanceN[BS_Credit],BalanceN[Table],"&gt;=79100",BalanceN[Table],"&lt;79200")
-
SUMIFS(BalanceN[BS_Debit],BalanceN[Table],"&gt;=79100",BalanceN[Table],"&lt;79200")
+
SUMIFS(BalanceN[BS_Credit],BalanceN[Table],"&gt;=79800",BalanceN[Table],"&lt;80000")
-
SUMIFS(BalanceN[BS_Debit],BalanceN[Table],"&gt;=79800",BalanceN[Table],"&lt;80000")
+
SUMIFS(BalanceN[BS_Credit],BalanceN[Table],"&gt;=68100",BalanceN[Table],"&lt;68200")
-
SUMIFS(BalanceN[BS_Debit],BalanceN[Table],"&gt;=68100",BalanceN[Table],"&lt;68200")
+
SUMIFS(BalanceN[BS_Credit],BalanceN[Table],"&gt;=69100",BalanceN[Table],"&lt;69200")
-
SUMIFS(BalanceN[BS_Debit],BalanceN[Table],"&gt;=69100",BalanceN[Table],"&lt;69200")
+
SUMIFS(BalanceN[BS_Credit],BalanceN[Table],"&gt;=79700",BalanceN[Table],"&lt;79800")
-
SUMIFS(BalanceN[BS_Debit],BalanceN[Table],"&gt;=79700",BalanceN[Table],"&lt;79800")
+
SUMIFS(BalanceN[BS_Credit],BalanceN[Table],"&gt;=69700",BalanceN[Table],"&lt;69800")
-
SUMIFS(BalanceN[BS_Debit],BalanceN[Table],"&gt;=69700",BalanceN[Table],"&lt;69800")
)</f>
        <v>270876104</v>
      </c>
      <c r="H19" s="581">
        <f>RESULTAT!J44-(
SUMIFS(BalanceN1[BS_Credit],BalanceN1[Table],"&gt;=79100",BalanceN1[Table],"&lt;79200")
-
SUMIFS(BalanceN1[BS_Debit],BalanceN1[Table],"&gt;=79100",BalanceN1[Table],"&lt;79200")
+
SUMIFS(BalanceN1[BS_Credit],BalanceN1[Table],"&gt;=79800",BalanceN1[Table],"&lt;80000")
-
SUMIFS(BalanceN1[BS_Debit],BalanceN1[Table],"&gt;=79800",BalanceN1[Table],"&lt;80000")
+
SUMIFS(BalanceN1[BS_Credit],BalanceN1[Table],"&gt;=68100",BalanceN1[Table],"&lt;68200")
-
SUMIFS(BalanceN1[BS_Debit],BalanceN1[Table],"&gt;=68100",BalanceN1[Table],"&lt;68200")
+
SUMIFS(BalanceN1[BS_Credit],BalanceN1[Table],"&gt;=69100",BalanceN1[Table],"&lt;69200")
-
SUMIFS(BalanceN1[BS_Debit],BalanceN1[Table],"&gt;=69100",BalanceN1[Table],"&lt;69200")
+
SUMIFS(BalanceN1[BS_Credit],BalanceN1[Table],"&gt;=79700",BalanceN1[Table],"&lt;79800")
-
SUMIFS(BalanceN1[BS_Debit],BalanceN1[Table],"&gt;=79700",BalanceN1[Table],"&lt;79800")
+
SUMIFS(BalanceN1[BS_Credit],BalanceN1[Table],"&gt;=69700",BalanceN1[Table],"&lt;69800")
-
SUMIFS(BalanceN1[BS_Debit],BalanceN1[Table],"&gt;=69700",BalanceN1[Table],"&lt;69800")
)</f>
        <v>173588509</v>
      </c>
      <c r="I19" s="345"/>
      <c r="J19" s="345"/>
      <c r="K19" s="345"/>
    </row>
    <row r="20" spans="1:11" ht="15" customHeight="1">
      <c r="A20" s="1748" t="s">
        <v>2388</v>
      </c>
      <c r="B20" s="1748"/>
      <c r="C20" s="1748"/>
      <c r="D20" s="1748"/>
      <c r="E20" s="1748"/>
      <c r="F20" s="1748"/>
      <c r="G20" s="581">
        <f>-SUMIFS(BalanceN[BS_Credit],BalanceN[Table],"&gt;=87000",BalanceN[Table],"&lt;88000")+SUMIFS(BalanceN[BS_Debit],BalanceN[Table],"&gt;=87000",BalanceN[Table],"&lt;88000")</f>
        <v>0</v>
      </c>
      <c r="H20" s="581">
        <f>-SUMIFS(BalanceN1[BS_Credit],BalanceN1[Table],"&gt;=87000",BalanceN1[Table],"&lt;88000")+SUMIFS(BalanceN1[BS_Debit],BalanceN1[Table],"&gt;=87000",BalanceN1[Table],"&lt;88000")</f>
        <v>0</v>
      </c>
      <c r="I20" s="345"/>
      <c r="J20" s="345"/>
      <c r="K20" s="345"/>
    </row>
    <row r="21" spans="1:11" ht="15" customHeight="1">
      <c r="A21" s="1748" t="s">
        <v>2389</v>
      </c>
      <c r="B21" s="1748"/>
      <c r="C21" s="1748"/>
      <c r="D21" s="1748"/>
      <c r="E21" s="1748"/>
      <c r="F21" s="1748"/>
      <c r="G21" s="581">
        <f>-SUMIFS(BalanceN[BS_Credit],BalanceN[Table],"&gt;=89000",BalanceN[Table],"&lt;90000")+SUMIFS(BalanceN[BS_Debit],BalanceN[Table],"&gt;=89000",BalanceN[Table],"&lt;90000")</f>
        <v>31102200</v>
      </c>
      <c r="H21" s="581">
        <f>-SUMIFS(BalanceN1[BS_Credit],BalanceN1[Table],"&gt;=89000",BalanceN1[Table],"&lt;90000")+SUMIFS(BalanceN1[BS_Debit],BalanceN1[Table],"&gt;=89000",BalanceN1[Table],"&lt;90000")</f>
        <v>23411413</v>
      </c>
      <c r="I21" s="345"/>
      <c r="J21" s="345"/>
      <c r="K21" s="345"/>
    </row>
    <row r="22" spans="1:11" ht="15" customHeight="1">
      <c r="A22" s="1748" t="s">
        <v>2390</v>
      </c>
      <c r="B22" s="1748"/>
      <c r="C22" s="1748"/>
      <c r="D22" s="1748"/>
      <c r="E22" s="1748"/>
      <c r="F22" s="1748"/>
      <c r="G22" s="581">
        <f>RESULTAT!I52</f>
        <v>215389710</v>
      </c>
      <c r="H22" s="581">
        <f>RESULTAT!J52</f>
        <v>118619674</v>
      </c>
      <c r="I22" s="345"/>
      <c r="J22" s="345"/>
      <c r="K22" s="345"/>
    </row>
    <row r="23" spans="1:11" ht="15" customHeight="1">
      <c r="A23" s="1868" t="s">
        <v>2391</v>
      </c>
      <c r="B23" s="1868"/>
      <c r="C23" s="1868"/>
      <c r="D23" s="1868"/>
      <c r="E23" s="1868"/>
      <c r="F23" s="1868"/>
      <c r="G23" s="580">
        <f>SUM(G24:G25)</f>
        <v>0</v>
      </c>
      <c r="H23" s="580">
        <f>SUM(H24:H25)</f>
        <v>0</v>
      </c>
      <c r="I23" s="580">
        <f>SUM(I24:I25)</f>
        <v>0</v>
      </c>
      <c r="J23" s="580">
        <f>SUM(J24:J25)</f>
        <v>0</v>
      </c>
      <c r="K23" s="580">
        <f>SUM(K24:K25)</f>
        <v>0</v>
      </c>
    </row>
    <row r="24" spans="1:11" ht="15" customHeight="1">
      <c r="A24" s="1748" t="s">
        <v>2392</v>
      </c>
      <c r="B24" s="1748"/>
      <c r="C24" s="1748"/>
      <c r="D24" s="1748"/>
      <c r="E24" s="1748"/>
      <c r="F24" s="1748"/>
      <c r="G24" s="345"/>
      <c r="H24" s="345"/>
      <c r="I24" s="345"/>
      <c r="J24" s="345"/>
      <c r="K24" s="345"/>
    </row>
    <row r="25" spans="1:11" ht="15" customHeight="1">
      <c r="A25" s="1748" t="s">
        <v>2393</v>
      </c>
      <c r="B25" s="1748"/>
      <c r="C25" s="1748"/>
      <c r="D25" s="1748"/>
      <c r="E25" s="1748"/>
      <c r="F25" s="1748"/>
      <c r="G25" s="345"/>
      <c r="H25" s="345"/>
      <c r="I25" s="345"/>
      <c r="J25" s="345"/>
      <c r="K25" s="345"/>
    </row>
    <row r="26" spans="1:11" ht="15" customHeight="1">
      <c r="A26" s="1868" t="s">
        <v>2394</v>
      </c>
      <c r="B26" s="1868"/>
      <c r="C26" s="1868"/>
      <c r="D26" s="1868"/>
      <c r="E26" s="1868"/>
      <c r="F26" s="1868"/>
      <c r="G26" s="580">
        <f>SUM(G27:G31)</f>
        <v>218217093</v>
      </c>
      <c r="H26" s="580">
        <f>SUM(H27:H31)</f>
        <v>208852251</v>
      </c>
      <c r="I26" s="580">
        <f>SUM(I27:I31)</f>
        <v>0</v>
      </c>
      <c r="J26" s="580">
        <f>SUM(J27:J31)</f>
        <v>0</v>
      </c>
      <c r="K26" s="580">
        <f>SUM(K27:K31)</f>
        <v>0</v>
      </c>
    </row>
    <row r="27" spans="1:11" ht="15" customHeight="1">
      <c r="A27" s="1748" t="s">
        <v>2395</v>
      </c>
      <c r="B27" s="1748"/>
      <c r="C27" s="1748"/>
      <c r="D27" s="1748"/>
      <c r="E27" s="1748"/>
      <c r="F27" s="1748"/>
      <c r="G27" s="345"/>
      <c r="H27" s="345"/>
      <c r="I27" s="345"/>
      <c r="J27" s="345"/>
      <c r="K27" s="345"/>
    </row>
    <row r="28" spans="1:11" ht="15" customHeight="1">
      <c r="A28" s="1748" t="s">
        <v>2396</v>
      </c>
      <c r="B28" s="1748"/>
      <c r="C28" s="1748"/>
      <c r="D28" s="1748"/>
      <c r="E28" s="1748"/>
      <c r="F28" s="1748"/>
      <c r="G28" s="345"/>
      <c r="H28" s="345"/>
      <c r="I28" s="345"/>
      <c r="J28" s="345"/>
      <c r="K28" s="345"/>
    </row>
    <row r="29" spans="1:11" ht="15" customHeight="1">
      <c r="A29" s="1748" t="s">
        <v>2397</v>
      </c>
      <c r="B29" s="1748"/>
      <c r="C29" s="1748"/>
      <c r="D29" s="1748"/>
      <c r="E29" s="1748"/>
      <c r="F29" s="1748"/>
      <c r="G29" s="581">
        <f>SUMIFS(BalanceN[BS_Debit],BalanceN[Table],"&gt;=66100",BalanceN[Table],"&lt;66400")</f>
        <v>191828219</v>
      </c>
      <c r="H29" s="581">
        <f>SUMIFS(BalanceN1[BS_Debit],BalanceN1[Table],"&gt;=66100",BalanceN1[Table],"&lt;66400")</f>
        <v>181133098</v>
      </c>
      <c r="I29" s="345"/>
      <c r="J29" s="345"/>
      <c r="K29" s="345"/>
    </row>
    <row r="30" spans="1:11" ht="15" customHeight="1">
      <c r="A30" s="1748" t="s">
        <v>2398</v>
      </c>
      <c r="B30" s="1748"/>
      <c r="C30" s="1748"/>
      <c r="D30" s="1748"/>
      <c r="E30" s="1748"/>
      <c r="F30" s="1748"/>
      <c r="G30" s="581">
        <f>SUMIFS(BalanceN[BS_Debit],BalanceN[Table],"&gt;=66400",BalanceN[Table],"&lt;66500")+SUMIFS(BalanceN[BS_Debit],BalanceN[Table],"&gt;=66800",BalanceN[Table],"&lt;66900")</f>
        <v>26388874</v>
      </c>
      <c r="H30" s="581">
        <f>SUMIFS(BalanceN1[BS_Debit],BalanceN1[Table],"&gt;=66400",BalanceN1[Table],"&lt;66500")+SUMIFS(BalanceN1[BS_Debit],BalanceN1[Table],"&gt;=66800",BalanceN1[Table],"&lt;66900")</f>
        <v>27719153</v>
      </c>
      <c r="I30" s="345"/>
      <c r="J30" s="345"/>
      <c r="K30" s="345"/>
    </row>
    <row r="31" spans="1:11" ht="15" customHeight="1">
      <c r="A31" s="1748" t="s">
        <v>2399</v>
      </c>
      <c r="B31" s="1748"/>
      <c r="C31" s="1748"/>
      <c r="D31" s="1748"/>
      <c r="E31" s="1748"/>
      <c r="F31" s="1748"/>
      <c r="G31" s="581">
        <f>SUMIFS(BalanceN[BS_Debit],BalanceN[Table],"&gt;=66700",BalanceN[Table],"&lt;66800")</f>
        <v>0</v>
      </c>
      <c r="H31" s="581">
        <f>SUMIFS(BalanceN1[BS_Debit],BalanceN1[Table],"&gt;=66700",BalanceN1[Table],"&lt;66800")</f>
        <v>0</v>
      </c>
      <c r="I31" s="345"/>
      <c r="J31" s="345"/>
      <c r="K31" s="345"/>
    </row>
    <row r="32" spans="1:11" ht="6.75" customHeight="1">
      <c r="A32" s="119"/>
      <c r="B32" s="119"/>
      <c r="C32" s="119"/>
      <c r="D32" s="317"/>
      <c r="E32" s="317"/>
      <c r="F32" s="317"/>
      <c r="G32" s="317"/>
      <c r="H32" s="317"/>
      <c r="I32" s="317"/>
    </row>
    <row r="33" spans="1:9" ht="12" customHeight="1">
      <c r="A33" s="2013" t="s">
        <v>2400</v>
      </c>
      <c r="B33" s="2013"/>
      <c r="C33" s="2013"/>
      <c r="D33" s="2013"/>
      <c r="E33" s="2013"/>
      <c r="F33" s="2013"/>
      <c r="G33" s="2013" t="s">
        <v>2401</v>
      </c>
      <c r="H33" s="2013"/>
      <c r="I33" s="317"/>
    </row>
    <row r="34" spans="1:9" ht="12" customHeight="1">
      <c r="A34" s="2013" t="s">
        <v>2402</v>
      </c>
      <c r="B34" s="2013"/>
      <c r="C34" s="2013"/>
      <c r="D34" s="2013"/>
      <c r="E34" s="2013"/>
      <c r="F34" s="2013"/>
      <c r="G34" s="2013" t="s">
        <v>2403</v>
      </c>
      <c r="H34" s="2013"/>
      <c r="I34" s="317"/>
    </row>
    <row r="35" spans="1:9" ht="12" customHeight="1">
      <c r="A35" s="2013" t="s">
        <v>2404</v>
      </c>
      <c r="B35" s="2013"/>
      <c r="C35" s="2013"/>
      <c r="D35" s="2013"/>
      <c r="E35" s="2013"/>
      <c r="F35" s="2013"/>
      <c r="G35" s="2013" t="s">
        <v>2405</v>
      </c>
      <c r="H35" s="2013"/>
      <c r="I35" s="317"/>
    </row>
    <row r="36" spans="1:9" ht="12" customHeight="1">
      <c r="A36" s="2013" t="s">
        <v>9623</v>
      </c>
      <c r="B36" s="2013"/>
      <c r="C36" s="2013"/>
      <c r="D36" s="2013"/>
      <c r="E36" s="2013"/>
      <c r="F36" s="2013"/>
      <c r="G36" s="2013" t="s">
        <v>2406</v>
      </c>
      <c r="H36" s="2013"/>
      <c r="I36" s="317"/>
    </row>
    <row r="37" spans="1:9" ht="12" customHeight="1">
      <c r="A37" s="2013" t="s">
        <v>2407</v>
      </c>
      <c r="B37" s="2013"/>
      <c r="C37" s="2013"/>
      <c r="D37" s="2013"/>
      <c r="E37" s="2013"/>
      <c r="F37" s="2013"/>
      <c r="G37" s="2013"/>
      <c r="H37" s="2013"/>
      <c r="I37" s="317"/>
    </row>
  </sheetData>
  <sheetProtection algorithmName="SHA-512" hashValue="HSnsd1pHSTzrRYnpFqiv7txETH/1Wz9t+aPLZmiLHqcOJtW/01V4pTujzIQ74dAD/cX2VjGXS8OWO4QMp7RLog==" saltValue="WpjBPX9Xd4p4TuCxKd3Qlw==" spinCount="100000" sheet="1" objects="1" scenarios="1" selectLockedCells="1"/>
  <mergeCells count="48">
    <mergeCell ref="C6:D6"/>
    <mergeCell ref="E6:F6"/>
    <mergeCell ref="A1:K1"/>
    <mergeCell ref="J2:K2"/>
    <mergeCell ref="C3:K3"/>
    <mergeCell ref="B4:I4"/>
    <mergeCell ref="C5:F5"/>
    <mergeCell ref="H5:I5"/>
    <mergeCell ref="A7:K7"/>
    <mergeCell ref="A8:F8"/>
    <mergeCell ref="G8:G9"/>
    <mergeCell ref="H8:H9"/>
    <mergeCell ref="I8:I9"/>
    <mergeCell ref="J8:J9"/>
    <mergeCell ref="K8:K9"/>
    <mergeCell ref="A9:F9"/>
    <mergeCell ref="A21:F21"/>
    <mergeCell ref="A10:F10"/>
    <mergeCell ref="A11:F11"/>
    <mergeCell ref="A12:F12"/>
    <mergeCell ref="A13:F13"/>
    <mergeCell ref="A14:F14"/>
    <mergeCell ref="A15:F15"/>
    <mergeCell ref="A16:F16"/>
    <mergeCell ref="A17:F17"/>
    <mergeCell ref="A18:F18"/>
    <mergeCell ref="A19:F19"/>
    <mergeCell ref="A20:F20"/>
    <mergeCell ref="G33:H33"/>
    <mergeCell ref="A22:F22"/>
    <mergeCell ref="A23:F23"/>
    <mergeCell ref="A24:F24"/>
    <mergeCell ref="A25:F25"/>
    <mergeCell ref="A26:F26"/>
    <mergeCell ref="A27:F27"/>
    <mergeCell ref="A28:F28"/>
    <mergeCell ref="A29:F29"/>
    <mergeCell ref="A30:F30"/>
    <mergeCell ref="A31:F31"/>
    <mergeCell ref="A33:F33"/>
    <mergeCell ref="A37:F37"/>
    <mergeCell ref="G37:H37"/>
    <mergeCell ref="A34:F34"/>
    <mergeCell ref="G34:H34"/>
    <mergeCell ref="A35:F35"/>
    <mergeCell ref="G35:H35"/>
    <mergeCell ref="A36:F36"/>
    <mergeCell ref="G36:H36"/>
  </mergeCells>
  <conditionalFormatting sqref="G10:K31">
    <cfRule type="cellIs" dxfId="141" priority="1" operator="equal">
      <formula>0</formula>
    </cfRule>
  </conditionalFormatting>
  <dataValidations count="1">
    <dataValidation type="whole" allowBlank="1" showInputMessage="1" showErrorMessage="1" errorTitle="Attention!" error="Valeur numérique attendue" sqref="G11:K16 G18:K22 G24:K25 G27:K31" xr:uid="{111B6CDE-9AE3-4423-A06C-9C47A99206F6}">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90" orientation="landscape" r:id="rId1"/>
  <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5F6E1-0674-425C-89B3-AEEB5383EA7D}">
  <sheetPr codeName="Feuil60">
    <tabColor rgb="FFFFC000"/>
    <pageSetUpPr fitToPage="1"/>
  </sheetPr>
  <dimension ref="A1:P14"/>
  <sheetViews>
    <sheetView showGridLines="0" showRowColHeaders="0" zoomScaleNormal="100" workbookViewId="0">
      <selection activeCell="E12" sqref="E12"/>
    </sheetView>
  </sheetViews>
  <sheetFormatPr baseColWidth="10" defaultColWidth="11.5234375" defaultRowHeight="14.4"/>
  <cols>
    <col min="1" max="1" width="11.5234375" style="103"/>
    <col min="2" max="2" width="16.41796875" style="103" customWidth="1"/>
    <col min="3" max="3" width="9.68359375" style="103" customWidth="1"/>
    <col min="4" max="4" width="8.41796875" style="103" customWidth="1"/>
    <col min="5" max="5" width="10.1015625" style="103" customWidth="1"/>
    <col min="6" max="6" width="13.68359375" style="103" customWidth="1"/>
    <col min="7" max="7" width="10.1015625" style="103" customWidth="1"/>
    <col min="8" max="8" width="13.68359375" style="103" customWidth="1"/>
    <col min="9" max="9" width="10.1015625" style="103" customWidth="1"/>
    <col min="10" max="10" width="13.68359375" style="103" customWidth="1"/>
    <col min="11" max="11" width="10.1015625" style="103" customWidth="1"/>
    <col min="12" max="12" width="13.68359375" style="103" customWidth="1"/>
    <col min="13" max="13" width="10.1015625" style="103" customWidth="1"/>
    <col min="14" max="14" width="13.68359375" style="103" customWidth="1"/>
    <col min="15" max="15" width="10.1015625" style="103" customWidth="1"/>
    <col min="16" max="16" width="13.68359375" style="103" customWidth="1"/>
    <col min="17" max="16384" width="11.5234375" style="103"/>
  </cols>
  <sheetData>
    <row r="1" spans="1:16">
      <c r="A1" s="1276" t="str">
        <f>"- "&amp;Code!K59&amp;" -"</f>
        <v>- 34 -</v>
      </c>
      <c r="B1" s="1276"/>
      <c r="C1" s="1276"/>
      <c r="D1" s="1276"/>
      <c r="E1" s="1276"/>
      <c r="F1" s="1276"/>
      <c r="G1" s="1276"/>
      <c r="H1" s="1276"/>
      <c r="I1" s="1276"/>
      <c r="J1" s="1276"/>
      <c r="K1" s="1277"/>
      <c r="L1" s="1277"/>
      <c r="M1" s="1277"/>
      <c r="N1" s="1277"/>
      <c r="O1" s="1277"/>
      <c r="P1" s="1277"/>
    </row>
    <row r="2" spans="1:16" ht="24.9" customHeight="1">
      <c r="A2" s="576"/>
      <c r="B2" s="576"/>
      <c r="C2" s="576"/>
      <c r="D2" s="576"/>
      <c r="E2" s="576"/>
      <c r="F2" s="576"/>
      <c r="O2" s="1278" t="s">
        <v>2408</v>
      </c>
      <c r="P2" s="1279"/>
    </row>
    <row r="3" spans="1:16" s="626" customFormat="1" ht="15" customHeight="1">
      <c r="A3" s="317" t="s">
        <v>50</v>
      </c>
      <c r="B3" s="317"/>
      <c r="C3" s="1280" t="str">
        <f>'NOTE 31'!C3</f>
        <v>OHADA</v>
      </c>
      <c r="D3" s="1280"/>
      <c r="E3" s="1280"/>
      <c r="F3" s="1280"/>
      <c r="G3" s="1280"/>
      <c r="H3" s="1280"/>
      <c r="I3" s="1280"/>
      <c r="J3" s="1280"/>
      <c r="K3" s="1280"/>
      <c r="L3" s="1280"/>
      <c r="M3" s="1280"/>
      <c r="N3" s="1280"/>
      <c r="O3" s="1280"/>
      <c r="P3" s="1280"/>
    </row>
    <row r="4" spans="1:16" s="626" customFormat="1" ht="15" customHeight="1">
      <c r="A4" s="317" t="s">
        <v>51</v>
      </c>
      <c r="B4" s="1280" t="str">
        <f>'NOTE 31'!B4</f>
        <v/>
      </c>
      <c r="C4" s="1280"/>
      <c r="D4" s="1280"/>
      <c r="E4" s="1280"/>
      <c r="F4" s="1280"/>
      <c r="G4" s="1280"/>
      <c r="H4" s="1280"/>
      <c r="I4" s="1280"/>
      <c r="J4" s="1280"/>
      <c r="K4" s="1280"/>
      <c r="L4" s="1280"/>
      <c r="M4" s="1280"/>
      <c r="N4" s="627" t="s">
        <v>1021</v>
      </c>
      <c r="O4" s="1489" t="str">
        <f>'NOTE 31'!K4</f>
        <v/>
      </c>
      <c r="P4" s="1489"/>
    </row>
    <row r="5" spans="1:16" s="626" customFormat="1" ht="15" customHeight="1">
      <c r="A5" s="317" t="s">
        <v>1597</v>
      </c>
      <c r="B5" s="317"/>
      <c r="C5" s="1280" t="str">
        <f>'NOTE 31'!C5</f>
        <v/>
      </c>
      <c r="D5" s="1280"/>
      <c r="E5" s="1280"/>
      <c r="F5" s="1280"/>
      <c r="G5" s="1280"/>
      <c r="H5" s="1677" t="s">
        <v>54</v>
      </c>
      <c r="I5" s="1677"/>
      <c r="J5" s="1282">
        <f>'NOTE 31'!H5</f>
        <v>0</v>
      </c>
      <c r="K5" s="1282"/>
      <c r="L5" s="1282"/>
      <c r="N5" s="627" t="s">
        <v>55</v>
      </c>
      <c r="O5" s="1489">
        <f>'NOTE 31'!K5</f>
        <v>1</v>
      </c>
      <c r="P5" s="1489"/>
    </row>
    <row r="6" spans="1:16" s="626" customFormat="1" ht="15" customHeight="1">
      <c r="A6" s="317" t="s">
        <v>1533</v>
      </c>
      <c r="B6" s="317"/>
      <c r="C6" s="1275" t="str">
        <f>'NOTE 31'!C6</f>
        <v/>
      </c>
      <c r="D6" s="1275"/>
      <c r="E6" s="1275"/>
      <c r="F6" s="1275"/>
      <c r="G6" s="794"/>
      <c r="H6" s="638"/>
      <c r="I6" s="638"/>
      <c r="J6" s="630"/>
      <c r="K6" s="630"/>
      <c r="L6" s="630"/>
      <c r="M6" s="639"/>
      <c r="N6" s="629"/>
      <c r="O6" s="630"/>
      <c r="P6" s="630"/>
    </row>
    <row r="7" spans="1:16" ht="35.25" customHeight="1">
      <c r="A7" s="1273" t="s">
        <v>2409</v>
      </c>
      <c r="B7" s="1273"/>
      <c r="C7" s="1273"/>
      <c r="D7" s="1273"/>
      <c r="E7" s="1273"/>
      <c r="F7" s="1273"/>
      <c r="G7" s="1273"/>
      <c r="H7" s="1273"/>
      <c r="I7" s="1273"/>
      <c r="J7" s="1273"/>
      <c r="K7" s="1273"/>
      <c r="L7" s="1273"/>
      <c r="M7" s="1273"/>
      <c r="N7" s="1273"/>
      <c r="O7" s="1273"/>
      <c r="P7" s="1273"/>
    </row>
    <row r="8" spans="1:16" ht="15" customHeight="1">
      <c r="A8" s="1645" t="s">
        <v>9619</v>
      </c>
      <c r="B8" s="1645"/>
      <c r="C8" s="1645"/>
      <c r="D8" s="1645" t="s">
        <v>2411</v>
      </c>
      <c r="E8" s="1645" t="s">
        <v>2412</v>
      </c>
      <c r="F8" s="1645"/>
      <c r="G8" s="1645" t="s">
        <v>2413</v>
      </c>
      <c r="H8" s="1645"/>
      <c r="I8" s="1645" t="s">
        <v>2414</v>
      </c>
      <c r="J8" s="1645"/>
      <c r="K8" s="1645" t="s">
        <v>2415</v>
      </c>
      <c r="L8" s="1645"/>
      <c r="M8" s="1645" t="s">
        <v>2416</v>
      </c>
      <c r="N8" s="1645"/>
      <c r="O8" s="1645" t="s">
        <v>2417</v>
      </c>
      <c r="P8" s="1645"/>
    </row>
    <row r="9" spans="1:16" ht="24" customHeight="1">
      <c r="A9" s="1645"/>
      <c r="B9" s="1645"/>
      <c r="C9" s="1645"/>
      <c r="D9" s="1645"/>
      <c r="E9" s="1645"/>
      <c r="F9" s="1645"/>
      <c r="G9" s="1645"/>
      <c r="H9" s="1645"/>
      <c r="I9" s="1645"/>
      <c r="J9" s="1645"/>
      <c r="K9" s="1645"/>
      <c r="L9" s="1645"/>
      <c r="M9" s="1645"/>
      <c r="N9" s="1645"/>
      <c r="O9" s="1645"/>
      <c r="P9" s="1645"/>
    </row>
    <row r="10" spans="1:16">
      <c r="A10" s="1645"/>
      <c r="B10" s="1645"/>
      <c r="C10" s="1645"/>
      <c r="D10" s="1645"/>
      <c r="E10" s="649" t="s">
        <v>2418</v>
      </c>
      <c r="F10" s="649" t="s">
        <v>2419</v>
      </c>
      <c r="G10" s="649" t="s">
        <v>2418</v>
      </c>
      <c r="H10" s="649" t="s">
        <v>2419</v>
      </c>
      <c r="I10" s="649" t="s">
        <v>2418</v>
      </c>
      <c r="J10" s="649" t="s">
        <v>2419</v>
      </c>
      <c r="K10" s="649" t="s">
        <v>2418</v>
      </c>
      <c r="L10" s="649" t="s">
        <v>2419</v>
      </c>
      <c r="M10" s="649" t="s">
        <v>2418</v>
      </c>
      <c r="N10" s="649" t="s">
        <v>2419</v>
      </c>
      <c r="O10" s="649" t="s">
        <v>2418</v>
      </c>
      <c r="P10" s="649" t="s">
        <v>2419</v>
      </c>
    </row>
    <row r="11" spans="1:16" ht="17.25" customHeight="1">
      <c r="A11" s="1918"/>
      <c r="B11" s="1918"/>
      <c r="C11" s="1918"/>
      <c r="D11" s="437"/>
      <c r="E11" s="588"/>
      <c r="F11" s="588"/>
      <c r="G11" s="588"/>
      <c r="H11" s="588"/>
      <c r="I11" s="588"/>
      <c r="J11" s="588"/>
      <c r="K11" s="588"/>
      <c r="L11" s="588"/>
      <c r="M11" s="588"/>
      <c r="N11" s="588"/>
      <c r="O11" s="588"/>
      <c r="P11" s="588"/>
    </row>
    <row r="12" spans="1:16" ht="17.25" customHeight="1">
      <c r="A12" s="2025" t="s">
        <v>2864</v>
      </c>
      <c r="B12" s="2026"/>
      <c r="C12" s="2026"/>
      <c r="D12" s="364"/>
      <c r="E12" s="438"/>
      <c r="F12" s="438"/>
      <c r="G12" s="438"/>
      <c r="H12" s="438"/>
      <c r="I12" s="438"/>
      <c r="J12" s="438"/>
      <c r="K12" s="438"/>
      <c r="L12" s="438"/>
      <c r="M12" s="438"/>
      <c r="N12" s="438"/>
      <c r="O12" s="438"/>
      <c r="P12" s="438"/>
    </row>
    <row r="13" spans="1:16" ht="17.25" customHeight="1">
      <c r="A13" s="2022" t="s">
        <v>1578</v>
      </c>
      <c r="B13" s="2023"/>
      <c r="C13" s="2023"/>
      <c r="D13" s="2024"/>
      <c r="E13" s="399">
        <f ca="1">SUM(INDIRECT(SUBSTITUTE(ADDRESS(1,COLUMN(E11)),1,"")&amp;ROW(E11)):INDIRECT(SUBSTITUTE(ADDRESS(1,COLUMN()),1,"")&amp;ROW()-1))</f>
        <v>0</v>
      </c>
      <c r="F13" s="399">
        <f ca="1">SUM(INDIRECT(SUBSTITUTE(ADDRESS(1,COLUMN(F11)),1,"")&amp;ROW(F11)):INDIRECT(SUBSTITUTE(ADDRESS(1,COLUMN()),1,"")&amp;ROW()-1))</f>
        <v>0</v>
      </c>
      <c r="G13" s="399">
        <f ca="1">SUM(INDIRECT(SUBSTITUTE(ADDRESS(1,COLUMN(G11)),1,"")&amp;ROW(G11)):INDIRECT(SUBSTITUTE(ADDRESS(1,COLUMN()),1,"")&amp;ROW()-1))</f>
        <v>0</v>
      </c>
      <c r="H13" s="399">
        <f ca="1">SUM(INDIRECT(SUBSTITUTE(ADDRESS(1,COLUMN(H11)),1,"")&amp;ROW(H11)):INDIRECT(SUBSTITUTE(ADDRESS(1,COLUMN()),1,"")&amp;ROW()-1))</f>
        <v>0</v>
      </c>
      <c r="I13" s="399">
        <f ca="1">SUM(INDIRECT(SUBSTITUTE(ADDRESS(1,COLUMN(I11)),1,"")&amp;ROW(I11)):INDIRECT(SUBSTITUTE(ADDRESS(1,COLUMN()),1,"")&amp;ROW()-1))</f>
        <v>0</v>
      </c>
      <c r="J13" s="399">
        <f ca="1">SUM(INDIRECT(SUBSTITUTE(ADDRESS(1,COLUMN(J11)),1,"")&amp;ROW(J11)):INDIRECT(SUBSTITUTE(ADDRESS(1,COLUMN()),1,"")&amp;ROW()-1))</f>
        <v>0</v>
      </c>
      <c r="K13" s="399">
        <f ca="1">SUM(INDIRECT(SUBSTITUTE(ADDRESS(1,COLUMN(K11)),1,"")&amp;ROW(K11)):INDIRECT(SUBSTITUTE(ADDRESS(1,COLUMN()),1,"")&amp;ROW()-1))</f>
        <v>0</v>
      </c>
      <c r="L13" s="399">
        <f ca="1">SUM(INDIRECT(SUBSTITUTE(ADDRESS(1,COLUMN(L11)),1,"")&amp;ROW(L11)):INDIRECT(SUBSTITUTE(ADDRESS(1,COLUMN()),1,"")&amp;ROW()-1))</f>
        <v>0</v>
      </c>
      <c r="M13" s="399">
        <f ca="1">SUM(INDIRECT(SUBSTITUTE(ADDRESS(1,COLUMN(M11)),1,"")&amp;ROW(M11)):INDIRECT(SUBSTITUTE(ADDRESS(1,COLUMN()),1,"")&amp;ROW()-1))</f>
        <v>0</v>
      </c>
      <c r="N13" s="399">
        <f ca="1">SUM(INDIRECT(SUBSTITUTE(ADDRESS(1,COLUMN(N11)),1,"")&amp;ROW(N11)):INDIRECT(SUBSTITUTE(ADDRESS(1,COLUMN()),1,"")&amp;ROW()-1))</f>
        <v>0</v>
      </c>
      <c r="O13" s="399">
        <f ca="1">SUM(INDIRECT(SUBSTITUTE(ADDRESS(1,COLUMN(O11)),1,"")&amp;ROW(O11)):INDIRECT(SUBSTITUTE(ADDRESS(1,COLUMN()),1,"")&amp;ROW()-1))</f>
        <v>0</v>
      </c>
      <c r="P13" s="399">
        <f ca="1">SUM(INDIRECT(SUBSTITUTE(ADDRESS(1,COLUMN(P11)),1,"")&amp;ROW(P11)):INDIRECT(SUBSTITUTE(ADDRESS(1,COLUMN()),1,"")&amp;ROW()-1))</f>
        <v>0</v>
      </c>
    </row>
    <row r="14" spans="1:16">
      <c r="A14" s="793" t="s">
        <v>9620</v>
      </c>
    </row>
  </sheetData>
  <sheetProtection algorithmName="SHA-512" hashValue="jtiEycTssxZ/PmmOESnSTIYCTehMruMqxnBxzHayFdG0JYo0JNh3lDC1W1MxvPqBVWE47xYgJVSFjzVTxnJuBg==" saltValue="1yBp4kSrG6uf9qZghiezrQ==" spinCount="100000" sheet="1" objects="1" scenarios="1" selectLockedCells="1"/>
  <mergeCells count="23">
    <mergeCell ref="O5:P5"/>
    <mergeCell ref="A1:P1"/>
    <mergeCell ref="O2:P2"/>
    <mergeCell ref="C3:P3"/>
    <mergeCell ref="B4:M4"/>
    <mergeCell ref="O4:P4"/>
    <mergeCell ref="C6:D6"/>
    <mergeCell ref="E6:F6"/>
    <mergeCell ref="C5:G5"/>
    <mergeCell ref="H5:I5"/>
    <mergeCell ref="J5:L5"/>
    <mergeCell ref="A13:D13"/>
    <mergeCell ref="A11:C11"/>
    <mergeCell ref="A7:P7"/>
    <mergeCell ref="A8:C10"/>
    <mergeCell ref="D8:D10"/>
    <mergeCell ref="E8:F9"/>
    <mergeCell ref="G8:H9"/>
    <mergeCell ref="I8:J9"/>
    <mergeCell ref="K8:L9"/>
    <mergeCell ref="M8:N9"/>
    <mergeCell ref="O8:P9"/>
    <mergeCell ref="A12:C12"/>
  </mergeCells>
  <conditionalFormatting sqref="E13:P13">
    <cfRule type="cellIs" dxfId="140" priority="1" operator="equal">
      <formula>0</formula>
    </cfRule>
  </conditionalFormatting>
  <dataValidations count="1">
    <dataValidation type="whole" allowBlank="1" showInputMessage="1" showErrorMessage="1" errorTitle="Attention!" error="Valeur numérique attendue" sqref="E11:P12 D12" xr:uid="{19D4FB96-7AA3-4E5A-BC25-71A195C666F8}">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7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67265" r:id="rId4" name="AjoutNOTE32">
              <controlPr defaultSize="0" print="0" autoFill="0" autoPict="0" macro="[0]!AjoutNOTE32_Cliquer">
                <anchor moveWithCells="1">
                  <from>
                    <xdr:col>16</xdr:col>
                    <xdr:colOff>213360</xdr:colOff>
                    <xdr:row>8</xdr:row>
                    <xdr:rowOff>160020</xdr:rowOff>
                  </from>
                  <to>
                    <xdr:col>17</xdr:col>
                    <xdr:colOff>693420</xdr:colOff>
                    <xdr:row>9</xdr:row>
                    <xdr:rowOff>137160</xdr:rowOff>
                  </to>
                </anchor>
              </controlPr>
            </control>
          </mc:Choice>
        </mc:AlternateContent>
      </controls>
    </mc:Choice>
  </mc:AlternateContent>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610EB-43A3-45FE-A8B1-9DC2B39AD379}">
  <sheetPr codeName="Feuil61">
    <tabColor theme="9" tint="0.39997558519241921"/>
    <pageSetUpPr fitToPage="1"/>
  </sheetPr>
  <dimension ref="A1:L15"/>
  <sheetViews>
    <sheetView showGridLines="0" showRowColHeaders="0" zoomScaleNormal="100" workbookViewId="0">
      <selection activeCell="F13" sqref="F13"/>
    </sheetView>
  </sheetViews>
  <sheetFormatPr baseColWidth="10" defaultColWidth="11.5234375" defaultRowHeight="14.4"/>
  <cols>
    <col min="1" max="1" width="11.5234375" style="103"/>
    <col min="2" max="2" width="16.41796875" style="103" customWidth="1"/>
    <col min="3" max="4" width="11.5234375" style="103"/>
    <col min="5" max="5" width="9.89453125" style="103" customWidth="1"/>
    <col min="6" max="6" width="11.41796875" style="103" customWidth="1"/>
    <col min="7" max="7" width="15.41796875" style="103" customWidth="1"/>
    <col min="8" max="8" width="11.41796875" style="103" customWidth="1"/>
    <col min="9" max="9" width="15.41796875" style="103" customWidth="1"/>
    <col min="10" max="10" width="11.41796875" style="103" customWidth="1"/>
    <col min="11" max="12" width="15.41796875" style="103" customWidth="1"/>
    <col min="13" max="16384" width="11.5234375" style="103"/>
  </cols>
  <sheetData>
    <row r="1" spans="1:12">
      <c r="A1" s="1276" t="str">
        <f>"- "&amp;Code!K60&amp;" -"</f>
        <v>- 34 -</v>
      </c>
      <c r="B1" s="1276"/>
      <c r="C1" s="1276"/>
      <c r="D1" s="1276"/>
      <c r="E1" s="1276"/>
      <c r="F1" s="1276"/>
      <c r="G1" s="1276"/>
      <c r="H1" s="1276"/>
      <c r="I1" s="1276"/>
      <c r="J1" s="1276"/>
      <c r="K1" s="1277"/>
      <c r="L1" s="1277"/>
    </row>
    <row r="2" spans="1:12" ht="24.9" customHeight="1">
      <c r="A2" s="576"/>
      <c r="B2" s="576"/>
      <c r="C2" s="576"/>
      <c r="D2" s="576"/>
      <c r="E2" s="576"/>
      <c r="F2" s="576"/>
      <c r="K2" s="1278" t="s">
        <v>2420</v>
      </c>
      <c r="L2" s="1279"/>
    </row>
    <row r="3" spans="1:12" s="626" customFormat="1" ht="15" customHeight="1">
      <c r="A3" s="317" t="s">
        <v>50</v>
      </c>
      <c r="B3" s="317"/>
      <c r="C3" s="1280" t="str">
        <f>'NOTE 31'!C3</f>
        <v>OHADA</v>
      </c>
      <c r="D3" s="1280"/>
      <c r="E3" s="1280"/>
      <c r="F3" s="1280"/>
      <c r="G3" s="1280"/>
      <c r="H3" s="1280"/>
      <c r="I3" s="1280"/>
      <c r="J3" s="1280"/>
      <c r="K3" s="1280"/>
      <c r="L3" s="1280"/>
    </row>
    <row r="4" spans="1:12" s="626" customFormat="1" ht="15" customHeight="1">
      <c r="A4" s="317" t="s">
        <v>51</v>
      </c>
      <c r="B4" s="1280" t="str">
        <f>'NOTE 31'!B4</f>
        <v/>
      </c>
      <c r="C4" s="1280"/>
      <c r="D4" s="1280"/>
      <c r="E4" s="1280"/>
      <c r="F4" s="1280"/>
      <c r="G4" s="1280"/>
      <c r="H4" s="1280"/>
      <c r="I4" s="1280"/>
      <c r="J4" s="627" t="s">
        <v>1021</v>
      </c>
      <c r="K4" s="1486" t="str">
        <f>'NOTE 31'!K4</f>
        <v/>
      </c>
      <c r="L4" s="1486"/>
    </row>
    <row r="5" spans="1:12" s="626" customFormat="1" ht="15" customHeight="1">
      <c r="A5" s="317" t="s">
        <v>1597</v>
      </c>
      <c r="B5" s="317"/>
      <c r="C5" s="1281" t="str">
        <f>'NOTE 31'!C5</f>
        <v/>
      </c>
      <c r="D5" s="1281"/>
      <c r="E5" s="1488" t="s">
        <v>54</v>
      </c>
      <c r="F5" s="1488"/>
      <c r="G5" s="1648">
        <f>'NOTE 31'!H5</f>
        <v>0</v>
      </c>
      <c r="H5" s="1648"/>
      <c r="I5" s="1848" t="s">
        <v>55</v>
      </c>
      <c r="J5" s="1848"/>
      <c r="K5" s="1486">
        <f>'NOTE 31'!K5</f>
        <v>1</v>
      </c>
      <c r="L5" s="1486"/>
    </row>
    <row r="6" spans="1:12" s="626" customFormat="1" ht="15" customHeight="1">
      <c r="A6" s="317" t="s">
        <v>1533</v>
      </c>
      <c r="B6" s="317"/>
      <c r="C6" s="1275" t="str">
        <f>'NOTE 31'!C6</f>
        <v/>
      </c>
      <c r="D6" s="1275"/>
      <c r="E6" s="638"/>
      <c r="F6" s="638"/>
      <c r="G6" s="630"/>
      <c r="H6" s="630"/>
      <c r="I6" s="629"/>
      <c r="J6" s="629"/>
      <c r="K6" s="630"/>
      <c r="L6" s="630"/>
    </row>
    <row r="7" spans="1:12" ht="35.25" customHeight="1">
      <c r="A7" s="1273" t="s">
        <v>2421</v>
      </c>
      <c r="B7" s="1273"/>
      <c r="C7" s="1273"/>
      <c r="D7" s="1273"/>
      <c r="E7" s="1273"/>
      <c r="F7" s="1273"/>
      <c r="G7" s="1273"/>
      <c r="H7" s="1273"/>
      <c r="I7" s="1273"/>
      <c r="J7" s="1273"/>
      <c r="K7" s="1273"/>
      <c r="L7" s="1273"/>
    </row>
    <row r="8" spans="1:12">
      <c r="A8" s="1645" t="s">
        <v>9621</v>
      </c>
      <c r="B8" s="1645"/>
      <c r="C8" s="1645"/>
      <c r="D8" s="1645"/>
      <c r="E8" s="1645" t="s">
        <v>2411</v>
      </c>
      <c r="F8" s="1645" t="s">
        <v>2422</v>
      </c>
      <c r="G8" s="1645"/>
      <c r="H8" s="1645"/>
      <c r="I8" s="1645"/>
      <c r="J8" s="1645"/>
      <c r="K8" s="1645"/>
      <c r="L8" s="1645" t="s">
        <v>2423</v>
      </c>
    </row>
    <row r="9" spans="1:12">
      <c r="A9" s="1645"/>
      <c r="B9" s="1645"/>
      <c r="C9" s="1645"/>
      <c r="D9" s="1645"/>
      <c r="E9" s="1645"/>
      <c r="F9" s="1645" t="s">
        <v>2424</v>
      </c>
      <c r="G9" s="1645"/>
      <c r="H9" s="1645" t="s">
        <v>2425</v>
      </c>
      <c r="I9" s="1645"/>
      <c r="J9" s="1645"/>
      <c r="K9" s="1645"/>
      <c r="L9" s="1645"/>
    </row>
    <row r="10" spans="1:12">
      <c r="A10" s="1645"/>
      <c r="B10" s="1645"/>
      <c r="C10" s="1645"/>
      <c r="D10" s="1645"/>
      <c r="E10" s="1645"/>
      <c r="F10" s="1645"/>
      <c r="G10" s="1645"/>
      <c r="H10" s="1645" t="s">
        <v>2426</v>
      </c>
      <c r="I10" s="1645"/>
      <c r="J10" s="1645" t="s">
        <v>2427</v>
      </c>
      <c r="K10" s="1645"/>
      <c r="L10" s="1645"/>
    </row>
    <row r="11" spans="1:12">
      <c r="A11" s="1645"/>
      <c r="B11" s="1645"/>
      <c r="C11" s="1645"/>
      <c r="D11" s="1645"/>
      <c r="E11" s="1645"/>
      <c r="F11" s="649" t="s">
        <v>2418</v>
      </c>
      <c r="G11" s="649" t="s">
        <v>2419</v>
      </c>
      <c r="H11" s="649" t="s">
        <v>2418</v>
      </c>
      <c r="I11" s="649" t="s">
        <v>2419</v>
      </c>
      <c r="J11" s="649" t="s">
        <v>2418</v>
      </c>
      <c r="K11" s="649" t="s">
        <v>2419</v>
      </c>
      <c r="L11" s="1645"/>
    </row>
    <row r="12" spans="1:12" ht="17.25" customHeight="1">
      <c r="A12" s="2030"/>
      <c r="B12" s="2030"/>
      <c r="C12" s="2030"/>
      <c r="D12" s="2030"/>
      <c r="E12" s="439"/>
      <c r="F12" s="585"/>
      <c r="G12" s="585"/>
      <c r="H12" s="585"/>
      <c r="I12" s="585"/>
      <c r="J12" s="585"/>
      <c r="K12" s="585"/>
      <c r="L12" s="585"/>
    </row>
    <row r="13" spans="1:12" ht="17.25" customHeight="1">
      <c r="A13" s="2025" t="s">
        <v>2864</v>
      </c>
      <c r="B13" s="2026"/>
      <c r="C13" s="2026"/>
      <c r="D13" s="2031"/>
      <c r="E13" s="364"/>
      <c r="F13" s="438"/>
      <c r="G13" s="438"/>
      <c r="H13" s="438"/>
      <c r="I13" s="438"/>
      <c r="J13" s="438"/>
      <c r="K13" s="438"/>
      <c r="L13" s="438"/>
    </row>
    <row r="14" spans="1:12" ht="17.25" customHeight="1">
      <c r="A14" s="2027" t="s">
        <v>1578</v>
      </c>
      <c r="B14" s="2028"/>
      <c r="C14" s="2028"/>
      <c r="D14" s="2028"/>
      <c r="E14" s="2029"/>
      <c r="F14" s="440">
        <f ca="1">SUM(INDIRECT(SUBSTITUTE(ADDRESS(1,COLUMN(F12)),1,"")&amp;ROW(F12)):INDIRECT(SUBSTITUTE(ADDRESS(1,COLUMN()),1,"")&amp;ROW()-1))</f>
        <v>0</v>
      </c>
      <c r="G14" s="440">
        <f ca="1">SUM(INDIRECT(SUBSTITUTE(ADDRESS(1,COLUMN(G12)),1,"")&amp;ROW(G12)):INDIRECT(SUBSTITUTE(ADDRESS(1,COLUMN()),1,"")&amp;ROW()-1))</f>
        <v>0</v>
      </c>
      <c r="H14" s="440">
        <f ca="1">SUM(INDIRECT(SUBSTITUTE(ADDRESS(1,COLUMN(H12)),1,"")&amp;ROW(H12)):INDIRECT(SUBSTITUTE(ADDRESS(1,COLUMN()),1,"")&amp;ROW()-1))</f>
        <v>0</v>
      </c>
      <c r="I14" s="440">
        <f ca="1">SUM(INDIRECT(SUBSTITUTE(ADDRESS(1,COLUMN(I12)),1,"")&amp;ROW(I12)):INDIRECT(SUBSTITUTE(ADDRESS(1,COLUMN()),1,"")&amp;ROW()-1))</f>
        <v>0</v>
      </c>
      <c r="J14" s="440">
        <f ca="1">SUM(INDIRECT(SUBSTITUTE(ADDRESS(1,COLUMN(J12)),1,"")&amp;ROW(J12)):INDIRECT(SUBSTITUTE(ADDRESS(1,COLUMN()),1,"")&amp;ROW()-1))</f>
        <v>0</v>
      </c>
      <c r="K14" s="440">
        <f ca="1">SUM(INDIRECT(SUBSTITUTE(ADDRESS(1,COLUMN(K12)),1,"")&amp;ROW(K12)):INDIRECT(SUBSTITUTE(ADDRESS(1,COLUMN()),1,"")&amp;ROW()-1))</f>
        <v>0</v>
      </c>
      <c r="L14" s="440">
        <f ca="1">SUM(INDIRECT(SUBSTITUTE(ADDRESS(1,COLUMN(L12)),1,"")&amp;ROW(L12)):INDIRECT(SUBSTITUTE(ADDRESS(1,COLUMN()),1,"")&amp;ROW()-1))</f>
        <v>0</v>
      </c>
    </row>
    <row r="15" spans="1:12">
      <c r="A15" s="793" t="s">
        <v>9622</v>
      </c>
    </row>
  </sheetData>
  <sheetProtection algorithmName="SHA-512" hashValue="NHJt7/Z1ZG2qqIvaC0DxAncAxfDoCeiYw3qmz6F5LpYW5Nlda54iaLIYQka+sI0KptXqjyP/XbRZ2e/78yKklw==" saltValue="9J7o70VAfaYKmrF6kRG6cg==" spinCount="100000" sheet="1" objects="1" scenarios="1" selectLockedCells="1"/>
  <mergeCells count="23">
    <mergeCell ref="C5:D5"/>
    <mergeCell ref="E5:F5"/>
    <mergeCell ref="G5:H5"/>
    <mergeCell ref="I5:J5"/>
    <mergeCell ref="K5:L5"/>
    <mergeCell ref="A1:L1"/>
    <mergeCell ref="K2:L2"/>
    <mergeCell ref="C3:L3"/>
    <mergeCell ref="B4:I4"/>
    <mergeCell ref="K4:L4"/>
    <mergeCell ref="A14:E14"/>
    <mergeCell ref="A12:D12"/>
    <mergeCell ref="C6:D6"/>
    <mergeCell ref="A7:L7"/>
    <mergeCell ref="A8:D11"/>
    <mergeCell ref="E8:E11"/>
    <mergeCell ref="F8:K8"/>
    <mergeCell ref="L8:L11"/>
    <mergeCell ref="F9:G10"/>
    <mergeCell ref="H9:K9"/>
    <mergeCell ref="H10:I10"/>
    <mergeCell ref="J10:K10"/>
    <mergeCell ref="A13:D13"/>
  </mergeCells>
  <conditionalFormatting sqref="F14:L14">
    <cfRule type="cellIs" dxfId="139" priority="1" operator="equal">
      <formula>0</formula>
    </cfRule>
  </conditionalFormatting>
  <dataValidations count="1">
    <dataValidation type="whole" allowBlank="1" showInputMessage="1" showErrorMessage="1" errorTitle="Attention!" error="Valeur numérique attendue" sqref="F12:L13 E13" xr:uid="{2F8A58AE-47AF-4380-A1B0-2BDA9408F664}">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68290" r:id="rId4" name="AjoutNOTE33">
              <controlPr defaultSize="0" print="0" autoFill="0" autoPict="0" macro="[0]!AjoutNOTE33_Cliquer">
                <anchor moveWithCells="1">
                  <from>
                    <xdr:col>12</xdr:col>
                    <xdr:colOff>198120</xdr:colOff>
                    <xdr:row>8</xdr:row>
                    <xdr:rowOff>68580</xdr:rowOff>
                  </from>
                  <to>
                    <xdr:col>13</xdr:col>
                    <xdr:colOff>678180</xdr:colOff>
                    <xdr:row>9</xdr:row>
                    <xdr:rowOff>160020</xdr:rowOff>
                  </to>
                </anchor>
              </controlPr>
            </control>
          </mc:Choice>
        </mc:AlternateContent>
      </controls>
    </mc:Choice>
  </mc:AlternateConten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B57E8-E83B-45AC-9DA2-7CC6493C965A}">
  <sheetPr codeName="Feuil62">
    <tabColor theme="9" tint="0.39997558519241921"/>
    <pageSetUpPr fitToPage="1"/>
  </sheetPr>
  <dimension ref="A1:I65"/>
  <sheetViews>
    <sheetView showGridLines="0" showRowColHeaders="0" zoomScaleNormal="100" workbookViewId="0">
      <selection sqref="A1:H1"/>
    </sheetView>
  </sheetViews>
  <sheetFormatPr baseColWidth="10" defaultColWidth="11.5234375" defaultRowHeight="14.4"/>
  <cols>
    <col min="1" max="1" width="11.5234375" style="103"/>
    <col min="2" max="2" width="17" style="103" customWidth="1"/>
    <col min="3" max="3" width="11.5234375" style="103"/>
    <col min="4" max="4" width="3.1015625" style="103" customWidth="1"/>
    <col min="5" max="5" width="23.89453125" style="103" customWidth="1"/>
    <col min="6" max="7" width="14.3125" style="103" customWidth="1"/>
    <col min="8" max="8" width="11" style="122" customWidth="1"/>
    <col min="9" max="16384" width="11.5234375" style="103"/>
  </cols>
  <sheetData>
    <row r="1" spans="1:8" ht="12.75" customHeight="1">
      <c r="A1" s="1276" t="str">
        <f>"- "&amp;Code!K61&amp;" -"</f>
        <v>- 35 -</v>
      </c>
      <c r="B1" s="1276"/>
      <c r="C1" s="1276"/>
      <c r="D1" s="1276"/>
      <c r="E1" s="1276"/>
      <c r="F1" s="1276"/>
      <c r="G1" s="1276"/>
      <c r="H1" s="1276"/>
    </row>
    <row r="2" spans="1:8" ht="24.9" customHeight="1">
      <c r="A2" s="576"/>
      <c r="B2" s="576"/>
      <c r="C2" s="576"/>
      <c r="D2" s="576"/>
      <c r="E2" s="576"/>
      <c r="F2" s="576"/>
      <c r="G2" s="1544" t="s">
        <v>2428</v>
      </c>
      <c r="H2" s="1546"/>
    </row>
    <row r="3" spans="1:8" s="626" customFormat="1" ht="15" customHeight="1">
      <c r="A3" s="317" t="s">
        <v>50</v>
      </c>
      <c r="B3" s="317"/>
      <c r="C3" s="1280" t="str">
        <f>'NOTE 31'!C3</f>
        <v>OHADA</v>
      </c>
      <c r="D3" s="1280"/>
      <c r="E3" s="1280"/>
      <c r="F3" s="1280"/>
      <c r="G3" s="1280"/>
      <c r="H3" s="1280"/>
    </row>
    <row r="4" spans="1:8" s="626" customFormat="1" ht="15" customHeight="1">
      <c r="A4" s="317" t="s">
        <v>51</v>
      </c>
      <c r="B4" s="1280" t="str">
        <f>'NOTE 31'!B4</f>
        <v/>
      </c>
      <c r="C4" s="1280"/>
      <c r="D4" s="1280"/>
      <c r="E4" s="1280"/>
      <c r="F4" s="627" t="s">
        <v>1021</v>
      </c>
      <c r="G4" s="1486" t="str">
        <f>'NOTE 31'!K4</f>
        <v/>
      </c>
      <c r="H4" s="1486"/>
    </row>
    <row r="5" spans="1:8" s="626" customFormat="1" ht="15" customHeight="1">
      <c r="A5" s="317" t="s">
        <v>53</v>
      </c>
      <c r="B5" s="317"/>
      <c r="C5" s="1281" t="str">
        <f>'NOTE 31'!C5</f>
        <v/>
      </c>
      <c r="D5" s="1281"/>
      <c r="E5" s="642" t="s">
        <v>54</v>
      </c>
      <c r="F5" s="633">
        <f>'NOTE 31'!H5</f>
        <v>0</v>
      </c>
      <c r="G5" s="627" t="s">
        <v>55</v>
      </c>
      <c r="H5" s="630">
        <f>'NOTE 31'!K5</f>
        <v>1</v>
      </c>
    </row>
    <row r="6" spans="1:8" s="626" customFormat="1" ht="15" customHeight="1">
      <c r="A6" s="317" t="s">
        <v>1533</v>
      </c>
      <c r="B6" s="317"/>
      <c r="C6" s="1275" t="str">
        <f>'NOTE 31'!C6</f>
        <v/>
      </c>
      <c r="D6" s="1275"/>
      <c r="E6" s="638"/>
      <c r="F6" s="630"/>
      <c r="G6" s="629"/>
      <c r="H6" s="630"/>
    </row>
    <row r="7" spans="1:8" ht="21.75" customHeight="1">
      <c r="A7" s="1273" t="s">
        <v>2429</v>
      </c>
      <c r="B7" s="1273"/>
      <c r="C7" s="1273"/>
      <c r="D7" s="1273"/>
      <c r="E7" s="1273"/>
      <c r="F7" s="1273"/>
      <c r="G7" s="1273"/>
      <c r="H7" s="1273"/>
    </row>
    <row r="8" spans="1:8" ht="24" customHeight="1">
      <c r="A8" s="1644" t="s">
        <v>2430</v>
      </c>
      <c r="B8" s="1644"/>
      <c r="C8" s="1644"/>
      <c r="D8" s="1644"/>
      <c r="E8" s="1644"/>
      <c r="F8" s="649" t="s">
        <v>1693</v>
      </c>
      <c r="G8" s="649" t="s">
        <v>1694</v>
      </c>
      <c r="H8" s="649" t="s">
        <v>1731</v>
      </c>
    </row>
    <row r="9" spans="1:8" ht="12" customHeight="1">
      <c r="A9" s="2078" t="s">
        <v>2431</v>
      </c>
      <c r="B9" s="2078"/>
      <c r="C9" s="2078"/>
      <c r="D9" s="2078"/>
      <c r="E9" s="2078"/>
      <c r="F9" s="2078"/>
      <c r="G9" s="2078"/>
      <c r="H9" s="2078"/>
    </row>
    <row r="10" spans="1:8" ht="12" customHeight="1">
      <c r="A10" s="2077" t="s">
        <v>2432</v>
      </c>
      <c r="B10" s="2077"/>
      <c r="C10" s="2077"/>
      <c r="D10" s="2077"/>
      <c r="E10" s="2077"/>
      <c r="F10" s="2071"/>
      <c r="G10" s="2079"/>
      <c r="H10" s="2079"/>
    </row>
    <row r="11" spans="1:8" ht="12" customHeight="1">
      <c r="A11" s="2073" t="s">
        <v>2433</v>
      </c>
      <c r="B11" s="2052"/>
      <c r="C11" s="2052"/>
      <c r="D11" s="2052"/>
      <c r="E11" s="2053"/>
      <c r="F11" s="427">
        <f>RESULTAT!I18/1000</f>
        <v>2041946.7450000001</v>
      </c>
      <c r="G11" s="427">
        <f>RESULTAT!J18/1000</f>
        <v>1871826.89</v>
      </c>
      <c r="H11" s="441">
        <f>IF(G11,(F11-G11)/G11,IF(ISBLANK(G11),"",IF(F11,IF( F11 &gt; 0,1,-1),"")))</f>
        <v>9.0884395297900766E-2</v>
      </c>
    </row>
    <row r="12" spans="1:8" ht="12" customHeight="1">
      <c r="A12" s="2057" t="s">
        <v>2434</v>
      </c>
      <c r="B12" s="2037"/>
      <c r="C12" s="2037"/>
      <c r="D12" s="2037"/>
      <c r="E12" s="2038"/>
      <c r="F12" s="427">
        <f>RESULTAT!I14/1000</f>
        <v>40000</v>
      </c>
      <c r="G12" s="427">
        <f>RESULTAT!J14/1000</f>
        <v>0</v>
      </c>
      <c r="H12" s="441">
        <f t="shared" ref="H12:H19" si="0">IF(G12,(F12-G12)/G12,IF(ISBLANK(G12),"",IF(F12,IF( F12 &gt; 0,1,-1),"")))</f>
        <v>1</v>
      </c>
    </row>
    <row r="13" spans="1:8" ht="12" customHeight="1">
      <c r="A13" s="2057" t="s">
        <v>2435</v>
      </c>
      <c r="B13" s="2037"/>
      <c r="C13" s="2037"/>
      <c r="D13" s="2037"/>
      <c r="E13" s="2038"/>
      <c r="F13" s="427">
        <f>RESULTAT!I32/1000</f>
        <v>485093.19699999999</v>
      </c>
      <c r="G13" s="427">
        <f>RESULTAT!J32/1000</f>
        <v>382440.76</v>
      </c>
      <c r="H13" s="441">
        <f t="shared" si="0"/>
        <v>0.26841395514432087</v>
      </c>
    </row>
    <row r="14" spans="1:8" ht="12" customHeight="1">
      <c r="A14" s="2057" t="s">
        <v>2436</v>
      </c>
      <c r="B14" s="2037"/>
      <c r="C14" s="2037"/>
      <c r="D14" s="2037"/>
      <c r="E14" s="2038"/>
      <c r="F14" s="427">
        <f>RESULTAT!I34/1000</f>
        <v>266876.10399999999</v>
      </c>
      <c r="G14" s="427">
        <f>RESULTAT!J34/1000</f>
        <v>173588.50899999999</v>
      </c>
      <c r="H14" s="441">
        <f t="shared" si="0"/>
        <v>0.5374065111648606</v>
      </c>
    </row>
    <row r="15" spans="1:8" ht="12" customHeight="1">
      <c r="A15" s="2057" t="s">
        <v>2437</v>
      </c>
      <c r="B15" s="2037"/>
      <c r="C15" s="2037"/>
      <c r="D15" s="2037"/>
      <c r="E15" s="2038"/>
      <c r="F15" s="427">
        <f>RESULTAT!I37/1000</f>
        <v>240364.791</v>
      </c>
      <c r="G15" s="427">
        <f>RESULTAT!J37/1000</f>
        <v>141972.75399999999</v>
      </c>
      <c r="H15" s="441">
        <f t="shared" si="0"/>
        <v>0.69303464381623547</v>
      </c>
    </row>
    <row r="16" spans="1:8" ht="12" customHeight="1">
      <c r="A16" s="2057" t="s">
        <v>2438</v>
      </c>
      <c r="B16" s="2037"/>
      <c r="C16" s="2037"/>
      <c r="D16" s="2037"/>
      <c r="E16" s="2038"/>
      <c r="F16" s="427">
        <f>RESULTAT!I43/1000</f>
        <v>4000</v>
      </c>
      <c r="G16" s="427">
        <f>RESULTAT!J43/1000</f>
        <v>0</v>
      </c>
      <c r="H16" s="441">
        <f t="shared" si="0"/>
        <v>1</v>
      </c>
    </row>
    <row r="17" spans="1:8" ht="12" customHeight="1">
      <c r="A17" s="2057" t="s">
        <v>2439</v>
      </c>
      <c r="B17" s="2037"/>
      <c r="C17" s="2037"/>
      <c r="D17" s="2037"/>
      <c r="E17" s="2038"/>
      <c r="F17" s="427">
        <f>RESULTAT!I44/1000</f>
        <v>244364.791</v>
      </c>
      <c r="G17" s="427">
        <f>RESULTAT!J44/1000</f>
        <v>141972.75399999999</v>
      </c>
      <c r="H17" s="441">
        <f t="shared" si="0"/>
        <v>0.72120906381797756</v>
      </c>
    </row>
    <row r="18" spans="1:8" ht="12" customHeight="1">
      <c r="A18" s="2057" t="s">
        <v>2440</v>
      </c>
      <c r="B18" s="2037"/>
      <c r="C18" s="2037"/>
      <c r="D18" s="2037"/>
      <c r="E18" s="2038"/>
      <c r="F18" s="427">
        <f>RESULTAT!I49/1000</f>
        <v>2127.1190000000001</v>
      </c>
      <c r="G18" s="427">
        <f>RESULTAT!J49/1000</f>
        <v>58.332999999999998</v>
      </c>
      <c r="H18" s="441">
        <f t="shared" si="0"/>
        <v>35.465105514888656</v>
      </c>
    </row>
    <row r="19" spans="1:8" ht="12" customHeight="1">
      <c r="A19" s="2074" t="s">
        <v>2441</v>
      </c>
      <c r="B19" s="2075"/>
      <c r="C19" s="2075"/>
      <c r="D19" s="2075"/>
      <c r="E19" s="2076"/>
      <c r="F19" s="427">
        <f>RESULTAT!I52/1000</f>
        <v>215389.71</v>
      </c>
      <c r="G19" s="427">
        <f>RESULTAT!J52/1000</f>
        <v>118619.674</v>
      </c>
      <c r="H19" s="441">
        <f t="shared" si="0"/>
        <v>0.81580089319753146</v>
      </c>
    </row>
    <row r="20" spans="1:8" ht="12" customHeight="1">
      <c r="A20" s="2077" t="s">
        <v>2442</v>
      </c>
      <c r="B20" s="2077"/>
      <c r="C20" s="2077"/>
      <c r="D20" s="2077"/>
      <c r="E20" s="2077"/>
      <c r="F20" s="2069"/>
      <c r="G20" s="2070"/>
      <c r="H20" s="2071"/>
    </row>
    <row r="21" spans="1:8" ht="12" customHeight="1">
      <c r="A21" s="2045" t="s">
        <v>2443</v>
      </c>
      <c r="B21" s="2046"/>
      <c r="C21" s="2046"/>
      <c r="D21" s="2046"/>
      <c r="E21" s="2047"/>
      <c r="F21" s="428">
        <f>F14</f>
        <v>266876.10399999999</v>
      </c>
      <c r="G21" s="428">
        <f>G14</f>
        <v>173588.50899999999</v>
      </c>
      <c r="H21" s="442"/>
    </row>
    <row r="22" spans="1:8" ht="12" customHeight="1">
      <c r="A22" s="2036" t="s">
        <v>2444</v>
      </c>
      <c r="B22" s="2037"/>
      <c r="C22" s="2037"/>
      <c r="D22" s="2037"/>
      <c r="E22" s="2038"/>
      <c r="F22" s="427">
        <f>SUMIFS(BalanceN[BS_Debit],BalanceN[Table],"&gt;=65400",BalanceN[Table],"&lt;65500")</f>
        <v>0</v>
      </c>
      <c r="G22" s="427">
        <f>SUMIFS(BalanceN1[BS_Debit],BalanceN1[Table],"&gt;=65400",BalanceN1[Table],"&lt;65500")</f>
        <v>0</v>
      </c>
      <c r="H22" s="442"/>
    </row>
    <row r="23" spans="1:8" ht="12" customHeight="1">
      <c r="A23" s="2036" t="s">
        <v>2445</v>
      </c>
      <c r="B23" s="2037"/>
      <c r="C23" s="2037"/>
      <c r="D23" s="2037"/>
      <c r="E23" s="2038"/>
      <c r="F23" s="427">
        <f>-SUMIFS(BalanceN[BS_Credit],BalanceN[Table],"&gt;=75400",BalanceN[Table],"&lt;75500")</f>
        <v>0</v>
      </c>
      <c r="G23" s="427">
        <f>-SUMIFS(BalanceN1[BS_Credit],BalanceN1[Table],"&gt;=75400",BalanceN1[Table],"&lt;75500")</f>
        <v>0</v>
      </c>
      <c r="H23" s="442"/>
    </row>
    <row r="24" spans="1:8" ht="12" customHeight="1">
      <c r="A24" s="2072" t="s">
        <v>2446</v>
      </c>
      <c r="B24" s="2033"/>
      <c r="C24" s="2033"/>
      <c r="D24" s="2033"/>
      <c r="E24" s="2034"/>
      <c r="F24" s="443">
        <f>F21+F22-F23</f>
        <v>266876.10399999999</v>
      </c>
      <c r="G24" s="443">
        <f>G21+G22-G23</f>
        <v>173588.50899999999</v>
      </c>
      <c r="H24" s="444">
        <f>IF(G24,(F24-G24)/G24,IF(ISBLANK(G24),"",IF(F24,IF( F24 &gt; 0,1,-1),"")))</f>
        <v>0.5374065111648606</v>
      </c>
    </row>
    <row r="25" spans="1:8" ht="12" customHeight="1">
      <c r="A25" s="2036" t="s">
        <v>2447</v>
      </c>
      <c r="B25" s="2037"/>
      <c r="C25" s="2037"/>
      <c r="D25" s="2037"/>
      <c r="E25" s="2038"/>
      <c r="F25" s="427">
        <f>(SUMIFS(BalanceN[BS_Credit],BalanceN[Table],"&gt;=77000",BalanceN[Table],"&lt;78000")-SUMIFS(BalanceN[BS_Debit],BalanceN[Table],"&gt;=77000",BalanceN[Table],"&lt;78000")-(SUMIFS(BalanceN[BS_Credit],BalanceN[Table],"&gt;=77600",BalanceN[Table],"&lt;77700")-SUMIFS(BalanceN[BS_Debit],BalanceN[Table],"&gt;=77600",BalanceN[Table],"&lt;77800")))/1000</f>
        <v>7500</v>
      </c>
      <c r="G25" s="427">
        <f>(SUMIFS(BalanceN1[BS_Credit],BalanceN1[Table],"&gt;=77000",BalanceN1[Table],"&lt;78000")-SUMIFS(BalanceN1[BS_Debit],BalanceN1[Table],"&gt;=77000",BalanceN1[Table],"&lt;78000")-(SUMIFS(BalanceN1[BS_Credit],BalanceN1[Table],"&gt;=77600",BalanceN1[Table],"&lt;77700")-SUMIFS(BalanceN1[BS_Debit],BalanceN1[Table],"&gt;=77600",BalanceN1[Table],"&lt;77800")))/1000</f>
        <v>0</v>
      </c>
      <c r="H25" s="442"/>
    </row>
    <row r="26" spans="1:8" ht="12" customHeight="1">
      <c r="A26" s="2036" t="s">
        <v>2448</v>
      </c>
      <c r="B26" s="2037"/>
      <c r="C26" s="2037"/>
      <c r="D26" s="2037"/>
      <c r="E26" s="2038"/>
      <c r="F26" s="427">
        <f>(SUMIFS(BalanceN[BS_Credit],BalanceN[Table],"&gt;=77600",BalanceN[Table],"&lt;77700")-SUMIFS(BalanceN[BS_Debit],BalanceN[Table],"&gt;=77600",BalanceN[Table],"&lt;77800"))/1000</f>
        <v>0</v>
      </c>
      <c r="G26" s="427">
        <f>(SUMIFS(BalanceN1[BS_Credit],BalanceN1[Table],"&gt;=77600",BalanceN1[Table],"&lt;77700")-SUMIFS(BalanceN1[BS_Debit],BalanceN1[Table],"&gt;=77600",BalanceN1[Table],"&lt;77800"))/1000</f>
        <v>0</v>
      </c>
      <c r="H26" s="442"/>
    </row>
    <row r="27" spans="1:8" ht="12" customHeight="1">
      <c r="A27" s="2057" t="s">
        <v>2449</v>
      </c>
      <c r="B27" s="2037"/>
      <c r="C27" s="2037"/>
      <c r="D27" s="2037"/>
      <c r="E27" s="2038"/>
      <c r="F27" s="427">
        <f>(SUMIFS(BalanceN[BS_Credit],BalanceN[Table],"&gt;=78700",BalanceN[Table],"&lt;78800")-SUMIFS(BalanceN[BS_Debit],BalanceN[Table],"&gt;=78700",BalanceN[Table],"&lt;78800"))/1000</f>
        <v>0</v>
      </c>
      <c r="G27" s="427">
        <f>(SUMIFS(BalanceN1[BS_Credit],BalanceN1[Table],"&gt;=78700",BalanceN1[Table],"&lt;78800")-SUMIFS(BalanceN1[BS_Debit],BalanceN1[Table],"&gt;=78700",BalanceN1[Table],"&lt;78800"))/1000</f>
        <v>0</v>
      </c>
      <c r="H27" s="442"/>
    </row>
    <row r="28" spans="1:8" ht="12" customHeight="1">
      <c r="A28" s="2036" t="s">
        <v>2450</v>
      </c>
      <c r="B28" s="2037"/>
      <c r="C28" s="2037"/>
      <c r="D28" s="2037"/>
      <c r="E28" s="2038"/>
      <c r="F28" s="427">
        <f>(SUMIFS(BalanceN[BS_Credit],BalanceN[Table],"&gt;=84000",BalanceN[Table],"&lt;85000")-SUMIFS(BalanceN[BS_Debit],BalanceN[Table],"&gt;=84000",BalanceN[Table],"&lt;85000")-(SUMIFS(BalanceN[BS_Credit],BalanceN[Table],"&gt;=84800",BalanceN[Table],"&lt;84900")-SUMIFS(BalanceN[BS_Debit],BalanceN[Table],"&gt;=84800",BalanceN[Table],"&lt;84900"))
+SUMIFS(BalanceN[BS_Credit],BalanceN[Table],"&gt;=88000",BalanceN[Table],"&lt;89000")-SUMIFS(BalanceN[BS_Debit],BalanceN[Table],"&gt;=88000",BalanceN[Table],"&lt;89000"))/1000</f>
        <v>2000</v>
      </c>
      <c r="G28" s="427">
        <f>(SUMIFS(BalanceN1[BS_Credit],BalanceN1[Table],"&gt;=84000",BalanceN1[Table],"&lt;85000")-SUMIFS(BalanceN1[BS_Debit],BalanceN1[Table],"&gt;=84000",BalanceN1[Table],"&lt;85000")-(SUMIFS(BalanceN1[BS_Credit],BalanceN1[Table],"&gt;=84800",BalanceN1[Table],"&lt;84900")-SUMIFS(BalanceN1[BS_Debit],BalanceN1[Table],"&gt;=84800",BalanceN1[Table],"&lt;84900"))
+SUMIFS(BalanceN1[BS_Credit],BalanceN1[Table],"&gt;=88000",BalanceN1[Table],"&lt;89000")-SUMIFS(BalanceN1[BS_Debit],BalanceN1[Table],"&gt;=88000",BalanceN1[Table],"&lt;89000"))/1000</f>
        <v>0</v>
      </c>
      <c r="H28" s="442"/>
    </row>
    <row r="29" spans="1:8" ht="12" customHeight="1">
      <c r="A29" s="2057" t="s">
        <v>2451</v>
      </c>
      <c r="B29" s="2037"/>
      <c r="C29" s="2037"/>
      <c r="D29" s="2037"/>
      <c r="E29" s="2038"/>
      <c r="F29" s="427">
        <f>SUMIFS(BalanceN[BS_Credit],BalanceN[Table],"&gt;=84800",BalanceN[Table],"&lt;84900")-SUMIFS(BalanceN[BS_Debit],BalanceN[Table],"&gt;=84800",BalanceN[Table],"&lt;84900")</f>
        <v>0</v>
      </c>
      <c r="G29" s="427">
        <f>SUMIFS(BalanceN1[BS_Credit],BalanceN1[Table],"&gt;=84800",BalanceN1[Table],"&lt;84900")-SUMIFS(BalanceN1[BS_Debit],BalanceN1[Table],"&gt;=84800",BalanceN1[Table],"&lt;84900")</f>
        <v>0</v>
      </c>
      <c r="H29" s="442"/>
    </row>
    <row r="30" spans="1:8" ht="12" customHeight="1">
      <c r="A30" s="2036" t="s">
        <v>2452</v>
      </c>
      <c r="B30" s="2037"/>
      <c r="C30" s="2037"/>
      <c r="D30" s="2037"/>
      <c r="E30" s="2038"/>
      <c r="F30" s="427">
        <f>(SUMIFS(BalanceN[BS_Credit],BalanceN[Table],"&gt;=67000",BalanceN[Table],"&lt;68000")-SUMIFS(BalanceN[BS_Debit],BalanceN[Table],"&gt;=67000",BalanceN[Table],"&lt;68000")
-(
SUMIFS(BalanceN[BS_Credit],BalanceN[Table],"&gt;=67600",BalanceN[Table],"&lt;67700")-SUMIFS(BalanceN[BS_Debit],BalanceN[Table],"&gt;=67600",BalanceN[Table],"&lt;67700")
))/1000</f>
        <v>-3500</v>
      </c>
      <c r="G30" s="427">
        <f>(SUMIFS(BalanceN1[BS_Credit],BalanceN1[Table],"&gt;=67000",BalanceN1[Table],"&lt;68000")-SUMIFS(BalanceN1[BS_Debit],BalanceN1[Table],"&gt;=67000",BalanceN1[Table],"&lt;68000")
-(
SUMIFS(BalanceN1[BS_Credit],BalanceN1[Table],"&gt;=67600",BalanceN1[Table],"&lt;67700")-SUMIFS(BalanceN1[BS_Debit],BalanceN1[Table],"&gt;=67600",BalanceN1[Table],"&lt;67700")
))/1000</f>
        <v>0</v>
      </c>
      <c r="H30" s="442"/>
    </row>
    <row r="31" spans="1:8" ht="12" customHeight="1">
      <c r="A31" s="2036" t="s">
        <v>2453</v>
      </c>
      <c r="B31" s="2037"/>
      <c r="C31" s="2037"/>
      <c r="D31" s="2037"/>
      <c r="E31" s="2038"/>
      <c r="F31" s="427">
        <f>(SUMIFS(BalanceN[BS_Credit],BalanceN[Table],"&gt;=67600",BalanceN[Table],"&lt;67700")-SUMIFS(BalanceN[BS_Debit],BalanceN[Table],"&gt;=67600",BalanceN[Table],"&lt;67700"))/1000</f>
        <v>0</v>
      </c>
      <c r="G31" s="427">
        <f>(SUMIFS(BalanceN1[BS_Credit],BalanceN1[Table],"&gt;=67600",BalanceN1[Table],"&lt;67700")-SUMIFS(BalanceN1[BS_Debit],BalanceN1[Table],"&gt;=67600",BalanceN1[Table],"&lt;67700"))/1000</f>
        <v>0</v>
      </c>
      <c r="H31" s="442"/>
    </row>
    <row r="32" spans="1:8" ht="12" customHeight="1">
      <c r="A32" s="2036" t="s">
        <v>2454</v>
      </c>
      <c r="B32" s="2037"/>
      <c r="C32" s="2037"/>
      <c r="D32" s="2037"/>
      <c r="E32" s="2038"/>
      <c r="F32" s="427">
        <f>(
SUMIFS(BalanceN[BS_Debit],BalanceN[Table],"&gt;=83000",BalanceN[Table],"&lt;84000")
-
SUMIFS(BalanceN[BS_Credit],BalanceN[Table],"&gt;=83000",BalanceN[Table],"&lt;84000"))/1000</f>
        <v>0</v>
      </c>
      <c r="G32" s="427">
        <f>(
SUMIFS(BalanceN1[BS_Debit],BalanceN1[Table],"&gt;=83000",BalanceN1[Table],"&lt;84000")
-
SUMIFS(BalanceN1[BS_Credit],BalanceN1[Table],"&gt;=83000",BalanceN1[Table],"&lt;84000"))/1000</f>
        <v>0</v>
      </c>
      <c r="H32" s="442"/>
    </row>
    <row r="33" spans="1:9" ht="12" customHeight="1">
      <c r="A33" s="2057" t="s">
        <v>2455</v>
      </c>
      <c r="B33" s="2037"/>
      <c r="C33" s="2037"/>
      <c r="D33" s="2037"/>
      <c r="E33" s="2038"/>
      <c r="F33" s="427">
        <f>(SUMIFS(BalanceN[BS_Credit],BalanceN[Table],"&gt;=87000",BalanceN[Table],"&lt;88000")-SUMIFS(BalanceN[BS_Debit],BalanceN[Table],"&gt;=87000",BalanceN[Table],"&lt;88000"))/1000</f>
        <v>0</v>
      </c>
      <c r="G33" s="427">
        <f>(SUMIFS(BalanceN1[BS_Credit],BalanceN1[Table],"&gt;=87000",BalanceN1[Table],"&lt;88000")-SUMIFS(BalanceN1[BS_Debit],BalanceN1[Table],"&gt;=87000",BalanceN1[Table],"&lt;88000"))/1000</f>
        <v>0</v>
      </c>
      <c r="H33" s="442"/>
    </row>
    <row r="34" spans="1:9" ht="12" customHeight="1">
      <c r="A34" s="2057" t="s">
        <v>2456</v>
      </c>
      <c r="B34" s="2037"/>
      <c r="C34" s="2037"/>
      <c r="D34" s="2037"/>
      <c r="E34" s="2038"/>
      <c r="F34" s="427">
        <f>(SUMIFS(BalanceN[BS_Credit],BalanceN[Table],"&gt;=89000",BalanceN[Table],"&lt;90000")-SUMIFS(BalanceN[BS_Debit],BalanceN[Table],"&gt;=89000",BalanceN[Table],"&lt;90000"))/1000</f>
        <v>-31102.2</v>
      </c>
      <c r="G34" s="427">
        <f>(SUMIFS(BalanceN1[BS_Credit],BalanceN1[Table],"&gt;=89000",BalanceN1[Table],"&lt;90000")-SUMIFS(BalanceN1[BS_Debit],BalanceN1[Table],"&gt;=89000",BalanceN1[Table],"&lt;90000"))/1000</f>
        <v>-23411.413</v>
      </c>
      <c r="H34" s="442"/>
    </row>
    <row r="35" spans="1:9" ht="12" customHeight="1">
      <c r="A35" s="2032" t="s">
        <v>2457</v>
      </c>
      <c r="B35" s="2033"/>
      <c r="C35" s="2033"/>
      <c r="D35" s="2033"/>
      <c r="E35" s="2034"/>
      <c r="F35" s="445">
        <f>SUM(F24:F34)</f>
        <v>241773.90399999998</v>
      </c>
      <c r="G35" s="445">
        <f>SUM(G24:G34)</f>
        <v>150177.09599999999</v>
      </c>
      <c r="H35" s="446">
        <f>IF(G35,(F35-G35)/G35,IF(ISBLANK(G35),"",IF(F35,IF( F35 &gt; 0,1,-1),"")))</f>
        <v>0.60992528447879957</v>
      </c>
    </row>
    <row r="36" spans="1:9" ht="12" customHeight="1">
      <c r="A36" s="2066" t="s">
        <v>2458</v>
      </c>
      <c r="B36" s="2067"/>
      <c r="C36" s="2067"/>
      <c r="D36" s="2067"/>
      <c r="E36" s="2068"/>
      <c r="F36" s="447">
        <f>TFT!I31/1000</f>
        <v>-90000</v>
      </c>
      <c r="G36" s="447">
        <f>TFT!J31/1000</f>
        <v>-40000</v>
      </c>
      <c r="H36" s="448">
        <f>IF(G36,(F36-G36)/G36,IF(ISBLANK(G36),"",IF(F36,IF( F36 &gt; 0,1,-1),"")))</f>
        <v>1.25</v>
      </c>
    </row>
    <row r="37" spans="1:9" ht="12" customHeight="1">
      <c r="A37" s="2032" t="s">
        <v>2459</v>
      </c>
      <c r="B37" s="2033"/>
      <c r="C37" s="2033"/>
      <c r="D37" s="2033"/>
      <c r="E37" s="2034"/>
      <c r="F37" s="445">
        <f>F35+F36</f>
        <v>151773.90399999998</v>
      </c>
      <c r="G37" s="445">
        <f>G35+G36</f>
        <v>110177.09599999999</v>
      </c>
      <c r="H37" s="446">
        <f>IF(G37,(F37-G37)/G37,IF(ISBLANK(G37),"",IF(F37,IF( F37 &gt; 0,1,-1),"")))</f>
        <v>0.37754496633311152</v>
      </c>
    </row>
    <row r="38" spans="1:9" ht="12" customHeight="1">
      <c r="A38" s="2042" t="s">
        <v>2460</v>
      </c>
      <c r="B38" s="2043"/>
      <c r="C38" s="2043"/>
      <c r="D38" s="2043"/>
      <c r="E38" s="2043"/>
      <c r="F38" s="2043"/>
      <c r="G38" s="2043"/>
      <c r="H38" s="2044"/>
    </row>
    <row r="39" spans="1:9" s="123" customFormat="1" ht="12" customHeight="1">
      <c r="A39" s="1976" t="s">
        <v>2461</v>
      </c>
      <c r="B39" s="1976"/>
      <c r="C39" s="1976"/>
      <c r="D39" s="1976"/>
      <c r="E39" s="1976"/>
      <c r="F39" s="448">
        <f>IFERROR(RESULTAT!I37*(1-Sommaire!M43)/(BILAN!M21+BILAN!M25),"")</f>
        <v>0.22152752516738833</v>
      </c>
      <c r="G39" s="448">
        <f>IFERROR(RESULTAT!J37*(1-Sommaire!M43)/(BILAN!N21+BILAN!N25),"")</f>
        <v>0.31031419796298765</v>
      </c>
      <c r="H39" s="428" t="str">
        <f>TEXT(100*(SUM(F39)-SUM(G39)),"0") &amp; " points"</f>
        <v>-9 points</v>
      </c>
      <c r="I39" s="792"/>
    </row>
    <row r="40" spans="1:9" s="123" customFormat="1" ht="12" customHeight="1">
      <c r="A40" s="1976" t="s">
        <v>2462</v>
      </c>
      <c r="B40" s="1976"/>
      <c r="C40" s="1976"/>
      <c r="D40" s="1976"/>
      <c r="E40" s="1976"/>
      <c r="F40" s="448">
        <f>IFERROR(F19/BILAN!M21,"")</f>
        <v>3.2785832931935043E-4</v>
      </c>
      <c r="G40" s="448">
        <f>IFERROR(G19/BILAN!N21,"")</f>
        <v>4.1465262953778329E-4</v>
      </c>
      <c r="H40" s="428" t="str">
        <f>TEXT(100*(SUM(F40)-SUM(G40)),"0") &amp; " points"</f>
        <v>0 points</v>
      </c>
    </row>
    <row r="41" spans="1:9" ht="12" customHeight="1">
      <c r="A41" s="2042" t="s">
        <v>2463</v>
      </c>
      <c r="B41" s="2043"/>
      <c r="C41" s="2043"/>
      <c r="D41" s="2043"/>
      <c r="E41" s="2043"/>
      <c r="F41" s="2043"/>
      <c r="G41" s="2043"/>
      <c r="H41" s="2044"/>
    </row>
    <row r="42" spans="1:9" ht="12" customHeight="1">
      <c r="A42" s="2051" t="s">
        <v>2464</v>
      </c>
      <c r="B42" s="2052"/>
      <c r="C42" s="2052"/>
      <c r="D42" s="2052"/>
      <c r="E42" s="2053"/>
      <c r="F42" s="427">
        <f>BILAN!M21/1000</f>
        <v>656959.701</v>
      </c>
      <c r="G42" s="427">
        <f>BILAN!N21/1000</f>
        <v>286069.99099999998</v>
      </c>
      <c r="H42" s="448">
        <f>IF(G42,(F42-G42)/G42,IF(ISBLANK(G42),"",IF(F42,IF( F42 &gt; 0,1,-1),"")))</f>
        <v>1.2964998834848078</v>
      </c>
    </row>
    <row r="43" spans="1:9" ht="12" customHeight="1">
      <c r="A43" s="2057" t="s">
        <v>2465</v>
      </c>
      <c r="B43" s="2037"/>
      <c r="C43" s="2037"/>
      <c r="D43" s="2037"/>
      <c r="E43" s="2038"/>
      <c r="F43" s="427">
        <f>(BILAN!M25+SUMIFS(BalanceN[BS_Credit],BalanceN[Table],"&gt;=47940",BalanceN[Table],"&lt;47950")-SUMIFS(BalanceN[BS_Debit],BalanceN[Table],"&gt;=47840",BalanceN[Table],"&lt;47850"))/1000</f>
        <v>159316.36600000001</v>
      </c>
      <c r="G43" s="427">
        <f>(BILAN!N25+SUMIFS(BalanceN1[BS_Credit],BalanceN1[Table],"&gt;=47940",BalanceN1[Table],"&lt;47950")-SUMIFS(BalanceN1[BS_Debit],BalanceN1[Table],"&gt;=47840",BalanceN1[Table],"&lt;47850"))/1000</f>
        <v>57064.697</v>
      </c>
      <c r="H43" s="448">
        <f t="shared" ref="H43:H55" si="1">IF(G43,(F43-G43)/G43,IF(ISBLANK(G43),"",IF(F43,IF( F43 &gt; 0,1,-1),"")))</f>
        <v>1.7918551114010122</v>
      </c>
    </row>
    <row r="44" spans="1:9" ht="12" customHeight="1">
      <c r="A44" s="2058" t="s">
        <v>2466</v>
      </c>
      <c r="B44" s="1987"/>
      <c r="C44" s="1987"/>
      <c r="D44" s="1987"/>
      <c r="E44" s="2059"/>
      <c r="F44" s="428">
        <f>F42+F43</f>
        <v>816276.06700000004</v>
      </c>
      <c r="G44" s="428">
        <f>G42+G43</f>
        <v>343134.68799999997</v>
      </c>
      <c r="H44" s="448">
        <f t="shared" si="1"/>
        <v>1.3788794766211456</v>
      </c>
    </row>
    <row r="45" spans="1:9" ht="12" customHeight="1">
      <c r="A45" s="2063" t="s">
        <v>2467</v>
      </c>
      <c r="B45" s="2064"/>
      <c r="C45" s="2064"/>
      <c r="D45" s="2064"/>
      <c r="E45" s="2065"/>
      <c r="F45" s="428">
        <f>-BILAN!H26/1000</f>
        <v>-720322.77300000004</v>
      </c>
      <c r="G45" s="428">
        <f>-BILAN!I26/1000</f>
        <v>-210743.285</v>
      </c>
      <c r="H45" s="448">
        <f t="shared" si="1"/>
        <v>2.4180105572521562</v>
      </c>
    </row>
    <row r="46" spans="1:9" ht="12" customHeight="1">
      <c r="A46" s="2054" t="s">
        <v>2468</v>
      </c>
      <c r="B46" s="2055"/>
      <c r="C46" s="2055"/>
      <c r="D46" s="2055"/>
      <c r="E46" s="2056"/>
      <c r="F46" s="445">
        <f>F44+F45</f>
        <v>95953.293999999994</v>
      </c>
      <c r="G46" s="445">
        <f>G44+G45</f>
        <v>132391.40299999996</v>
      </c>
      <c r="H46" s="446">
        <f t="shared" si="1"/>
        <v>-0.2752301748777447</v>
      </c>
    </row>
    <row r="47" spans="1:9" ht="12" customHeight="1">
      <c r="A47" s="2036" t="s">
        <v>2469</v>
      </c>
      <c r="B47" s="2037"/>
      <c r="C47" s="2037"/>
      <c r="D47" s="2037"/>
      <c r="E47" s="2038"/>
      <c r="F47" s="427">
        <f>(BILAN!H28+BILAN!H29+ECEN)/1000</f>
        <v>208864.57800000001</v>
      </c>
      <c r="G47" s="427" cm="1">
        <f t="array" ref="G47">(BILAN!I28+BILAN!I29+'TABLE DE CONVERSION'!AH19+ECN)/1000</f>
        <v>160380.65100000001</v>
      </c>
      <c r="H47" s="448">
        <f t="shared" si="1"/>
        <v>0.30230533856605929</v>
      </c>
    </row>
    <row r="48" spans="1:9" ht="12" customHeight="1">
      <c r="A48" s="2057" t="s">
        <v>2470</v>
      </c>
      <c r="B48" s="2037"/>
      <c r="C48" s="2037"/>
      <c r="D48" s="2037"/>
      <c r="E48" s="2038"/>
      <c r="F48" s="427" cm="1">
        <f t="array" ref="F48">(-BILAN!M28-BILAN!M29-BILAN!M30-BILAN!M31-BILAN!M32-EPN)/1000</f>
        <v>-81498.468999999997</v>
      </c>
      <c r="G48" s="427" cm="1">
        <f t="array" ref="G48">(-BILAN!N28-BILAN!N29-BILAN!N30-BILAN!N31-BILAN!N32-EPA)/1000</f>
        <v>-102553.463</v>
      </c>
      <c r="H48" s="448">
        <f t="shared" si="1"/>
        <v>-0.20530748922637557</v>
      </c>
    </row>
    <row r="49" spans="1:8" ht="12" customHeight="1">
      <c r="A49" s="2058" t="s">
        <v>2471</v>
      </c>
      <c r="B49" s="1987"/>
      <c r="C49" s="1987"/>
      <c r="D49" s="1987"/>
      <c r="E49" s="2059"/>
      <c r="F49" s="428">
        <f>F47+F48</f>
        <v>127366.10900000001</v>
      </c>
      <c r="G49" s="428">
        <f>G47+G48</f>
        <v>57827.188000000009</v>
      </c>
      <c r="H49" s="448">
        <f t="shared" si="1"/>
        <v>1.2025298722808377</v>
      </c>
    </row>
    <row r="50" spans="1:8" ht="12" customHeight="1">
      <c r="A50" s="2036" t="s">
        <v>2472</v>
      </c>
      <c r="B50" s="2037"/>
      <c r="C50" s="2037"/>
      <c r="D50" s="2037"/>
      <c r="E50" s="2038"/>
      <c r="F50" s="427" cm="1">
        <f t="array" ref="F50">(BILAN!H27+ECHN)/1000</f>
        <v>2140</v>
      </c>
      <c r="G50" s="427" cm="1">
        <f t="array" ref="G50">(BILAN!I27+ECH)/1000</f>
        <v>380</v>
      </c>
      <c r="H50" s="448">
        <f t="shared" si="1"/>
        <v>4.6315789473684212</v>
      </c>
    </row>
    <row r="51" spans="1:8" ht="12" customHeight="1">
      <c r="A51" s="2057" t="s">
        <v>2473</v>
      </c>
      <c r="B51" s="2037"/>
      <c r="C51" s="2037"/>
      <c r="D51" s="2037"/>
      <c r="E51" s="2038"/>
      <c r="F51" s="427" cm="1">
        <f t="array" ref="F51">(-BILAN!M27-EPH)/1000</f>
        <v>-156649.94200000001</v>
      </c>
      <c r="G51" s="427" cm="1">
        <f t="array" ref="G51">(-BILAN!N27-EPB)/1000</f>
        <v>-399.94200000000001</v>
      </c>
      <c r="H51" s="448">
        <f t="shared" si="1"/>
        <v>390.68164883908167</v>
      </c>
    </row>
    <row r="52" spans="1:8" ht="12" customHeight="1">
      <c r="A52" s="2058" t="s">
        <v>2474</v>
      </c>
      <c r="B52" s="1987"/>
      <c r="C52" s="1987"/>
      <c r="D52" s="1987"/>
      <c r="E52" s="2059"/>
      <c r="F52" s="428">
        <f>F50+F51</f>
        <v>-154509.94200000001</v>
      </c>
      <c r="G52" s="428">
        <f>G50+G51</f>
        <v>-19.942000000000007</v>
      </c>
      <c r="H52" s="448">
        <f t="shared" si="1"/>
        <v>7746.966201985756</v>
      </c>
    </row>
    <row r="53" spans="1:8" ht="12" customHeight="1">
      <c r="A53" s="2054" t="s">
        <v>2475</v>
      </c>
      <c r="B53" s="2055"/>
      <c r="C53" s="2055"/>
      <c r="D53" s="2055"/>
      <c r="E53" s="2056"/>
      <c r="F53" s="445">
        <f>F49+F52</f>
        <v>-27143.832999999999</v>
      </c>
      <c r="G53" s="445">
        <f>G49+G52</f>
        <v>57807.246000000006</v>
      </c>
      <c r="H53" s="446">
        <f t="shared" si="1"/>
        <v>-1.4695576225859297</v>
      </c>
    </row>
    <row r="54" spans="1:8" ht="12" customHeight="1">
      <c r="A54" s="2054" t="s">
        <v>2476</v>
      </c>
      <c r="B54" s="2055"/>
      <c r="C54" s="2055"/>
      <c r="D54" s="2055"/>
      <c r="E54" s="2056"/>
      <c r="F54" s="445">
        <f>F46-F53</f>
        <v>123097.12699999999</v>
      </c>
      <c r="G54" s="445">
        <f>G46-G53</f>
        <v>74584.156999999948</v>
      </c>
      <c r="H54" s="446">
        <f t="shared" si="1"/>
        <v>0.65044604580031762</v>
      </c>
    </row>
    <row r="55" spans="1:8" ht="12" customHeight="1">
      <c r="A55" s="2060" t="s">
        <v>2477</v>
      </c>
      <c r="B55" s="2061"/>
      <c r="C55" s="2061"/>
      <c r="D55" s="2061"/>
      <c r="E55" s="2062"/>
      <c r="F55" s="427">
        <f>(BILAN!H37-BILAN!M37)/1000</f>
        <v>123097.12699999999</v>
      </c>
      <c r="G55" s="427">
        <f>(BILAN!I37-BILAN!N37)/1000</f>
        <v>74584.157000000007</v>
      </c>
      <c r="H55" s="448">
        <f t="shared" si="1"/>
        <v>0.65044604580031629</v>
      </c>
    </row>
    <row r="56" spans="1:8" ht="12" customHeight="1">
      <c r="A56" s="2042" t="s">
        <v>2478</v>
      </c>
      <c r="B56" s="2043"/>
      <c r="C56" s="2043"/>
      <c r="D56" s="2043"/>
      <c r="E56" s="2043"/>
      <c r="F56" s="2043"/>
      <c r="G56" s="2043"/>
      <c r="H56" s="2044"/>
    </row>
    <row r="57" spans="1:8" ht="12" customHeight="1">
      <c r="A57" s="2051" t="s">
        <v>2479</v>
      </c>
      <c r="B57" s="2052"/>
      <c r="C57" s="2052"/>
      <c r="D57" s="2052"/>
      <c r="E57" s="2053"/>
      <c r="F57" s="427">
        <f>TFT!I19/1000</f>
        <v>170234.98300000001</v>
      </c>
      <c r="G57" s="427">
        <f>TFT!J19/1000</f>
        <v>98148.77</v>
      </c>
      <c r="H57" s="448">
        <f>IF(G57,(F57-G57)/G57,IF(ISBLANK(G57),"",IF(F57,IF( F57 &gt; 0,1,-1),"")))</f>
        <v>0.73445864884501355</v>
      </c>
    </row>
    <row r="58" spans="1:8" ht="12" customHeight="1">
      <c r="A58" s="2036" t="s">
        <v>2480</v>
      </c>
      <c r="B58" s="2037"/>
      <c r="C58" s="2037"/>
      <c r="D58" s="2037"/>
      <c r="E58" s="2038"/>
      <c r="F58" s="427">
        <f>TFT!I26/1000</f>
        <v>-328722.01299999998</v>
      </c>
      <c r="G58" s="427">
        <f>TFT!J26/1000</f>
        <v>-17160.017</v>
      </c>
      <c r="H58" s="448">
        <f>IF(G58,(F58-G58)/G58,IF(ISBLANK(G58),"",IF(F58,IF( F58 &gt; 0,1,-1),"")))</f>
        <v>18.156275486207267</v>
      </c>
    </row>
    <row r="59" spans="1:8" ht="12" customHeight="1">
      <c r="A59" s="2036" t="s">
        <v>2481</v>
      </c>
      <c r="B59" s="2037"/>
      <c r="C59" s="2037"/>
      <c r="D59" s="2037"/>
      <c r="E59" s="2038"/>
      <c r="F59" s="427">
        <f>TFT!I38/1000</f>
        <v>207000</v>
      </c>
      <c r="G59" s="427">
        <f>TFT!J38/1000</f>
        <v>-40000</v>
      </c>
      <c r="H59" s="448">
        <f>IF(G59,(F59-G59)/G59,IF(ISBLANK(G59),"",IF(F59,IF( F59 &gt; 0,1,-1),"")))</f>
        <v>-6.1749999999999998</v>
      </c>
    </row>
    <row r="60" spans="1:8" ht="12" customHeight="1">
      <c r="A60" s="2039" t="s">
        <v>2482</v>
      </c>
      <c r="B60" s="2040"/>
      <c r="C60" s="2040"/>
      <c r="D60" s="2040"/>
      <c r="E60" s="2041"/>
      <c r="F60" s="445">
        <f>F57+F58+F59</f>
        <v>48512.97000000003</v>
      </c>
      <c r="G60" s="445">
        <f>G57+G58+G59</f>
        <v>40988.752999999997</v>
      </c>
      <c r="H60" s="448">
        <f>IF(G60,(F60-G60)/G60,IF(ISBLANK(G60),"",IF(F60,IF( F60 &gt; 0,1,-1),"")))</f>
        <v>0.18356784359846307</v>
      </c>
    </row>
    <row r="61" spans="1:8" ht="12" customHeight="1">
      <c r="A61" s="2042" t="s">
        <v>2483</v>
      </c>
      <c r="B61" s="2043"/>
      <c r="C61" s="2043"/>
      <c r="D61" s="2043"/>
      <c r="E61" s="2043"/>
      <c r="F61" s="2043"/>
      <c r="G61" s="2043"/>
      <c r="H61" s="2044"/>
    </row>
    <row r="62" spans="1:8" ht="12" customHeight="1">
      <c r="A62" s="2045" t="s">
        <v>2484</v>
      </c>
      <c r="B62" s="2046"/>
      <c r="C62" s="2046"/>
      <c r="D62" s="2046"/>
      <c r="E62" s="2047"/>
      <c r="F62" s="427">
        <f>(BILAN!M22+BILAN!M23+BILAN!M37)/1000</f>
        <v>94699.074999999997</v>
      </c>
      <c r="G62" s="427">
        <f>(BILAN!N22+BILAN!N23+BILAN!N37)/1000</f>
        <v>2200</v>
      </c>
      <c r="H62" s="448">
        <f>IF(G62,(F62-G62)/G62,IF(ISBLANK(G62),"",IF(F62,IF( F62 &gt; 0,1,-1),"")))</f>
        <v>42.045034090909091</v>
      </c>
    </row>
    <row r="63" spans="1:8" ht="12" customHeight="1">
      <c r="A63" s="2048" t="s">
        <v>2485</v>
      </c>
      <c r="B63" s="2049"/>
      <c r="C63" s="2049"/>
      <c r="D63" s="2049"/>
      <c r="E63" s="2050"/>
      <c r="F63" s="427">
        <f>-BILAN!H37/1000</f>
        <v>-123097.12699999999</v>
      </c>
      <c r="G63" s="427">
        <f>-BILAN!I37/1000</f>
        <v>-74584.157000000007</v>
      </c>
      <c r="H63" s="448">
        <f>IF(G63,(F63-G63)/G63,IF(ISBLANK(G63),"",IF(F63,IF( F63 &gt; 0,1,-1),"")))</f>
        <v>0.65044604580031629</v>
      </c>
    </row>
    <row r="64" spans="1:8" ht="12" customHeight="1">
      <c r="A64" s="2032" t="s">
        <v>2486</v>
      </c>
      <c r="B64" s="2033"/>
      <c r="C64" s="2033"/>
      <c r="D64" s="2033"/>
      <c r="E64" s="2034"/>
      <c r="F64" s="445">
        <f>F62+F63</f>
        <v>-28398.051999999996</v>
      </c>
      <c r="G64" s="445">
        <f>G62+G63</f>
        <v>-72384.157000000007</v>
      </c>
      <c r="H64" s="446">
        <f>IF(G64,(F64-G64)/G64,IF(ISBLANK(G64),"",IF(F64,IF( F64 &gt; 0,1,-1),"")))</f>
        <v>-0.60767586199836532</v>
      </c>
    </row>
    <row r="65" spans="1:8" ht="40.5" customHeight="1">
      <c r="A65" s="2035" t="s">
        <v>2487</v>
      </c>
      <c r="B65" s="2035"/>
      <c r="C65" s="2035"/>
      <c r="D65" s="2035"/>
      <c r="E65" s="2035"/>
      <c r="F65" s="2035"/>
      <c r="G65" s="2035"/>
      <c r="H65" s="2035"/>
    </row>
  </sheetData>
  <sheetProtection algorithmName="SHA-512" hashValue="WpXcsjRYVc+fZR0avc2h9wZ0AnW4523yR22JehVBrzIqV5Fsz9Dl+Ob7gAPfxBBD2WqwATJ0K1M6yTGiwMuybQ==" saltValue="A4Sbndac3TPnoTLvGUPQ7w==" spinCount="100000" sheet="1" objects="1" scenarios="1" selectLockedCells="1"/>
  <mergeCells count="68">
    <mergeCell ref="C5:D5"/>
    <mergeCell ref="A1:H1"/>
    <mergeCell ref="G2:H2"/>
    <mergeCell ref="C3:H3"/>
    <mergeCell ref="B4:E4"/>
    <mergeCell ref="G4:H4"/>
    <mergeCell ref="C6:D6"/>
    <mergeCell ref="A7:H7"/>
    <mergeCell ref="A8:E8"/>
    <mergeCell ref="A9:H9"/>
    <mergeCell ref="A10:E10"/>
    <mergeCell ref="F10:H10"/>
    <mergeCell ref="A16:E16"/>
    <mergeCell ref="A17:E17"/>
    <mergeCell ref="A18:E18"/>
    <mergeCell ref="A19:E19"/>
    <mergeCell ref="A20:E20"/>
    <mergeCell ref="A11:E11"/>
    <mergeCell ref="A12:E12"/>
    <mergeCell ref="A13:E13"/>
    <mergeCell ref="A14:E14"/>
    <mergeCell ref="A15:E15"/>
    <mergeCell ref="F20:H20"/>
    <mergeCell ref="A33:E33"/>
    <mergeCell ref="A22:E22"/>
    <mergeCell ref="A23:E23"/>
    <mergeCell ref="A24:E24"/>
    <mergeCell ref="A25:E25"/>
    <mergeCell ref="A26:E26"/>
    <mergeCell ref="A27:E27"/>
    <mergeCell ref="A28:E28"/>
    <mergeCell ref="A29:E29"/>
    <mergeCell ref="A30:E30"/>
    <mergeCell ref="A31:E31"/>
    <mergeCell ref="A32:E32"/>
    <mergeCell ref="A21:E21"/>
    <mergeCell ref="A45:E45"/>
    <mergeCell ref="A34:E34"/>
    <mergeCell ref="A35:E35"/>
    <mergeCell ref="A36:E36"/>
    <mergeCell ref="A37:E37"/>
    <mergeCell ref="A38:H38"/>
    <mergeCell ref="A39:E39"/>
    <mergeCell ref="A40:E40"/>
    <mergeCell ref="A41:H41"/>
    <mergeCell ref="A42:E42"/>
    <mergeCell ref="A43:E43"/>
    <mergeCell ref="A44:E44"/>
    <mergeCell ref="A57:E57"/>
    <mergeCell ref="A46:E46"/>
    <mergeCell ref="A47:E47"/>
    <mergeCell ref="A48:E48"/>
    <mergeCell ref="A49:E49"/>
    <mergeCell ref="A50:E50"/>
    <mergeCell ref="A51:E51"/>
    <mergeCell ref="A52:E52"/>
    <mergeCell ref="A53:E53"/>
    <mergeCell ref="A54:E54"/>
    <mergeCell ref="A55:E55"/>
    <mergeCell ref="A56:H56"/>
    <mergeCell ref="A64:E64"/>
    <mergeCell ref="A65:H65"/>
    <mergeCell ref="A58:E58"/>
    <mergeCell ref="A59:E59"/>
    <mergeCell ref="A60:E60"/>
    <mergeCell ref="A61:H61"/>
    <mergeCell ref="A62:E62"/>
    <mergeCell ref="A63:E63"/>
  </mergeCells>
  <conditionalFormatting sqref="F35:G37">
    <cfRule type="cellIs" dxfId="138" priority="5" operator="equal">
      <formula>0</formula>
    </cfRule>
  </conditionalFormatting>
  <conditionalFormatting sqref="F21:G37 F11:G19">
    <cfRule type="cellIs" dxfId="137" priority="4" operator="equal">
      <formula>0</formula>
    </cfRule>
  </conditionalFormatting>
  <conditionalFormatting sqref="F42:G55">
    <cfRule type="cellIs" dxfId="136" priority="3" operator="equal">
      <formula>0</formula>
    </cfRule>
  </conditionalFormatting>
  <conditionalFormatting sqref="F57:G60">
    <cfRule type="cellIs" dxfId="135" priority="2" operator="equal">
      <formula>0</formula>
    </cfRule>
  </conditionalFormatting>
  <conditionalFormatting sqref="F62:G64">
    <cfRule type="cellIs" dxfId="134" priority="1" operator="equal">
      <formula>0</formula>
    </cfRule>
  </conditionalFormatting>
  <dataValidations count="3">
    <dataValidation type="decimal" allowBlank="1" showInputMessage="1" showErrorMessage="1" errorTitle="Attention!" error="Valeur numérique attendue" sqref="F39:G40" xr:uid="{457FE4B8-DC38-4C00-8198-D044CCC2B1D3}">
      <formula1>-9999999999999</formula1>
      <formula2>9999999999999</formula2>
    </dataValidation>
    <dataValidation type="whole" allowBlank="1" showInputMessage="1" showErrorMessage="1" errorTitle="Attention!" error="Valeur numérique attendue" sqref="F62:G64 F57:G60 F21:G37 F11:G19 F42:G46 F55:G55" xr:uid="{F9BF81F0-AE97-49F2-9A21-FC60FEA7ACCE}">
      <formula1>-9999999999999</formula1>
      <formula2>9999999999999</formula2>
    </dataValidation>
    <dataValidation allowBlank="1" showInputMessage="1" showErrorMessage="1" errorTitle="Attention!" error="Valeur numérique attendue" sqref="F47:H54" xr:uid="{F2F04727-0FF4-470B-85AA-B57E82EA0A97}"/>
  </dataValidations>
  <printOptions horizontalCentered="1"/>
  <pageMargins left="0.31496062992125984" right="0.31496062992125984" top="0.23622047244094491" bottom="0.23622047244094491" header="0.31496062992125984" footer="0.31496062992125984"/>
  <ignoredErrors>
    <ignoredError sqref="F45:G45" formula="1"/>
  </ignoredErrors>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A237E-B7DE-4855-A4E9-D81844C45774}">
  <sheetPr codeName="Feuil63">
    <tabColor theme="9" tint="0.39997558519241921"/>
  </sheetPr>
  <dimension ref="A1:I65"/>
  <sheetViews>
    <sheetView showGridLines="0" showRowColHeaders="0" zoomScaleNormal="100" workbookViewId="0">
      <selection activeCell="A19" sqref="A19:I19"/>
    </sheetView>
  </sheetViews>
  <sheetFormatPr baseColWidth="10" defaultColWidth="11.5234375" defaultRowHeight="14.4"/>
  <cols>
    <col min="1" max="1" width="11.5234375" style="103"/>
    <col min="2" max="2" width="12.1015625" style="103" customWidth="1"/>
    <col min="3" max="3" width="11.5234375" style="103"/>
    <col min="4" max="4" width="8.41796875" style="103" customWidth="1"/>
    <col min="5" max="5" width="13" style="103" customWidth="1"/>
    <col min="6" max="6" width="8.68359375" style="103" customWidth="1"/>
    <col min="7" max="7" width="17.1015625" style="103" customWidth="1"/>
    <col min="8" max="8" width="12.68359375" style="103" customWidth="1"/>
    <col min="9" max="9" width="11.41796875" style="103" customWidth="1"/>
    <col min="10" max="16384" width="11.5234375" style="103"/>
  </cols>
  <sheetData>
    <row r="1" spans="1:9">
      <c r="A1" s="1276" t="str">
        <f>"- "&amp;Code!K62&amp;" -"</f>
        <v>- 35 -</v>
      </c>
      <c r="B1" s="1276"/>
      <c r="C1" s="1276"/>
      <c r="D1" s="1276"/>
      <c r="E1" s="1276"/>
      <c r="F1" s="1276"/>
      <c r="G1" s="1276"/>
      <c r="H1" s="1276"/>
      <c r="I1" s="1276"/>
    </row>
    <row r="2" spans="1:9" ht="24.9" customHeight="1">
      <c r="A2" s="576"/>
      <c r="B2" s="576"/>
      <c r="C2" s="576"/>
      <c r="D2" s="576"/>
      <c r="E2" s="576"/>
      <c r="F2" s="576"/>
      <c r="H2" s="1278" t="s">
        <v>2488</v>
      </c>
      <c r="I2" s="1279"/>
    </row>
    <row r="3" spans="1:9">
      <c r="A3" s="312" t="s">
        <v>50</v>
      </c>
      <c r="B3" s="312"/>
      <c r="C3" s="2107" t="str">
        <f>'NOTE 31'!C3</f>
        <v>OHADA</v>
      </c>
      <c r="D3" s="2107"/>
      <c r="E3" s="2107"/>
      <c r="F3" s="2107"/>
      <c r="G3" s="2107"/>
      <c r="H3" s="2107"/>
      <c r="I3" s="2107"/>
    </row>
    <row r="4" spans="1:9">
      <c r="A4" s="312" t="s">
        <v>51</v>
      </c>
      <c r="B4" s="2107" t="str">
        <f>'NOTE 31'!B4</f>
        <v/>
      </c>
      <c r="C4" s="2107"/>
      <c r="D4" s="2107"/>
      <c r="E4" s="2107"/>
      <c r="F4" s="2107"/>
      <c r="G4" s="2107"/>
      <c r="H4" s="597" t="s">
        <v>1021</v>
      </c>
      <c r="I4" s="789" t="str">
        <f>'NOTE 31'!K4</f>
        <v/>
      </c>
    </row>
    <row r="5" spans="1:9">
      <c r="A5" s="312" t="s">
        <v>1597</v>
      </c>
      <c r="B5" s="312"/>
      <c r="C5" s="1281" t="str">
        <f>'NOTE 31'!C5</f>
        <v/>
      </c>
      <c r="D5" s="1281"/>
      <c r="E5" s="2108" t="s">
        <v>54</v>
      </c>
      <c r="F5" s="2108"/>
      <c r="G5" s="647">
        <f>'NOTE 31'!H5</f>
        <v>0</v>
      </c>
      <c r="H5" s="597" t="s">
        <v>55</v>
      </c>
      <c r="I5" s="761">
        <f>'NOTE 31'!K5</f>
        <v>1</v>
      </c>
    </row>
    <row r="6" spans="1:9">
      <c r="A6" s="312" t="s">
        <v>1533</v>
      </c>
      <c r="B6" s="312"/>
      <c r="C6" s="1275" t="str">
        <f>'NOTE 31'!C6</f>
        <v/>
      </c>
      <c r="D6" s="1275"/>
      <c r="E6" s="790"/>
      <c r="F6" s="790"/>
      <c r="G6" s="630"/>
      <c r="H6" s="791"/>
      <c r="I6" s="630"/>
    </row>
    <row r="7" spans="1:9" ht="24.75" customHeight="1">
      <c r="A7" s="1481" t="s">
        <v>2489</v>
      </c>
      <c r="B7" s="1273"/>
      <c r="C7" s="1273"/>
      <c r="D7" s="1273"/>
      <c r="E7" s="1273"/>
      <c r="F7" s="1273"/>
      <c r="G7" s="1273"/>
      <c r="H7" s="1273"/>
      <c r="I7" s="1273"/>
    </row>
    <row r="8" spans="1:9" ht="12.75" customHeight="1">
      <c r="A8" s="2109" t="s">
        <v>2490</v>
      </c>
      <c r="B8" s="2109"/>
      <c r="C8" s="2109"/>
      <c r="D8" s="2109"/>
      <c r="E8" s="2109"/>
      <c r="F8" s="2109"/>
      <c r="G8" s="2109"/>
      <c r="H8" s="2109"/>
      <c r="I8" s="2109"/>
    </row>
    <row r="9" spans="1:9" ht="22.5" customHeight="1">
      <c r="A9" s="2042" t="s">
        <v>2491</v>
      </c>
      <c r="B9" s="2043"/>
      <c r="C9" s="2043"/>
      <c r="D9" s="2043"/>
      <c r="E9" s="2043"/>
      <c r="F9" s="2043"/>
      <c r="G9" s="2043"/>
      <c r="H9" s="2043"/>
      <c r="I9" s="2044"/>
    </row>
    <row r="10" spans="1:9" ht="12.75" customHeight="1">
      <c r="A10" s="2110" t="s">
        <v>2492</v>
      </c>
      <c r="B10" s="2111"/>
      <c r="C10" s="2111"/>
      <c r="D10" s="2111"/>
      <c r="E10" s="2111"/>
      <c r="F10" s="2111"/>
      <c r="G10" s="2111"/>
      <c r="H10" s="2111"/>
      <c r="I10" s="2112"/>
    </row>
    <row r="11" spans="1:9" ht="14.25" customHeight="1">
      <c r="A11" s="2102" t="s">
        <v>9675</v>
      </c>
      <c r="B11" s="2103"/>
      <c r="C11" s="2103"/>
      <c r="D11" s="2103"/>
      <c r="E11" s="2103"/>
      <c r="F11" s="2103"/>
      <c r="G11" s="2103"/>
      <c r="H11" s="2103"/>
      <c r="I11" s="2104"/>
    </row>
    <row r="12" spans="1:9" ht="14.25" customHeight="1">
      <c r="A12" s="2094" t="s">
        <v>2494</v>
      </c>
      <c r="B12" s="1980"/>
      <c r="C12" s="1980"/>
      <c r="D12" s="1980"/>
      <c r="E12" s="1980"/>
      <c r="F12" s="1980"/>
      <c r="G12" s="1980"/>
      <c r="H12" s="1980"/>
      <c r="I12" s="2095"/>
    </row>
    <row r="13" spans="1:9" ht="14.25" customHeight="1">
      <c r="A13" s="2094" t="s">
        <v>2495</v>
      </c>
      <c r="B13" s="1980"/>
      <c r="C13" s="1980"/>
      <c r="D13" s="1980"/>
      <c r="E13" s="1980"/>
      <c r="F13" s="1980"/>
      <c r="G13" s="1980"/>
      <c r="H13" s="1980"/>
      <c r="I13" s="2095"/>
    </row>
    <row r="14" spans="1:9" ht="14.25" customHeight="1">
      <c r="A14" s="2096" t="s">
        <v>2496</v>
      </c>
      <c r="B14" s="2097"/>
      <c r="C14" s="2097"/>
      <c r="D14" s="2097"/>
      <c r="E14" s="2097"/>
      <c r="F14" s="2097"/>
      <c r="G14" s="2097"/>
      <c r="H14" s="2097"/>
      <c r="I14" s="2098"/>
    </row>
    <row r="15" spans="1:9" ht="111.6" customHeight="1">
      <c r="A15" s="2099"/>
      <c r="B15" s="2100"/>
      <c r="C15" s="2100"/>
      <c r="D15" s="2100"/>
      <c r="E15" s="2100"/>
      <c r="F15" s="2100"/>
      <c r="G15" s="2100"/>
      <c r="H15" s="2100"/>
      <c r="I15" s="2101"/>
    </row>
    <row r="16" spans="1:9" ht="14.25" customHeight="1">
      <c r="A16" s="2102" t="s">
        <v>9676</v>
      </c>
      <c r="B16" s="2103"/>
      <c r="C16" s="2103"/>
      <c r="D16" s="2103"/>
      <c r="E16" s="2103"/>
      <c r="F16" s="2103"/>
      <c r="G16" s="2103"/>
      <c r="H16" s="2103"/>
      <c r="I16" s="2104"/>
    </row>
    <row r="17" spans="1:9" ht="14.25" customHeight="1">
      <c r="A17" s="2094" t="s">
        <v>2498</v>
      </c>
      <c r="B17" s="1980"/>
      <c r="C17" s="1980"/>
      <c r="D17" s="1980"/>
      <c r="E17" s="1980"/>
      <c r="F17" s="1980"/>
      <c r="G17" s="1980"/>
      <c r="H17" s="1980"/>
      <c r="I17" s="2095"/>
    </row>
    <row r="18" spans="1:9" ht="14.25" customHeight="1">
      <c r="A18" s="2096" t="s">
        <v>2499</v>
      </c>
      <c r="B18" s="2097"/>
      <c r="C18" s="2097"/>
      <c r="D18" s="2097"/>
      <c r="E18" s="2097"/>
      <c r="F18" s="2097"/>
      <c r="G18" s="2097"/>
      <c r="H18" s="2097"/>
      <c r="I18" s="2098"/>
    </row>
    <row r="19" spans="1:9" ht="111.6" customHeight="1">
      <c r="A19" s="2099"/>
      <c r="B19" s="2100"/>
      <c r="C19" s="2100"/>
      <c r="D19" s="2100"/>
      <c r="E19" s="2100"/>
      <c r="F19" s="2100"/>
      <c r="G19" s="2100"/>
      <c r="H19" s="2100"/>
      <c r="I19" s="2101"/>
    </row>
    <row r="20" spans="1:9">
      <c r="A20" s="2105" t="s">
        <v>9677</v>
      </c>
      <c r="B20" s="1987"/>
      <c r="C20" s="1987"/>
      <c r="D20" s="1987"/>
      <c r="E20" s="1987"/>
      <c r="F20" s="1987"/>
      <c r="G20" s="1987"/>
      <c r="H20" s="1987"/>
      <c r="I20" s="2106"/>
    </row>
    <row r="21" spans="1:9">
      <c r="A21" s="2089" t="s">
        <v>2501</v>
      </c>
      <c r="B21" s="1980"/>
      <c r="C21" s="1980"/>
      <c r="D21" s="1980"/>
      <c r="E21" s="1980"/>
      <c r="F21" s="1980"/>
      <c r="G21" s="1980"/>
      <c r="H21" s="1980"/>
      <c r="I21" s="2090"/>
    </row>
    <row r="22" spans="1:9" ht="24" customHeight="1">
      <c r="A22" s="2083" t="s">
        <v>2502</v>
      </c>
      <c r="B22" s="2084"/>
      <c r="C22" s="2084"/>
      <c r="D22" s="2084"/>
      <c r="E22" s="2084"/>
      <c r="F22" s="2084"/>
      <c r="G22" s="2084"/>
      <c r="H22" s="2084"/>
      <c r="I22" s="2085"/>
    </row>
    <row r="23" spans="1:9" ht="111" customHeight="1">
      <c r="A23" s="2086"/>
      <c r="B23" s="2087"/>
      <c r="C23" s="2087"/>
      <c r="D23" s="2087"/>
      <c r="E23" s="2087"/>
      <c r="F23" s="2087"/>
      <c r="G23" s="2087"/>
      <c r="H23" s="2087"/>
      <c r="I23" s="2088"/>
    </row>
    <row r="24" spans="1:9" ht="14.25" customHeight="1">
      <c r="A24" s="2080" t="s">
        <v>9678</v>
      </c>
      <c r="B24" s="2081"/>
      <c r="C24" s="2081"/>
      <c r="D24" s="2081"/>
      <c r="E24" s="2081"/>
      <c r="F24" s="2081"/>
      <c r="G24" s="2081"/>
      <c r="H24" s="2081"/>
      <c r="I24" s="2082"/>
    </row>
    <row r="25" spans="1:9" ht="14.25" customHeight="1">
      <c r="A25" s="2089" t="s">
        <v>2504</v>
      </c>
      <c r="B25" s="1980"/>
      <c r="C25" s="1980"/>
      <c r="D25" s="1980"/>
      <c r="E25" s="1980"/>
      <c r="F25" s="1980"/>
      <c r="G25" s="1980"/>
      <c r="H25" s="1980"/>
      <c r="I25" s="2090"/>
    </row>
    <row r="26" spans="1:9" ht="14.25" customHeight="1">
      <c r="A26" s="2083" t="s">
        <v>2505</v>
      </c>
      <c r="B26" s="2084"/>
      <c r="C26" s="2084"/>
      <c r="D26" s="2084"/>
      <c r="E26" s="2084"/>
      <c r="F26" s="2084"/>
      <c r="G26" s="2084"/>
      <c r="H26" s="2084"/>
      <c r="I26" s="2085"/>
    </row>
    <row r="27" spans="1:9" ht="111" customHeight="1">
      <c r="A27" s="2086"/>
      <c r="B27" s="2087"/>
      <c r="C27" s="2087"/>
      <c r="D27" s="2087"/>
      <c r="E27" s="2087"/>
      <c r="F27" s="2087"/>
      <c r="G27" s="2087"/>
      <c r="H27" s="2087"/>
      <c r="I27" s="2088"/>
    </row>
    <row r="28" spans="1:9" ht="14.25" customHeight="1">
      <c r="A28" s="2080" t="s">
        <v>9679</v>
      </c>
      <c r="B28" s="2081"/>
      <c r="C28" s="2081"/>
      <c r="D28" s="2081"/>
      <c r="E28" s="2081"/>
      <c r="F28" s="2081"/>
      <c r="G28" s="2081"/>
      <c r="H28" s="2081"/>
      <c r="I28" s="2082"/>
    </row>
    <row r="29" spans="1:9">
      <c r="A29" s="2089" t="s">
        <v>2506</v>
      </c>
      <c r="B29" s="1980"/>
      <c r="C29" s="1980"/>
      <c r="D29" s="1980"/>
      <c r="E29" s="1980"/>
      <c r="F29" s="1980"/>
      <c r="G29" s="1980"/>
      <c r="H29" s="1980"/>
      <c r="I29" s="2090"/>
    </row>
    <row r="30" spans="1:9">
      <c r="A30" s="2083" t="s">
        <v>2507</v>
      </c>
      <c r="B30" s="2084"/>
      <c r="C30" s="2084"/>
      <c r="D30" s="2084"/>
      <c r="E30" s="2084"/>
      <c r="F30" s="2084"/>
      <c r="G30" s="2084"/>
      <c r="H30" s="2084"/>
      <c r="I30" s="2085"/>
    </row>
    <row r="31" spans="1:9" ht="110.4" customHeight="1">
      <c r="A31" s="2086"/>
      <c r="B31" s="2087"/>
      <c r="C31" s="2087"/>
      <c r="D31" s="2087"/>
      <c r="E31" s="2087"/>
      <c r="F31" s="2087"/>
      <c r="G31" s="2087"/>
      <c r="H31" s="2087"/>
      <c r="I31" s="2088"/>
    </row>
    <row r="32" spans="1:9" ht="14.25" customHeight="1">
      <c r="A32" s="2091" t="s">
        <v>2508</v>
      </c>
      <c r="B32" s="2092"/>
      <c r="C32" s="2092"/>
      <c r="D32" s="2092"/>
      <c r="E32" s="2092"/>
      <c r="F32" s="2092"/>
      <c r="G32" s="2092"/>
      <c r="H32" s="2092"/>
      <c r="I32" s="2093"/>
    </row>
    <row r="33" spans="1:9" ht="14.25" customHeight="1">
      <c r="A33" s="2080" t="s">
        <v>9680</v>
      </c>
      <c r="B33" s="2081"/>
      <c r="C33" s="2081"/>
      <c r="D33" s="2081"/>
      <c r="E33" s="2081"/>
      <c r="F33" s="2081"/>
      <c r="G33" s="2081"/>
      <c r="H33" s="2081"/>
      <c r="I33" s="2082"/>
    </row>
    <row r="34" spans="1:9" ht="22.2" customHeight="1">
      <c r="A34" s="2089" t="s">
        <v>2510</v>
      </c>
      <c r="B34" s="1980"/>
      <c r="C34" s="1980"/>
      <c r="D34" s="1980"/>
      <c r="E34" s="1980"/>
      <c r="F34" s="1980"/>
      <c r="G34" s="1980"/>
      <c r="H34" s="1980"/>
      <c r="I34" s="2090"/>
    </row>
    <row r="35" spans="1:9" ht="14.25" customHeight="1">
      <c r="A35" s="2089" t="s">
        <v>2511</v>
      </c>
      <c r="B35" s="1980"/>
      <c r="C35" s="1980"/>
      <c r="D35" s="1980"/>
      <c r="E35" s="1980"/>
      <c r="F35" s="1980"/>
      <c r="G35" s="1980"/>
      <c r="H35" s="1980"/>
      <c r="I35" s="2090"/>
    </row>
    <row r="36" spans="1:9" ht="14.25" customHeight="1">
      <c r="A36" s="2083" t="s">
        <v>2512</v>
      </c>
      <c r="B36" s="2084"/>
      <c r="C36" s="2084"/>
      <c r="D36" s="2084"/>
      <c r="E36" s="2084"/>
      <c r="F36" s="2084"/>
      <c r="G36" s="2084"/>
      <c r="H36" s="2084"/>
      <c r="I36" s="2085"/>
    </row>
    <row r="37" spans="1:9" ht="111" customHeight="1">
      <c r="A37" s="2086"/>
      <c r="B37" s="2087"/>
      <c r="C37" s="2087"/>
      <c r="D37" s="2087"/>
      <c r="E37" s="2087"/>
      <c r="F37" s="2087"/>
      <c r="G37" s="2087"/>
      <c r="H37" s="2087"/>
      <c r="I37" s="2088"/>
    </row>
    <row r="38" spans="1:9" ht="14.25" customHeight="1">
      <c r="A38" s="2080" t="s">
        <v>9681</v>
      </c>
      <c r="B38" s="2081"/>
      <c r="C38" s="2081"/>
      <c r="D38" s="2081"/>
      <c r="E38" s="2081"/>
      <c r="F38" s="2081"/>
      <c r="G38" s="2081"/>
      <c r="H38" s="2081"/>
      <c r="I38" s="2082"/>
    </row>
    <row r="39" spans="1:9" ht="14.25" customHeight="1">
      <c r="A39" s="2089" t="s">
        <v>2514</v>
      </c>
      <c r="B39" s="1980"/>
      <c r="C39" s="1980"/>
      <c r="D39" s="1980"/>
      <c r="E39" s="1980"/>
      <c r="F39" s="1980"/>
      <c r="G39" s="1980"/>
      <c r="H39" s="1980"/>
      <c r="I39" s="2090"/>
    </row>
    <row r="40" spans="1:9" ht="14.25" customHeight="1">
      <c r="A40" s="2089" t="s">
        <v>2515</v>
      </c>
      <c r="B40" s="1980"/>
      <c r="C40" s="1980"/>
      <c r="D40" s="1980"/>
      <c r="E40" s="1980"/>
      <c r="F40" s="1980"/>
      <c r="G40" s="1980"/>
      <c r="H40" s="1980"/>
      <c r="I40" s="2090"/>
    </row>
    <row r="41" spans="1:9" ht="14.25" customHeight="1">
      <c r="A41" s="2083" t="s">
        <v>2516</v>
      </c>
      <c r="B41" s="2084"/>
      <c r="C41" s="2084"/>
      <c r="D41" s="2084"/>
      <c r="E41" s="2084"/>
      <c r="F41" s="2084"/>
      <c r="G41" s="2084"/>
      <c r="H41" s="2084"/>
      <c r="I41" s="2085"/>
    </row>
    <row r="42" spans="1:9" ht="111.6" customHeight="1">
      <c r="A42" s="2086"/>
      <c r="B42" s="2087"/>
      <c r="C42" s="2087"/>
      <c r="D42" s="2087"/>
      <c r="E42" s="2087"/>
      <c r="F42" s="2087"/>
      <c r="G42" s="2087"/>
      <c r="H42" s="2087"/>
      <c r="I42" s="2088"/>
    </row>
    <row r="43" spans="1:9" ht="14.25" customHeight="1">
      <c r="A43" s="2080" t="s">
        <v>9682</v>
      </c>
      <c r="B43" s="2081"/>
      <c r="C43" s="2081"/>
      <c r="D43" s="2081"/>
      <c r="E43" s="2081"/>
      <c r="F43" s="2081"/>
      <c r="G43" s="2081"/>
      <c r="H43" s="2081"/>
      <c r="I43" s="2082"/>
    </row>
    <row r="44" spans="1:9" ht="13.95" customHeight="1">
      <c r="A44" s="2089" t="s">
        <v>2518</v>
      </c>
      <c r="B44" s="1980"/>
      <c r="C44" s="1980"/>
      <c r="D44" s="1980"/>
      <c r="E44" s="1980"/>
      <c r="F44" s="1980"/>
      <c r="G44" s="1980"/>
      <c r="H44" s="1980"/>
      <c r="I44" s="2090"/>
    </row>
    <row r="45" spans="1:9" ht="13.95" customHeight="1">
      <c r="A45" s="2089" t="s">
        <v>2519</v>
      </c>
      <c r="B45" s="1980"/>
      <c r="C45" s="1980"/>
      <c r="D45" s="1980"/>
      <c r="E45" s="1980"/>
      <c r="F45" s="1980"/>
      <c r="G45" s="1980"/>
      <c r="H45" s="1980"/>
      <c r="I45" s="2090"/>
    </row>
    <row r="46" spans="1:9" ht="13.95" customHeight="1">
      <c r="A46" s="2083" t="s">
        <v>2520</v>
      </c>
      <c r="B46" s="2084"/>
      <c r="C46" s="2084"/>
      <c r="D46" s="2084"/>
      <c r="E46" s="2084"/>
      <c r="F46" s="2084"/>
      <c r="G46" s="2084"/>
      <c r="H46" s="2084"/>
      <c r="I46" s="2085"/>
    </row>
    <row r="47" spans="1:9" ht="111" customHeight="1">
      <c r="A47" s="2086"/>
      <c r="B47" s="2087"/>
      <c r="C47" s="2087"/>
      <c r="D47" s="2087"/>
      <c r="E47" s="2087"/>
      <c r="F47" s="2087"/>
      <c r="G47" s="2087"/>
      <c r="H47" s="2087"/>
      <c r="I47" s="2088"/>
    </row>
    <row r="48" spans="1:9" ht="13.95" customHeight="1">
      <c r="A48" s="2080" t="s">
        <v>9683</v>
      </c>
      <c r="B48" s="2081"/>
      <c r="C48" s="2081"/>
      <c r="D48" s="2081"/>
      <c r="E48" s="2081"/>
      <c r="F48" s="2081"/>
      <c r="G48" s="2081"/>
      <c r="H48" s="2081"/>
      <c r="I48" s="2082"/>
    </row>
    <row r="49" spans="1:9" ht="14.4" customHeight="1">
      <c r="A49" s="2083" t="s">
        <v>2522</v>
      </c>
      <c r="B49" s="2084"/>
      <c r="C49" s="2084"/>
      <c r="D49" s="2084"/>
      <c r="E49" s="2084"/>
      <c r="F49" s="2084"/>
      <c r="G49" s="2084"/>
      <c r="H49" s="2084"/>
      <c r="I49" s="2085"/>
    </row>
    <row r="50" spans="1:9" ht="111" customHeight="1">
      <c r="A50" s="2086"/>
      <c r="B50" s="2087"/>
      <c r="C50" s="2087"/>
      <c r="D50" s="2087"/>
      <c r="E50" s="2087"/>
      <c r="F50" s="2087"/>
      <c r="G50" s="2087"/>
      <c r="H50" s="2087"/>
      <c r="I50" s="2088"/>
    </row>
    <row r="51" spans="1:9" ht="14.4" customHeight="1">
      <c r="A51" s="2080" t="s">
        <v>9684</v>
      </c>
      <c r="B51" s="2081"/>
      <c r="C51" s="2081"/>
      <c r="D51" s="2081"/>
      <c r="E51" s="2081"/>
      <c r="F51" s="2081"/>
      <c r="G51" s="2081"/>
      <c r="H51" s="2081"/>
      <c r="I51" s="2082"/>
    </row>
    <row r="52" spans="1:9" ht="14.4" customHeight="1">
      <c r="A52" s="2083" t="s">
        <v>2524</v>
      </c>
      <c r="B52" s="2084"/>
      <c r="C52" s="2084"/>
      <c r="D52" s="2084"/>
      <c r="E52" s="2084"/>
      <c r="F52" s="2084"/>
      <c r="G52" s="2084"/>
      <c r="H52" s="2084"/>
      <c r="I52" s="2085"/>
    </row>
    <row r="53" spans="1:9" ht="110.4" customHeight="1">
      <c r="A53" s="2086"/>
      <c r="B53" s="2087"/>
      <c r="C53" s="2087"/>
      <c r="D53" s="2087"/>
      <c r="E53" s="2087"/>
      <c r="F53" s="2087"/>
      <c r="G53" s="2087"/>
      <c r="H53" s="2087"/>
      <c r="I53" s="2088"/>
    </row>
    <row r="54" spans="1:9">
      <c r="A54" s="2091" t="s">
        <v>2525</v>
      </c>
      <c r="B54" s="2092"/>
      <c r="C54" s="2092"/>
      <c r="D54" s="2092"/>
      <c r="E54" s="2092"/>
      <c r="F54" s="2092"/>
      <c r="G54" s="2092"/>
      <c r="H54" s="2092"/>
      <c r="I54" s="2093"/>
    </row>
    <row r="55" spans="1:9">
      <c r="A55" s="2080" t="s">
        <v>9685</v>
      </c>
      <c r="B55" s="2081"/>
      <c r="C55" s="2081"/>
      <c r="D55" s="2081"/>
      <c r="E55" s="2081"/>
      <c r="F55" s="2081"/>
      <c r="G55" s="2081"/>
      <c r="H55" s="2081"/>
      <c r="I55" s="2082"/>
    </row>
    <row r="56" spans="1:9">
      <c r="A56" s="2089" t="s">
        <v>2527</v>
      </c>
      <c r="B56" s="1980"/>
      <c r="C56" s="1980"/>
      <c r="D56" s="1980"/>
      <c r="E56" s="1980"/>
      <c r="F56" s="1980"/>
      <c r="G56" s="1980"/>
      <c r="H56" s="1980"/>
      <c r="I56" s="2090"/>
    </row>
    <row r="57" spans="1:9">
      <c r="A57" s="2083" t="s">
        <v>2528</v>
      </c>
      <c r="B57" s="2084"/>
      <c r="C57" s="2084"/>
      <c r="D57" s="2084"/>
      <c r="E57" s="2084"/>
      <c r="F57" s="2084"/>
      <c r="G57" s="2084"/>
      <c r="H57" s="2084"/>
      <c r="I57" s="2085"/>
    </row>
    <row r="58" spans="1:9" ht="111" customHeight="1">
      <c r="A58" s="2086"/>
      <c r="B58" s="2087"/>
      <c r="C58" s="2087"/>
      <c r="D58" s="2087"/>
      <c r="E58" s="2087"/>
      <c r="F58" s="2087"/>
      <c r="G58" s="2087"/>
      <c r="H58" s="2087"/>
      <c r="I58" s="2088"/>
    </row>
    <row r="59" spans="1:9" ht="23.4" customHeight="1">
      <c r="A59" s="2080" t="s">
        <v>9686</v>
      </c>
      <c r="B59" s="2081"/>
      <c r="C59" s="2081"/>
      <c r="D59" s="2081"/>
      <c r="E59" s="2081"/>
      <c r="F59" s="2081"/>
      <c r="G59" s="2081"/>
      <c r="H59" s="2081"/>
      <c r="I59" s="2082"/>
    </row>
    <row r="60" spans="1:9">
      <c r="A60" s="2089" t="s">
        <v>2529</v>
      </c>
      <c r="B60" s="1980"/>
      <c r="C60" s="1980"/>
      <c r="D60" s="1980"/>
      <c r="E60" s="1980"/>
      <c r="F60" s="1980"/>
      <c r="G60" s="1980"/>
      <c r="H60" s="1980"/>
      <c r="I60" s="2090"/>
    </row>
    <row r="61" spans="1:9">
      <c r="A61" s="2083" t="s">
        <v>2530</v>
      </c>
      <c r="B61" s="2084"/>
      <c r="C61" s="2084"/>
      <c r="D61" s="2084"/>
      <c r="E61" s="2084"/>
      <c r="F61" s="2084"/>
      <c r="G61" s="2084"/>
      <c r="H61" s="2084"/>
      <c r="I61" s="2085"/>
    </row>
    <row r="62" spans="1:9" ht="111" customHeight="1">
      <c r="A62" s="2086"/>
      <c r="B62" s="2087"/>
      <c r="C62" s="2087"/>
      <c r="D62" s="2087"/>
      <c r="E62" s="2087"/>
      <c r="F62" s="2087"/>
      <c r="G62" s="2087"/>
      <c r="H62" s="2087"/>
      <c r="I62" s="2088"/>
    </row>
    <row r="63" spans="1:9">
      <c r="A63" s="2080" t="s">
        <v>9687</v>
      </c>
      <c r="B63" s="2081"/>
      <c r="C63" s="2081"/>
      <c r="D63" s="2081"/>
      <c r="E63" s="2081"/>
      <c r="F63" s="2081"/>
      <c r="G63" s="2081"/>
      <c r="H63" s="2081"/>
      <c r="I63" s="2082"/>
    </row>
    <row r="64" spans="1:9">
      <c r="A64" s="2083" t="s">
        <v>2532</v>
      </c>
      <c r="B64" s="2084"/>
      <c r="C64" s="2084"/>
      <c r="D64" s="2084"/>
      <c r="E64" s="2084"/>
      <c r="F64" s="2084"/>
      <c r="G64" s="2084"/>
      <c r="H64" s="2084"/>
      <c r="I64" s="2085"/>
    </row>
    <row r="65" spans="1:9" ht="111" customHeight="1">
      <c r="A65" s="2086"/>
      <c r="B65" s="2087"/>
      <c r="C65" s="2087"/>
      <c r="D65" s="2087"/>
      <c r="E65" s="2087"/>
      <c r="F65" s="2087"/>
      <c r="G65" s="2087"/>
      <c r="H65" s="2087"/>
      <c r="I65" s="2088"/>
    </row>
  </sheetData>
  <sheetProtection algorithmName="SHA-512" hashValue="ZDb+Hx+3MnWgOzrGuBBGrjJ1/VO5ygYtEvICWeeys1RHg6YEGAghSJlVta+iw5rhqfDWI/f/4XT+WkysK54tfQ==" saltValue="/FzDyQ54hWaaQnzR2212YA==" spinCount="100000" sheet="1" objects="1" scenarios="1" selectLockedCells="1"/>
  <mergeCells count="66">
    <mergeCell ref="A63:I63"/>
    <mergeCell ref="A64:I64"/>
    <mergeCell ref="A65:I65"/>
    <mergeCell ref="A58:I58"/>
    <mergeCell ref="A59:I59"/>
    <mergeCell ref="A60:I60"/>
    <mergeCell ref="A61:I61"/>
    <mergeCell ref="A62:I62"/>
    <mergeCell ref="A53:I53"/>
    <mergeCell ref="A54:I54"/>
    <mergeCell ref="A55:I55"/>
    <mergeCell ref="A56:I56"/>
    <mergeCell ref="A57:I57"/>
    <mergeCell ref="A11:I11"/>
    <mergeCell ref="A1:I1"/>
    <mergeCell ref="H2:I2"/>
    <mergeCell ref="C3:I3"/>
    <mergeCell ref="B4:G4"/>
    <mergeCell ref="C5:D5"/>
    <mergeCell ref="E5:F5"/>
    <mergeCell ref="C6:D6"/>
    <mergeCell ref="A7:I7"/>
    <mergeCell ref="A8:I8"/>
    <mergeCell ref="A9:I9"/>
    <mergeCell ref="A10:I10"/>
    <mergeCell ref="A23:I23"/>
    <mergeCell ref="A12:I12"/>
    <mergeCell ref="A13:I13"/>
    <mergeCell ref="A14:I14"/>
    <mergeCell ref="A15:I15"/>
    <mergeCell ref="A16:I16"/>
    <mergeCell ref="A17:I17"/>
    <mergeCell ref="A18:I18"/>
    <mergeCell ref="A19:I19"/>
    <mergeCell ref="A20:I20"/>
    <mergeCell ref="A21:I21"/>
    <mergeCell ref="A22:I22"/>
    <mergeCell ref="A35:I35"/>
    <mergeCell ref="A24:I24"/>
    <mergeCell ref="A25:I25"/>
    <mergeCell ref="A26:I26"/>
    <mergeCell ref="A27:I27"/>
    <mergeCell ref="A28:I28"/>
    <mergeCell ref="A29:I29"/>
    <mergeCell ref="A30:I30"/>
    <mergeCell ref="A31:I31"/>
    <mergeCell ref="A32:I32"/>
    <mergeCell ref="A33:I33"/>
    <mergeCell ref="A34:I34"/>
    <mergeCell ref="A47:I47"/>
    <mergeCell ref="A36:I36"/>
    <mergeCell ref="A37:I37"/>
    <mergeCell ref="A38:I38"/>
    <mergeCell ref="A39:I39"/>
    <mergeCell ref="A40:I40"/>
    <mergeCell ref="A41:I41"/>
    <mergeCell ref="A42:I42"/>
    <mergeCell ref="A43:I43"/>
    <mergeCell ref="A44:I44"/>
    <mergeCell ref="A45:I45"/>
    <mergeCell ref="A46:I46"/>
    <mergeCell ref="A48:I48"/>
    <mergeCell ref="A49:I49"/>
    <mergeCell ref="A50:I50"/>
    <mergeCell ref="A51:I51"/>
    <mergeCell ref="A52:I52"/>
  </mergeCells>
  <dataValidations count="1">
    <dataValidation type="textLength" operator="lessThan" allowBlank="1" showInputMessage="1" showErrorMessage="1" sqref="A15:I15 A19:I19 A23:I23 A27:I27 A31:I31 A37:I37 A42:I42 A47:I47 A50:I50 A53:I53 A58:I58 A62:I62 A65:I65" xr:uid="{B6DB8A09-C850-4C42-9AAC-CA2D892F542B}">
      <formula1>2000</formula1>
    </dataValidation>
  </dataValidations>
  <printOptions horizontalCentered="1"/>
  <pageMargins left="0.31496062992125984" right="0.31496062992125984" top="0.35433070866141736" bottom="0.35433070866141736" header="0.31496062992125984" footer="0.31496062992125984"/>
  <pageSetup paperSize="9" scale="85" orientation="portrait" r:id="rId1"/>
  <rowBreaks count="2" manualBreakCount="2">
    <brk id="27" max="8" man="1"/>
    <brk id="50" max="8" man="1"/>
  </rowBreaks>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1B96D-6B14-4C2E-8EBA-52693559AA44}">
  <sheetPr codeName="Feuil64">
    <pageSetUpPr fitToPage="1"/>
  </sheetPr>
  <dimension ref="A1:H39"/>
  <sheetViews>
    <sheetView showGridLines="0" showRowColHeaders="0" zoomScaleNormal="100" workbookViewId="0">
      <selection activeCell="H11" sqref="H11"/>
    </sheetView>
  </sheetViews>
  <sheetFormatPr baseColWidth="10" defaultColWidth="11.41796875" defaultRowHeight="14.4"/>
  <cols>
    <col min="1" max="1" width="9.41796875" style="103" customWidth="1"/>
    <col min="2" max="2" width="19.1015625" style="103" customWidth="1"/>
    <col min="3" max="3" width="12.1015625" style="103" customWidth="1"/>
    <col min="4" max="4" width="7.68359375" style="103" customWidth="1"/>
    <col min="5" max="5" width="14.89453125" style="103" customWidth="1"/>
    <col min="6" max="6" width="15.3125" style="103" customWidth="1"/>
    <col min="7" max="7" width="14.89453125" style="103" customWidth="1"/>
    <col min="8" max="8" width="19.41796875" style="103" customWidth="1"/>
    <col min="9" max="16384" width="11.41796875" style="103"/>
  </cols>
  <sheetData>
    <row r="1" spans="1:8">
      <c r="A1" s="1276" t="str">
        <f>"- "&amp;Code!K63&amp;" -"</f>
        <v>- 36 -</v>
      </c>
      <c r="B1" s="1276"/>
      <c r="C1" s="1276"/>
      <c r="D1" s="1276"/>
      <c r="E1" s="1276"/>
      <c r="F1" s="1276"/>
      <c r="G1" s="1276"/>
      <c r="H1" s="1276"/>
    </row>
    <row r="2" spans="1:8" ht="24.9" customHeight="1">
      <c r="A2" s="576"/>
      <c r="B2" s="576"/>
      <c r="C2" s="576"/>
      <c r="D2" s="576"/>
      <c r="E2" s="576"/>
      <c r="F2" s="576"/>
      <c r="G2" s="1544" t="s">
        <v>2533</v>
      </c>
      <c r="H2" s="1546"/>
    </row>
    <row r="3" spans="1:8">
      <c r="A3" s="317" t="s">
        <v>50</v>
      </c>
      <c r="B3" s="317"/>
      <c r="C3" s="1280" t="str">
        <f>'NOTE 31'!C3</f>
        <v>OHADA</v>
      </c>
      <c r="D3" s="1280"/>
      <c r="E3" s="1280"/>
      <c r="F3" s="1280"/>
      <c r="G3" s="1280"/>
      <c r="H3" s="1280"/>
    </row>
    <row r="4" spans="1:8">
      <c r="A4" s="317" t="s">
        <v>51</v>
      </c>
      <c r="B4" s="1699" t="str">
        <f>'NOTE 31'!B4</f>
        <v/>
      </c>
      <c r="C4" s="1699"/>
      <c r="D4" s="1699"/>
      <c r="E4" s="1699"/>
      <c r="F4" s="1699"/>
      <c r="G4" s="627" t="s">
        <v>1021</v>
      </c>
      <c r="H4" s="761" t="str">
        <f>'NOTE 31'!K4</f>
        <v/>
      </c>
    </row>
    <row r="5" spans="1:8">
      <c r="A5" s="317" t="s">
        <v>53</v>
      </c>
      <c r="B5" s="317"/>
      <c r="C5" s="1280" t="str">
        <f>'NOTE 31'!C5</f>
        <v/>
      </c>
      <c r="D5" s="1280"/>
      <c r="E5" s="642" t="s">
        <v>54</v>
      </c>
      <c r="F5" s="633">
        <f>'NOTE 31'!H5</f>
        <v>0</v>
      </c>
      <c r="G5" s="627" t="s">
        <v>55</v>
      </c>
      <c r="H5" s="630">
        <f>'NOTE 31'!K5</f>
        <v>1</v>
      </c>
    </row>
    <row r="6" spans="1:8">
      <c r="A6" s="748" t="s">
        <v>56</v>
      </c>
      <c r="B6" s="317"/>
      <c r="C6" s="1275" t="str">
        <f>'NOTE 31'!C6</f>
        <v/>
      </c>
      <c r="D6" s="1275"/>
      <c r="E6" s="638"/>
      <c r="F6" s="630"/>
      <c r="G6" s="629"/>
      <c r="H6" s="630"/>
    </row>
    <row r="7" spans="1:8" ht="35.25" customHeight="1">
      <c r="A7" s="1273" t="s">
        <v>2534</v>
      </c>
      <c r="B7" s="1273"/>
      <c r="C7" s="1273"/>
      <c r="D7" s="1273"/>
      <c r="E7" s="1273"/>
      <c r="F7" s="1273"/>
      <c r="G7" s="1273"/>
      <c r="H7" s="1273"/>
    </row>
    <row r="8" spans="1:8" s="317" customFormat="1" ht="21" customHeight="1">
      <c r="A8" s="2122" t="s">
        <v>1692</v>
      </c>
      <c r="B8" s="2123"/>
      <c r="C8" s="2123"/>
      <c r="D8" s="2123"/>
      <c r="E8" s="2123"/>
      <c r="F8" s="2123"/>
      <c r="G8" s="2124"/>
      <c r="H8" s="785" t="s">
        <v>2535</v>
      </c>
    </row>
    <row r="9" spans="1:8" s="317" customFormat="1" ht="17.25" customHeight="1">
      <c r="A9" s="2114" t="s">
        <v>2536</v>
      </c>
      <c r="B9" s="2114"/>
      <c r="C9" s="2114"/>
      <c r="D9" s="2114"/>
      <c r="E9" s="2114"/>
      <c r="F9" s="2114"/>
      <c r="G9" s="2114"/>
      <c r="H9" s="449">
        <f>RESULTAT!I52</f>
        <v>215389710</v>
      </c>
    </row>
    <row r="10" spans="1:8" s="317" customFormat="1" ht="29.4" customHeight="1">
      <c r="A10" s="2125" t="s">
        <v>2537</v>
      </c>
      <c r="B10" s="2119"/>
      <c r="C10" s="2119"/>
      <c r="D10" s="2119"/>
      <c r="E10" s="2119"/>
      <c r="F10" s="2119"/>
      <c r="G10" s="2119"/>
      <c r="H10" s="2126"/>
    </row>
    <row r="11" spans="1:8" s="317" customFormat="1" ht="17.25" customHeight="1">
      <c r="A11" s="2117" t="s">
        <v>9164</v>
      </c>
      <c r="B11" s="2117"/>
      <c r="C11" s="2117"/>
      <c r="D11" s="2117"/>
      <c r="E11" s="2117"/>
      <c r="F11" s="2117"/>
      <c r="G11" s="2117"/>
      <c r="H11" s="450"/>
    </row>
    <row r="12" spans="1:8" s="317" customFormat="1" ht="17.25" customHeight="1">
      <c r="A12" s="2117" t="s">
        <v>9165</v>
      </c>
      <c r="B12" s="2117"/>
      <c r="C12" s="2117"/>
      <c r="D12" s="2117"/>
      <c r="E12" s="2117"/>
      <c r="F12" s="2117"/>
      <c r="G12" s="2117"/>
      <c r="H12" s="450"/>
    </row>
    <row r="13" spans="1:8" s="317" customFormat="1" ht="17.25" customHeight="1">
      <c r="A13" s="2117" t="s">
        <v>9166</v>
      </c>
      <c r="B13" s="2117"/>
      <c r="C13" s="2117"/>
      <c r="D13" s="2117"/>
      <c r="E13" s="2117"/>
      <c r="F13" s="2117"/>
      <c r="G13" s="2117"/>
      <c r="H13" s="450"/>
    </row>
    <row r="14" spans="1:8" s="317" customFormat="1" ht="17.25" customHeight="1">
      <c r="A14" s="2117" t="s">
        <v>9167</v>
      </c>
      <c r="B14" s="2117"/>
      <c r="C14" s="2117"/>
      <c r="D14" s="2117"/>
      <c r="E14" s="2117"/>
      <c r="F14" s="2117"/>
      <c r="G14" s="2117"/>
      <c r="H14" s="450"/>
    </row>
    <row r="15" spans="1:8" s="317" customFormat="1" ht="17.25" customHeight="1">
      <c r="A15" s="2117" t="s">
        <v>9168</v>
      </c>
      <c r="B15" s="2117"/>
      <c r="C15" s="2117"/>
      <c r="D15" s="2117"/>
      <c r="E15" s="2117"/>
      <c r="F15" s="2117"/>
      <c r="G15" s="2117"/>
      <c r="H15" s="450"/>
    </row>
    <row r="16" spans="1:8" s="317" customFormat="1" ht="17.25" customHeight="1">
      <c r="A16" s="2117" t="s">
        <v>9169</v>
      </c>
      <c r="B16" s="2117"/>
      <c r="C16" s="2117"/>
      <c r="D16" s="2117"/>
      <c r="E16" s="2117"/>
      <c r="F16" s="2117"/>
      <c r="G16" s="2117"/>
      <c r="H16" s="450"/>
    </row>
    <row r="17" spans="1:8" s="317" customFormat="1" ht="17.25" customHeight="1">
      <c r="A17" s="2117" t="s">
        <v>9170</v>
      </c>
      <c r="B17" s="2117"/>
      <c r="C17" s="2117"/>
      <c r="D17" s="2117"/>
      <c r="E17" s="2117"/>
      <c r="F17" s="2117"/>
      <c r="G17" s="2117"/>
      <c r="H17" s="450"/>
    </row>
    <row r="18" spans="1:8" s="317" customFormat="1" ht="17.25" customHeight="1">
      <c r="A18" s="2117" t="s">
        <v>9171</v>
      </c>
      <c r="B18" s="2117"/>
      <c r="C18" s="2117"/>
      <c r="D18" s="2117"/>
      <c r="E18" s="2117"/>
      <c r="F18" s="2117"/>
      <c r="G18" s="2117"/>
      <c r="H18" s="450"/>
    </row>
    <row r="19" spans="1:8" s="317" customFormat="1" ht="17.25" customHeight="1">
      <c r="A19" s="2117" t="s">
        <v>9172</v>
      </c>
      <c r="B19" s="2117"/>
      <c r="C19" s="2117"/>
      <c r="D19" s="2117"/>
      <c r="E19" s="2117"/>
      <c r="F19" s="2117"/>
      <c r="G19" s="2117"/>
      <c r="H19" s="450"/>
    </row>
    <row r="20" spans="1:8" s="317" customFormat="1" ht="17.25" customHeight="1">
      <c r="A20" s="2117" t="s">
        <v>9173</v>
      </c>
      <c r="B20" s="2117"/>
      <c r="C20" s="2117"/>
      <c r="D20" s="2117"/>
      <c r="E20" s="2117"/>
      <c r="F20" s="2117"/>
      <c r="G20" s="2117"/>
      <c r="H20" s="450"/>
    </row>
    <row r="21" spans="1:8" s="317" customFormat="1" ht="17.25" customHeight="1">
      <c r="A21" s="2117" t="s">
        <v>9174</v>
      </c>
      <c r="B21" s="2117"/>
      <c r="C21" s="2117"/>
      <c r="D21" s="2117"/>
      <c r="E21" s="2117"/>
      <c r="F21" s="2117"/>
      <c r="G21" s="2117"/>
      <c r="H21" s="450"/>
    </row>
    <row r="22" spans="1:8" s="317" customFormat="1" ht="17.25" customHeight="1">
      <c r="A22" s="2117" t="s">
        <v>9175</v>
      </c>
      <c r="B22" s="2117"/>
      <c r="C22" s="2117"/>
      <c r="D22" s="2117"/>
      <c r="E22" s="2117"/>
      <c r="F22" s="2117"/>
      <c r="G22" s="2117"/>
      <c r="H22" s="450"/>
    </row>
    <row r="23" spans="1:8" s="317" customFormat="1" ht="17.25" customHeight="1">
      <c r="A23" s="2121" t="s">
        <v>9176</v>
      </c>
      <c r="B23" s="2121"/>
      <c r="C23" s="2121"/>
      <c r="D23" s="2121"/>
      <c r="E23" s="2121"/>
      <c r="F23" s="2121"/>
      <c r="G23" s="2121"/>
      <c r="H23" s="451">
        <f>SUM(H11:H22)</f>
        <v>0</v>
      </c>
    </row>
    <row r="24" spans="1:8" s="317" customFormat="1" ht="29.4" customHeight="1">
      <c r="A24" s="2118" t="s">
        <v>2538</v>
      </c>
      <c r="B24" s="2119"/>
      <c r="C24" s="2119"/>
      <c r="D24" s="2119"/>
      <c r="E24" s="2119"/>
      <c r="F24" s="2119"/>
      <c r="G24" s="2119"/>
      <c r="H24" s="2120"/>
    </row>
    <row r="25" spans="1:8" s="317" customFormat="1" ht="17.25" customHeight="1">
      <c r="A25" s="2117" t="s">
        <v>9177</v>
      </c>
      <c r="B25" s="2117"/>
      <c r="C25" s="2117"/>
      <c r="D25" s="2117"/>
      <c r="E25" s="2117"/>
      <c r="F25" s="2117"/>
      <c r="G25" s="2117"/>
      <c r="H25" s="450"/>
    </row>
    <row r="26" spans="1:8" s="317" customFormat="1" ht="17.25" customHeight="1">
      <c r="A26" s="2117" t="s">
        <v>9178</v>
      </c>
      <c r="B26" s="2117"/>
      <c r="C26" s="2117"/>
      <c r="D26" s="2117"/>
      <c r="E26" s="2117"/>
      <c r="F26" s="2117"/>
      <c r="G26" s="2117"/>
      <c r="H26" s="452"/>
    </row>
    <row r="27" spans="1:8" s="317" customFormat="1" ht="17.25" customHeight="1">
      <c r="A27" s="2117" t="s">
        <v>9179</v>
      </c>
      <c r="B27" s="2117"/>
      <c r="C27" s="2117"/>
      <c r="D27" s="2117"/>
      <c r="E27" s="2117"/>
      <c r="F27" s="2117"/>
      <c r="G27" s="2117"/>
      <c r="H27" s="450"/>
    </row>
    <row r="28" spans="1:8" s="317" customFormat="1" ht="17.25" customHeight="1">
      <c r="A28" s="2117" t="s">
        <v>9180</v>
      </c>
      <c r="B28" s="2117"/>
      <c r="C28" s="2117"/>
      <c r="D28" s="2117"/>
      <c r="E28" s="2117"/>
      <c r="F28" s="2117"/>
      <c r="G28" s="2117"/>
      <c r="H28" s="450"/>
    </row>
    <row r="29" spans="1:8" s="317" customFormat="1" ht="17.25" customHeight="1">
      <c r="A29" s="2117" t="s">
        <v>9181</v>
      </c>
      <c r="B29" s="2117"/>
      <c r="C29" s="2117"/>
      <c r="D29" s="2117"/>
      <c r="E29" s="2117"/>
      <c r="F29" s="2117"/>
      <c r="G29" s="2117"/>
      <c r="H29" s="450"/>
    </row>
    <row r="30" spans="1:8" s="317" customFormat="1" ht="17.25" customHeight="1">
      <c r="A30" s="2121" t="s">
        <v>9182</v>
      </c>
      <c r="B30" s="2121"/>
      <c r="C30" s="2121"/>
      <c r="D30" s="2121"/>
      <c r="E30" s="2121"/>
      <c r="F30" s="2121"/>
      <c r="G30" s="2121"/>
      <c r="H30" s="451">
        <f>SUM(H25:H29)</f>
        <v>0</v>
      </c>
    </row>
    <row r="31" spans="1:8" s="317" customFormat="1" ht="17.25" customHeight="1">
      <c r="A31" s="2114" t="s">
        <v>2539</v>
      </c>
      <c r="B31" s="2114"/>
      <c r="C31" s="2114"/>
      <c r="D31" s="2114"/>
      <c r="E31" s="2114"/>
      <c r="F31" s="2114"/>
      <c r="G31" s="2114"/>
      <c r="H31" s="449">
        <f>H9+H23-H30</f>
        <v>215389710</v>
      </c>
    </row>
    <row r="32" spans="1:8" s="317" customFormat="1" ht="29.4" customHeight="1">
      <c r="A32" s="2114" t="s">
        <v>2540</v>
      </c>
      <c r="B32" s="2114"/>
      <c r="C32" s="2114"/>
      <c r="D32" s="2114"/>
      <c r="E32" s="2114"/>
      <c r="F32" s="2114"/>
      <c r="G32" s="2114"/>
      <c r="H32" s="453"/>
    </row>
    <row r="33" spans="1:8" s="317" customFormat="1" ht="29.4" customHeight="1">
      <c r="A33" s="2114" t="s">
        <v>2541</v>
      </c>
      <c r="B33" s="2114"/>
      <c r="C33" s="2114"/>
      <c r="D33" s="2114"/>
      <c r="E33" s="2114"/>
      <c r="F33" s="2114"/>
      <c r="G33" s="2114"/>
      <c r="H33" s="453"/>
    </row>
    <row r="34" spans="1:8" s="317" customFormat="1" ht="29.4" customHeight="1">
      <c r="A34" s="2114" t="s">
        <v>2542</v>
      </c>
      <c r="B34" s="2114"/>
      <c r="C34" s="2114"/>
      <c r="D34" s="2114"/>
      <c r="E34" s="2114"/>
      <c r="F34" s="2114"/>
      <c r="G34" s="2114"/>
      <c r="H34" s="453"/>
    </row>
    <row r="35" spans="1:8" s="317" customFormat="1" ht="17.25" customHeight="1">
      <c r="A35" s="2114" t="s">
        <v>2543</v>
      </c>
      <c r="B35" s="2114"/>
      <c r="C35" s="2114"/>
      <c r="D35" s="2114"/>
      <c r="E35" s="2114"/>
      <c r="F35" s="2114"/>
      <c r="G35" s="2114"/>
      <c r="H35" s="449">
        <f>H31-H32-H33+H34</f>
        <v>215389710</v>
      </c>
    </row>
    <row r="36" spans="1:8" s="317" customFormat="1" ht="17.25" customHeight="1">
      <c r="A36" s="786" t="s">
        <v>2544</v>
      </c>
      <c r="B36" s="787"/>
      <c r="C36" s="787"/>
      <c r="D36" s="454">
        <f>Sommaire!M43</f>
        <v>0.25</v>
      </c>
      <c r="E36" s="2115"/>
      <c r="F36" s="2115"/>
      <c r="G36" s="2115"/>
      <c r="H36" s="449">
        <f>H35*D36</f>
        <v>53847427.5</v>
      </c>
    </row>
    <row r="37" spans="1:8">
      <c r="A37" s="2113"/>
      <c r="B37" s="2113"/>
      <c r="C37" s="2113"/>
      <c r="D37" s="2113"/>
      <c r="E37" s="2113"/>
      <c r="F37" s="2113"/>
      <c r="G37" s="626"/>
      <c r="H37" s="788"/>
    </row>
    <row r="38" spans="1:8" ht="15.3">
      <c r="A38" s="2116" t="s">
        <v>9223</v>
      </c>
      <c r="B38" s="2116"/>
      <c r="C38" s="2116"/>
      <c r="D38" s="2116"/>
      <c r="E38" s="2116"/>
      <c r="F38" s="2116"/>
      <c r="G38" s="2116"/>
      <c r="H38" s="2116"/>
    </row>
    <row r="39" spans="1:8">
      <c r="A39" s="2116" t="s">
        <v>9232</v>
      </c>
      <c r="B39" s="2116"/>
      <c r="C39" s="2116"/>
      <c r="D39" s="2116"/>
      <c r="E39" s="2116"/>
      <c r="F39" s="2116"/>
      <c r="G39" s="2116"/>
      <c r="H39" s="2116"/>
    </row>
  </sheetData>
  <sheetProtection algorithmName="SHA-512" hashValue="BTTkwdvSGKcADpnXaZvsHSPux7x0/zaAgWrB0CySHOex5KM+g305fyuQ9gZHbckRVZMObYFLnZcfYKnOk90C/g==" saltValue="AdEFGbi840T8qSUjU7g01w==" spinCount="100000" sheet="1" objects="1" scenarios="1" selectLockedCells="1"/>
  <mergeCells count="39">
    <mergeCell ref="A23:G23"/>
    <mergeCell ref="A14:G14"/>
    <mergeCell ref="A15:G15"/>
    <mergeCell ref="A16:G16"/>
    <mergeCell ref="A17:G17"/>
    <mergeCell ref="C6:D6"/>
    <mergeCell ref="A1:H1"/>
    <mergeCell ref="G2:H2"/>
    <mergeCell ref="C3:H3"/>
    <mergeCell ref="B4:F4"/>
    <mergeCell ref="C5:D5"/>
    <mergeCell ref="A7:H7"/>
    <mergeCell ref="A8:G8"/>
    <mergeCell ref="A9:G9"/>
    <mergeCell ref="A11:G11"/>
    <mergeCell ref="A18:G18"/>
    <mergeCell ref="A10:H10"/>
    <mergeCell ref="A31:G31"/>
    <mergeCell ref="A32:G32"/>
    <mergeCell ref="A33:G33"/>
    <mergeCell ref="A12:G12"/>
    <mergeCell ref="A13:G13"/>
    <mergeCell ref="A25:G25"/>
    <mergeCell ref="A24:H24"/>
    <mergeCell ref="A30:G30"/>
    <mergeCell ref="A26:G26"/>
    <mergeCell ref="A27:G27"/>
    <mergeCell ref="A28:G28"/>
    <mergeCell ref="A29:G29"/>
    <mergeCell ref="A19:G19"/>
    <mergeCell ref="A20:G20"/>
    <mergeCell ref="A21:G21"/>
    <mergeCell ref="A22:G22"/>
    <mergeCell ref="A37:F37"/>
    <mergeCell ref="A34:G34"/>
    <mergeCell ref="A35:G35"/>
    <mergeCell ref="E36:G36"/>
    <mergeCell ref="A39:H39"/>
    <mergeCell ref="A38:H38"/>
  </mergeCells>
  <conditionalFormatting sqref="H9">
    <cfRule type="cellIs" dxfId="133" priority="3" operator="equal">
      <formula>0</formula>
    </cfRule>
  </conditionalFormatting>
  <conditionalFormatting sqref="H23">
    <cfRule type="cellIs" dxfId="132" priority="2" operator="equal">
      <formula>0</formula>
    </cfRule>
  </conditionalFormatting>
  <conditionalFormatting sqref="H30:H31 H35:H36">
    <cfRule type="cellIs" dxfId="131" priority="1" operator="equal">
      <formula>0</formula>
    </cfRule>
  </conditionalFormatting>
  <printOptions horizontalCentered="1"/>
  <pageMargins left="0.31496062992125984" right="0.31496062992125984" top="0.35433070866141736" bottom="0.35433070866141736" header="0.31496062992125984" footer="0.31496062992125984"/>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B5C31-D2E3-42CB-BF7C-95A73A9FB9FB}">
  <sheetPr codeName="Feuil65">
    <tabColor rgb="FFC00000"/>
    <pageSetUpPr fitToPage="1"/>
  </sheetPr>
  <dimension ref="A1:I25"/>
  <sheetViews>
    <sheetView showGridLines="0" showRowColHeaders="0" topLeftCell="A13" zoomScaleNormal="100" workbookViewId="0">
      <selection activeCell="A20" sqref="A20:I20"/>
    </sheetView>
  </sheetViews>
  <sheetFormatPr baseColWidth="10" defaultColWidth="11.5234375" defaultRowHeight="14.4"/>
  <cols>
    <col min="1" max="1" width="11.5234375" style="103"/>
    <col min="2" max="2" width="21.1015625" style="103" customWidth="1"/>
    <col min="3" max="3" width="12.41796875" style="103" customWidth="1"/>
    <col min="4" max="4" width="8.1015625" style="103" customWidth="1"/>
    <col min="5" max="5" width="14.89453125" style="103" customWidth="1"/>
    <col min="6" max="6" width="10.3125" style="103" customWidth="1"/>
    <col min="7" max="7" width="6.89453125" style="103" customWidth="1"/>
    <col min="8" max="16384" width="11.5234375" style="103"/>
  </cols>
  <sheetData>
    <row r="1" spans="1:9" ht="12.75" customHeight="1">
      <c r="A1" s="1276" t="str">
        <f>"- "&amp;Code!K64&amp;" -"</f>
        <v>- 36 -</v>
      </c>
      <c r="B1" s="1276"/>
      <c r="C1" s="1276"/>
      <c r="D1" s="1276"/>
      <c r="E1" s="1276"/>
      <c r="F1" s="1276"/>
      <c r="G1" s="1276"/>
      <c r="H1" s="1276"/>
      <c r="I1" s="1276"/>
    </row>
    <row r="2" spans="1:9" ht="23.25" customHeight="1">
      <c r="A2" s="576"/>
      <c r="B2" s="576"/>
      <c r="C2" s="576"/>
      <c r="D2" s="576"/>
      <c r="E2" s="576"/>
      <c r="F2" s="576"/>
      <c r="G2" s="303"/>
      <c r="H2" s="1544" t="s">
        <v>2545</v>
      </c>
      <c r="I2" s="1546"/>
    </row>
    <row r="3" spans="1:9" s="626" customFormat="1" ht="15" customHeight="1">
      <c r="A3" s="317" t="s">
        <v>50</v>
      </c>
      <c r="B3" s="317"/>
      <c r="C3" s="1280" t="str">
        <f>'NOTE 31'!C3</f>
        <v>OHADA</v>
      </c>
      <c r="D3" s="1280"/>
      <c r="E3" s="1280"/>
      <c r="F3" s="1280"/>
      <c r="G3" s="1280"/>
      <c r="H3" s="1280"/>
    </row>
    <row r="4" spans="1:9" s="626" customFormat="1" ht="15" customHeight="1">
      <c r="A4" s="317" t="s">
        <v>51</v>
      </c>
      <c r="B4" s="1699" t="str">
        <f>'NOTE 31'!B4</f>
        <v/>
      </c>
      <c r="C4" s="1699"/>
      <c r="D4" s="1699"/>
      <c r="E4" s="1699"/>
      <c r="F4" s="1699"/>
      <c r="G4" s="1699"/>
      <c r="H4" s="627" t="s">
        <v>1021</v>
      </c>
      <c r="I4" s="761" t="str">
        <f>'NOTE 31'!K4</f>
        <v/>
      </c>
    </row>
    <row r="5" spans="1:9" s="626" customFormat="1" ht="15" customHeight="1">
      <c r="A5" s="317" t="s">
        <v>53</v>
      </c>
      <c r="B5" s="317"/>
      <c r="C5" s="1280" t="str">
        <f>'NOTE 31'!C5</f>
        <v/>
      </c>
      <c r="D5" s="1280"/>
      <c r="E5" s="642" t="s">
        <v>54</v>
      </c>
      <c r="F5" s="633">
        <f>'NOTE 31'!H5</f>
        <v>0</v>
      </c>
      <c r="H5" s="627" t="s">
        <v>55</v>
      </c>
      <c r="I5" s="630">
        <f>'NOTE 31'!K5</f>
        <v>1</v>
      </c>
    </row>
    <row r="6" spans="1:9" s="626" customFormat="1" ht="15" customHeight="1">
      <c r="A6" s="748" t="s">
        <v>56</v>
      </c>
      <c r="B6" s="317"/>
      <c r="C6" s="1275" t="str">
        <f>'NOTE 31'!C6</f>
        <v/>
      </c>
      <c r="D6" s="1275"/>
      <c r="E6" s="638"/>
      <c r="F6" s="630"/>
      <c r="G6" s="629"/>
      <c r="H6" s="630"/>
      <c r="I6" s="639"/>
    </row>
    <row r="7" spans="1:9" ht="35.25" customHeight="1">
      <c r="A7" s="1273" t="s">
        <v>2546</v>
      </c>
      <c r="B7" s="1273"/>
      <c r="C7" s="1273"/>
      <c r="D7" s="1273"/>
      <c r="E7" s="1273"/>
      <c r="F7" s="1273"/>
      <c r="G7" s="1273"/>
      <c r="H7" s="1273"/>
      <c r="I7" s="1273"/>
    </row>
    <row r="8" spans="1:9">
      <c r="A8" s="768" t="s">
        <v>2547</v>
      </c>
      <c r="B8" s="769"/>
      <c r="C8" s="770"/>
      <c r="D8" s="769"/>
      <c r="E8" s="769"/>
      <c r="F8" s="769"/>
      <c r="G8" s="769"/>
      <c r="H8" s="769"/>
      <c r="I8" s="771"/>
    </row>
    <row r="9" spans="1:9">
      <c r="A9" s="772"/>
      <c r="B9" s="773"/>
      <c r="C9" s="773"/>
      <c r="D9" s="773"/>
      <c r="E9" s="773"/>
      <c r="F9" s="773"/>
      <c r="G9" s="773"/>
      <c r="H9" s="773"/>
      <c r="I9" s="774"/>
    </row>
    <row r="10" spans="1:9">
      <c r="A10" s="775" t="s">
        <v>2548</v>
      </c>
      <c r="B10" s="773"/>
      <c r="C10" s="773"/>
      <c r="D10" s="2131"/>
      <c r="E10" s="2131"/>
      <c r="F10" s="2131"/>
      <c r="G10" s="2131"/>
      <c r="H10" s="2131"/>
      <c r="I10" s="2132"/>
    </row>
    <row r="11" spans="1:9">
      <c r="A11" s="776"/>
      <c r="B11" s="777"/>
      <c r="C11" s="777"/>
      <c r="D11" s="777"/>
      <c r="E11" s="777"/>
      <c r="F11" s="777"/>
      <c r="G11" s="777"/>
      <c r="H11" s="777"/>
      <c r="I11" s="778"/>
    </row>
    <row r="12" spans="1:9" s="593" customFormat="1" ht="19.5" customHeight="1">
      <c r="A12" s="779" t="s">
        <v>2549</v>
      </c>
      <c r="B12" s="780"/>
      <c r="C12" s="780"/>
      <c r="D12" s="780"/>
      <c r="E12" s="780"/>
      <c r="F12" s="780"/>
      <c r="G12" s="780"/>
      <c r="H12" s="780"/>
      <c r="I12" s="781"/>
    </row>
    <row r="13" spans="1:9">
      <c r="A13" s="762" t="s">
        <v>9688</v>
      </c>
      <c r="B13" s="763"/>
      <c r="C13" s="763"/>
      <c r="D13" s="763"/>
      <c r="E13" s="763"/>
      <c r="F13" s="763"/>
      <c r="G13" s="763"/>
      <c r="H13" s="763"/>
      <c r="I13" s="764"/>
    </row>
    <row r="14" spans="1:9">
      <c r="A14" s="2128" t="s">
        <v>2551</v>
      </c>
      <c r="B14" s="2129"/>
      <c r="C14" s="2129"/>
      <c r="D14" s="2129"/>
      <c r="E14" s="2129"/>
      <c r="F14" s="2129"/>
      <c r="G14" s="2129"/>
      <c r="H14" s="2129"/>
      <c r="I14" s="2130"/>
    </row>
    <row r="15" spans="1:9">
      <c r="A15" s="765" t="s">
        <v>2552</v>
      </c>
      <c r="B15" s="763"/>
      <c r="C15" s="763"/>
      <c r="D15" s="763"/>
      <c r="E15" s="763"/>
      <c r="F15" s="763"/>
      <c r="G15" s="763"/>
      <c r="H15" s="763"/>
      <c r="I15" s="764"/>
    </row>
    <row r="16" spans="1:9" ht="111" customHeight="1">
      <c r="A16" s="2127"/>
      <c r="B16" s="2127"/>
      <c r="C16" s="2127"/>
      <c r="D16" s="2127"/>
      <c r="E16" s="2127"/>
      <c r="F16" s="2127"/>
      <c r="G16" s="2127"/>
      <c r="H16" s="2127"/>
      <c r="I16" s="2127"/>
    </row>
    <row r="17" spans="1:9" s="593" customFormat="1" ht="19.5" customHeight="1">
      <c r="A17" s="782" t="s">
        <v>2553</v>
      </c>
      <c r="B17" s="783"/>
      <c r="C17" s="783"/>
      <c r="D17" s="783"/>
      <c r="E17" s="783"/>
      <c r="F17" s="783"/>
      <c r="G17" s="783"/>
      <c r="H17" s="783"/>
      <c r="I17" s="784"/>
    </row>
    <row r="18" spans="1:9">
      <c r="A18" s="762" t="s">
        <v>9688</v>
      </c>
      <c r="B18" s="763"/>
      <c r="C18" s="763"/>
      <c r="D18" s="763"/>
      <c r="E18" s="763"/>
      <c r="F18" s="763"/>
      <c r="G18" s="763"/>
      <c r="H18" s="763"/>
      <c r="I18" s="764"/>
    </row>
    <row r="19" spans="1:9">
      <c r="A19" s="765" t="s">
        <v>2554</v>
      </c>
      <c r="B19" s="763"/>
      <c r="C19" s="763"/>
      <c r="D19" s="763"/>
      <c r="E19" s="763"/>
      <c r="F19" s="763"/>
      <c r="G19" s="763"/>
      <c r="H19" s="763"/>
      <c r="I19" s="764"/>
    </row>
    <row r="20" spans="1:9" ht="111" customHeight="1">
      <c r="A20" s="2127"/>
      <c r="B20" s="2127"/>
      <c r="C20" s="2127"/>
      <c r="D20" s="2127"/>
      <c r="E20" s="2127"/>
      <c r="F20" s="2127"/>
      <c r="G20" s="2127"/>
      <c r="H20" s="2127"/>
      <c r="I20" s="2127"/>
    </row>
    <row r="21" spans="1:9" s="593" customFormat="1" ht="19.5" customHeight="1">
      <c r="A21" s="782" t="s">
        <v>2555</v>
      </c>
      <c r="B21" s="783"/>
      <c r="C21" s="783"/>
      <c r="D21" s="783"/>
      <c r="E21" s="783"/>
      <c r="F21" s="783"/>
      <c r="G21" s="783"/>
      <c r="H21" s="783"/>
      <c r="I21" s="784"/>
    </row>
    <row r="22" spans="1:9">
      <c r="A22" s="762" t="s">
        <v>9688</v>
      </c>
      <c r="B22" s="763"/>
      <c r="C22" s="763"/>
      <c r="D22" s="763"/>
      <c r="E22" s="763"/>
      <c r="F22" s="763"/>
      <c r="G22" s="763"/>
      <c r="H22" s="763"/>
      <c r="I22" s="764"/>
    </row>
    <row r="23" spans="1:9">
      <c r="A23" s="2128" t="s">
        <v>2556</v>
      </c>
      <c r="B23" s="2129"/>
      <c r="C23" s="2129"/>
      <c r="D23" s="2129"/>
      <c r="E23" s="2129"/>
      <c r="F23" s="2129"/>
      <c r="G23" s="2129"/>
      <c r="H23" s="2129"/>
      <c r="I23" s="2130"/>
    </row>
    <row r="24" spans="1:9">
      <c r="A24" s="2128" t="s">
        <v>2557</v>
      </c>
      <c r="B24" s="2129"/>
      <c r="C24" s="2129"/>
      <c r="D24" s="2129"/>
      <c r="E24" s="2129"/>
      <c r="F24" s="2129"/>
      <c r="G24" s="2129"/>
      <c r="H24" s="2129"/>
      <c r="I24" s="2130"/>
    </row>
    <row r="25" spans="1:9" ht="111.6" customHeight="1">
      <c r="A25" s="2127"/>
      <c r="B25" s="2127"/>
      <c r="C25" s="2127"/>
      <c r="D25" s="2127"/>
      <c r="E25" s="2127"/>
      <c r="F25" s="2127"/>
      <c r="G25" s="2127"/>
      <c r="H25" s="2127"/>
      <c r="I25" s="2127"/>
    </row>
  </sheetData>
  <sheetProtection algorithmName="SHA-512" hashValue="J4klddek25j1Lq+26McsmG76viAiF1tFmorc/ZQluzeFZ68Y7i+aVrIxu1K6QyLpOnX7JQPIpGDfQ2DLEOa7BA==" saltValue="66+xJq8bv0YCcHQJvkKcOg==" spinCount="100000" sheet="1" objects="1" scenarios="1" selectLockedCells="1"/>
  <mergeCells count="14">
    <mergeCell ref="A1:I1"/>
    <mergeCell ref="H2:I2"/>
    <mergeCell ref="C3:H3"/>
    <mergeCell ref="B4:G4"/>
    <mergeCell ref="C5:D5"/>
    <mergeCell ref="A20:I20"/>
    <mergeCell ref="A23:I23"/>
    <mergeCell ref="A24:I24"/>
    <mergeCell ref="A25:I25"/>
    <mergeCell ref="C6:D6"/>
    <mergeCell ref="A7:I7"/>
    <mergeCell ref="D10:I10"/>
    <mergeCell ref="A14:I14"/>
    <mergeCell ref="A16:I16"/>
  </mergeCells>
  <dataValidations count="1">
    <dataValidation type="textLength" operator="lessThan" allowBlank="1" showInputMessage="1" showErrorMessage="1" sqref="A16:I16 A20:I20 A25:I25" xr:uid="{AA7BF2B5-31F5-47D1-B42D-EAC55BEE201C}">
      <formula1>2000</formula1>
    </dataValidation>
  </dataValidations>
  <printOptions horizontalCentered="1"/>
  <pageMargins left="0.31496062992125984" right="0.31496062992125984" top="0.35433070866141736" bottom="0.35433070866141736" header="0.31496062992125984" footer="0.31496062992125984"/>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3A720-31E7-47A0-BD1B-2DC701874F5B}">
  <sheetPr codeName="Feuil66">
    <tabColor rgb="FFC00000"/>
    <pageSetUpPr fitToPage="1"/>
  </sheetPr>
  <dimension ref="A1:I38"/>
  <sheetViews>
    <sheetView showGridLines="0" showRowColHeaders="0" topLeftCell="A4" zoomScaleNormal="100" workbookViewId="0">
      <selection activeCell="A31" sqref="A31:I31"/>
    </sheetView>
  </sheetViews>
  <sheetFormatPr baseColWidth="10" defaultColWidth="11.5234375" defaultRowHeight="14.4"/>
  <cols>
    <col min="1" max="1" width="11.5234375" style="103"/>
    <col min="2" max="2" width="17.1015625" style="103" customWidth="1"/>
    <col min="3" max="3" width="8.3125" style="103" customWidth="1"/>
    <col min="4" max="4" width="9.1015625" style="103" customWidth="1"/>
    <col min="5" max="5" width="16.68359375" style="103" customWidth="1"/>
    <col min="6" max="6" width="11.5234375" style="103"/>
    <col min="7" max="7" width="6" style="103" customWidth="1"/>
    <col min="8" max="16384" width="11.5234375" style="103"/>
  </cols>
  <sheetData>
    <row r="1" spans="1:9" ht="12.75" customHeight="1">
      <c r="A1" s="1276" t="str">
        <f>"- "&amp;Code!K65&amp;" -"</f>
        <v>- 36 -</v>
      </c>
      <c r="B1" s="1276"/>
      <c r="C1" s="1276"/>
      <c r="D1" s="1276"/>
      <c r="E1" s="1276"/>
      <c r="F1" s="1276"/>
      <c r="G1" s="1276"/>
      <c r="H1" s="1276"/>
      <c r="I1" s="1276"/>
    </row>
    <row r="2" spans="1:9" ht="24.75" customHeight="1">
      <c r="A2" s="576"/>
      <c r="B2" s="576"/>
      <c r="C2" s="576"/>
      <c r="D2" s="576"/>
      <c r="E2" s="576"/>
      <c r="F2" s="576"/>
      <c r="G2" s="303"/>
      <c r="H2" s="1544" t="s">
        <v>2558</v>
      </c>
      <c r="I2" s="1546"/>
    </row>
    <row r="3" spans="1:9" s="626" customFormat="1" ht="15" customHeight="1">
      <c r="A3" s="317" t="s">
        <v>50</v>
      </c>
      <c r="B3" s="317"/>
      <c r="C3" s="1280" t="str">
        <f>'NOTE 31'!C3</f>
        <v>OHADA</v>
      </c>
      <c r="D3" s="1280"/>
      <c r="E3" s="1280"/>
      <c r="F3" s="1280"/>
      <c r="G3" s="1280"/>
      <c r="H3" s="1280"/>
    </row>
    <row r="4" spans="1:9" s="626" customFormat="1" ht="15" customHeight="1">
      <c r="A4" s="317" t="s">
        <v>51</v>
      </c>
      <c r="B4" s="1280" t="str">
        <f>'NOTE 31'!B4</f>
        <v/>
      </c>
      <c r="C4" s="1280"/>
      <c r="D4" s="1280"/>
      <c r="E4" s="1280"/>
      <c r="H4" s="627" t="s">
        <v>1021</v>
      </c>
      <c r="I4" s="761" t="str">
        <f>'NOTE 31'!K4</f>
        <v/>
      </c>
    </row>
    <row r="5" spans="1:9" s="626" customFormat="1" ht="15" customHeight="1">
      <c r="A5" s="317" t="s">
        <v>53</v>
      </c>
      <c r="B5" s="317"/>
      <c r="C5" s="1281" t="str">
        <f>'NOTE 31'!C5</f>
        <v/>
      </c>
      <c r="D5" s="1281"/>
      <c r="E5" s="642" t="s">
        <v>54</v>
      </c>
      <c r="F5" s="633">
        <f>'NOTE 31'!H5</f>
        <v>0</v>
      </c>
      <c r="H5" s="627" t="s">
        <v>55</v>
      </c>
      <c r="I5" s="630">
        <f>'NOTE 31'!K5</f>
        <v>1</v>
      </c>
    </row>
    <row r="6" spans="1:9" s="626" customFormat="1" ht="15" customHeight="1">
      <c r="A6" s="317" t="s">
        <v>56</v>
      </c>
      <c r="B6" s="317"/>
      <c r="C6" s="1275" t="str">
        <f>'NOTE 31'!C6</f>
        <v/>
      </c>
      <c r="D6" s="1275"/>
      <c r="E6" s="638"/>
      <c r="F6" s="630"/>
      <c r="G6" s="629"/>
      <c r="H6" s="630"/>
      <c r="I6" s="639"/>
    </row>
    <row r="7" spans="1:9" ht="43.5" customHeight="1">
      <c r="A7" s="1481" t="s">
        <v>2559</v>
      </c>
      <c r="B7" s="1481"/>
      <c r="C7" s="1481"/>
      <c r="D7" s="1481"/>
      <c r="E7" s="1481"/>
      <c r="F7" s="1481"/>
      <c r="G7" s="1481"/>
      <c r="H7" s="1481"/>
      <c r="I7" s="1481"/>
    </row>
    <row r="8" spans="1:9">
      <c r="A8" s="533"/>
      <c r="B8" s="534"/>
      <c r="C8" s="534"/>
      <c r="D8" s="534"/>
      <c r="E8" s="534"/>
      <c r="F8" s="534"/>
      <c r="G8" s="534"/>
      <c r="H8" s="534"/>
      <c r="I8" s="535"/>
    </row>
    <row r="9" spans="1:9" s="593" customFormat="1">
      <c r="A9" s="2137" t="s">
        <v>9689</v>
      </c>
      <c r="B9" s="2138"/>
      <c r="C9" s="2138"/>
      <c r="D9" s="2138"/>
      <c r="E9" s="2138"/>
      <c r="F9" s="2138"/>
      <c r="G9" s="2138"/>
      <c r="H9" s="2138"/>
      <c r="I9" s="2139"/>
    </row>
    <row r="10" spans="1:9">
      <c r="A10" s="2140" t="s">
        <v>2560</v>
      </c>
      <c r="B10" s="2141"/>
      <c r="C10" s="2141"/>
      <c r="D10" s="2141"/>
      <c r="E10" s="2141"/>
      <c r="F10" s="2141"/>
      <c r="G10" s="2141"/>
      <c r="H10" s="2141"/>
      <c r="I10" s="2142"/>
    </row>
    <row r="11" spans="1:9">
      <c r="A11" s="762" t="s">
        <v>2550</v>
      </c>
      <c r="B11" s="763"/>
      <c r="C11" s="763"/>
      <c r="D11" s="763"/>
      <c r="E11" s="763"/>
      <c r="F11" s="763"/>
      <c r="G11" s="763"/>
      <c r="H11" s="763"/>
      <c r="I11" s="764"/>
    </row>
    <row r="12" spans="1:9">
      <c r="A12" s="765" t="s">
        <v>2561</v>
      </c>
      <c r="B12" s="763"/>
      <c r="C12" s="763"/>
      <c r="D12" s="763"/>
      <c r="E12" s="763"/>
      <c r="F12" s="763"/>
      <c r="G12" s="763"/>
      <c r="H12" s="763"/>
      <c r="I12" s="764"/>
    </row>
    <row r="13" spans="1:9">
      <c r="A13" s="765" t="s">
        <v>2562</v>
      </c>
      <c r="B13" s="763"/>
      <c r="C13" s="763"/>
      <c r="D13" s="763"/>
      <c r="E13" s="763"/>
      <c r="F13" s="763"/>
      <c r="G13" s="763"/>
      <c r="H13" s="763"/>
      <c r="I13" s="764"/>
    </row>
    <row r="14" spans="1:9">
      <c r="A14" s="765" t="s">
        <v>2563</v>
      </c>
      <c r="B14" s="763"/>
      <c r="C14" s="763"/>
      <c r="D14" s="763"/>
      <c r="E14" s="763"/>
      <c r="F14" s="763"/>
      <c r="G14" s="763"/>
      <c r="H14" s="763"/>
      <c r="I14" s="764"/>
    </row>
    <row r="15" spans="1:9">
      <c r="A15" s="765" t="s">
        <v>2564</v>
      </c>
      <c r="B15" s="763"/>
      <c r="C15" s="763"/>
      <c r="D15" s="763"/>
      <c r="E15" s="763"/>
      <c r="F15" s="763"/>
      <c r="G15" s="763"/>
      <c r="H15" s="763"/>
      <c r="I15" s="764"/>
    </row>
    <row r="16" spans="1:9">
      <c r="A16" s="2128" t="s">
        <v>2565</v>
      </c>
      <c r="B16" s="2129"/>
      <c r="C16" s="2129"/>
      <c r="D16" s="2129"/>
      <c r="E16" s="2129"/>
      <c r="F16" s="2129"/>
      <c r="G16" s="2129"/>
      <c r="H16" s="2129"/>
      <c r="I16" s="2130"/>
    </row>
    <row r="17" spans="1:9">
      <c r="A17" s="765" t="s">
        <v>2566</v>
      </c>
      <c r="B17" s="763"/>
      <c r="C17" s="763"/>
      <c r="D17" s="763"/>
      <c r="E17" s="763"/>
      <c r="F17" s="763"/>
      <c r="G17" s="763"/>
      <c r="H17" s="763"/>
      <c r="I17" s="764"/>
    </row>
    <row r="18" spans="1:9">
      <c r="A18" s="766" t="s">
        <v>2567</v>
      </c>
      <c r="B18" s="763"/>
      <c r="C18" s="763"/>
      <c r="D18" s="763"/>
      <c r="E18" s="763"/>
      <c r="F18" s="763"/>
      <c r="G18" s="763"/>
      <c r="H18" s="763"/>
      <c r="I18" s="764"/>
    </row>
    <row r="19" spans="1:9">
      <c r="A19" s="762" t="s">
        <v>2550</v>
      </c>
      <c r="B19" s="763"/>
      <c r="C19" s="763"/>
      <c r="D19" s="763"/>
      <c r="E19" s="763"/>
      <c r="F19" s="763"/>
      <c r="G19" s="763"/>
      <c r="H19" s="763"/>
      <c r="I19" s="764"/>
    </row>
    <row r="20" spans="1:9">
      <c r="A20" s="765" t="s">
        <v>2568</v>
      </c>
      <c r="B20" s="763"/>
      <c r="C20" s="763"/>
      <c r="D20" s="763"/>
      <c r="E20" s="763"/>
      <c r="F20" s="763"/>
      <c r="G20" s="763"/>
      <c r="H20" s="763"/>
      <c r="I20" s="764"/>
    </row>
    <row r="21" spans="1:9">
      <c r="A21" s="765" t="s">
        <v>2569</v>
      </c>
      <c r="B21" s="763"/>
      <c r="C21" s="763"/>
      <c r="D21" s="763"/>
      <c r="E21" s="763"/>
      <c r="F21" s="763"/>
      <c r="G21" s="763"/>
      <c r="H21" s="763"/>
      <c r="I21" s="764"/>
    </row>
    <row r="22" spans="1:9">
      <c r="A22" s="765" t="s">
        <v>2570</v>
      </c>
      <c r="B22" s="763"/>
      <c r="C22" s="763"/>
      <c r="D22" s="763"/>
      <c r="E22" s="763"/>
      <c r="F22" s="763"/>
      <c r="G22" s="763"/>
      <c r="H22" s="763"/>
      <c r="I22" s="764"/>
    </row>
    <row r="23" spans="1:9">
      <c r="A23" s="765" t="s">
        <v>2571</v>
      </c>
      <c r="B23" s="763"/>
      <c r="C23" s="763"/>
      <c r="D23" s="763"/>
      <c r="E23" s="763"/>
      <c r="F23" s="763"/>
      <c r="G23" s="763"/>
      <c r="H23" s="763"/>
      <c r="I23" s="764"/>
    </row>
    <row r="24" spans="1:9">
      <c r="A24" s="765" t="s">
        <v>2572</v>
      </c>
      <c r="B24" s="763"/>
      <c r="C24" s="763"/>
      <c r="D24" s="763"/>
      <c r="E24" s="763"/>
      <c r="F24" s="763"/>
      <c r="G24" s="763"/>
      <c r="H24" s="763"/>
      <c r="I24" s="764"/>
    </row>
    <row r="25" spans="1:9">
      <c r="A25" s="2128" t="s">
        <v>2573</v>
      </c>
      <c r="B25" s="2129"/>
      <c r="C25" s="2129"/>
      <c r="D25" s="2129"/>
      <c r="E25" s="2129"/>
      <c r="F25" s="2129"/>
      <c r="G25" s="2129"/>
      <c r="H25" s="2129"/>
      <c r="I25" s="2130"/>
    </row>
    <row r="26" spans="1:9">
      <c r="A26" s="765" t="s">
        <v>2574</v>
      </c>
      <c r="B26" s="763"/>
      <c r="C26" s="763"/>
      <c r="D26" s="763"/>
      <c r="E26" s="763"/>
      <c r="F26" s="763"/>
      <c r="G26" s="763"/>
      <c r="H26" s="763"/>
      <c r="I26" s="764"/>
    </row>
    <row r="27" spans="1:9">
      <c r="A27" s="765" t="s">
        <v>2575</v>
      </c>
      <c r="B27" s="763"/>
      <c r="C27" s="763"/>
      <c r="D27" s="763"/>
      <c r="E27" s="763"/>
      <c r="F27" s="763"/>
      <c r="G27" s="763"/>
      <c r="H27" s="763"/>
      <c r="I27" s="764"/>
    </row>
    <row r="28" spans="1:9" ht="111" customHeight="1">
      <c r="A28" s="2133"/>
      <c r="B28" s="2133"/>
      <c r="C28" s="2133"/>
      <c r="D28" s="2133"/>
      <c r="E28" s="2133"/>
      <c r="F28" s="2133"/>
      <c r="G28" s="2133"/>
      <c r="H28" s="2133"/>
      <c r="I28" s="2133"/>
    </row>
    <row r="29" spans="1:9" s="593" customFormat="1">
      <c r="A29" s="2134" t="s">
        <v>9690</v>
      </c>
      <c r="B29" s="2135"/>
      <c r="C29" s="2135"/>
      <c r="D29" s="2135"/>
      <c r="E29" s="2135"/>
      <c r="F29" s="2135"/>
      <c r="G29" s="2135"/>
      <c r="H29" s="2135"/>
      <c r="I29" s="2136"/>
    </row>
    <row r="30" spans="1:9">
      <c r="A30" s="765" t="s">
        <v>2576</v>
      </c>
      <c r="B30" s="125"/>
      <c r="C30" s="125"/>
      <c r="D30" s="125"/>
      <c r="E30" s="125"/>
      <c r="F30" s="125"/>
      <c r="G30" s="125"/>
      <c r="H30" s="125"/>
      <c r="I30" s="767"/>
    </row>
    <row r="31" spans="1:9" ht="111" customHeight="1">
      <c r="A31" s="1624"/>
      <c r="B31" s="1624"/>
      <c r="C31" s="1624"/>
      <c r="D31" s="1624"/>
      <c r="E31" s="1624"/>
      <c r="F31" s="1624"/>
      <c r="G31" s="1624"/>
      <c r="H31" s="1624"/>
      <c r="I31" s="1624"/>
    </row>
    <row r="32" spans="1:9" s="593" customFormat="1">
      <c r="A32" s="2134" t="s">
        <v>9691</v>
      </c>
      <c r="B32" s="2135"/>
      <c r="C32" s="2135"/>
      <c r="D32" s="2135"/>
      <c r="E32" s="2135"/>
      <c r="F32" s="2135"/>
      <c r="G32" s="2135"/>
      <c r="H32" s="2135"/>
      <c r="I32" s="2136"/>
    </row>
    <row r="33" spans="1:9">
      <c r="A33" s="762" t="s">
        <v>2577</v>
      </c>
      <c r="B33" s="763"/>
      <c r="C33" s="763"/>
      <c r="D33" s="763"/>
      <c r="E33" s="763"/>
      <c r="F33" s="763"/>
      <c r="G33" s="763"/>
      <c r="H33" s="763"/>
      <c r="I33" s="764"/>
    </row>
    <row r="34" spans="1:9">
      <c r="A34" s="2128" t="s">
        <v>2578</v>
      </c>
      <c r="B34" s="2129"/>
      <c r="C34" s="2129"/>
      <c r="D34" s="2129"/>
      <c r="E34" s="2129"/>
      <c r="F34" s="2129"/>
      <c r="G34" s="2129"/>
      <c r="H34" s="2129"/>
      <c r="I34" s="2130"/>
    </row>
    <row r="35" spans="1:9">
      <c r="A35" s="765" t="s">
        <v>2579</v>
      </c>
      <c r="B35" s="763"/>
      <c r="C35" s="763"/>
      <c r="D35" s="763"/>
      <c r="E35" s="763"/>
      <c r="F35" s="763"/>
      <c r="G35" s="763"/>
      <c r="H35" s="763"/>
      <c r="I35" s="764"/>
    </row>
    <row r="36" spans="1:9">
      <c r="A36" s="2128" t="s">
        <v>2580</v>
      </c>
      <c r="B36" s="2129"/>
      <c r="C36" s="2129"/>
      <c r="D36" s="2129"/>
      <c r="E36" s="2129"/>
      <c r="F36" s="2129"/>
      <c r="G36" s="2129"/>
      <c r="H36" s="2129"/>
      <c r="I36" s="2130"/>
    </row>
    <row r="37" spans="1:9">
      <c r="A37" s="765" t="s">
        <v>2581</v>
      </c>
      <c r="B37" s="763"/>
      <c r="C37" s="763"/>
      <c r="D37" s="763"/>
      <c r="E37" s="763"/>
      <c r="F37" s="763"/>
      <c r="G37" s="763"/>
      <c r="H37" s="763"/>
      <c r="I37" s="764"/>
    </row>
    <row r="38" spans="1:9" ht="111" customHeight="1">
      <c r="A38" s="2133"/>
      <c r="B38" s="2133"/>
      <c r="C38" s="2133"/>
      <c r="D38" s="2133"/>
      <c r="E38" s="2133"/>
      <c r="F38" s="2133"/>
      <c r="G38" s="2133"/>
      <c r="H38" s="2133"/>
      <c r="I38" s="2133"/>
    </row>
  </sheetData>
  <sheetProtection algorithmName="SHA-512" hashValue="t1enFGdKrzJrzODRgoKVnJKdv3RZQWLTI1oiVheYywO2c5623W6HoY1Gk0+LyJNwN59cqnaaJdqOSJIZ4jliCw==" saltValue="IXpnK0uf6eGKnMEks1vYDw==" spinCount="100000" sheet="1" objects="1" scenarios="1" selectLockedCells="1"/>
  <mergeCells count="18">
    <mergeCell ref="C6:D6"/>
    <mergeCell ref="A1:I1"/>
    <mergeCell ref="H2:I2"/>
    <mergeCell ref="C3:H3"/>
    <mergeCell ref="B4:E4"/>
    <mergeCell ref="C5:D5"/>
    <mergeCell ref="A38:I38"/>
    <mergeCell ref="A32:I32"/>
    <mergeCell ref="A34:I34"/>
    <mergeCell ref="A36:I36"/>
    <mergeCell ref="A7:I7"/>
    <mergeCell ref="A9:I9"/>
    <mergeCell ref="A10:I10"/>
    <mergeCell ref="A16:I16"/>
    <mergeCell ref="A25:I25"/>
    <mergeCell ref="A29:I29"/>
    <mergeCell ref="A31:I31"/>
    <mergeCell ref="A28:I28"/>
  </mergeCells>
  <dataValidations count="1">
    <dataValidation type="textLength" operator="lessThan" allowBlank="1" showInputMessage="1" showErrorMessage="1" sqref="A38:I38 A31:I31 A28:I28" xr:uid="{D732F0AC-CD76-4BD0-82CA-34C80C35B152}">
      <formula1>2000</formula1>
    </dataValidation>
  </dataValidations>
  <printOptions horizontalCentered="1"/>
  <pageMargins left="0.31496062992125984" right="0.31496062992125984" top="0.35433070866141736" bottom="0.35433070866141736" header="0.31496062992125984" footer="0.31496062992125984"/>
  <pageSetup paperSize="9" scale="89"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D0BF-48B6-49F7-9131-17D778A957E7}">
  <sheetPr codeName="Feuil67">
    <tabColor rgb="FFC00000"/>
    <pageSetUpPr fitToPage="1"/>
  </sheetPr>
  <dimension ref="B1:M49"/>
  <sheetViews>
    <sheetView showGridLines="0" showRowColHeaders="0" topLeftCell="A13" zoomScaleNormal="100" zoomScalePageLayoutView="80" workbookViewId="0">
      <selection activeCell="B47" sqref="B47"/>
    </sheetView>
  </sheetViews>
  <sheetFormatPr baseColWidth="10" defaultColWidth="11.5234375" defaultRowHeight="14.4"/>
  <cols>
    <col min="1" max="2" width="0.89453125" customWidth="1"/>
    <col min="3" max="12" width="10" customWidth="1"/>
    <col min="13" max="13" width="0.89453125" customWidth="1"/>
  </cols>
  <sheetData>
    <row r="1" spans="2:13" ht="9" customHeight="1" thickBot="1">
      <c r="B1" s="17"/>
      <c r="C1" s="17"/>
      <c r="D1" s="17"/>
      <c r="E1" s="17"/>
      <c r="F1" s="17"/>
      <c r="G1" s="17"/>
      <c r="H1" s="17"/>
      <c r="I1" s="17"/>
      <c r="J1" s="17"/>
      <c r="K1" s="17"/>
      <c r="L1" s="17"/>
      <c r="M1" s="17"/>
    </row>
    <row r="2" spans="2:13" ht="4.5" customHeight="1">
      <c r="B2" s="61"/>
      <c r="C2" s="62"/>
      <c r="D2" s="62"/>
      <c r="E2" s="62"/>
      <c r="F2" s="62"/>
      <c r="G2" s="62"/>
      <c r="H2" s="62"/>
      <c r="I2" s="62"/>
      <c r="J2" s="62"/>
      <c r="K2" s="62"/>
      <c r="L2" s="62"/>
      <c r="M2" s="63"/>
    </row>
    <row r="3" spans="2:13">
      <c r="B3" s="64"/>
      <c r="C3" s="85"/>
      <c r="D3" s="38"/>
      <c r="E3" s="38"/>
      <c r="F3" s="38"/>
      <c r="G3" s="38"/>
      <c r="H3" s="38"/>
      <c r="I3" s="38"/>
      <c r="J3" s="38"/>
      <c r="K3" s="38"/>
      <c r="L3" s="65"/>
      <c r="M3" s="66"/>
    </row>
    <row r="4" spans="2:13" ht="15.6">
      <c r="B4" s="64"/>
      <c r="C4" s="68"/>
      <c r="D4" s="86"/>
      <c r="E4" s="86"/>
      <c r="F4" s="86"/>
      <c r="G4" s="86"/>
      <c r="H4" s="86"/>
      <c r="I4" s="86"/>
      <c r="J4" s="86"/>
      <c r="K4" s="86"/>
      <c r="L4" s="67"/>
      <c r="M4" s="66"/>
    </row>
    <row r="5" spans="2:13">
      <c r="B5" s="64"/>
      <c r="C5" s="68"/>
      <c r="D5" s="17"/>
      <c r="E5" s="17"/>
      <c r="F5" s="17"/>
      <c r="G5" s="17"/>
      <c r="H5" s="17"/>
      <c r="I5" s="17"/>
      <c r="J5" s="17"/>
      <c r="K5" s="17"/>
      <c r="L5" s="67"/>
      <c r="M5" s="66"/>
    </row>
    <row r="6" spans="2:13" ht="15.75" customHeight="1">
      <c r="B6" s="64"/>
      <c r="C6" s="68"/>
      <c r="D6" s="87"/>
      <c r="E6" s="87"/>
      <c r="F6" s="87"/>
      <c r="G6" s="87"/>
      <c r="H6" s="87"/>
      <c r="I6" s="87"/>
      <c r="J6" s="87"/>
      <c r="K6" s="87"/>
      <c r="L6" s="67"/>
      <c r="M6" s="66"/>
    </row>
    <row r="7" spans="2:13">
      <c r="B7" s="64"/>
      <c r="C7" s="68"/>
      <c r="D7" s="17"/>
      <c r="E7" s="17"/>
      <c r="F7" s="17"/>
      <c r="G7" s="17"/>
      <c r="H7" s="17"/>
      <c r="I7" s="17"/>
      <c r="J7" s="17"/>
      <c r="K7" s="17"/>
      <c r="L7" s="67"/>
      <c r="M7" s="66"/>
    </row>
    <row r="8" spans="2:13" ht="15.6">
      <c r="B8" s="64"/>
      <c r="C8" s="68"/>
      <c r="D8" s="86"/>
      <c r="E8" s="86"/>
      <c r="F8" s="86"/>
      <c r="G8" s="86"/>
      <c r="H8" s="86"/>
      <c r="I8" s="86"/>
      <c r="J8" s="86"/>
      <c r="K8" s="86"/>
      <c r="L8" s="67"/>
      <c r="M8" s="66"/>
    </row>
    <row r="9" spans="2:13">
      <c r="B9" s="64"/>
      <c r="C9" s="68"/>
      <c r="D9" s="17"/>
      <c r="E9" s="17"/>
      <c r="F9" s="17"/>
      <c r="G9" s="17"/>
      <c r="H9" s="17"/>
      <c r="I9" s="17"/>
      <c r="J9" s="17"/>
      <c r="K9" s="17"/>
      <c r="L9" s="67"/>
      <c r="M9" s="66"/>
    </row>
    <row r="10" spans="2:13">
      <c r="B10" s="64"/>
      <c r="C10" s="68"/>
      <c r="D10" s="17"/>
      <c r="E10" s="17"/>
      <c r="F10" s="17"/>
      <c r="G10" s="17"/>
      <c r="H10" s="17"/>
      <c r="I10" s="17"/>
      <c r="J10" s="17"/>
      <c r="K10" s="17"/>
      <c r="L10" s="67"/>
      <c r="M10" s="66"/>
    </row>
    <row r="11" spans="2:13">
      <c r="B11" s="64"/>
      <c r="C11" s="68"/>
      <c r="D11" s="17"/>
      <c r="E11" s="17"/>
      <c r="F11" s="17"/>
      <c r="G11" s="17"/>
      <c r="H11" s="17"/>
      <c r="I11" s="17"/>
      <c r="J11" s="17"/>
      <c r="K11" s="17"/>
      <c r="L11" s="67"/>
      <c r="M11" s="66"/>
    </row>
    <row r="12" spans="2:13">
      <c r="B12" s="64"/>
      <c r="C12" s="68"/>
      <c r="D12" s="17"/>
      <c r="E12" s="17"/>
      <c r="F12" s="17"/>
      <c r="G12" s="17"/>
      <c r="H12" s="17"/>
      <c r="I12" s="17"/>
      <c r="J12" s="17"/>
      <c r="K12" s="17"/>
      <c r="L12" s="67"/>
      <c r="M12" s="66"/>
    </row>
    <row r="13" spans="2:13">
      <c r="B13" s="64"/>
      <c r="C13" s="68"/>
      <c r="D13" s="17"/>
      <c r="E13" s="17"/>
      <c r="F13" s="17"/>
      <c r="G13" s="17"/>
      <c r="H13" s="17"/>
      <c r="I13" s="17"/>
      <c r="J13" s="17"/>
      <c r="K13" s="17"/>
      <c r="L13" s="67"/>
      <c r="M13" s="66"/>
    </row>
    <row r="14" spans="2:13">
      <c r="B14" s="64"/>
      <c r="C14" s="68"/>
      <c r="D14" s="17"/>
      <c r="E14" s="17"/>
      <c r="F14" s="17"/>
      <c r="G14" s="17"/>
      <c r="H14" s="17"/>
      <c r="I14" s="17"/>
      <c r="J14" s="17"/>
      <c r="K14" s="17"/>
      <c r="L14" s="67"/>
      <c r="M14" s="66"/>
    </row>
    <row r="15" spans="2:13">
      <c r="B15" s="64"/>
      <c r="C15" s="68"/>
      <c r="D15" s="17"/>
      <c r="E15" s="17"/>
      <c r="F15" s="17"/>
      <c r="G15" s="17"/>
      <c r="H15" s="17"/>
      <c r="I15" s="17"/>
      <c r="J15" s="17"/>
      <c r="K15" s="17"/>
      <c r="L15" s="67"/>
      <c r="M15" s="66"/>
    </row>
    <row r="16" spans="2:13">
      <c r="B16" s="64"/>
      <c r="C16" s="68"/>
      <c r="D16" s="17"/>
      <c r="E16" s="17"/>
      <c r="F16" s="17"/>
      <c r="G16" s="17"/>
      <c r="H16" s="17"/>
      <c r="I16" s="17"/>
      <c r="J16" s="17"/>
      <c r="K16" s="17"/>
      <c r="L16" s="67"/>
      <c r="M16" s="66"/>
    </row>
    <row r="17" spans="2:13">
      <c r="B17" s="64"/>
      <c r="C17" s="68"/>
      <c r="D17" s="17"/>
      <c r="E17" s="17"/>
      <c r="F17" s="17"/>
      <c r="G17" s="17"/>
      <c r="H17" s="17"/>
      <c r="I17" s="17"/>
      <c r="J17" s="17"/>
      <c r="K17" s="17"/>
      <c r="L17" s="67"/>
      <c r="M17" s="66"/>
    </row>
    <row r="18" spans="2:13">
      <c r="B18" s="64"/>
      <c r="C18" s="68"/>
      <c r="D18" s="17"/>
      <c r="E18" s="17"/>
      <c r="F18" s="17"/>
      <c r="G18" s="17"/>
      <c r="H18" s="17"/>
      <c r="I18" s="17"/>
      <c r="J18" s="17"/>
      <c r="K18" s="17"/>
      <c r="L18" s="67"/>
      <c r="M18" s="66"/>
    </row>
    <row r="19" spans="2:13">
      <c r="B19" s="64"/>
      <c r="C19" s="68"/>
      <c r="D19" s="17"/>
      <c r="E19" s="17"/>
      <c r="F19" s="17"/>
      <c r="G19" s="17"/>
      <c r="H19" s="17"/>
      <c r="I19" s="17"/>
      <c r="J19" s="17"/>
      <c r="K19" s="17"/>
      <c r="L19" s="67"/>
      <c r="M19" s="66"/>
    </row>
    <row r="20" spans="2:13">
      <c r="B20" s="64"/>
      <c r="C20" s="68"/>
      <c r="D20" s="17"/>
      <c r="E20" s="17"/>
      <c r="F20" s="17"/>
      <c r="G20" s="17"/>
      <c r="H20" s="17"/>
      <c r="I20" s="17"/>
      <c r="J20" s="17"/>
      <c r="K20" s="17"/>
      <c r="L20" s="67"/>
      <c r="M20" s="66"/>
    </row>
    <row r="21" spans="2:13">
      <c r="B21" s="64"/>
      <c r="C21" s="68"/>
      <c r="D21" s="17"/>
      <c r="E21" s="17"/>
      <c r="F21" s="17"/>
      <c r="G21" s="17"/>
      <c r="H21" s="17"/>
      <c r="I21" s="17"/>
      <c r="J21" s="17"/>
      <c r="K21" s="17"/>
      <c r="L21" s="67"/>
      <c r="M21" s="66"/>
    </row>
    <row r="22" spans="2:13">
      <c r="B22" s="64"/>
      <c r="C22" s="68"/>
      <c r="D22" s="17"/>
      <c r="E22" s="17"/>
      <c r="F22" s="17"/>
      <c r="G22" s="17"/>
      <c r="H22" s="17"/>
      <c r="I22" s="17"/>
      <c r="J22" s="17"/>
      <c r="K22" s="17"/>
      <c r="L22" s="67"/>
      <c r="M22" s="66"/>
    </row>
    <row r="23" spans="2:13" ht="66.75" customHeight="1">
      <c r="B23" s="64"/>
      <c r="C23" s="68"/>
      <c r="D23" s="17"/>
      <c r="E23" s="2143" t="s">
        <v>2582</v>
      </c>
      <c r="F23" s="2144"/>
      <c r="G23" s="2144"/>
      <c r="H23" s="2144"/>
      <c r="I23" s="2144"/>
      <c r="J23" s="2144"/>
      <c r="K23" s="17"/>
      <c r="L23" s="67"/>
      <c r="M23" s="66"/>
    </row>
    <row r="24" spans="2:13">
      <c r="B24" s="64"/>
      <c r="C24" s="68"/>
      <c r="D24" s="17"/>
      <c r="E24" s="17"/>
      <c r="F24" s="17"/>
      <c r="G24" s="17"/>
      <c r="H24" s="17"/>
      <c r="I24" s="17"/>
      <c r="J24" s="17"/>
      <c r="K24" s="17"/>
      <c r="L24" s="67"/>
      <c r="M24" s="66"/>
    </row>
    <row r="25" spans="2:13">
      <c r="B25" s="64"/>
      <c r="C25" s="68"/>
      <c r="D25" s="17"/>
      <c r="E25" s="17"/>
      <c r="F25" s="17"/>
      <c r="G25" s="17"/>
      <c r="H25" s="17"/>
      <c r="I25" s="17"/>
      <c r="J25" s="17"/>
      <c r="K25" s="17"/>
      <c r="L25" s="67"/>
      <c r="M25" s="66"/>
    </row>
    <row r="26" spans="2:13" ht="15" customHeight="1">
      <c r="B26" s="64"/>
      <c r="C26" s="68"/>
      <c r="D26" s="17"/>
      <c r="E26" s="33"/>
      <c r="F26" s="88"/>
      <c r="G26" s="88"/>
      <c r="H26" s="88"/>
      <c r="I26" s="88"/>
      <c r="J26" s="88"/>
      <c r="K26" s="17"/>
      <c r="L26" s="67"/>
      <c r="M26" s="66"/>
    </row>
    <row r="27" spans="2:13" ht="15" customHeight="1">
      <c r="B27" s="64"/>
      <c r="C27" s="68"/>
      <c r="D27" s="17"/>
      <c r="E27" s="88"/>
      <c r="F27" s="88"/>
      <c r="G27" s="88"/>
      <c r="H27" s="88"/>
      <c r="I27" s="88"/>
      <c r="J27" s="88"/>
      <c r="K27" s="17"/>
      <c r="L27" s="67"/>
      <c r="M27" s="66"/>
    </row>
    <row r="28" spans="2:13" ht="15" customHeight="1">
      <c r="B28" s="64"/>
      <c r="C28" s="68"/>
      <c r="D28" s="17"/>
      <c r="E28" s="88"/>
      <c r="F28" s="88"/>
      <c r="G28" s="88"/>
      <c r="H28" s="88"/>
      <c r="I28" s="88"/>
      <c r="J28" s="88"/>
      <c r="K28" s="17"/>
      <c r="L28" s="67"/>
      <c r="M28" s="66"/>
    </row>
    <row r="29" spans="2:13" ht="15" customHeight="1">
      <c r="B29" s="64"/>
      <c r="C29" s="68"/>
      <c r="D29" s="17"/>
      <c r="E29" s="88"/>
      <c r="F29" s="88"/>
      <c r="G29" s="88"/>
      <c r="H29" s="88"/>
      <c r="I29" s="88"/>
      <c r="J29" s="88"/>
      <c r="K29" s="17"/>
      <c r="L29" s="67"/>
      <c r="M29" s="66"/>
    </row>
    <row r="30" spans="2:13">
      <c r="B30" s="64"/>
      <c r="C30" s="68"/>
      <c r="D30" s="17"/>
      <c r="E30" s="17"/>
      <c r="F30" s="17"/>
      <c r="G30" s="17"/>
      <c r="H30" s="17"/>
      <c r="I30" s="17"/>
      <c r="J30" s="17"/>
      <c r="K30" s="17"/>
      <c r="L30" s="67"/>
      <c r="M30" s="66"/>
    </row>
    <row r="31" spans="2:13" ht="18.3">
      <c r="B31" s="64"/>
      <c r="C31" s="68"/>
      <c r="D31" s="17"/>
      <c r="E31" s="89"/>
      <c r="F31" s="89"/>
      <c r="G31" s="89"/>
      <c r="H31" s="89"/>
      <c r="I31" s="89"/>
      <c r="J31" s="89"/>
      <c r="K31" s="17"/>
      <c r="L31" s="67"/>
      <c r="M31" s="66"/>
    </row>
    <row r="32" spans="2:13">
      <c r="B32" s="64"/>
      <c r="C32" s="68"/>
      <c r="D32" s="17"/>
      <c r="E32" s="17"/>
      <c r="F32" s="17"/>
      <c r="G32" s="17"/>
      <c r="H32" s="17"/>
      <c r="I32" s="17"/>
      <c r="J32" s="17"/>
      <c r="K32" s="17"/>
      <c r="L32" s="67"/>
      <c r="M32" s="66"/>
    </row>
    <row r="33" spans="2:13">
      <c r="B33" s="64"/>
      <c r="C33" s="68"/>
      <c r="D33" s="17"/>
      <c r="E33" s="17"/>
      <c r="F33" s="17"/>
      <c r="G33" s="17"/>
      <c r="H33" s="17"/>
      <c r="I33" s="17"/>
      <c r="J33" s="17"/>
      <c r="K33" s="17"/>
      <c r="L33" s="67"/>
      <c r="M33" s="66"/>
    </row>
    <row r="34" spans="2:13">
      <c r="B34" s="64"/>
      <c r="C34" s="68"/>
      <c r="D34" s="17"/>
      <c r="E34" s="17"/>
      <c r="F34" s="17"/>
      <c r="G34" s="17"/>
      <c r="H34" s="17"/>
      <c r="I34" s="17"/>
      <c r="J34" s="17"/>
      <c r="K34" s="17"/>
      <c r="L34" s="67"/>
      <c r="M34" s="66"/>
    </row>
    <row r="35" spans="2:13">
      <c r="B35" s="64"/>
      <c r="C35" s="68"/>
      <c r="D35" s="17"/>
      <c r="E35" s="17"/>
      <c r="F35" s="17"/>
      <c r="G35" s="17"/>
      <c r="H35" s="17"/>
      <c r="I35" s="17"/>
      <c r="J35" s="17"/>
      <c r="K35" s="17"/>
      <c r="L35" s="67"/>
      <c r="M35" s="66"/>
    </row>
    <row r="36" spans="2:13">
      <c r="B36" s="64"/>
      <c r="C36" s="68"/>
      <c r="D36" s="17"/>
      <c r="E36" s="17"/>
      <c r="F36" s="17"/>
      <c r="G36" s="17"/>
      <c r="H36" s="17"/>
      <c r="I36" s="17"/>
      <c r="J36" s="17"/>
      <c r="K36" s="17"/>
      <c r="L36" s="67"/>
      <c r="M36" s="66"/>
    </row>
    <row r="37" spans="2:13">
      <c r="B37" s="64"/>
      <c r="C37" s="68"/>
      <c r="D37" s="17"/>
      <c r="E37" s="17"/>
      <c r="F37" s="17"/>
      <c r="G37" s="17"/>
      <c r="H37" s="17"/>
      <c r="I37" s="17"/>
      <c r="J37" s="17"/>
      <c r="K37" s="17"/>
      <c r="L37" s="67"/>
      <c r="M37" s="66"/>
    </row>
    <row r="38" spans="2:13">
      <c r="B38" s="64"/>
      <c r="C38" s="68"/>
      <c r="D38" s="17"/>
      <c r="E38" s="17"/>
      <c r="F38" s="17"/>
      <c r="G38" s="17"/>
      <c r="H38" s="17"/>
      <c r="I38" s="17"/>
      <c r="J38" s="17"/>
      <c r="K38" s="17"/>
      <c r="L38" s="67"/>
      <c r="M38" s="66"/>
    </row>
    <row r="39" spans="2:13">
      <c r="B39" s="64"/>
      <c r="C39" s="68"/>
      <c r="D39" s="17"/>
      <c r="E39" s="17"/>
      <c r="F39" s="17"/>
      <c r="G39" s="17"/>
      <c r="H39" s="17"/>
      <c r="I39" s="17"/>
      <c r="J39" s="17"/>
      <c r="K39" s="17"/>
      <c r="L39" s="67"/>
      <c r="M39" s="66"/>
    </row>
    <row r="40" spans="2:13">
      <c r="B40" s="64"/>
      <c r="C40" s="68"/>
      <c r="D40" s="17"/>
      <c r="E40" s="17"/>
      <c r="F40" s="17"/>
      <c r="G40" s="17"/>
      <c r="H40" s="17"/>
      <c r="I40" s="17"/>
      <c r="J40" s="17"/>
      <c r="K40" s="17"/>
      <c r="L40" s="67"/>
      <c r="M40" s="66"/>
    </row>
    <row r="41" spans="2:13">
      <c r="B41" s="64"/>
      <c r="C41" s="68"/>
      <c r="D41" s="17"/>
      <c r="E41" s="17"/>
      <c r="F41" s="17"/>
      <c r="G41" s="17"/>
      <c r="H41" s="17"/>
      <c r="I41" s="17"/>
      <c r="J41" s="17"/>
      <c r="K41" s="17"/>
      <c r="L41" s="67"/>
      <c r="M41" s="66"/>
    </row>
    <row r="42" spans="2:13">
      <c r="B42" s="64"/>
      <c r="C42" s="68"/>
      <c r="D42" s="17"/>
      <c r="E42" s="17"/>
      <c r="F42" s="17"/>
      <c r="G42" s="17"/>
      <c r="H42" s="17"/>
      <c r="I42" s="17"/>
      <c r="J42" s="17"/>
      <c r="K42" s="17"/>
      <c r="L42" s="67"/>
      <c r="M42" s="66"/>
    </row>
    <row r="43" spans="2:13">
      <c r="B43" s="64"/>
      <c r="C43" s="68"/>
      <c r="D43" s="17"/>
      <c r="E43" s="17"/>
      <c r="F43" s="17"/>
      <c r="G43" s="17"/>
      <c r="H43" s="17"/>
      <c r="I43" s="17"/>
      <c r="J43" s="17"/>
      <c r="K43" s="17"/>
      <c r="L43" s="67"/>
      <c r="M43" s="66"/>
    </row>
    <row r="44" spans="2:13">
      <c r="B44" s="64"/>
      <c r="C44" s="68"/>
      <c r="D44" s="17"/>
      <c r="E44" s="17"/>
      <c r="F44" s="17"/>
      <c r="G44" s="17"/>
      <c r="H44" s="17"/>
      <c r="I44" s="17"/>
      <c r="J44" s="17"/>
      <c r="K44" s="17"/>
      <c r="L44" s="67"/>
      <c r="M44" s="66"/>
    </row>
    <row r="45" spans="2:13">
      <c r="B45" s="64"/>
      <c r="C45" s="68"/>
      <c r="D45" s="17"/>
      <c r="E45" s="17"/>
      <c r="F45" s="17"/>
      <c r="G45" s="17"/>
      <c r="H45" s="17"/>
      <c r="I45" s="17"/>
      <c r="J45" s="17"/>
      <c r="K45" s="17"/>
      <c r="L45" s="67"/>
      <c r="M45" s="66"/>
    </row>
    <row r="46" spans="2:13">
      <c r="B46" s="64"/>
      <c r="C46" s="68"/>
      <c r="D46" s="17"/>
      <c r="E46" s="17"/>
      <c r="F46" s="17"/>
      <c r="G46" s="17"/>
      <c r="H46" s="17"/>
      <c r="I46" s="17"/>
      <c r="J46" s="17"/>
      <c r="K46" s="17"/>
      <c r="L46" s="67"/>
      <c r="M46" s="66"/>
    </row>
    <row r="47" spans="2:13">
      <c r="B47" s="64"/>
      <c r="C47" s="68"/>
      <c r="D47" s="17"/>
      <c r="E47" s="17"/>
      <c r="F47" s="17"/>
      <c r="G47" s="17"/>
      <c r="H47" s="17"/>
      <c r="I47" s="17"/>
      <c r="J47" s="17"/>
      <c r="K47" s="17"/>
      <c r="L47" s="67"/>
      <c r="M47" s="66"/>
    </row>
    <row r="48" spans="2:13">
      <c r="B48" s="64"/>
      <c r="C48" s="90"/>
      <c r="D48" s="69"/>
      <c r="E48" s="69"/>
      <c r="F48" s="69"/>
      <c r="G48" s="69"/>
      <c r="H48" s="69"/>
      <c r="I48" s="69"/>
      <c r="J48" s="69"/>
      <c r="K48" s="69"/>
      <c r="L48" s="70"/>
      <c r="M48" s="66"/>
    </row>
    <row r="49" spans="2:13" ht="4.5" customHeight="1" thickBot="1">
      <c r="B49" s="71"/>
      <c r="C49" s="72"/>
      <c r="D49" s="72"/>
      <c r="E49" s="72"/>
      <c r="F49" s="72"/>
      <c r="G49" s="72"/>
      <c r="H49" s="72"/>
      <c r="I49" s="72"/>
      <c r="J49" s="72"/>
      <c r="K49" s="72"/>
      <c r="L49" s="72"/>
      <c r="M49" s="73"/>
    </row>
  </sheetData>
  <sheetProtection algorithmName="SHA-512" hashValue="rIgRs6VMjXhtYKWaH9tOhtvyM5GubH1ng1xKuwZN6odUD3FGK08ATHnc6YuxYQGrUSSC2hVpvERI8Aq8onsqLg==" saltValue="zl8zsCmFNDs9WYs32SsplQ==" spinCount="100000" sheet="1" objects="1" scenarios="1" selectLockedCells="1"/>
  <mergeCells count="1">
    <mergeCell ref="E23:J23"/>
  </mergeCells>
  <printOptions horizontalCentered="1" verticalCentered="1"/>
  <pageMargins left="0.51181102362204722" right="0.51181102362204722" top="0.35433070866141736" bottom="0.35433070866141736" header="0.31496062992125984" footer="0.31496062992125984"/>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6DFF-61FE-4E4C-8AF2-CEC5CC5239D5}">
  <sheetPr codeName="Feuil68">
    <tabColor theme="0" tint="-0.499984740745262"/>
    <pageSetUpPr fitToPage="1"/>
  </sheetPr>
  <dimension ref="A1:J38"/>
  <sheetViews>
    <sheetView showGridLines="0" showRowColHeaders="0" zoomScaleNormal="100" workbookViewId="0">
      <selection activeCell="A24" sqref="A24"/>
    </sheetView>
  </sheetViews>
  <sheetFormatPr baseColWidth="10" defaultColWidth="11.5234375" defaultRowHeight="14.4"/>
  <cols>
    <col min="1" max="1" width="14.41796875" style="103" customWidth="1"/>
    <col min="2" max="2" width="14.68359375" style="103" customWidth="1"/>
    <col min="3" max="3" width="8.68359375" style="103" customWidth="1"/>
    <col min="4" max="4" width="9" style="103" customWidth="1"/>
    <col min="5" max="5" width="15.41796875" style="103" customWidth="1"/>
    <col min="6" max="6" width="6.41796875" style="103" customWidth="1"/>
    <col min="7" max="7" width="7.1015625" style="103" customWidth="1"/>
    <col min="8" max="8" width="15.68359375" style="103" customWidth="1"/>
    <col min="9" max="10" width="7.1015625" style="103" customWidth="1"/>
    <col min="11" max="16384" width="11.5234375" style="103"/>
  </cols>
  <sheetData>
    <row r="1" spans="1:10">
      <c r="A1" s="1276" t="str">
        <f>"- "&amp;Code!K67&amp;" -"</f>
        <v>- 38 -</v>
      </c>
      <c r="B1" s="1276"/>
      <c r="C1" s="1276"/>
      <c r="D1" s="1276"/>
      <c r="E1" s="1276"/>
      <c r="F1" s="1276"/>
      <c r="G1" s="1276"/>
      <c r="H1" s="1276"/>
      <c r="I1" s="1276"/>
      <c r="J1" s="1276"/>
    </row>
    <row r="2" spans="1:10" ht="22.5" customHeight="1">
      <c r="A2" s="299"/>
      <c r="B2" s="299"/>
      <c r="C2" s="299"/>
      <c r="D2" s="125"/>
      <c r="E2" s="125"/>
      <c r="F2" s="125"/>
      <c r="G2" s="307"/>
      <c r="H2" s="307"/>
      <c r="I2" s="1278" t="s">
        <v>2583</v>
      </c>
      <c r="J2" s="1279"/>
    </row>
    <row r="3" spans="1:10">
      <c r="A3" s="125" t="s">
        <v>50</v>
      </c>
      <c r="B3" s="125"/>
      <c r="C3" s="2161" t="str">
        <f>'NOTE 39'!C3</f>
        <v>OHADA</v>
      </c>
      <c r="D3" s="2161"/>
      <c r="E3" s="2161"/>
      <c r="F3" s="2161"/>
      <c r="G3" s="2161"/>
      <c r="H3" s="2161"/>
      <c r="I3" s="2161"/>
      <c r="J3" s="2161"/>
    </row>
    <row r="4" spans="1:10">
      <c r="A4" s="125" t="s">
        <v>51</v>
      </c>
      <c r="B4" s="1647" t="str">
        <f>'NOTE 39'!B4</f>
        <v/>
      </c>
      <c r="C4" s="1647"/>
      <c r="D4" s="1647"/>
      <c r="E4" s="1647"/>
      <c r="F4" s="1647"/>
      <c r="G4" s="1647"/>
      <c r="H4" s="747" t="s">
        <v>1021</v>
      </c>
      <c r="I4" s="1742" t="str">
        <f>'NOTE 39'!I4</f>
        <v/>
      </c>
      <c r="J4" s="1742"/>
    </row>
    <row r="5" spans="1:10">
      <c r="A5" s="748" t="s">
        <v>53</v>
      </c>
      <c r="B5" s="125"/>
      <c r="C5" s="1647" t="str">
        <f>'NOTE 39'!C5</f>
        <v/>
      </c>
      <c r="D5" s="1647"/>
      <c r="E5" s="307" t="s">
        <v>54</v>
      </c>
      <c r="F5" s="2162">
        <f>'NOTE 39'!F5</f>
        <v>0</v>
      </c>
      <c r="G5" s="2162"/>
      <c r="H5" s="307" t="s">
        <v>55</v>
      </c>
      <c r="I5" s="1741">
        <f>'NOTE 39'!I5</f>
        <v>1</v>
      </c>
      <c r="J5" s="1741"/>
    </row>
    <row r="6" spans="1:10">
      <c r="A6" s="125" t="s">
        <v>56</v>
      </c>
      <c r="B6" s="125"/>
      <c r="C6" s="1275" t="str">
        <f>'NOTE 39'!C6</f>
        <v/>
      </c>
      <c r="D6" s="1275"/>
      <c r="E6" s="749"/>
      <c r="F6" s="750"/>
      <c r="G6" s="750"/>
      <c r="H6" s="749"/>
      <c r="I6" s="751"/>
      <c r="J6" s="751"/>
    </row>
    <row r="7" spans="1:10" ht="28.5" customHeight="1">
      <c r="A7" s="1273" t="s">
        <v>2584</v>
      </c>
      <c r="B7" s="1273"/>
      <c r="C7" s="1273"/>
      <c r="D7" s="1273"/>
      <c r="E7" s="1273"/>
      <c r="F7" s="1273"/>
      <c r="G7" s="1273"/>
      <c r="H7" s="1273"/>
      <c r="I7" s="1273"/>
      <c r="J7" s="1273"/>
    </row>
    <row r="8" spans="1:10" ht="19.5" customHeight="1">
      <c r="A8" s="752" t="s">
        <v>1423</v>
      </c>
      <c r="B8" s="1738" t="s">
        <v>1424</v>
      </c>
      <c r="C8" s="1739"/>
      <c r="D8" s="1739"/>
      <c r="E8" s="1739"/>
      <c r="F8" s="1739"/>
      <c r="G8" s="1739"/>
      <c r="H8" s="1740"/>
      <c r="I8" s="753" t="s">
        <v>1261</v>
      </c>
      <c r="J8" s="754" t="s">
        <v>1425</v>
      </c>
    </row>
    <row r="9" spans="1:10" ht="15.75" customHeight="1">
      <c r="A9" s="755" t="s">
        <v>2585</v>
      </c>
      <c r="B9" s="2157" t="s">
        <v>2586</v>
      </c>
      <c r="C9" s="2157"/>
      <c r="D9" s="2157"/>
      <c r="E9" s="2157"/>
      <c r="F9" s="2157"/>
      <c r="G9" s="2157"/>
      <c r="H9" s="2157"/>
      <c r="I9" s="455" t="str">
        <f>IF(Sommaire!R5=TRUE,"x","")</f>
        <v>x</v>
      </c>
      <c r="J9" s="456" t="str">
        <f>IF(Sommaire!R5=FALSE,"x","")</f>
        <v/>
      </c>
    </row>
    <row r="10" spans="1:10" ht="15.75" customHeight="1">
      <c r="A10" s="755" t="s">
        <v>2587</v>
      </c>
      <c r="B10" s="2158" t="s">
        <v>2588</v>
      </c>
      <c r="C10" s="2159"/>
      <c r="D10" s="2159"/>
      <c r="E10" s="2159"/>
      <c r="F10" s="2159"/>
      <c r="G10" s="2159"/>
      <c r="H10" s="2160"/>
      <c r="I10" s="455" t="str">
        <f>IF(Sommaire!R6=TRUE,"x","")</f>
        <v>x</v>
      </c>
      <c r="J10" s="456" t="str">
        <f>IF(Sommaire!R6=FALSE,"x","")</f>
        <v/>
      </c>
    </row>
    <row r="11" spans="1:10" ht="15.75" customHeight="1">
      <c r="A11" s="755" t="s">
        <v>2589</v>
      </c>
      <c r="B11" s="2158" t="s">
        <v>2590</v>
      </c>
      <c r="C11" s="2159"/>
      <c r="D11" s="2159"/>
      <c r="E11" s="2159"/>
      <c r="F11" s="2159"/>
      <c r="G11" s="2159"/>
      <c r="H11" s="2160"/>
      <c r="I11" s="455" t="str">
        <f>IF(Sommaire!R7=TRUE,"x","")</f>
        <v>x</v>
      </c>
      <c r="J11" s="456" t="str">
        <f>IF(Sommaire!R7=FALSE,"x","")</f>
        <v/>
      </c>
    </row>
    <row r="12" spans="1:10" s="756" customFormat="1" ht="14.25" customHeight="1">
      <c r="A12" s="755" t="s">
        <v>2591</v>
      </c>
      <c r="B12" s="2157" t="s">
        <v>2592</v>
      </c>
      <c r="C12" s="2157"/>
      <c r="D12" s="2157"/>
      <c r="E12" s="2157"/>
      <c r="F12" s="2157"/>
      <c r="G12" s="2157"/>
      <c r="H12" s="2157"/>
      <c r="I12" s="457" t="str">
        <f>IF(Sommaire!R8=TRUE,"x","")</f>
        <v/>
      </c>
      <c r="J12" s="456" t="str">
        <f>IF(Sommaire!R8=FALSE,"x","")</f>
        <v>x</v>
      </c>
    </row>
    <row r="13" spans="1:10" s="756" customFormat="1" ht="14.25" customHeight="1">
      <c r="A13" s="755" t="s">
        <v>2593</v>
      </c>
      <c r="B13" s="2157" t="s">
        <v>2594</v>
      </c>
      <c r="C13" s="2157"/>
      <c r="D13" s="2157"/>
      <c r="E13" s="2157"/>
      <c r="F13" s="2157"/>
      <c r="G13" s="2157"/>
      <c r="H13" s="2157"/>
      <c r="I13" s="457" t="str">
        <f>IF(Sommaire!R9=TRUE,"x","")</f>
        <v/>
      </c>
      <c r="J13" s="456" t="str">
        <f>IF(Sommaire!R9=FALSE,"x","")</f>
        <v>x</v>
      </c>
    </row>
    <row r="14" spans="1:10" s="756" customFormat="1" ht="14.25" customHeight="1">
      <c r="A14" s="755" t="s">
        <v>2595</v>
      </c>
      <c r="B14" s="2157" t="s">
        <v>2596</v>
      </c>
      <c r="C14" s="2157"/>
      <c r="D14" s="2157"/>
      <c r="E14" s="2157"/>
      <c r="F14" s="2157"/>
      <c r="G14" s="2157"/>
      <c r="H14" s="2157"/>
      <c r="I14" s="457" t="str">
        <f>IF(Sommaire!R10=TRUE,"x","")</f>
        <v/>
      </c>
      <c r="J14" s="456" t="str">
        <f>IF(Sommaire!R10=FALSE,"x","")</f>
        <v>x</v>
      </c>
    </row>
    <row r="15" spans="1:10" s="756" customFormat="1" ht="14.25" customHeight="1">
      <c r="A15" s="755" t="s">
        <v>2597</v>
      </c>
      <c r="B15" s="2157" t="s">
        <v>2598</v>
      </c>
      <c r="C15" s="2157"/>
      <c r="D15" s="2157"/>
      <c r="E15" s="2157"/>
      <c r="F15" s="2157"/>
      <c r="G15" s="2157"/>
      <c r="H15" s="2157"/>
      <c r="I15" s="457" t="str">
        <f>IF(Sommaire!R11=TRUE,"x","")</f>
        <v>x</v>
      </c>
      <c r="J15" s="456" t="str">
        <f>IF(Sommaire!R11=FALSE,"x","")</f>
        <v/>
      </c>
    </row>
    <row r="16" spans="1:10" s="756" customFormat="1" ht="14.25" customHeight="1">
      <c r="A16" s="755" t="s">
        <v>2599</v>
      </c>
      <c r="B16" s="2157" t="s">
        <v>2600</v>
      </c>
      <c r="C16" s="2157"/>
      <c r="D16" s="2157"/>
      <c r="E16" s="2157"/>
      <c r="F16" s="2157"/>
      <c r="G16" s="2157"/>
      <c r="H16" s="2157"/>
      <c r="I16" s="457" t="str">
        <f>IF(Sommaire!R12=TRUE,"x","")</f>
        <v/>
      </c>
      <c r="J16" s="456" t="str">
        <f>IF(Sommaire!R12=FALSE,"x","")</f>
        <v>x</v>
      </c>
    </row>
    <row r="17" spans="1:10" s="756" customFormat="1" ht="14.25" customHeight="1">
      <c r="A17" s="755" t="s">
        <v>2601</v>
      </c>
      <c r="B17" s="2158" t="s">
        <v>2602</v>
      </c>
      <c r="C17" s="2159"/>
      <c r="D17" s="2159"/>
      <c r="E17" s="2159"/>
      <c r="F17" s="2159"/>
      <c r="G17" s="2159"/>
      <c r="H17" s="2160"/>
      <c r="I17" s="457" t="str">
        <f>IF(Sommaire!R13=TRUE,"x","")</f>
        <v/>
      </c>
      <c r="J17" s="456" t="str">
        <f>IF(Sommaire!R13=FALSE,"x","")</f>
        <v>x</v>
      </c>
    </row>
    <row r="18" spans="1:10" s="756" customFormat="1" ht="14.25" customHeight="1">
      <c r="A18" s="755" t="s">
        <v>2603</v>
      </c>
      <c r="B18" s="2158" t="s">
        <v>2604</v>
      </c>
      <c r="C18" s="2159"/>
      <c r="D18" s="2159"/>
      <c r="E18" s="2159"/>
      <c r="F18" s="2159"/>
      <c r="G18" s="2159"/>
      <c r="H18" s="2160"/>
      <c r="I18" s="457" t="str">
        <f>IF(Sommaire!R14=TRUE,"x","")</f>
        <v>x</v>
      </c>
      <c r="J18" s="456" t="str">
        <f>IF(Sommaire!R14=FALSE,"x","")</f>
        <v/>
      </c>
    </row>
    <row r="19" spans="1:10" s="756" customFormat="1" ht="14.25" customHeight="1">
      <c r="A19" s="755" t="s">
        <v>2605</v>
      </c>
      <c r="B19" s="2157" t="s">
        <v>2606</v>
      </c>
      <c r="C19" s="2157"/>
      <c r="D19" s="2157"/>
      <c r="E19" s="2157"/>
      <c r="F19" s="2157"/>
      <c r="G19" s="2157"/>
      <c r="H19" s="2157"/>
      <c r="I19" s="457" t="str">
        <f>IF(Sommaire!R15=TRUE,"x","")</f>
        <v>x</v>
      </c>
      <c r="J19" s="456" t="str">
        <f>IF(Sommaire!R15=FALSE,"x","")</f>
        <v/>
      </c>
    </row>
    <row r="20" spans="1:10" s="756" customFormat="1" ht="14.25" customHeight="1">
      <c r="A20" s="755" t="s">
        <v>2607</v>
      </c>
      <c r="B20" s="2157" t="s">
        <v>2608</v>
      </c>
      <c r="C20" s="2157"/>
      <c r="D20" s="2157"/>
      <c r="E20" s="2157"/>
      <c r="F20" s="2157"/>
      <c r="G20" s="2157"/>
      <c r="H20" s="2157"/>
      <c r="I20" s="457" t="str">
        <f>IF(Sommaire!R16=TRUE,"x","")</f>
        <v/>
      </c>
      <c r="J20" s="456" t="str">
        <f>IF(Sommaire!R16=FALSE,"x","")</f>
        <v>x</v>
      </c>
    </row>
    <row r="21" spans="1:10" s="756" customFormat="1" ht="14.25" customHeight="1">
      <c r="A21" s="755" t="s">
        <v>1185</v>
      </c>
      <c r="B21" s="2158" t="s">
        <v>2609</v>
      </c>
      <c r="C21" s="2159"/>
      <c r="D21" s="2159"/>
      <c r="E21" s="2159"/>
      <c r="F21" s="2159"/>
      <c r="G21" s="2159"/>
      <c r="H21" s="2160"/>
      <c r="I21" s="457" t="str">
        <f>IF(Sommaire!R17=TRUE,"x","")</f>
        <v/>
      </c>
      <c r="J21" s="456" t="str">
        <f>IF(Sommaire!R17=FALSE,"x","")</f>
        <v>x</v>
      </c>
    </row>
    <row r="22" spans="1:10" s="756" customFormat="1" ht="14.25" customHeight="1">
      <c r="A22" s="757" t="s">
        <v>2610</v>
      </c>
      <c r="B22" s="2158" t="s">
        <v>2611</v>
      </c>
      <c r="C22" s="2159"/>
      <c r="D22" s="2159"/>
      <c r="E22" s="2159"/>
      <c r="F22" s="2159"/>
      <c r="G22" s="2159"/>
      <c r="H22" s="2160"/>
      <c r="I22" s="457" t="str">
        <f>IF(Sommaire!R18=TRUE,"x","")</f>
        <v/>
      </c>
      <c r="J22" s="456" t="str">
        <f>IF(Sommaire!R18=FALSE,"x","")</f>
        <v>x</v>
      </c>
    </row>
    <row r="23" spans="1:10" s="756" customFormat="1" ht="25.5" customHeight="1">
      <c r="A23" s="757" t="s">
        <v>2612</v>
      </c>
      <c r="B23" s="2154" t="s">
        <v>2613</v>
      </c>
      <c r="C23" s="2155"/>
      <c r="D23" s="2155"/>
      <c r="E23" s="2155"/>
      <c r="F23" s="2155"/>
      <c r="G23" s="2155"/>
      <c r="H23" s="2156"/>
      <c r="I23" s="457" t="str">
        <f>IF(Sommaire!R20=TRUE,"x","")</f>
        <v/>
      </c>
      <c r="J23" s="456" t="str">
        <f>IF(Sommaire!R20=FALSE,"x","")</f>
        <v>x</v>
      </c>
    </row>
    <row r="24" spans="1:10" s="756" customFormat="1" ht="14.25" customHeight="1">
      <c r="A24" s="587" t="s">
        <v>2614</v>
      </c>
      <c r="B24" s="2146" t="s">
        <v>2615</v>
      </c>
      <c r="C24" s="2147"/>
      <c r="D24" s="2147"/>
      <c r="E24" s="2147"/>
      <c r="F24" s="2147"/>
      <c r="G24" s="2147"/>
      <c r="H24" s="2148"/>
      <c r="I24" s="458"/>
      <c r="J24" s="458"/>
    </row>
    <row r="25" spans="1:10" s="756" customFormat="1" ht="14.25" customHeight="1">
      <c r="A25" s="587" t="s">
        <v>2616</v>
      </c>
      <c r="B25" s="2146" t="s">
        <v>2615</v>
      </c>
      <c r="C25" s="2147"/>
      <c r="D25" s="2147"/>
      <c r="E25" s="2147"/>
      <c r="F25" s="2147"/>
      <c r="G25" s="2147"/>
      <c r="H25" s="2148"/>
      <c r="I25" s="458"/>
      <c r="J25" s="458"/>
    </row>
    <row r="26" spans="1:10" s="758" customFormat="1" ht="14.25" customHeight="1">
      <c r="A26" s="459"/>
      <c r="B26" s="2149"/>
      <c r="C26" s="2150"/>
      <c r="D26" s="2150"/>
      <c r="E26" s="2150"/>
      <c r="F26" s="2150"/>
      <c r="G26" s="2150"/>
      <c r="H26" s="2151"/>
      <c r="I26" s="460"/>
      <c r="J26" s="460"/>
    </row>
    <row r="27" spans="1:10" s="756" customFormat="1" ht="14.25" customHeight="1">
      <c r="A27" s="587"/>
      <c r="B27" s="2146"/>
      <c r="C27" s="2147"/>
      <c r="D27" s="2147"/>
      <c r="E27" s="2147"/>
      <c r="F27" s="2147"/>
      <c r="G27" s="2147"/>
      <c r="H27" s="2148"/>
      <c r="I27" s="458"/>
      <c r="J27" s="458"/>
    </row>
    <row r="28" spans="1:10" s="756" customFormat="1" ht="14.25" customHeight="1">
      <c r="A28" s="587"/>
      <c r="B28" s="2152"/>
      <c r="C28" s="2152"/>
      <c r="D28" s="2152"/>
      <c r="E28" s="2152"/>
      <c r="F28" s="2152"/>
      <c r="G28" s="2152"/>
      <c r="H28" s="2152"/>
      <c r="I28" s="458"/>
      <c r="J28" s="458"/>
    </row>
    <row r="29" spans="1:10" s="756" customFormat="1" ht="14.25" customHeight="1">
      <c r="A29" s="587"/>
      <c r="B29" s="2152"/>
      <c r="C29" s="2152"/>
      <c r="D29" s="2152"/>
      <c r="E29" s="2152"/>
      <c r="F29" s="2152"/>
      <c r="G29" s="2152"/>
      <c r="H29" s="2152"/>
      <c r="I29" s="458"/>
      <c r="J29" s="458"/>
    </row>
    <row r="30" spans="1:10" s="756" customFormat="1" ht="14.25" customHeight="1">
      <c r="A30" s="587"/>
      <c r="B30" s="2152"/>
      <c r="C30" s="2152"/>
      <c r="D30" s="2152"/>
      <c r="E30" s="2152"/>
      <c r="F30" s="2152"/>
      <c r="G30" s="2152"/>
      <c r="H30" s="2152"/>
      <c r="I30" s="458"/>
      <c r="J30" s="458"/>
    </row>
    <row r="31" spans="1:10" s="756" customFormat="1" ht="11.7">
      <c r="A31" s="587"/>
      <c r="B31" s="2152"/>
      <c r="C31" s="2152"/>
      <c r="D31" s="2152"/>
      <c r="E31" s="2152"/>
      <c r="F31" s="2152"/>
      <c r="G31" s="2152"/>
      <c r="H31" s="2152"/>
      <c r="I31" s="458"/>
      <c r="J31" s="458"/>
    </row>
    <row r="32" spans="1:10" ht="12.75" customHeight="1">
      <c r="A32" s="587"/>
      <c r="B32" s="2152"/>
      <c r="C32" s="2152"/>
      <c r="D32" s="2152"/>
      <c r="E32" s="2152"/>
      <c r="F32" s="2152"/>
      <c r="G32" s="2152"/>
      <c r="H32" s="2152"/>
      <c r="I32" s="458"/>
      <c r="J32" s="458"/>
    </row>
    <row r="33" spans="1:10" ht="16.5" customHeight="1">
      <c r="A33" s="587"/>
      <c r="B33" s="2152"/>
      <c r="C33" s="2152"/>
      <c r="D33" s="2152"/>
      <c r="E33" s="2152"/>
      <c r="F33" s="2152"/>
      <c r="G33" s="2152"/>
      <c r="H33" s="2152"/>
      <c r="I33" s="458"/>
      <c r="J33" s="458"/>
    </row>
    <row r="34" spans="1:10" ht="3.75" customHeight="1"/>
    <row r="35" spans="1:10" s="759" customFormat="1" ht="22.95" customHeight="1">
      <c r="A35" s="2153" t="s">
        <v>9225</v>
      </c>
      <c r="B35" s="2153"/>
      <c r="C35" s="2153"/>
      <c r="D35" s="2153"/>
      <c r="E35" s="2153"/>
      <c r="F35" s="2153"/>
      <c r="G35" s="2153"/>
      <c r="H35" s="2153"/>
      <c r="I35" s="2153"/>
      <c r="J35" s="2153"/>
    </row>
    <row r="36" spans="1:10" s="759" customFormat="1" ht="10.5" customHeight="1">
      <c r="A36" s="760" t="s">
        <v>2617</v>
      </c>
    </row>
    <row r="37" spans="1:10" s="759" customFormat="1" ht="10.5" customHeight="1">
      <c r="A37" s="760" t="s">
        <v>2618</v>
      </c>
    </row>
    <row r="38" spans="1:10" ht="9.75" customHeight="1">
      <c r="A38" s="2145" t="s">
        <v>2619</v>
      </c>
      <c r="B38" s="2145"/>
      <c r="C38" s="2145"/>
      <c r="D38" s="2145"/>
      <c r="E38" s="2145"/>
      <c r="F38" s="2145"/>
      <c r="G38" s="2145"/>
      <c r="H38" s="2145"/>
      <c r="I38" s="2145"/>
      <c r="J38" s="2145"/>
    </row>
  </sheetData>
  <sheetProtection algorithmName="SHA-512" hashValue="1JSXsVt3LA4hdKh4d/VFxWkBkJRmJuBVAaElIowJmpZE6sil02ik9Sn8hrPHaEtnzANQixAf6CfCluoA3XI3pg==" saltValue="dxjKmXjBaRjdfDVZTjpBEQ==" spinCount="100000" sheet="1" objects="1" scenarios="1" selectLockedCells="1"/>
  <mergeCells count="38">
    <mergeCell ref="B11:H11"/>
    <mergeCell ref="A1:J1"/>
    <mergeCell ref="I2:J2"/>
    <mergeCell ref="C3:J3"/>
    <mergeCell ref="B4:G4"/>
    <mergeCell ref="I4:J4"/>
    <mergeCell ref="C5:D5"/>
    <mergeCell ref="F5:G5"/>
    <mergeCell ref="I5:J5"/>
    <mergeCell ref="C6:D6"/>
    <mergeCell ref="A7:J7"/>
    <mergeCell ref="B8:H8"/>
    <mergeCell ref="B9:H9"/>
    <mergeCell ref="B10:H10"/>
    <mergeCell ref="B23:H23"/>
    <mergeCell ref="B12:H12"/>
    <mergeCell ref="B13:H13"/>
    <mergeCell ref="B14:H14"/>
    <mergeCell ref="B15:H15"/>
    <mergeCell ref="B16:H16"/>
    <mergeCell ref="B17:H17"/>
    <mergeCell ref="B18:H18"/>
    <mergeCell ref="B19:H19"/>
    <mergeCell ref="B20:H20"/>
    <mergeCell ref="B21:H21"/>
    <mergeCell ref="B22:H22"/>
    <mergeCell ref="A38:J38"/>
    <mergeCell ref="B24:H24"/>
    <mergeCell ref="B25:H25"/>
    <mergeCell ref="B26:H26"/>
    <mergeCell ref="B27:H27"/>
    <mergeCell ref="B28:H28"/>
    <mergeCell ref="B29:H29"/>
    <mergeCell ref="B30:H30"/>
    <mergeCell ref="B31:H31"/>
    <mergeCell ref="B32:H32"/>
    <mergeCell ref="B33:H33"/>
    <mergeCell ref="A35:J35"/>
  </mergeCells>
  <printOptions horizontalCentered="1"/>
  <pageMargins left="0.51181102362204722" right="0.51181102362204722" top="0.35433070866141736" bottom="0.35433070866141736" header="0.31496062992125984" footer="0.31496062992125984"/>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5BFD-D2F9-4CD0-A0F9-F40EB8061293}">
  <sheetPr codeName="Feuil69">
    <tabColor rgb="FFC00000"/>
  </sheetPr>
  <dimension ref="A1:J276"/>
  <sheetViews>
    <sheetView showGridLines="0" showRowColHeaders="0" topLeftCell="A226" zoomScaleNormal="100" workbookViewId="0">
      <selection activeCell="W46" sqref="W46"/>
    </sheetView>
  </sheetViews>
  <sheetFormatPr baseColWidth="10" defaultColWidth="11.5234375" defaultRowHeight="14.4"/>
  <cols>
    <col min="1" max="1" width="8.89453125" style="103" customWidth="1"/>
    <col min="2" max="2" width="16.41796875" style="103" customWidth="1"/>
    <col min="3" max="3" width="13.3125" style="103" customWidth="1"/>
    <col min="4" max="4" width="11.5234375" style="103"/>
    <col min="5" max="5" width="11.41796875" style="103" customWidth="1"/>
    <col min="6" max="6" width="17.89453125" style="103" customWidth="1"/>
    <col min="7" max="9" width="13.3125" style="103" customWidth="1"/>
    <col min="10" max="10" width="8.89453125" style="103" customWidth="1"/>
    <col min="11" max="16384" width="11.5234375" style="103"/>
  </cols>
  <sheetData>
    <row r="1" spans="1:10">
      <c r="A1" s="2175" t="s">
        <v>17</v>
      </c>
      <c r="B1" s="2177"/>
      <c r="C1" s="572"/>
      <c r="D1" s="1276" t="str">
        <f>"- "&amp;Code!K68&amp;" -"</f>
        <v>- 39 -</v>
      </c>
      <c r="E1" s="1276"/>
      <c r="F1" s="1276"/>
      <c r="G1" s="2174"/>
      <c r="H1" s="2175" t="s">
        <v>2620</v>
      </c>
      <c r="I1" s="2176"/>
      <c r="J1" s="2177"/>
    </row>
    <row r="2" spans="1:10">
      <c r="A2" s="312" t="s">
        <v>50</v>
      </c>
      <c r="B2" s="612"/>
      <c r="C2" s="2164" t="str">
        <f>'NOTES DGI - INS'!C3</f>
        <v>OHADA</v>
      </c>
      <c r="D2" s="2164"/>
      <c r="E2" s="2164"/>
      <c r="F2" s="2164"/>
      <c r="G2" s="2164"/>
      <c r="H2" s="2164"/>
      <c r="I2" s="2164"/>
      <c r="J2" s="2164"/>
    </row>
    <row r="3" spans="1:10">
      <c r="A3" s="312" t="s">
        <v>51</v>
      </c>
      <c r="B3" s="2164" t="str">
        <f>'NOTES DGI - INS'!B4</f>
        <v/>
      </c>
      <c r="C3" s="2164"/>
      <c r="D3" s="2164"/>
      <c r="E3" s="2164"/>
      <c r="F3" s="2164"/>
      <c r="G3" s="2164"/>
      <c r="H3" s="2164"/>
      <c r="I3" s="597" t="s">
        <v>1021</v>
      </c>
      <c r="J3" s="707" t="str">
        <f>'NOTES DGI - INS'!I4</f>
        <v/>
      </c>
    </row>
    <row r="4" spans="1:10">
      <c r="A4" s="312" t="s">
        <v>53</v>
      </c>
      <c r="B4" s="312"/>
      <c r="C4" s="2164" t="str">
        <f>'NOTES DGI - INS'!C5</f>
        <v/>
      </c>
      <c r="D4" s="2164"/>
      <c r="E4" s="708"/>
      <c r="F4" s="708"/>
      <c r="G4" s="597" t="s">
        <v>54</v>
      </c>
      <c r="H4" s="709">
        <f>'NOTES DGI - INS'!F5</f>
        <v>0</v>
      </c>
      <c r="I4" s="597" t="s">
        <v>55</v>
      </c>
      <c r="J4" s="707">
        <f>'NOTES DGI - INS'!I5</f>
        <v>1</v>
      </c>
    </row>
    <row r="5" spans="1:10">
      <c r="A5" s="312" t="s">
        <v>56</v>
      </c>
      <c r="B5" s="312"/>
      <c r="C5" s="1275" t="str">
        <f>'NOTES DGI - INS'!C6</f>
        <v/>
      </c>
      <c r="D5" s="1275"/>
      <c r="E5" s="1275"/>
      <c r="F5" s="1275"/>
      <c r="G5" s="710"/>
      <c r="H5" s="707"/>
      <c r="I5" s="708"/>
      <c r="J5" s="708"/>
    </row>
    <row r="6" spans="1:10" ht="5.25" customHeight="1">
      <c r="A6" s="317"/>
      <c r="B6" s="317"/>
      <c r="C6" s="675"/>
      <c r="D6" s="675"/>
      <c r="E6" s="627"/>
      <c r="F6" s="676"/>
      <c r="G6" s="627"/>
      <c r="H6" s="675"/>
      <c r="I6" s="119"/>
      <c r="J6" s="119"/>
    </row>
    <row r="7" spans="1:10">
      <c r="A7" s="2165" t="s">
        <v>2621</v>
      </c>
      <c r="B7" s="2166"/>
      <c r="C7" s="2166"/>
      <c r="D7" s="2166"/>
      <c r="E7" s="2166"/>
      <c r="F7" s="2166"/>
      <c r="G7" s="2166"/>
      <c r="H7" s="2166"/>
      <c r="I7" s="2166"/>
      <c r="J7" s="2167"/>
    </row>
    <row r="8" spans="1:10" ht="5.25" customHeight="1">
      <c r="A8" s="119"/>
      <c r="B8" s="119"/>
      <c r="C8" s="119"/>
      <c r="D8" s="119"/>
      <c r="E8" s="119"/>
      <c r="F8" s="119"/>
      <c r="G8" s="119"/>
      <c r="H8" s="119"/>
      <c r="I8" s="119"/>
      <c r="J8" s="119"/>
    </row>
    <row r="9" spans="1:10">
      <c r="A9" s="2168" t="s">
        <v>2622</v>
      </c>
      <c r="B9" s="2169"/>
      <c r="C9" s="2169"/>
      <c r="D9" s="2169"/>
      <c r="E9" s="2169"/>
      <c r="F9" s="2169"/>
      <c r="G9" s="2180" t="s">
        <v>2623</v>
      </c>
      <c r="H9" s="2169" t="s">
        <v>2624</v>
      </c>
      <c r="I9" s="2168" t="s">
        <v>2625</v>
      </c>
      <c r="J9" s="2170"/>
    </row>
    <row r="10" spans="1:10">
      <c r="A10" s="2178"/>
      <c r="B10" s="2179"/>
      <c r="C10" s="2179"/>
      <c r="D10" s="2179"/>
      <c r="E10" s="2179"/>
      <c r="F10" s="2179"/>
      <c r="G10" s="2181"/>
      <c r="H10" s="2172"/>
      <c r="I10" s="711" t="s">
        <v>2626</v>
      </c>
      <c r="J10" s="712" t="s">
        <v>2627</v>
      </c>
    </row>
    <row r="11" spans="1:10" ht="14.25" customHeight="1">
      <c r="A11" s="713">
        <v>6011</v>
      </c>
      <c r="B11" s="714" t="s">
        <v>2628</v>
      </c>
      <c r="C11" s="715"/>
      <c r="D11" s="715"/>
      <c r="E11" s="715"/>
      <c r="F11" s="716"/>
      <c r="G11" s="461">
        <f>SUMIFS(BalanceN[BS_Debit],BalanceN[Table],"&gt;=60110",BalanceN[Table],"&lt;60120")-SUMIFS(BalanceN[BS_Credit],BalanceN[Table],"&gt;=60110",BalanceN[Table],"&lt;60120")</f>
        <v>75000000</v>
      </c>
      <c r="H11" s="462">
        <f>SUMIFS(BalanceN1[BS_Debit],BalanceN1[Table],"&gt;=60110",BalanceN1[Table],"&lt;60120")-SUMIFS(BalanceN1[BS_Credit],BalanceN1[Table],"&gt;=60110",BalanceN1[Table],"&lt;60120")</f>
        <v>0</v>
      </c>
      <c r="I11" s="462">
        <f t="shared" ref="I11:I24" si="0">G11-H11</f>
        <v>75000000</v>
      </c>
      <c r="J11" s="463">
        <f>IF(H11,(G11-H11)/H11,IF(ISBLANK(H11),"",IF(G11,IF( G11 &gt; 0,1,-1),"")))</f>
        <v>1</v>
      </c>
    </row>
    <row r="12" spans="1:10" ht="14.25" customHeight="1">
      <c r="A12" s="717">
        <v>6012</v>
      </c>
      <c r="B12" s="718" t="s">
        <v>2629</v>
      </c>
      <c r="C12" s="312"/>
      <c r="D12" s="312"/>
      <c r="E12" s="312"/>
      <c r="F12" s="719"/>
      <c r="G12" s="464">
        <f>SUMIFS(BalanceN[BS_Debit],BalanceN[Table],"&gt;=60120",BalanceN[Table],"&lt;60130")-SUMIFS(BalanceN[BS_Credit],BalanceN[Table],"&gt;=60120",BalanceN[Table],"&lt;60130")</f>
        <v>0</v>
      </c>
      <c r="H12" s="464">
        <f>SUMIFS(BalanceN1[BS_Debit],BalanceN1[Table],"&gt;=60120",BalanceN1[Table],"&lt;60130")-SUMIFS(BalanceN1[BS_Credit],BalanceN1[Table],"&gt;=60120",BalanceN1[Table],"&lt;60130")</f>
        <v>0</v>
      </c>
      <c r="I12" s="464">
        <f t="shared" si="0"/>
        <v>0</v>
      </c>
      <c r="J12" s="465" t="str">
        <f t="shared" ref="J12:J73" si="1">IF(H12,(G12-H12)/H12,IF(ISBLANK(H12),"",IF(G12,IF( G12 &gt; 0,1,-1),"")))</f>
        <v/>
      </c>
    </row>
    <row r="13" spans="1:10" ht="14.25" customHeight="1">
      <c r="A13" s="717">
        <v>6013</v>
      </c>
      <c r="B13" s="718" t="s">
        <v>2630</v>
      </c>
      <c r="C13" s="312"/>
      <c r="D13" s="312"/>
      <c r="E13" s="312"/>
      <c r="F13" s="719"/>
      <c r="G13" s="464">
        <f>SUMIFS(BalanceN[BS_Debit],BalanceN[Table],"&gt;=60130",BalanceN[Table],"&lt;60140")-SUMIFS(BalanceN[BS_Credit],BalanceN[Table],"&gt;=60130",BalanceN[Table],"&lt;60140")</f>
        <v>0</v>
      </c>
      <c r="H13" s="464">
        <f>SUMIFS(BalanceN1[BS_Debit],BalanceN1[Table],"&gt;=60130",BalanceN1[Table],"&lt;60140")-SUMIFS(BalanceN1[BS_Credit],BalanceN1[Table],"&gt;=60130",BalanceN1[Table],"&lt;60140")</f>
        <v>0</v>
      </c>
      <c r="I13" s="464">
        <f t="shared" si="0"/>
        <v>0</v>
      </c>
      <c r="J13" s="465" t="str">
        <f t="shared" si="1"/>
        <v/>
      </c>
    </row>
    <row r="14" spans="1:10" ht="14.25" customHeight="1">
      <c r="A14" s="717">
        <v>6014</v>
      </c>
      <c r="B14" s="718" t="s">
        <v>2631</v>
      </c>
      <c r="C14" s="312"/>
      <c r="D14" s="312"/>
      <c r="E14" s="312"/>
      <c r="F14" s="719"/>
      <c r="G14" s="464">
        <f>SUMIFS(BalanceN[BS_Debit],BalanceN[Table],"&gt;=60140",BalanceN[Table],"&lt;60150")-SUMIFS(BalanceN[BS_Credit],BalanceN[Table],"&gt;=60140",BalanceN[Table],"&lt;60150")</f>
        <v>0</v>
      </c>
      <c r="H14" s="464">
        <f>SUMIFS(BalanceN1[BS_Debit],BalanceN1[Table],"&gt;=60140",BalanceN1[Table],"&lt;60150")-SUMIFS(BalanceN1[BS_Credit],BalanceN1[Table],"&gt;=60140",BalanceN1[Table],"&lt;60150")</f>
        <v>0</v>
      </c>
      <c r="I14" s="464">
        <f t="shared" si="0"/>
        <v>0</v>
      </c>
      <c r="J14" s="465" t="str">
        <f t="shared" si="1"/>
        <v/>
      </c>
    </row>
    <row r="15" spans="1:10" ht="14.25" customHeight="1">
      <c r="A15" s="717">
        <v>6015</v>
      </c>
      <c r="B15" s="718" t="s">
        <v>2632</v>
      </c>
      <c r="C15" s="312"/>
      <c r="D15" s="312"/>
      <c r="E15" s="312"/>
      <c r="F15" s="719"/>
      <c r="G15" s="464">
        <f>SUMIFS(BalanceN[BS_Debit],BalanceN[Table],"&gt;=60150",BalanceN[Table],"&lt;60160")-SUMIFS(BalanceN[BS_Credit],BalanceN[Table],"&gt;=60150",BalanceN[Table],"&lt;60160")</f>
        <v>0</v>
      </c>
      <c r="H15" s="464">
        <f>SUMIFS(BalanceN1[BS_Debit],BalanceN1[Table],"&gt;=60150",BalanceN1[Table],"&lt;60160")-SUMIFS(BalanceN1[BS_Credit],BalanceN1[Table],"&gt;=60150",BalanceN1[Table],"&lt;60160")</f>
        <v>0</v>
      </c>
      <c r="I15" s="464">
        <f t="shared" si="0"/>
        <v>0</v>
      </c>
      <c r="J15" s="465" t="str">
        <f t="shared" si="1"/>
        <v/>
      </c>
    </row>
    <row r="16" spans="1:10" ht="14.25" customHeight="1" thickBot="1">
      <c r="A16" s="717">
        <v>6019</v>
      </c>
      <c r="B16" s="718" t="s">
        <v>2633</v>
      </c>
      <c r="C16" s="312"/>
      <c r="D16" s="312"/>
      <c r="E16" s="312"/>
      <c r="F16" s="719"/>
      <c r="G16" s="462">
        <f>SUMIFS(BalanceN[BS_Debit],BalanceN[Table],"&gt;=60190",BalanceN[Table],"&lt;60200")-SUMIFS(BalanceN[BS_Credit],BalanceN[Table],"&gt;=60190",BalanceN[Table],"&lt;60200")</f>
        <v>0</v>
      </c>
      <c r="H16" s="462">
        <f>SUMIFS(BalanceN1[BS_Debit],BalanceN1[Table],"&gt;=60190",BalanceN1[Table],"&lt;60200")-SUMIFS(BalanceN1[BS_Credit],BalanceN1[Table],"&gt;=60190",BalanceN1[Table],"&lt;60200")</f>
        <v>0</v>
      </c>
      <c r="I16" s="462">
        <f t="shared" si="0"/>
        <v>0</v>
      </c>
      <c r="J16" s="463" t="str">
        <f t="shared" si="1"/>
        <v/>
      </c>
    </row>
    <row r="17" spans="1:10" ht="14.25" customHeight="1" thickTop="1" thickBot="1">
      <c r="A17" s="720" t="s">
        <v>1263</v>
      </c>
      <c r="B17" s="721"/>
      <c r="C17" s="722" t="s">
        <v>1264</v>
      </c>
      <c r="D17" s="312"/>
      <c r="E17" s="312"/>
      <c r="F17" s="719"/>
      <c r="G17" s="466">
        <f>SUM(G11:G16)</f>
        <v>75000000</v>
      </c>
      <c r="H17" s="466">
        <f>SUM(H11:H16)</f>
        <v>0</v>
      </c>
      <c r="I17" s="466">
        <f t="shared" si="0"/>
        <v>75000000</v>
      </c>
      <c r="J17" s="467">
        <f t="shared" si="1"/>
        <v>1</v>
      </c>
    </row>
    <row r="18" spans="1:10" ht="14.25" customHeight="1" thickTop="1" thickBot="1">
      <c r="A18" s="717">
        <v>6031</v>
      </c>
      <c r="B18" s="718" t="s">
        <v>2634</v>
      </c>
      <c r="C18" s="312"/>
      <c r="D18" s="312"/>
      <c r="E18" s="312"/>
      <c r="F18" s="719"/>
      <c r="G18" s="468">
        <f>SUMIFS(BalanceN[BS_Debit],BalanceN[Table],"&gt;=60310",BalanceN[Table],"&lt;60320")-SUMIFS(BalanceN[BS_Credit],BalanceN[Table],"&gt;=60310",BalanceN[Table],"&lt;60320")</f>
        <v>-5000000</v>
      </c>
      <c r="H18" s="468">
        <f>SUMIFS(BalanceN1[BS_Debit],BalanceN1[Table],"&gt;=60310",BalanceN1[Table],"&lt;60320")-SUMIFS(BalanceN1[BS_Credit],BalanceN1[Table],"&gt;=60310",BalanceN1[Table],"&lt;60320")</f>
        <v>0</v>
      </c>
      <c r="I18" s="468">
        <f t="shared" si="0"/>
        <v>-5000000</v>
      </c>
      <c r="J18" s="467">
        <f t="shared" si="1"/>
        <v>-1</v>
      </c>
    </row>
    <row r="19" spans="1:10" ht="14.25" customHeight="1" thickTop="1" thickBot="1">
      <c r="A19" s="720" t="s">
        <v>1266</v>
      </c>
      <c r="B19" s="721"/>
      <c r="C19" s="722" t="s">
        <v>2635</v>
      </c>
      <c r="D19" s="312"/>
      <c r="E19" s="312"/>
      <c r="F19" s="719"/>
      <c r="G19" s="466">
        <f>G18</f>
        <v>-5000000</v>
      </c>
      <c r="H19" s="466">
        <f>H18</f>
        <v>0</v>
      </c>
      <c r="I19" s="466">
        <f t="shared" si="0"/>
        <v>-5000000</v>
      </c>
      <c r="J19" s="467">
        <f t="shared" si="1"/>
        <v>-1</v>
      </c>
    </row>
    <row r="20" spans="1:10" ht="14.25" customHeight="1" thickTop="1">
      <c r="A20" s="717">
        <v>6021</v>
      </c>
      <c r="B20" s="718" t="s">
        <v>2636</v>
      </c>
      <c r="C20" s="312"/>
      <c r="D20" s="312"/>
      <c r="E20" s="312"/>
      <c r="F20" s="719"/>
      <c r="G20" s="462">
        <f>SUMIFS(BalanceN[BS_Debit],BalanceN[Table],"&gt;=60210",BalanceN[Table],"&lt;60220")-SUMIFS(BalanceN[BS_Credit],BalanceN[Table],"&gt;=60210",BalanceN[Table],"&lt;60220")</f>
        <v>923186842</v>
      </c>
      <c r="H20" s="462">
        <f>SUMIFS(BalanceN1[BS_Debit],BalanceN1[Table],"&gt;=60210",BalanceN1[Table],"&lt;60220")-SUMIFS(BalanceN1[BS_Credit],BalanceN1[Table],"&gt;=60210",BalanceN1[Table],"&lt;60220")</f>
        <v>954585472</v>
      </c>
      <c r="I20" s="462">
        <f t="shared" si="0"/>
        <v>-31398630</v>
      </c>
      <c r="J20" s="463">
        <f t="shared" si="1"/>
        <v>-3.2892423906489117E-2</v>
      </c>
    </row>
    <row r="21" spans="1:10" ht="14.25" customHeight="1">
      <c r="A21" s="717">
        <v>6022</v>
      </c>
      <c r="B21" s="718" t="s">
        <v>2637</v>
      </c>
      <c r="C21" s="312"/>
      <c r="D21" s="312"/>
      <c r="E21" s="312"/>
      <c r="F21" s="719"/>
      <c r="G21" s="464">
        <f>SUMIFS(BalanceN[BS_Debit],BalanceN[Table],"&gt;=60220",BalanceN[Table],"&lt;60230")-SUMIFS(BalanceN[BS_Credit],BalanceN[Table],"&gt;=60220",BalanceN[Table],"&lt;60230")</f>
        <v>5116850</v>
      </c>
      <c r="H21" s="464">
        <f>SUMIFS(BalanceN1[BS_Debit],BalanceN1[Table],"&gt;=60220",BalanceN1[Table],"&lt;60230")-SUMIFS(BalanceN1[BS_Credit],BalanceN1[Table],"&gt;=60220",BalanceN1[Table],"&lt;60230")</f>
        <v>0</v>
      </c>
      <c r="I21" s="464">
        <f t="shared" si="0"/>
        <v>5116850</v>
      </c>
      <c r="J21" s="465">
        <f t="shared" si="1"/>
        <v>1</v>
      </c>
    </row>
    <row r="22" spans="1:10" ht="14.25" customHeight="1">
      <c r="A22" s="717">
        <v>6023</v>
      </c>
      <c r="B22" s="718" t="s">
        <v>2638</v>
      </c>
      <c r="C22" s="312"/>
      <c r="D22" s="312"/>
      <c r="E22" s="312"/>
      <c r="F22" s="719"/>
      <c r="G22" s="464">
        <f>SUMIFS(BalanceN[BS_Debit],BalanceN[Table],"&gt;=60230",BalanceN[Table],"&lt;60240")-SUMIFS(BalanceN[BS_Credit],BalanceN[Table],"&gt;=60230",BalanceN[Table],"&lt;60240")</f>
        <v>0</v>
      </c>
      <c r="H22" s="464">
        <f>SUMIFS(BalanceN1[BS_Debit],BalanceN1[Table],"&gt;=60230",BalanceN1[Table],"&lt;60240")-SUMIFS(BalanceN1[BS_Credit],BalanceN1[Table],"&gt;=60230",BalanceN1[Table],"&lt;60240")</f>
        <v>0</v>
      </c>
      <c r="I22" s="464">
        <f t="shared" si="0"/>
        <v>0</v>
      </c>
      <c r="J22" s="465" t="str">
        <f t="shared" si="1"/>
        <v/>
      </c>
    </row>
    <row r="23" spans="1:10" ht="14.25" customHeight="1">
      <c r="A23" s="717">
        <v>6024</v>
      </c>
      <c r="B23" s="718" t="s">
        <v>2639</v>
      </c>
      <c r="C23" s="312"/>
      <c r="D23" s="312"/>
      <c r="E23" s="312"/>
      <c r="F23" s="719"/>
      <c r="G23" s="464">
        <f>SUMIFS(BalanceN[BS_Debit],BalanceN[Table],"&gt;=60240",BalanceN[Table],"&lt;60250")-SUMIFS(BalanceN[BS_Credit],BalanceN[Table],"&gt;=60240",BalanceN[Table],"&lt;60250")</f>
        <v>0</v>
      </c>
      <c r="H23" s="464">
        <f>SUMIFS(BalanceN1[BS_Debit],BalanceN1[Table],"&gt;=60240",BalanceN1[Table],"&lt;60250")-SUMIFS(BalanceN1[BS_Credit],BalanceN1[Table],"&gt;=60240",BalanceN1[Table],"&lt;60250")</f>
        <v>0</v>
      </c>
      <c r="I23" s="464">
        <f t="shared" si="0"/>
        <v>0</v>
      </c>
      <c r="J23" s="465" t="str">
        <f t="shared" si="1"/>
        <v/>
      </c>
    </row>
    <row r="24" spans="1:10" ht="14.25" customHeight="1">
      <c r="A24" s="717">
        <v>6025</v>
      </c>
      <c r="B24" s="718" t="s">
        <v>2632</v>
      </c>
      <c r="C24" s="312"/>
      <c r="D24" s="312"/>
      <c r="E24" s="312"/>
      <c r="F24" s="719"/>
      <c r="G24" s="464">
        <f>SUMIFS(BalanceN[BS_Debit],BalanceN[Table],"&gt;=60250",BalanceN[Table],"&lt;60260")-SUMIFS(BalanceN[BS_Credit],BalanceN[Table],"&gt;=60250",BalanceN[Table],"&lt;60260")</f>
        <v>0</v>
      </c>
      <c r="H24" s="464">
        <f>SUMIFS(BalanceN1[BS_Debit],BalanceN1[Table],"&gt;=60250",BalanceN1[Table],"&lt;60260")-SUMIFS(BalanceN1[BS_Credit],BalanceN1[Table],"&gt;=60250",BalanceN1[Table],"&lt;60260")</f>
        <v>0</v>
      </c>
      <c r="I24" s="464">
        <f t="shared" si="0"/>
        <v>0</v>
      </c>
      <c r="J24" s="465" t="str">
        <f t="shared" si="1"/>
        <v/>
      </c>
    </row>
    <row r="25" spans="1:10" ht="14.25" customHeight="1" thickBot="1">
      <c r="A25" s="717">
        <v>6029</v>
      </c>
      <c r="B25" s="718" t="s">
        <v>2633</v>
      </c>
      <c r="C25" s="312"/>
      <c r="D25" s="312"/>
      <c r="E25" s="312"/>
      <c r="F25" s="719"/>
      <c r="G25" s="462">
        <f>SUMIFS(BalanceN[BS_Debit],BalanceN[Table],"&gt;=60290",BalanceN[Table],"&lt;60300")-SUMIFS(BalanceN[BS_Credit],BalanceN[Table],"&gt;=60290",BalanceN[Table],"&lt;60300")</f>
        <v>0</v>
      </c>
      <c r="H25" s="462">
        <f>SUMIFS(BalanceN1[BS_Debit],BalanceN1[Table],"&gt;=60290",BalanceN1[Table],"&lt;60300")-SUMIFS(BalanceN1[BS_Credit],BalanceN1[Table],"&gt;=60290",BalanceN1[Table],"&lt;60300")</f>
        <v>0</v>
      </c>
      <c r="I25" s="462">
        <f>G25-H25</f>
        <v>0</v>
      </c>
      <c r="J25" s="463" t="str">
        <f t="shared" si="1"/>
        <v/>
      </c>
    </row>
    <row r="26" spans="1:10" ht="14.25" customHeight="1" thickTop="1" thickBot="1">
      <c r="A26" s="720" t="s">
        <v>1292</v>
      </c>
      <c r="B26" s="721"/>
      <c r="C26" s="722" t="s">
        <v>1293</v>
      </c>
      <c r="D26" s="312"/>
      <c r="E26" s="312"/>
      <c r="F26" s="719"/>
      <c r="G26" s="466">
        <f>SUM(G20:G25)</f>
        <v>928303692</v>
      </c>
      <c r="H26" s="466">
        <f>SUM(H20:H25)</f>
        <v>954585472</v>
      </c>
      <c r="I26" s="466">
        <f>G26-H26</f>
        <v>-26281780</v>
      </c>
      <c r="J26" s="467">
        <f t="shared" si="1"/>
        <v>-2.7532139102154699E-2</v>
      </c>
    </row>
    <row r="27" spans="1:10" ht="14.25" customHeight="1" thickTop="1" thickBot="1">
      <c r="A27" s="717">
        <v>6032</v>
      </c>
      <c r="B27" s="718" t="s">
        <v>2640</v>
      </c>
      <c r="C27" s="312"/>
      <c r="D27" s="312"/>
      <c r="E27" s="312"/>
      <c r="F27" s="719"/>
      <c r="G27" s="468">
        <f>SUMIFS(BalanceN[BS_Debit],BalanceN[Table],"&gt;=60320",BalanceN[Table],"&lt;60330")-SUMIFS(BalanceN[BS_Credit],BalanceN[Table],"&gt;=60320",BalanceN[Table],"&lt;60330")</f>
        <v>-106416</v>
      </c>
      <c r="H27" s="468">
        <f>SUMIFS(BalanceN1[BS_Debit],BalanceN1[Table],"&gt;=60320",BalanceN1[Table],"&lt;60330")-SUMIFS(BalanceN1[BS_Credit],BalanceN1[Table],"&gt;=60320",BalanceN1[Table],"&lt;60330")</f>
        <v>2830600</v>
      </c>
      <c r="I27" s="468">
        <f>G27-H27</f>
        <v>-2937016</v>
      </c>
      <c r="J27" s="467">
        <f t="shared" si="1"/>
        <v>-1.0375948562142301</v>
      </c>
    </row>
    <row r="28" spans="1:10" ht="14.25" customHeight="1" thickTop="1" thickBot="1">
      <c r="A28" s="720" t="s">
        <v>1294</v>
      </c>
      <c r="B28" s="721"/>
      <c r="C28" s="722" t="s">
        <v>2641</v>
      </c>
      <c r="D28" s="312"/>
      <c r="E28" s="312"/>
      <c r="F28" s="719"/>
      <c r="G28" s="466">
        <f>G27</f>
        <v>-106416</v>
      </c>
      <c r="H28" s="466">
        <f>H27</f>
        <v>2830600</v>
      </c>
      <c r="I28" s="466">
        <f>G28-H28</f>
        <v>-2937016</v>
      </c>
      <c r="J28" s="467">
        <f t="shared" si="1"/>
        <v>-1.0375948562142301</v>
      </c>
    </row>
    <row r="29" spans="1:10" ht="14.25" customHeight="1" thickTop="1">
      <c r="A29" s="717">
        <v>6041</v>
      </c>
      <c r="B29" s="718" t="s">
        <v>2169</v>
      </c>
      <c r="C29" s="312"/>
      <c r="D29" s="312"/>
      <c r="E29" s="312"/>
      <c r="F29" s="719"/>
      <c r="G29" s="462">
        <f>SUMIFS(BalanceN[BS_Debit],BalanceN[Table],"&gt;=60410",BalanceN[Table],"&lt;60420")-SUMIFS(BalanceN[BS_Credit],BalanceN[Table],"&gt;=60410",BalanceN[Table],"&lt;60420")</f>
        <v>0</v>
      </c>
      <c r="H29" s="462">
        <f>SUMIFS(BalanceN1[BS_Debit],BalanceN1[Table],"&gt;=60410",BalanceN1[Table],"&lt;60420")-SUMIFS(BalanceN1[BS_Credit],BalanceN1[Table],"&gt;=60410",BalanceN1[Table],"&lt;60420")</f>
        <v>0</v>
      </c>
      <c r="I29" s="462">
        <f t="shared" ref="I29:I73" si="2">G29-H29</f>
        <v>0</v>
      </c>
      <c r="J29" s="463" t="str">
        <f t="shared" si="1"/>
        <v/>
      </c>
    </row>
    <row r="30" spans="1:10" ht="14.25" customHeight="1">
      <c r="A30" s="717">
        <v>6042</v>
      </c>
      <c r="B30" s="718" t="s">
        <v>2170</v>
      </c>
      <c r="C30" s="312"/>
      <c r="D30" s="312"/>
      <c r="E30" s="312"/>
      <c r="F30" s="719"/>
      <c r="G30" s="464">
        <f>SUMIFS(BalanceN[BS_Debit],BalanceN[Table],"&gt;=60420",BalanceN[Table],"&lt;60430")-SUMIFS(BalanceN[BS_Credit],BalanceN[Table],"&gt;=60420",BalanceN[Table],"&lt;60430")</f>
        <v>11259476</v>
      </c>
      <c r="H30" s="464">
        <f>SUMIFS(BalanceN1[BS_Debit],BalanceN1[Table],"&gt;=60420",BalanceN1[Table],"&lt;60430")-SUMIFS(BalanceN1[BS_Credit],BalanceN1[Table],"&gt;=60420",BalanceN1[Table],"&lt;60430")</f>
        <v>12683576</v>
      </c>
      <c r="I30" s="464">
        <f t="shared" si="2"/>
        <v>-1424100</v>
      </c>
      <c r="J30" s="465">
        <f t="shared" si="1"/>
        <v>-0.1122790607317684</v>
      </c>
    </row>
    <row r="31" spans="1:10" ht="14.25" customHeight="1">
      <c r="A31" s="717">
        <v>6043</v>
      </c>
      <c r="B31" s="718" t="s">
        <v>2171</v>
      </c>
      <c r="C31" s="312"/>
      <c r="D31" s="312"/>
      <c r="E31" s="312"/>
      <c r="F31" s="719"/>
      <c r="G31" s="464">
        <f>SUMIFS(BalanceN[BS_Debit],BalanceN[Table],"&gt;=60430",BalanceN[Table],"&lt;60440")-SUMIFS(BalanceN[BS_Credit],BalanceN[Table],"&gt;=60430",BalanceN[Table],"&lt;60440")</f>
        <v>0</v>
      </c>
      <c r="H31" s="464">
        <f>SUMIFS(BalanceN1[BS_Debit],BalanceN1[Table],"&gt;=60430",BalanceN1[Table],"&lt;60440")-SUMIFS(BalanceN1[BS_Credit],BalanceN1[Table],"&gt;=60430",BalanceN1[Table],"&lt;60440")</f>
        <v>1144000</v>
      </c>
      <c r="I31" s="464">
        <f t="shared" si="2"/>
        <v>-1144000</v>
      </c>
      <c r="J31" s="465">
        <f t="shared" si="1"/>
        <v>-1</v>
      </c>
    </row>
    <row r="32" spans="1:10" ht="14.25" customHeight="1">
      <c r="A32" s="717">
        <v>6044</v>
      </c>
      <c r="B32" s="718" t="s">
        <v>2642</v>
      </c>
      <c r="C32" s="312"/>
      <c r="D32" s="312"/>
      <c r="E32" s="312"/>
      <c r="F32" s="719"/>
      <c r="G32" s="464">
        <f>SUMIFS(BalanceN[BS_Debit],BalanceN[Table],"&gt;=60440",BalanceN[Table],"&lt;60450")-SUMIFS(BalanceN[BS_Credit],BalanceN[Table],"&gt;=60440",BalanceN[Table],"&lt;60450")</f>
        <v>0</v>
      </c>
      <c r="H32" s="464">
        <f>SUMIFS(BalanceN1[BS_Debit],BalanceN1[Table],"&gt;=60440",BalanceN1[Table],"&lt;60450")-SUMIFS(BalanceN1[BS_Credit],BalanceN1[Table],"&gt;=60440",BalanceN1[Table],"&lt;60450")</f>
        <v>0</v>
      </c>
      <c r="I32" s="464">
        <f t="shared" si="2"/>
        <v>0</v>
      </c>
      <c r="J32" s="465" t="str">
        <f t="shared" si="1"/>
        <v/>
      </c>
    </row>
    <row r="33" spans="1:10" ht="14.25" customHeight="1">
      <c r="A33" s="717">
        <v>6045</v>
      </c>
      <c r="B33" s="718" t="s">
        <v>2632</v>
      </c>
      <c r="C33" s="312"/>
      <c r="D33" s="312"/>
      <c r="E33" s="312"/>
      <c r="F33" s="719"/>
      <c r="G33" s="464">
        <f>SUMIFS(BalanceN[BS_Debit],BalanceN[Table],"&gt;=60450",BalanceN[Table],"&lt;60460")-SUMIFS(BalanceN[BS_Credit],BalanceN[Table],"&gt;=60450",BalanceN[Table],"&lt;60460")</f>
        <v>0</v>
      </c>
      <c r="H33" s="464">
        <f>SUMIFS(BalanceN1[BS_Debit],BalanceN1[Table],"&gt;=60450",BalanceN1[Table],"&lt;60460")-SUMIFS(BalanceN1[BS_Credit],BalanceN1[Table],"&gt;=60450",BalanceN1[Table],"&lt;60460")</f>
        <v>0</v>
      </c>
      <c r="I33" s="464">
        <f t="shared" si="2"/>
        <v>0</v>
      </c>
      <c r="J33" s="465" t="str">
        <f t="shared" si="1"/>
        <v/>
      </c>
    </row>
    <row r="34" spans="1:10" ht="14.25" customHeight="1">
      <c r="A34" s="717">
        <v>6046</v>
      </c>
      <c r="B34" s="718" t="s">
        <v>2643</v>
      </c>
      <c r="C34" s="312"/>
      <c r="D34" s="312"/>
      <c r="E34" s="312"/>
      <c r="F34" s="719"/>
      <c r="G34" s="464">
        <f>SUMIFS(BalanceN[BS_Debit],BalanceN[Table],"&gt;=60460",BalanceN[Table],"&lt;60470")-SUMIFS(BalanceN[BS_Credit],BalanceN[Table],"&gt;=60460",BalanceN[Table],"&lt;60470")</f>
        <v>0</v>
      </c>
      <c r="H34" s="464">
        <f>SUMIFS(BalanceN1[BS_Debit],BalanceN1[Table],"&gt;=60460",BalanceN1[Table],"&lt;60470")-SUMIFS(BalanceN1[BS_Credit],BalanceN1[Table],"&gt;=60460",BalanceN1[Table],"&lt;60470")</f>
        <v>0</v>
      </c>
      <c r="I34" s="464">
        <f t="shared" si="2"/>
        <v>0</v>
      </c>
      <c r="J34" s="465" t="str">
        <f t="shared" si="1"/>
        <v/>
      </c>
    </row>
    <row r="35" spans="1:10" ht="14.25" customHeight="1">
      <c r="A35" s="717">
        <v>6047</v>
      </c>
      <c r="B35" s="718" t="s">
        <v>2644</v>
      </c>
      <c r="C35" s="312"/>
      <c r="D35" s="312"/>
      <c r="E35" s="312"/>
      <c r="F35" s="719"/>
      <c r="G35" s="464">
        <f>SUMIFS(BalanceN[BS_Debit],BalanceN[Table],"&gt;=60470",BalanceN[Table],"&lt;60480")-SUMIFS(BalanceN[BS_Credit],BalanceN[Table],"&gt;=60470",BalanceN[Table],"&lt;60480")</f>
        <v>0</v>
      </c>
      <c r="H35" s="464">
        <f>SUMIFS(BalanceN1[BS_Debit],BalanceN1[Table],"&gt;=60470",BalanceN1[Table],"&lt;60480")-SUMIFS(BalanceN1[BS_Credit],BalanceN1[Table],"&gt;=60470",BalanceN1[Table],"&lt;60480")</f>
        <v>0</v>
      </c>
      <c r="I35" s="464">
        <f t="shared" si="2"/>
        <v>0</v>
      </c>
      <c r="J35" s="465" t="str">
        <f t="shared" si="1"/>
        <v/>
      </c>
    </row>
    <row r="36" spans="1:10" ht="14.25" customHeight="1">
      <c r="A36" s="717">
        <v>6049</v>
      </c>
      <c r="B36" s="718" t="s">
        <v>2633</v>
      </c>
      <c r="C36" s="312"/>
      <c r="D36" s="312"/>
      <c r="E36" s="312"/>
      <c r="F36" s="719"/>
      <c r="G36" s="464">
        <f>SUMIFS(BalanceN[BS_Debit],BalanceN[Table],"&gt;=60490",BalanceN[Table],"&lt;60500")-SUMIFS(BalanceN[BS_Credit],BalanceN[Table],"&gt;=60490",BalanceN[Table],"&lt;60500")</f>
        <v>0</v>
      </c>
      <c r="H36" s="464">
        <f>SUMIFS(BalanceN1[BS_Debit],BalanceN1[Table],"&gt;=60490",BalanceN1[Table],"&lt;60500")-SUMIFS(BalanceN1[BS_Credit],BalanceN1[Table],"&gt;=60490",BalanceN1[Table],"&lt;60500")</f>
        <v>0</v>
      </c>
      <c r="I36" s="464">
        <f t="shared" si="2"/>
        <v>0</v>
      </c>
      <c r="J36" s="465" t="str">
        <f t="shared" si="1"/>
        <v/>
      </c>
    </row>
    <row r="37" spans="1:10" ht="14.25" customHeight="1">
      <c r="A37" s="717">
        <v>6051</v>
      </c>
      <c r="B37" s="718" t="s">
        <v>2645</v>
      </c>
      <c r="C37" s="312"/>
      <c r="D37" s="312"/>
      <c r="E37" s="312"/>
      <c r="F37" s="719"/>
      <c r="G37" s="464">
        <f>SUMIFS(BalanceN[BS_Debit],BalanceN[Table],"&gt;=60510",BalanceN[Table],"&lt;60520")-SUMIFS(BalanceN[BS_Credit],BalanceN[Table],"&gt;=60510",BalanceN[Table],"&lt;60520")</f>
        <v>5507820</v>
      </c>
      <c r="H37" s="464">
        <f>SUMIFS(BalanceN1[BS_Debit],BalanceN1[Table],"&gt;=60510",BalanceN1[Table],"&lt;60520")-SUMIFS(BalanceN1[BS_Credit],BalanceN1[Table],"&gt;=60510",BalanceN1[Table],"&lt;60520")</f>
        <v>4659249</v>
      </c>
      <c r="I37" s="464">
        <f t="shared" si="2"/>
        <v>848571</v>
      </c>
      <c r="J37" s="465">
        <f t="shared" si="1"/>
        <v>0.18212613234450445</v>
      </c>
    </row>
    <row r="38" spans="1:10" ht="14.25" customHeight="1">
      <c r="A38" s="717">
        <v>6052</v>
      </c>
      <c r="B38" s="718" t="s">
        <v>2646</v>
      </c>
      <c r="C38" s="312"/>
      <c r="D38" s="312"/>
      <c r="E38" s="312"/>
      <c r="F38" s="719"/>
      <c r="G38" s="464">
        <f>SUMIFS(BalanceN[BS_Debit],BalanceN[Table],"&gt;=60520",BalanceN[Table],"&lt;60530")-SUMIFS(BalanceN[BS_Credit],BalanceN[Table],"&gt;=60520",BalanceN[Table],"&lt;60530")</f>
        <v>23946351</v>
      </c>
      <c r="H38" s="464">
        <f>SUMIFS(BalanceN1[BS_Debit],BalanceN1[Table],"&gt;=60520",BalanceN1[Table],"&lt;60530")-SUMIFS(BalanceN1[BS_Credit],BalanceN1[Table],"&gt;=60520",BalanceN1[Table],"&lt;60530")</f>
        <v>21760619</v>
      </c>
      <c r="I38" s="464">
        <f t="shared" si="2"/>
        <v>2185732</v>
      </c>
      <c r="J38" s="465">
        <f t="shared" si="1"/>
        <v>0.10044438533664875</v>
      </c>
    </row>
    <row r="39" spans="1:10" ht="14.25" customHeight="1">
      <c r="A39" s="717">
        <v>6053</v>
      </c>
      <c r="B39" s="718" t="s">
        <v>2647</v>
      </c>
      <c r="C39" s="312"/>
      <c r="D39" s="312"/>
      <c r="E39" s="312"/>
      <c r="F39" s="719"/>
      <c r="G39" s="464">
        <f>SUMIFS(BalanceN[BS_Debit],BalanceN[Table],"&gt;=60530",BalanceN[Table],"&lt;60540")-SUMIFS(BalanceN[BS_Credit],BalanceN[Table],"&gt;=60530",BalanceN[Table],"&lt;60540")</f>
        <v>0</v>
      </c>
      <c r="H39" s="464">
        <f>SUMIFS(BalanceN1[BS_Debit],BalanceN1[Table],"&gt;=60530",BalanceN1[Table],"&lt;60540")-SUMIFS(BalanceN1[BS_Credit],BalanceN1[Table],"&gt;=60530",BalanceN1[Table],"&lt;60540")</f>
        <v>0</v>
      </c>
      <c r="I39" s="464">
        <f t="shared" si="2"/>
        <v>0</v>
      </c>
      <c r="J39" s="465" t="str">
        <f t="shared" si="1"/>
        <v/>
      </c>
    </row>
    <row r="40" spans="1:10" ht="14.25" customHeight="1">
      <c r="A40" s="717">
        <v>6054</v>
      </c>
      <c r="B40" s="718" t="s">
        <v>2648</v>
      </c>
      <c r="C40" s="312"/>
      <c r="D40" s="312"/>
      <c r="E40" s="312"/>
      <c r="F40" s="719"/>
      <c r="G40" s="464">
        <f>SUMIFS(BalanceN[BS_Debit],BalanceN[Table],"&gt;=60540",BalanceN[Table],"&lt;60550")-SUMIFS(BalanceN[BS_Credit],BalanceN[Table],"&gt;=60540",BalanceN[Table],"&lt;60550")</f>
        <v>3983103</v>
      </c>
      <c r="H40" s="464">
        <f>SUMIFS(BalanceN1[BS_Debit],BalanceN1[Table],"&gt;=60540",BalanceN1[Table],"&lt;60550")-SUMIFS(BalanceN1[BS_Credit],BalanceN1[Table],"&gt;=60540",BalanceN1[Table],"&lt;60550")</f>
        <v>2179626</v>
      </c>
      <c r="I40" s="464">
        <f t="shared" si="2"/>
        <v>1803477</v>
      </c>
      <c r="J40" s="465">
        <f t="shared" si="1"/>
        <v>0.8274249802489051</v>
      </c>
    </row>
    <row r="41" spans="1:10" ht="14.25" customHeight="1">
      <c r="A41" s="717">
        <v>6055</v>
      </c>
      <c r="B41" s="718" t="s">
        <v>2649</v>
      </c>
      <c r="C41" s="312"/>
      <c r="D41" s="312"/>
      <c r="E41" s="312"/>
      <c r="F41" s="719"/>
      <c r="G41" s="464">
        <f>SUMIFS(BalanceN[BS_Debit],BalanceN[Table],"&gt;=60550",BalanceN[Table],"&lt;60560")-SUMIFS(BalanceN[BS_Credit],BalanceN[Table],"&gt;=60550",BalanceN[Table],"&lt;60560")</f>
        <v>4273500</v>
      </c>
      <c r="H41" s="464">
        <f>SUMIFS(BalanceN1[BS_Debit],BalanceN1[Table],"&gt;=60550",BalanceN1[Table],"&lt;60560")-SUMIFS(BalanceN1[BS_Credit],BalanceN1[Table],"&gt;=60550",BalanceN1[Table],"&lt;60560")</f>
        <v>5034950</v>
      </c>
      <c r="I41" s="464">
        <f t="shared" si="2"/>
        <v>-761450</v>
      </c>
      <c r="J41" s="465">
        <f t="shared" si="1"/>
        <v>-0.15123288215374531</v>
      </c>
    </row>
    <row r="42" spans="1:10" ht="14.25" customHeight="1">
      <c r="A42" s="717">
        <v>6056</v>
      </c>
      <c r="B42" s="718" t="s">
        <v>2650</v>
      </c>
      <c r="C42" s="312"/>
      <c r="D42" s="312"/>
      <c r="E42" s="312"/>
      <c r="F42" s="719"/>
      <c r="G42" s="464">
        <f>SUMIFS(BalanceN[BS_Debit],BalanceN[Table],"&gt;=60560",BalanceN[Table],"&lt;60570")-SUMIFS(BalanceN[BS_Credit],BalanceN[Table],"&gt;=60560",BalanceN[Table],"&lt;60570")</f>
        <v>13718052</v>
      </c>
      <c r="H42" s="464">
        <f>SUMIFS(BalanceN1[BS_Debit],BalanceN1[Table],"&gt;=60560",BalanceN1[Table],"&lt;60570")-SUMIFS(BalanceN1[BS_Credit],BalanceN1[Table],"&gt;=60560",BalanceN1[Table],"&lt;60570")</f>
        <v>11441377</v>
      </c>
      <c r="I42" s="464">
        <f t="shared" si="2"/>
        <v>2276675</v>
      </c>
      <c r="J42" s="465">
        <f t="shared" si="1"/>
        <v>0.19898610106108733</v>
      </c>
    </row>
    <row r="43" spans="1:10" ht="14.25" customHeight="1">
      <c r="A43" s="717">
        <v>6057</v>
      </c>
      <c r="B43" s="718" t="s">
        <v>2651</v>
      </c>
      <c r="C43" s="312"/>
      <c r="D43" s="312"/>
      <c r="E43" s="312"/>
      <c r="F43" s="719"/>
      <c r="G43" s="464">
        <f>SUMIFS(BalanceN[BS_Debit],BalanceN[Table],"&gt;=60570",BalanceN[Table],"&lt;60580")-SUMIFS(BalanceN[BS_Credit],BalanceN[Table],"&gt;=60570",BalanceN[Table],"&lt;60580")</f>
        <v>12000</v>
      </c>
      <c r="H43" s="464">
        <f>SUMIFS(BalanceN1[BS_Debit],BalanceN1[Table],"&gt;=60570",BalanceN1[Table],"&lt;60580")-SUMIFS(BalanceN1[BS_Credit],BalanceN1[Table],"&gt;=60570",BalanceN1[Table],"&lt;60580")</f>
        <v>505000</v>
      </c>
      <c r="I43" s="464">
        <f t="shared" si="2"/>
        <v>-493000</v>
      </c>
      <c r="J43" s="465">
        <f t="shared" si="1"/>
        <v>-0.97623762376237622</v>
      </c>
    </row>
    <row r="44" spans="1:10" ht="14.25" customHeight="1">
      <c r="A44" s="717">
        <v>6058</v>
      </c>
      <c r="B44" s="718" t="s">
        <v>2652</v>
      </c>
      <c r="C44" s="312"/>
      <c r="D44" s="312"/>
      <c r="E44" s="312"/>
      <c r="F44" s="719"/>
      <c r="G44" s="464">
        <f>SUMIFS(BalanceN[BS_Debit],BalanceN[Table],"&gt;=60580",BalanceN[Table],"&lt;60590")-SUMIFS(BalanceN[BS_Credit],BalanceN[Table],"&gt;=60580",BalanceN[Table],"&lt;60590")</f>
        <v>0</v>
      </c>
      <c r="H44" s="464">
        <f>SUMIFS(BalanceN1[BS_Debit],BalanceN1[Table],"&gt;=60580",BalanceN1[Table],"&lt;60590")-SUMIFS(BalanceN1[BS_Credit],BalanceN1[Table],"&gt;=60580",BalanceN1[Table],"&lt;60590")</f>
        <v>420025</v>
      </c>
      <c r="I44" s="464">
        <f t="shared" si="2"/>
        <v>-420025</v>
      </c>
      <c r="J44" s="465">
        <f t="shared" si="1"/>
        <v>-1</v>
      </c>
    </row>
    <row r="45" spans="1:10" ht="14.25" customHeight="1">
      <c r="A45" s="717">
        <v>6059</v>
      </c>
      <c r="B45" s="718" t="s">
        <v>2633</v>
      </c>
      <c r="C45" s="312"/>
      <c r="D45" s="312"/>
      <c r="E45" s="312"/>
      <c r="F45" s="719"/>
      <c r="G45" s="464">
        <f>SUMIFS(BalanceN[BS_Debit],BalanceN[Table],"&gt;=60590",BalanceN[Table],"&lt;60600")-SUMIFS(BalanceN[BS_Credit],BalanceN[Table],"&gt;=60590",BalanceN[Table],"&lt;60600")</f>
        <v>0</v>
      </c>
      <c r="H45" s="464">
        <f>SUMIFS(BalanceN1[BS_Debit],BalanceN1[Table],"&gt;=60590",BalanceN1[Table],"&lt;60600")-SUMIFS(BalanceN1[BS_Credit],BalanceN1[Table],"&gt;=60590",BalanceN1[Table],"&lt;60600")</f>
        <v>0</v>
      </c>
      <c r="I45" s="464">
        <f t="shared" si="2"/>
        <v>0</v>
      </c>
      <c r="J45" s="465" t="str">
        <f t="shared" si="1"/>
        <v/>
      </c>
    </row>
    <row r="46" spans="1:10" ht="14.25" customHeight="1">
      <c r="A46" s="717">
        <v>6081</v>
      </c>
      <c r="B46" s="718" t="s">
        <v>2653</v>
      </c>
      <c r="C46" s="312"/>
      <c r="D46" s="312"/>
      <c r="E46" s="312"/>
      <c r="F46" s="719"/>
      <c r="G46" s="464">
        <f>SUMIFS(BalanceN[BS_Debit],BalanceN[Table],"&gt;=60810",BalanceN[Table],"&lt;60820")-SUMIFS(BalanceN[BS_Credit],BalanceN[Table],"&gt;=60810",BalanceN[Table],"&lt;60820")</f>
        <v>95566657</v>
      </c>
      <c r="H46" s="464">
        <f>SUMIFS(BalanceN1[BS_Debit],BalanceN1[Table],"&gt;=60810",BalanceN1[Table],"&lt;60820")-SUMIFS(BalanceN1[BS_Credit],BalanceN1[Table],"&gt;=60810",BalanceN1[Table],"&lt;60820")</f>
        <v>101292095</v>
      </c>
      <c r="I46" s="464">
        <f t="shared" si="2"/>
        <v>-5725438</v>
      </c>
      <c r="J46" s="465">
        <f t="shared" si="1"/>
        <v>-5.6524035760144954E-2</v>
      </c>
    </row>
    <row r="47" spans="1:10" ht="14.25" customHeight="1">
      <c r="A47" s="717">
        <v>6082</v>
      </c>
      <c r="B47" s="718" t="s">
        <v>2654</v>
      </c>
      <c r="C47" s="312"/>
      <c r="D47" s="312"/>
      <c r="E47" s="312"/>
      <c r="F47" s="719"/>
      <c r="G47" s="464">
        <f>SUMIFS(BalanceN[BS_Debit],BalanceN[Table],"&gt;=60820",BalanceN[Table],"&lt;60830")-SUMIFS(BalanceN[BS_Credit],BalanceN[Table],"&gt;=60820",BalanceN[Table],"&lt;60830")</f>
        <v>0</v>
      </c>
      <c r="H47" s="464">
        <f>SUMIFS(BalanceN1[BS_Debit],BalanceN1[Table],"&gt;=60820",BalanceN1[Table],"&lt;60830")-SUMIFS(BalanceN1[BS_Credit],BalanceN1[Table],"&gt;=60820",BalanceN1[Table],"&lt;60830")</f>
        <v>0</v>
      </c>
      <c r="I47" s="464">
        <f t="shared" si="2"/>
        <v>0</v>
      </c>
      <c r="J47" s="465" t="str">
        <f t="shared" si="1"/>
        <v/>
      </c>
    </row>
    <row r="48" spans="1:10" ht="14.25" customHeight="1">
      <c r="A48" s="717">
        <v>6083</v>
      </c>
      <c r="B48" s="718" t="s">
        <v>2655</v>
      </c>
      <c r="C48" s="312"/>
      <c r="D48" s="312"/>
      <c r="E48" s="312"/>
      <c r="F48" s="719"/>
      <c r="G48" s="464">
        <f>SUMIFS(BalanceN[BS_Debit],BalanceN[Table],"&gt;=60830",BalanceN[Table],"&lt;60840")-SUMIFS(BalanceN[BS_Credit],BalanceN[Table],"&gt;=60830",BalanceN[Table],"&lt;60840")</f>
        <v>0</v>
      </c>
      <c r="H48" s="464">
        <f>SUMIFS(BalanceN1[BS_Debit],BalanceN1[Table],"&gt;=60830",BalanceN1[Table],"&lt;60840")-SUMIFS(BalanceN1[BS_Credit],BalanceN1[Table],"&gt;=60830",BalanceN1[Table],"&lt;60840")</f>
        <v>0</v>
      </c>
      <c r="I48" s="464">
        <f t="shared" si="2"/>
        <v>0</v>
      </c>
      <c r="J48" s="465" t="str">
        <f t="shared" si="1"/>
        <v/>
      </c>
    </row>
    <row r="49" spans="1:10" ht="14.25" customHeight="1">
      <c r="A49" s="717">
        <v>6085</v>
      </c>
      <c r="B49" s="718" t="s">
        <v>2632</v>
      </c>
      <c r="C49" s="312"/>
      <c r="D49" s="312"/>
      <c r="E49" s="312"/>
      <c r="F49" s="719"/>
      <c r="G49" s="464">
        <f>SUMIFS(BalanceN[BS_Debit],BalanceN[Table],"&gt;=60850",BalanceN[Table],"&lt;60860")-SUMIFS(BalanceN[BS_Credit],BalanceN[Table],"&gt;=60850",BalanceN[Table],"&lt;60860")</f>
        <v>0</v>
      </c>
      <c r="H49" s="464">
        <f>SUMIFS(BalanceN1[BS_Debit],BalanceN1[Table],"&gt;=60850",BalanceN1[Table],"&lt;60860")-SUMIFS(BalanceN1[BS_Credit],BalanceN1[Table],"&gt;=60850",BalanceN1[Table],"&lt;60860")</f>
        <v>0</v>
      </c>
      <c r="I49" s="464">
        <f t="shared" si="2"/>
        <v>0</v>
      </c>
      <c r="J49" s="465" t="str">
        <f t="shared" si="1"/>
        <v/>
      </c>
    </row>
    <row r="50" spans="1:10" ht="14.25" customHeight="1" thickBot="1">
      <c r="A50" s="717">
        <v>6089</v>
      </c>
      <c r="B50" s="718" t="s">
        <v>2633</v>
      </c>
      <c r="C50" s="312"/>
      <c r="D50" s="312"/>
      <c r="E50" s="312"/>
      <c r="F50" s="719"/>
      <c r="G50" s="462">
        <f>SUMIFS(BalanceN[BS_Debit],BalanceN[Table],"&gt;=60890",BalanceN[Table],"&lt;60900")-SUMIFS(BalanceN[BS_Credit],BalanceN[Table],"&gt;=60890",BalanceN[Table],"&lt;60900")</f>
        <v>0</v>
      </c>
      <c r="H50" s="462">
        <f>SUMIFS(BalanceN1[BS_Debit],BalanceN1[Table],"&gt;=60890",BalanceN1[Table],"&lt;60900")-SUMIFS(BalanceN1[BS_Credit],BalanceN1[Table],"&gt;=60890",BalanceN1[Table],"&lt;60900")</f>
        <v>0</v>
      </c>
      <c r="I50" s="462">
        <f t="shared" si="2"/>
        <v>0</v>
      </c>
      <c r="J50" s="463" t="str">
        <f t="shared" si="1"/>
        <v/>
      </c>
    </row>
    <row r="51" spans="1:10" ht="14.25" customHeight="1" thickTop="1" thickBot="1">
      <c r="A51" s="720" t="s">
        <v>1296</v>
      </c>
      <c r="B51" s="721"/>
      <c r="C51" s="722" t="s">
        <v>1297</v>
      </c>
      <c r="D51" s="312"/>
      <c r="E51" s="312"/>
      <c r="F51" s="719"/>
      <c r="G51" s="466">
        <f>SUM(G29:G50)</f>
        <v>158266959</v>
      </c>
      <c r="H51" s="466">
        <f>SUM(H29:H50)</f>
        <v>161120517</v>
      </c>
      <c r="I51" s="466">
        <f>G51-H51</f>
        <v>-2853558</v>
      </c>
      <c r="J51" s="467">
        <f t="shared" si="1"/>
        <v>-1.7710705334938816E-2</v>
      </c>
    </row>
    <row r="52" spans="1:10" ht="14.25" customHeight="1" thickTop="1" thickBot="1">
      <c r="A52" s="717">
        <v>6033</v>
      </c>
      <c r="B52" s="718" t="s">
        <v>2656</v>
      </c>
      <c r="C52" s="312"/>
      <c r="D52" s="312"/>
      <c r="E52" s="312"/>
      <c r="F52" s="719"/>
      <c r="G52" s="468">
        <f>SUMIFS(BalanceN[BS_Debit],BalanceN[Table],"&gt;=60330",BalanceN[Table],"&lt;60340")-SUMIFS(BalanceN[BS_Credit],BalanceN[Table],"&gt;=60330",BalanceN[Table],"&lt;60340")</f>
        <v>2414711</v>
      </c>
      <c r="H52" s="468">
        <f>SUMIFS(BalanceN1[BS_Debit],BalanceN1[Table],"&gt;=60330",BalanceN1[Table],"&lt;60340")-SUMIFS(BalanceN1[BS_Credit],BalanceN1[Table],"&gt;=60330",BalanceN1[Table],"&lt;60340")</f>
        <v>-1884647</v>
      </c>
      <c r="I52" s="468">
        <f t="shared" si="2"/>
        <v>4299358</v>
      </c>
      <c r="J52" s="467">
        <f t="shared" si="1"/>
        <v>-2.2812537308047607</v>
      </c>
    </row>
    <row r="53" spans="1:10" ht="14.25" customHeight="1" thickTop="1" thickBot="1">
      <c r="A53" s="720" t="s">
        <v>1298</v>
      </c>
      <c r="B53" s="721"/>
      <c r="C53" s="722" t="s">
        <v>2657</v>
      </c>
      <c r="D53" s="312"/>
      <c r="E53" s="312"/>
      <c r="F53" s="719"/>
      <c r="G53" s="466">
        <f>G52</f>
        <v>2414711</v>
      </c>
      <c r="H53" s="466">
        <f>H52</f>
        <v>-1884647</v>
      </c>
      <c r="I53" s="466">
        <f>G53-H53</f>
        <v>4299358</v>
      </c>
      <c r="J53" s="467">
        <f t="shared" si="1"/>
        <v>-2.2812537308047607</v>
      </c>
    </row>
    <row r="54" spans="1:10" ht="14.25" customHeight="1" thickTop="1">
      <c r="A54" s="717">
        <v>612</v>
      </c>
      <c r="B54" s="718" t="s">
        <v>2187</v>
      </c>
      <c r="C54" s="312"/>
      <c r="D54" s="312"/>
      <c r="E54" s="312"/>
      <c r="F54" s="719"/>
      <c r="G54" s="462">
        <f>SUMIFS(BalanceN[BS_Debit],BalanceN[Table],"&gt;=61200",BalanceN[Table],"&lt;61300")-SUMIFS(BalanceN[BS_Credit],BalanceN[Table],"&gt;=61200",BalanceN[Table],"&lt;61300")</f>
        <v>323526071</v>
      </c>
      <c r="H54" s="462">
        <f>SUMIFS(BalanceN1[BS_Debit],BalanceN1[Table],"&gt;=61200",BalanceN1[Table],"&lt;61300")-SUMIFS(BalanceN1[BS_Credit],BalanceN1[Table],"&gt;=61200",BalanceN1[Table],"&lt;61300")</f>
        <v>327994361</v>
      </c>
      <c r="I54" s="462">
        <f t="shared" si="2"/>
        <v>-4468290</v>
      </c>
      <c r="J54" s="463">
        <f t="shared" si="1"/>
        <v>-1.3623069574662597E-2</v>
      </c>
    </row>
    <row r="55" spans="1:10" ht="14.25" customHeight="1">
      <c r="A55" s="717">
        <v>613</v>
      </c>
      <c r="B55" s="718" t="s">
        <v>2188</v>
      </c>
      <c r="C55" s="312"/>
      <c r="D55" s="312"/>
      <c r="E55" s="312"/>
      <c r="F55" s="719"/>
      <c r="G55" s="464">
        <f>SUMIFS(BalanceN[BS_Debit],BalanceN[Table],"&gt;=61300",BalanceN[Table],"&lt;61400")-SUMIFS(BalanceN[BS_Credit],BalanceN[Table],"&gt;=61300",BalanceN[Table],"&lt;61400")</f>
        <v>0</v>
      </c>
      <c r="H55" s="464">
        <f>SUMIFS(BalanceN1[BS_Debit],BalanceN1[Table],"&gt;=61300",BalanceN1[Table],"&lt;61400")-SUMIFS(BalanceN1[BS_Credit],BalanceN1[Table],"&gt;=61300",BalanceN1[Table],"&lt;61400")</f>
        <v>0</v>
      </c>
      <c r="I55" s="464">
        <f t="shared" si="2"/>
        <v>0</v>
      </c>
      <c r="J55" s="465" t="str">
        <f t="shared" si="1"/>
        <v/>
      </c>
    </row>
    <row r="56" spans="1:10" ht="14.25" customHeight="1">
      <c r="A56" s="717">
        <v>614</v>
      </c>
      <c r="B56" s="718" t="s">
        <v>2658</v>
      </c>
      <c r="C56" s="312"/>
      <c r="D56" s="312"/>
      <c r="E56" s="312"/>
      <c r="F56" s="719"/>
      <c r="G56" s="464">
        <f>SUMIFS(BalanceN[BS_Debit],BalanceN[Table],"&gt;=61400",BalanceN[Table],"&lt;61500")-SUMIFS(BalanceN[BS_Credit],BalanceN[Table],"&gt;=61400",BalanceN[Table],"&lt;61500")</f>
        <v>0</v>
      </c>
      <c r="H56" s="464">
        <f>SUMIFS(BalanceN1[BS_Debit],BalanceN1[Table],"&gt;=61400",BalanceN1[Table],"&lt;61500")-SUMIFS(BalanceN1[BS_Credit],BalanceN1[Table],"&gt;=61400",BalanceN1[Table],"&lt;61500")</f>
        <v>0</v>
      </c>
      <c r="I56" s="464">
        <f t="shared" si="2"/>
        <v>0</v>
      </c>
      <c r="J56" s="465" t="str">
        <f t="shared" si="1"/>
        <v/>
      </c>
    </row>
    <row r="57" spans="1:10" ht="14.25" customHeight="1">
      <c r="A57" s="717">
        <v>616</v>
      </c>
      <c r="B57" s="718" t="s">
        <v>2190</v>
      </c>
      <c r="C57" s="312"/>
      <c r="D57" s="312"/>
      <c r="E57" s="312"/>
      <c r="F57" s="719"/>
      <c r="G57" s="464">
        <f>SUMIFS(BalanceN[BS_Debit],BalanceN[Table],"&gt;=61600",BalanceN[Table],"&lt;61700")-SUMIFS(BalanceN[BS_Credit],BalanceN[Table],"&gt;=61600",BalanceN[Table],"&lt;61700")</f>
        <v>0</v>
      </c>
      <c r="H57" s="464">
        <f>SUMIFS(BalanceN1[BS_Debit],BalanceN1[Table],"&gt;=61600",BalanceN1[Table],"&lt;61700")-SUMIFS(BalanceN1[BS_Credit],BalanceN1[Table],"&gt;=61600",BalanceN1[Table],"&lt;61700")</f>
        <v>86870</v>
      </c>
      <c r="I57" s="464">
        <f t="shared" si="2"/>
        <v>-86870</v>
      </c>
      <c r="J57" s="465">
        <f t="shared" si="1"/>
        <v>-1</v>
      </c>
    </row>
    <row r="58" spans="1:10" ht="14.25" customHeight="1">
      <c r="A58" s="717">
        <v>6181</v>
      </c>
      <c r="B58" s="718" t="s">
        <v>2659</v>
      </c>
      <c r="C58" s="312"/>
      <c r="D58" s="312"/>
      <c r="E58" s="312"/>
      <c r="F58" s="719"/>
      <c r="G58" s="464">
        <f>SUMIFS(BalanceN[BS_Debit],BalanceN[Table],"&gt;=61810",BalanceN[Table],"&lt;61820")-SUMIFS(BalanceN[BS_Credit],BalanceN[Table],"&gt;=61810",BalanceN[Table],"&lt;61820")</f>
        <v>3958126</v>
      </c>
      <c r="H58" s="464">
        <f>SUMIFS(BalanceN1[BS_Debit],BalanceN1[Table],"&gt;=61810",BalanceN1[Table],"&lt;61820")-SUMIFS(BalanceN1[BS_Credit],BalanceN1[Table],"&gt;=61810",BalanceN1[Table],"&lt;61820")</f>
        <v>306500</v>
      </c>
      <c r="I58" s="464">
        <f t="shared" si="2"/>
        <v>3651626</v>
      </c>
      <c r="J58" s="465">
        <f t="shared" si="1"/>
        <v>11.91395106035889</v>
      </c>
    </row>
    <row r="59" spans="1:10" ht="14.25" customHeight="1">
      <c r="A59" s="717">
        <v>6182</v>
      </c>
      <c r="B59" s="718" t="s">
        <v>2660</v>
      </c>
      <c r="C59" s="312"/>
      <c r="D59" s="312"/>
      <c r="E59" s="312"/>
      <c r="F59" s="719"/>
      <c r="G59" s="464">
        <f>SUMIFS(BalanceN[BS_Debit],BalanceN[Table],"&gt;=61820",BalanceN[Table],"&lt;61830")-SUMIFS(BalanceN[BS_Credit],BalanceN[Table],"&gt;=61820",BalanceN[Table],"&lt;61830")</f>
        <v>0</v>
      </c>
      <c r="H59" s="464">
        <f>SUMIFS(BalanceN1[BS_Debit],BalanceN1[Table],"&gt;=61820",BalanceN1[Table],"&lt;61830")-SUMIFS(BalanceN1[BS_Credit],BalanceN1[Table],"&gt;=61820",BalanceN1[Table],"&lt;61830")</f>
        <v>0</v>
      </c>
      <c r="I59" s="464">
        <f t="shared" si="2"/>
        <v>0</v>
      </c>
      <c r="J59" s="465" t="str">
        <f t="shared" si="1"/>
        <v/>
      </c>
    </row>
    <row r="60" spans="1:10" ht="14.25" customHeight="1">
      <c r="A60" s="717">
        <v>6183</v>
      </c>
      <c r="B60" s="718" t="s">
        <v>2193</v>
      </c>
      <c r="C60" s="312"/>
      <c r="D60" s="312"/>
      <c r="E60" s="312"/>
      <c r="F60" s="719"/>
      <c r="G60" s="464">
        <f>SUMIFS(BalanceN[BS_Debit],BalanceN[Table],"&gt;=61830",BalanceN[Table],"&lt;61840")-SUMIFS(BalanceN[BS_Credit],BalanceN[Table],"&gt;=61830",BalanceN[Table],"&lt;61840")</f>
        <v>1662475</v>
      </c>
      <c r="H60" s="464">
        <f>SUMIFS(BalanceN1[BS_Debit],BalanceN1[Table],"&gt;=61830",BalanceN1[Table],"&lt;61840")-SUMIFS(BalanceN1[BS_Credit],BalanceN1[Table],"&gt;=61830",BalanceN1[Table],"&lt;61840")</f>
        <v>685825</v>
      </c>
      <c r="I60" s="464">
        <f t="shared" si="2"/>
        <v>976650</v>
      </c>
      <c r="J60" s="465">
        <f t="shared" si="1"/>
        <v>1.4240513250464768</v>
      </c>
    </row>
    <row r="61" spans="1:10" ht="14.25" customHeight="1" thickBot="1">
      <c r="A61" s="717">
        <v>619</v>
      </c>
      <c r="B61" s="718" t="s">
        <v>2633</v>
      </c>
      <c r="C61" s="674"/>
      <c r="D61" s="674"/>
      <c r="E61" s="674"/>
      <c r="F61" s="723"/>
      <c r="G61" s="469">
        <f>SUMIFS(BalanceN[BS_Debit],BalanceN[Table],"&gt;=61900",BalanceN[Table],"&lt;62000")-SUMIFS(BalanceN[BS_Credit],BalanceN[Table],"&gt;=61900",BalanceN[Table],"&lt;62000")</f>
        <v>0</v>
      </c>
      <c r="H61" s="469">
        <f>SUMIFS(BalanceN1[BS_Debit],BalanceN1[Table],"&gt;=61900",BalanceN1[Table],"&lt;62000")-SUMIFS(BalanceN1[BS_Credit],BalanceN1[Table],"&gt;=61900",BalanceN1[Table],"&lt;62000")</f>
        <v>0</v>
      </c>
      <c r="I61" s="469">
        <f t="shared" si="2"/>
        <v>0</v>
      </c>
      <c r="J61" s="465" t="str">
        <f t="shared" si="1"/>
        <v/>
      </c>
    </row>
    <row r="62" spans="1:10" ht="14.25" customHeight="1" thickTop="1" thickBot="1">
      <c r="A62" s="720" t="s">
        <v>1300</v>
      </c>
      <c r="B62" s="721"/>
      <c r="C62" s="722" t="s">
        <v>1301</v>
      </c>
      <c r="D62" s="312"/>
      <c r="E62" s="312"/>
      <c r="F62" s="719"/>
      <c r="G62" s="466">
        <f>SUM(G54:G60)</f>
        <v>329146672</v>
      </c>
      <c r="H62" s="466">
        <f>SUM(H54:H60)</f>
        <v>329073556</v>
      </c>
      <c r="I62" s="466">
        <f>G62-H62</f>
        <v>73116</v>
      </c>
      <c r="J62" s="467">
        <f t="shared" si="1"/>
        <v>2.2218740663561553E-4</v>
      </c>
    </row>
    <row r="63" spans="1:10" ht="14.25" customHeight="1" thickTop="1">
      <c r="A63" s="717">
        <v>621</v>
      </c>
      <c r="B63" s="718" t="s">
        <v>2196</v>
      </c>
      <c r="C63" s="312"/>
      <c r="D63" s="312"/>
      <c r="E63" s="312"/>
      <c r="F63" s="719"/>
      <c r="G63" s="462">
        <f>SUMIFS(BalanceN[BS_Debit],BalanceN[Table],"&gt;=62100",BalanceN[Table],"&lt;62200")-SUMIFS(BalanceN[BS_Credit],BalanceN[Table],"&gt;=62100",BalanceN[Table],"&lt;62200")</f>
        <v>0</v>
      </c>
      <c r="H63" s="462">
        <f>SUMIFS(BalanceN1[BS_Debit],BalanceN1[Table],"&gt;=62100",BalanceN1[Table],"&lt;62200")-SUMIFS(BalanceN1[BS_Credit],BalanceN1[Table],"&gt;=62100",BalanceN1[Table],"&lt;62200")</f>
        <v>0</v>
      </c>
      <c r="I63" s="462">
        <f t="shared" si="2"/>
        <v>0</v>
      </c>
      <c r="J63" s="463" t="str">
        <f t="shared" si="1"/>
        <v/>
      </c>
    </row>
    <row r="64" spans="1:10" ht="14.25" customHeight="1">
      <c r="A64" s="717">
        <v>6221</v>
      </c>
      <c r="B64" s="718" t="s">
        <v>2661</v>
      </c>
      <c r="C64" s="312"/>
      <c r="D64" s="312"/>
      <c r="E64" s="312"/>
      <c r="F64" s="719"/>
      <c r="G64" s="464">
        <f>SUMIFS(BalanceN[BS_Debit],BalanceN[Table],"&gt;=62210",BalanceN[Table],"&lt;62220")-SUMIFS(BalanceN[BS_Credit],BalanceN[Table],"&gt;=62210",BalanceN[Table],"&lt;62220")</f>
        <v>0</v>
      </c>
      <c r="H64" s="464">
        <f>SUMIFS(BalanceN1[BS_Debit],BalanceN1[Table],"&gt;=62210",BalanceN1[Table],"&lt;62220")-SUMIFS(BalanceN1[BS_Credit],BalanceN1[Table],"&gt;=62210",BalanceN1[Table],"&lt;62220")</f>
        <v>0</v>
      </c>
      <c r="I64" s="464">
        <f t="shared" si="2"/>
        <v>0</v>
      </c>
      <c r="J64" s="465" t="str">
        <f t="shared" si="1"/>
        <v/>
      </c>
    </row>
    <row r="65" spans="1:10" ht="14.25" customHeight="1">
      <c r="A65" s="717">
        <v>6222</v>
      </c>
      <c r="B65" s="718" t="s">
        <v>2662</v>
      </c>
      <c r="C65" s="312"/>
      <c r="D65" s="312"/>
      <c r="E65" s="312"/>
      <c r="F65" s="719"/>
      <c r="G65" s="464">
        <f>SUMIFS(BalanceN[BS_Debit],BalanceN[Table],"&gt;=62220",BalanceN[Table],"&lt;62230")-SUMIFS(BalanceN[BS_Credit],BalanceN[Table],"&gt;=62220",BalanceN[Table],"&lt;62230")</f>
        <v>8400000</v>
      </c>
      <c r="H65" s="464">
        <f>SUMIFS(BalanceN1[BS_Debit],BalanceN1[Table],"&gt;=62220",BalanceN1[Table],"&lt;62230")-SUMIFS(BalanceN1[BS_Credit],BalanceN1[Table],"&gt;=62220",BalanceN1[Table],"&lt;62230")</f>
        <v>8163500</v>
      </c>
      <c r="I65" s="464">
        <f t="shared" si="2"/>
        <v>236500</v>
      </c>
      <c r="J65" s="465">
        <f t="shared" si="1"/>
        <v>2.897041710050836E-2</v>
      </c>
    </row>
    <row r="66" spans="1:10" ht="14.25" customHeight="1">
      <c r="A66" s="717">
        <v>6223</v>
      </c>
      <c r="B66" s="718" t="s">
        <v>2663</v>
      </c>
      <c r="C66" s="312"/>
      <c r="D66" s="312"/>
      <c r="E66" s="312"/>
      <c r="F66" s="719"/>
      <c r="G66" s="464">
        <f>SUMIFS(BalanceN[BS_Debit],BalanceN[Table],"&gt;=62230",BalanceN[Table],"&lt;62240")-SUMIFS(BalanceN[BS_Credit],BalanceN[Table],"&gt;=62230",BalanceN[Table],"&lt;62240")</f>
        <v>12125000</v>
      </c>
      <c r="H66" s="464">
        <f>SUMIFS(BalanceN1[BS_Debit],BalanceN1[Table],"&gt;=62230",BalanceN1[Table],"&lt;62240")-SUMIFS(BalanceN1[BS_Credit],BalanceN1[Table],"&gt;=62230",BalanceN1[Table],"&lt;62240")</f>
        <v>12720000</v>
      </c>
      <c r="I66" s="464">
        <f t="shared" si="2"/>
        <v>-595000</v>
      </c>
      <c r="J66" s="465">
        <f t="shared" si="1"/>
        <v>-4.6776729559748424E-2</v>
      </c>
    </row>
    <row r="67" spans="1:10" ht="14.25" customHeight="1">
      <c r="A67" s="717">
        <v>6224</v>
      </c>
      <c r="B67" s="718" t="s">
        <v>2664</v>
      </c>
      <c r="C67" s="312"/>
      <c r="D67" s="312"/>
      <c r="E67" s="312"/>
      <c r="F67" s="719"/>
      <c r="G67" s="464">
        <f>SUMIFS(BalanceN[BS_Debit],BalanceN[Table],"&gt;=62240",BalanceN[Table],"&lt;62250")-SUMIFS(BalanceN[BS_Credit],BalanceN[Table],"&gt;=62240",BalanceN[Table],"&lt;62250")</f>
        <v>0</v>
      </c>
      <c r="H67" s="464">
        <f>SUMIFS(BalanceN1[BS_Debit],BalanceN1[Table],"&gt;=62240",BalanceN1[Table],"&lt;62250")-SUMIFS(BalanceN1[BS_Credit],BalanceN1[Table],"&gt;=62240",BalanceN1[Table],"&lt;62250")</f>
        <v>0</v>
      </c>
      <c r="I67" s="464">
        <f t="shared" si="2"/>
        <v>0</v>
      </c>
      <c r="J67" s="465" t="str">
        <f t="shared" si="1"/>
        <v/>
      </c>
    </row>
    <row r="68" spans="1:10" ht="14.25" customHeight="1">
      <c r="A68" s="717">
        <v>6225</v>
      </c>
      <c r="B68" s="718" t="s">
        <v>2665</v>
      </c>
      <c r="C68" s="312"/>
      <c r="D68" s="312"/>
      <c r="E68" s="312"/>
      <c r="F68" s="719"/>
      <c r="G68" s="464">
        <f>SUMIFS(BalanceN[BS_Debit],BalanceN[Table],"&gt;=62250",BalanceN[Table],"&lt;62260")-SUMIFS(BalanceN[BS_Credit],BalanceN[Table],"&gt;=62250",BalanceN[Table],"&lt;62260")</f>
        <v>0</v>
      </c>
      <c r="H68" s="464">
        <f>SUMIFS(BalanceN1[BS_Debit],BalanceN1[Table],"&gt;=62250",BalanceN1[Table],"&lt;62260")-SUMIFS(BalanceN1[BS_Credit],BalanceN1[Table],"&gt;=62250",BalanceN1[Table],"&lt;62260")</f>
        <v>0</v>
      </c>
      <c r="I68" s="464">
        <f t="shared" si="2"/>
        <v>0</v>
      </c>
      <c r="J68" s="465" t="str">
        <f t="shared" si="1"/>
        <v/>
      </c>
    </row>
    <row r="69" spans="1:10" ht="14.25" customHeight="1">
      <c r="A69" s="717">
        <v>6226</v>
      </c>
      <c r="B69" s="718" t="s">
        <v>2666</v>
      </c>
      <c r="C69" s="312"/>
      <c r="D69" s="312"/>
      <c r="E69" s="312"/>
      <c r="F69" s="719"/>
      <c r="G69" s="464">
        <f>SUMIFS(BalanceN[BS_Debit],BalanceN[Table],"&gt;=62260",BalanceN[Table],"&lt;62270")-SUMIFS(BalanceN[BS_Credit],BalanceN[Table],"&gt;=62260",BalanceN[Table],"&lt;62270")</f>
        <v>0</v>
      </c>
      <c r="H69" s="464">
        <f>SUMIFS(BalanceN1[BS_Debit],BalanceN1[Table],"&gt;=62260",BalanceN1[Table],"&lt;62270")-SUMIFS(BalanceN1[BS_Credit],BalanceN1[Table],"&gt;=62260",BalanceN1[Table],"&lt;62270")</f>
        <v>0</v>
      </c>
      <c r="I69" s="464">
        <f t="shared" si="2"/>
        <v>0</v>
      </c>
      <c r="J69" s="465" t="str">
        <f t="shared" si="1"/>
        <v/>
      </c>
    </row>
    <row r="70" spans="1:10" ht="14.25" customHeight="1">
      <c r="A70" s="717">
        <v>6228</v>
      </c>
      <c r="B70" s="718" t="s">
        <v>2667</v>
      </c>
      <c r="C70" s="312"/>
      <c r="D70" s="312"/>
      <c r="E70" s="312"/>
      <c r="F70" s="719"/>
      <c r="G70" s="464">
        <f>SUMIFS(BalanceN[BS_Debit],BalanceN[Table],"&gt;=62280",BalanceN[Table],"&lt;62290")-SUMIFS(BalanceN[BS_Credit],BalanceN[Table],"&gt;=62280",BalanceN[Table],"&lt;62290")</f>
        <v>282898</v>
      </c>
      <c r="H70" s="464">
        <f>SUMIFS(BalanceN1[BS_Debit],BalanceN1[Table],"&gt;=62280",BalanceN1[Table],"&lt;62290")-SUMIFS(BalanceN1[BS_Credit],BalanceN1[Table],"&gt;=62280",BalanceN1[Table],"&lt;62290")</f>
        <v>2250259</v>
      </c>
      <c r="I70" s="464">
        <f t="shared" si="2"/>
        <v>-1967361</v>
      </c>
      <c r="J70" s="465">
        <f t="shared" si="1"/>
        <v>-0.8742820270911037</v>
      </c>
    </row>
    <row r="71" spans="1:10" ht="14.25" customHeight="1">
      <c r="A71" s="717">
        <v>6232</v>
      </c>
      <c r="B71" s="718" t="s">
        <v>2668</v>
      </c>
      <c r="C71" s="312"/>
      <c r="D71" s="312"/>
      <c r="E71" s="312"/>
      <c r="F71" s="719"/>
      <c r="G71" s="462">
        <f>SUMIFS(BalanceN[BS_Debit],BalanceN[Table],"&gt;=62320",BalanceN[Table],"&lt;62330")-SUMIFS(BalanceN[BS_Credit],BalanceN[Table],"&gt;=62320",BalanceN[Table],"&lt;62330")</f>
        <v>0</v>
      </c>
      <c r="H71" s="462">
        <f>SUMIFS(BalanceN1[BS_Debit],BalanceN1[Table],"&gt;=62320",BalanceN1[Table],"&lt;62330")-SUMIFS(BalanceN1[BS_Credit],BalanceN1[Table],"&gt;=62320",BalanceN1[Table],"&lt;62330")</f>
        <v>0</v>
      </c>
      <c r="I71" s="464">
        <f t="shared" si="2"/>
        <v>0</v>
      </c>
      <c r="J71" s="465" t="str">
        <f t="shared" si="1"/>
        <v/>
      </c>
    </row>
    <row r="72" spans="1:10" ht="14.25" customHeight="1">
      <c r="A72" s="717">
        <v>6233</v>
      </c>
      <c r="B72" s="718" t="s">
        <v>2669</v>
      </c>
      <c r="C72" s="312"/>
      <c r="D72" s="312"/>
      <c r="E72" s="312"/>
      <c r="F72" s="719"/>
      <c r="G72" s="464">
        <f>SUMIFS(BalanceN[BS_Debit],BalanceN[Table],"&gt;=62330",BalanceN[Table],"&lt;62340")-SUMIFS(BalanceN[BS_Credit],BalanceN[Table],"&gt;=62330",BalanceN[Table],"&lt;62340")</f>
        <v>0</v>
      </c>
      <c r="H72" s="464">
        <f>SUMIFS(BalanceN1[BS_Debit],BalanceN1[Table],"&gt;=62330",BalanceN1[Table],"&lt;62340")-SUMIFS(BalanceN1[BS_Credit],BalanceN1[Table],"&gt;=62330",BalanceN1[Table],"&lt;62340")</f>
        <v>0</v>
      </c>
      <c r="I72" s="464">
        <f t="shared" si="2"/>
        <v>0</v>
      </c>
      <c r="J72" s="465" t="str">
        <f t="shared" si="1"/>
        <v/>
      </c>
    </row>
    <row r="73" spans="1:10" ht="14.25" customHeight="1">
      <c r="A73" s="724">
        <v>6234</v>
      </c>
      <c r="B73" s="725" t="s">
        <v>2670</v>
      </c>
      <c r="C73" s="726"/>
      <c r="D73" s="726"/>
      <c r="E73" s="726"/>
      <c r="F73" s="727"/>
      <c r="G73" s="470">
        <f>SUMIFS(BalanceN[BS_Debit],BalanceN[Table],"&gt;=62340",BalanceN[Table],"&lt;62350")-SUMIFS(BalanceN[BS_Credit],BalanceN[Table],"&gt;=62340",BalanceN[Table],"&lt;62350")</f>
        <v>0</v>
      </c>
      <c r="H73" s="471">
        <f>SUMIFS(BalanceN1[BS_Debit],BalanceN1[Table],"&gt;=62340",BalanceN1[Table],"&lt;62350")-SUMIFS(BalanceN1[BS_Credit],BalanceN1[Table],"&gt;=62340",BalanceN1[Table],"&lt;62350")</f>
        <v>0</v>
      </c>
      <c r="I73" s="471">
        <f t="shared" si="2"/>
        <v>0</v>
      </c>
      <c r="J73" s="472" t="str">
        <f t="shared" si="1"/>
        <v/>
      </c>
    </row>
    <row r="74" spans="1:10" ht="14.25" customHeight="1">
      <c r="A74" s="728"/>
      <c r="B74" s="729"/>
      <c r="C74" s="312"/>
      <c r="D74" s="312"/>
      <c r="E74" s="312"/>
      <c r="F74" s="312"/>
      <c r="G74" s="730"/>
      <c r="H74" s="730"/>
      <c r="I74" s="730"/>
      <c r="J74" s="731"/>
    </row>
    <row r="75" spans="1:10">
      <c r="A75" s="2175" t="s">
        <v>17</v>
      </c>
      <c r="B75" s="2177"/>
      <c r="C75" s="572"/>
      <c r="D75" s="1276" t="str">
        <f>"- "&amp;Code!K68+1&amp;" -"</f>
        <v>- 40 -</v>
      </c>
      <c r="E75" s="1276"/>
      <c r="F75" s="1276"/>
      <c r="G75" s="2174"/>
      <c r="H75" s="2175" t="s">
        <v>2671</v>
      </c>
      <c r="I75" s="2176"/>
      <c r="J75" s="2177"/>
    </row>
    <row r="76" spans="1:10">
      <c r="A76" s="312" t="s">
        <v>50</v>
      </c>
      <c r="B76" s="612"/>
      <c r="C76" s="2164" t="str">
        <f>C2</f>
        <v>OHADA</v>
      </c>
      <c r="D76" s="2164"/>
      <c r="E76" s="2164"/>
      <c r="F76" s="2164"/>
      <c r="G76" s="2164"/>
      <c r="H76" s="2164"/>
      <c r="I76" s="2164"/>
      <c r="J76" s="2164"/>
    </row>
    <row r="77" spans="1:10">
      <c r="A77" s="312" t="s">
        <v>51</v>
      </c>
      <c r="B77" s="2164" t="str">
        <f>B3</f>
        <v/>
      </c>
      <c r="C77" s="2164"/>
      <c r="D77" s="2164"/>
      <c r="E77" s="2164"/>
      <c r="F77" s="2164"/>
      <c r="G77" s="2164"/>
      <c r="H77" s="2164"/>
      <c r="I77" s="597" t="s">
        <v>1021</v>
      </c>
      <c r="J77" s="707" t="str">
        <f>J3</f>
        <v/>
      </c>
    </row>
    <row r="78" spans="1:10">
      <c r="A78" s="312" t="s">
        <v>53</v>
      </c>
      <c r="B78" s="312"/>
      <c r="C78" s="2164" t="str">
        <f>C4</f>
        <v/>
      </c>
      <c r="D78" s="2164"/>
      <c r="E78" s="708"/>
      <c r="F78" s="708"/>
      <c r="G78" s="597" t="s">
        <v>54</v>
      </c>
      <c r="H78" s="707">
        <f>H4</f>
        <v>0</v>
      </c>
      <c r="I78" s="597" t="s">
        <v>55</v>
      </c>
      <c r="J78" s="707">
        <f>J4</f>
        <v>1</v>
      </c>
    </row>
    <row r="79" spans="1:10">
      <c r="A79" s="312" t="s">
        <v>56</v>
      </c>
      <c r="B79" s="312"/>
      <c r="C79" s="2164" t="str">
        <f>C5</f>
        <v/>
      </c>
      <c r="D79" s="2164"/>
      <c r="E79" s="2164"/>
      <c r="F79" s="2164"/>
      <c r="G79" s="710"/>
      <c r="H79" s="707"/>
      <c r="I79" s="708"/>
      <c r="J79" s="708"/>
    </row>
    <row r="80" spans="1:10" ht="5.25" customHeight="1">
      <c r="A80" s="317"/>
      <c r="B80" s="317"/>
      <c r="C80" s="675"/>
      <c r="D80" s="675"/>
      <c r="E80" s="627"/>
      <c r="F80" s="676"/>
      <c r="G80" s="627"/>
      <c r="H80" s="675"/>
      <c r="I80" s="119"/>
      <c r="J80" s="119"/>
    </row>
    <row r="81" spans="1:10">
      <c r="A81" s="2165" t="s">
        <v>2621</v>
      </c>
      <c r="B81" s="2166"/>
      <c r="C81" s="2166"/>
      <c r="D81" s="2166"/>
      <c r="E81" s="2166"/>
      <c r="F81" s="2166"/>
      <c r="G81" s="2166"/>
      <c r="H81" s="2166"/>
      <c r="I81" s="2166"/>
      <c r="J81" s="2167"/>
    </row>
    <row r="82" spans="1:10" ht="5.25" customHeight="1">
      <c r="A82" s="119"/>
      <c r="B82" s="119"/>
      <c r="C82" s="119"/>
      <c r="D82" s="119"/>
      <c r="E82" s="119"/>
      <c r="F82" s="119"/>
      <c r="G82" s="119"/>
      <c r="H82" s="119"/>
      <c r="I82" s="119"/>
      <c r="J82" s="119"/>
    </row>
    <row r="83" spans="1:10">
      <c r="A83" s="2168" t="s">
        <v>2622</v>
      </c>
      <c r="B83" s="2169"/>
      <c r="C83" s="2169"/>
      <c r="D83" s="2169"/>
      <c r="E83" s="2169"/>
      <c r="F83" s="2169"/>
      <c r="G83" s="2168" t="s">
        <v>2623</v>
      </c>
      <c r="H83" s="2168" t="s">
        <v>2624</v>
      </c>
      <c r="I83" s="2168" t="s">
        <v>2625</v>
      </c>
      <c r="J83" s="2170"/>
    </row>
    <row r="84" spans="1:10">
      <c r="A84" s="2171"/>
      <c r="B84" s="2172"/>
      <c r="C84" s="2172"/>
      <c r="D84" s="2172"/>
      <c r="E84" s="2172"/>
      <c r="F84" s="2172"/>
      <c r="G84" s="2171"/>
      <c r="H84" s="2171"/>
      <c r="I84" s="711" t="s">
        <v>2626</v>
      </c>
      <c r="J84" s="712" t="s">
        <v>2627</v>
      </c>
    </row>
    <row r="85" spans="1:10" ht="14.25" customHeight="1">
      <c r="A85" s="717">
        <v>6238</v>
      </c>
      <c r="B85" s="718" t="s">
        <v>2672</v>
      </c>
      <c r="C85" s="312"/>
      <c r="D85" s="312"/>
      <c r="E85" s="312"/>
      <c r="F85" s="719"/>
      <c r="G85" s="464">
        <f>SUMIFS(BalanceN[BS_Debit],BalanceN[Table],"&gt;=62380",BalanceN[Table],"&lt;62390")-SUMIFS(BalanceN[BS_Credit],BalanceN[Table],"&gt;=62380",BalanceN[Table],"&lt;62390")</f>
        <v>0</v>
      </c>
      <c r="H85" s="464">
        <f>SUMIFS(BalanceN1[BS_Debit],BalanceN1[Table],"&gt;=62380",BalanceN1[Table],"&lt;62390")-SUMIFS(BalanceN1[BS_Credit],BalanceN1[Table],"&gt;=62380",BalanceN1[Table],"&lt;62390")</f>
        <v>0</v>
      </c>
      <c r="I85" s="464">
        <f t="shared" ref="I85:I148" si="3">G85-H85</f>
        <v>0</v>
      </c>
      <c r="J85" s="473" t="str">
        <f>IF(H85,(G85-H85)/H85,IF(ISBLANK(H85),"",IF(G85,IF( G85 &gt; 0,1,-1),"")))</f>
        <v/>
      </c>
    </row>
    <row r="86" spans="1:10" ht="14.25" customHeight="1">
      <c r="A86" s="717">
        <v>6241</v>
      </c>
      <c r="B86" s="718" t="s">
        <v>2673</v>
      </c>
      <c r="C86" s="312"/>
      <c r="D86" s="312"/>
      <c r="E86" s="312"/>
      <c r="F86" s="719"/>
      <c r="G86" s="464">
        <f>SUMIFS(BalanceN[BS_Debit],BalanceN[Table],"&gt;=62410",BalanceN[Table],"&lt;62420")-SUMIFS(BalanceN[BS_Credit],BalanceN[Table],"&gt;=62410",BalanceN[Table],"&lt;62420")</f>
        <v>1951316</v>
      </c>
      <c r="H86" s="464">
        <f>SUMIFS(BalanceN1[BS_Debit],BalanceN1[Table],"&gt;=62410",BalanceN1[Table],"&lt;62420")-SUMIFS(BalanceN1[BS_Credit],BalanceN1[Table],"&gt;=62410",BalanceN1[Table],"&lt;62420")</f>
        <v>0</v>
      </c>
      <c r="I86" s="464">
        <f t="shared" si="3"/>
        <v>1951316</v>
      </c>
      <c r="J86" s="473">
        <f t="shared" ref="J86:J148" si="4">IF(H86,(G86-H86)/H86,IF(ISBLANK(H86),"",IF(G86,IF( G86 &gt; 0,1,-1),"")))</f>
        <v>1</v>
      </c>
    </row>
    <row r="87" spans="1:10" ht="14.25" customHeight="1">
      <c r="A87" s="717">
        <v>6242</v>
      </c>
      <c r="B87" s="718" t="s">
        <v>2674</v>
      </c>
      <c r="C87" s="312"/>
      <c r="D87" s="312"/>
      <c r="E87" s="312"/>
      <c r="F87" s="719"/>
      <c r="G87" s="464">
        <f>SUMIFS(BalanceN[BS_Debit],BalanceN[Table],"&gt;=62420",BalanceN[Table],"&lt;62430")-SUMIFS(BalanceN[BS_Credit],BalanceN[Table],"&gt;=62420",BalanceN[Table],"&lt;62430")</f>
        <v>3672248</v>
      </c>
      <c r="H87" s="464">
        <f>SUMIFS(BalanceN1[BS_Debit],BalanceN1[Table],"&gt;=62420",BalanceN1[Table],"&lt;62430")-SUMIFS(BalanceN1[BS_Credit],BalanceN1[Table],"&gt;=62420",BalanceN1[Table],"&lt;62430")</f>
        <v>3275032</v>
      </c>
      <c r="I87" s="464">
        <f t="shared" si="3"/>
        <v>397216</v>
      </c>
      <c r="J87" s="473">
        <f t="shared" si="4"/>
        <v>0.12128614315829586</v>
      </c>
    </row>
    <row r="88" spans="1:10" ht="14.25" customHeight="1">
      <c r="A88" s="717">
        <v>6243</v>
      </c>
      <c r="B88" s="718" t="s">
        <v>2675</v>
      </c>
      <c r="C88" s="312"/>
      <c r="D88" s="312"/>
      <c r="E88" s="312"/>
      <c r="F88" s="719"/>
      <c r="G88" s="464">
        <f>SUMIFS(BalanceN[BS_Debit],BalanceN[Table],"&gt;=62430",BalanceN[Table],"&lt;62440")-SUMIFS(BalanceN[BS_Credit],BalanceN[Table],"&gt;=62430",BalanceN[Table],"&lt;62440")</f>
        <v>6395000</v>
      </c>
      <c r="H88" s="464">
        <f>SUMIFS(BalanceN1[BS_Debit],BalanceN1[Table],"&gt;=62430",BalanceN1[Table],"&lt;62440")-SUMIFS(BalanceN1[BS_Credit],BalanceN1[Table],"&gt;=62430",BalanceN1[Table],"&lt;62440")</f>
        <v>5500000</v>
      </c>
      <c r="I88" s="464">
        <f t="shared" si="3"/>
        <v>895000</v>
      </c>
      <c r="J88" s="473">
        <f t="shared" si="4"/>
        <v>0.16272727272727272</v>
      </c>
    </row>
    <row r="89" spans="1:10" ht="14.25" customHeight="1">
      <c r="A89" s="717">
        <v>6244</v>
      </c>
      <c r="B89" s="718" t="s">
        <v>2676</v>
      </c>
      <c r="C89" s="312"/>
      <c r="D89" s="312"/>
      <c r="E89" s="312"/>
      <c r="F89" s="719"/>
      <c r="G89" s="464">
        <f>SUMIFS(BalanceN[BS_Debit],BalanceN[Table],"&gt;=62440",BalanceN[Table],"&lt;62450")-SUMIFS(BalanceN[BS_Credit],BalanceN[Table],"&gt;=62440",BalanceN[Table],"&lt;62450")</f>
        <v>0</v>
      </c>
      <c r="H89" s="464">
        <f>SUMIFS(BalanceN1[BS_Debit],BalanceN1[Table],"&gt;=62440",BalanceN1[Table],"&lt;62450")-SUMIFS(BalanceN1[BS_Credit],BalanceN1[Table],"&gt;=62440",BalanceN1[Table],"&lt;62450")</f>
        <v>0</v>
      </c>
      <c r="I89" s="464">
        <f t="shared" si="3"/>
        <v>0</v>
      </c>
      <c r="J89" s="473" t="str">
        <f t="shared" si="4"/>
        <v/>
      </c>
    </row>
    <row r="90" spans="1:10" ht="14.25" customHeight="1">
      <c r="A90" s="717">
        <v>6248</v>
      </c>
      <c r="B90" s="718" t="s">
        <v>2677</v>
      </c>
      <c r="C90" s="312"/>
      <c r="D90" s="312"/>
      <c r="E90" s="312"/>
      <c r="F90" s="719"/>
      <c r="G90" s="464">
        <f>SUMIFS(BalanceN[BS_Debit],BalanceN[Table],"&gt;=62480",BalanceN[Table],"&lt;62490")-SUMIFS(BalanceN[BS_Credit],BalanceN[Table],"&gt;=62480",BalanceN[Table],"&lt;62490")</f>
        <v>0</v>
      </c>
      <c r="H90" s="464">
        <f>SUMIFS(BalanceN1[BS_Debit],BalanceN1[Table],"&gt;=62480",BalanceN1[Table],"&lt;62490")-SUMIFS(BalanceN1[BS_Credit],BalanceN1[Table],"&gt;=62480",BalanceN1[Table],"&lt;62490")</f>
        <v>931113</v>
      </c>
      <c r="I90" s="464">
        <f t="shared" si="3"/>
        <v>-931113</v>
      </c>
      <c r="J90" s="473">
        <f t="shared" si="4"/>
        <v>-1</v>
      </c>
    </row>
    <row r="91" spans="1:10" ht="14.25" customHeight="1">
      <c r="A91" s="717">
        <v>6251</v>
      </c>
      <c r="B91" s="718" t="s">
        <v>2678</v>
      </c>
      <c r="C91" s="312"/>
      <c r="D91" s="312"/>
      <c r="E91" s="312"/>
      <c r="F91" s="719"/>
      <c r="G91" s="464">
        <f>SUMIFS(BalanceN[BS_Debit],BalanceN[Table],"&gt;=62510",BalanceN[Table],"&lt;62520")-SUMIFS(BalanceN[BS_Credit],BalanceN[Table],"&gt;=62510",BalanceN[Table],"&lt;62520")</f>
        <v>1418702</v>
      </c>
      <c r="H91" s="464">
        <f>SUMIFS(BalanceN1[BS_Debit],BalanceN1[Table],"&gt;=62510",BalanceN1[Table],"&lt;62520")-SUMIFS(BalanceN1[BS_Credit],BalanceN1[Table],"&gt;=62510",BalanceN1[Table],"&lt;62520")</f>
        <v>1459236</v>
      </c>
      <c r="I91" s="464">
        <f t="shared" si="3"/>
        <v>-40534</v>
      </c>
      <c r="J91" s="473">
        <f t="shared" si="4"/>
        <v>-2.7777549347740873E-2</v>
      </c>
    </row>
    <row r="92" spans="1:10" ht="14.25" customHeight="1">
      <c r="A92" s="717">
        <v>6252</v>
      </c>
      <c r="B92" s="718" t="s">
        <v>2679</v>
      </c>
      <c r="C92" s="312"/>
      <c r="D92" s="312"/>
      <c r="E92" s="312"/>
      <c r="F92" s="719"/>
      <c r="G92" s="464">
        <f>SUMIFS(BalanceN[BS_Debit],BalanceN[Table],"&gt;=62520",BalanceN[Table],"&lt;62530")-SUMIFS(BalanceN[BS_Credit],BalanceN[Table],"&gt;=62520",BalanceN[Table],"&lt;62530")</f>
        <v>1043074</v>
      </c>
      <c r="H92" s="464">
        <f>SUMIFS(BalanceN1[BS_Debit],BalanceN1[Table],"&gt;=62520",BalanceN1[Table],"&lt;62530")-SUMIFS(BalanceN1[BS_Credit],BalanceN1[Table],"&gt;=62520",BalanceN1[Table],"&lt;62530")</f>
        <v>981248</v>
      </c>
      <c r="I92" s="464">
        <f t="shared" si="3"/>
        <v>61826</v>
      </c>
      <c r="J92" s="473">
        <f t="shared" si="4"/>
        <v>6.3007516957996348E-2</v>
      </c>
    </row>
    <row r="93" spans="1:10" ht="14.25" customHeight="1">
      <c r="A93" s="717">
        <v>6253</v>
      </c>
      <c r="B93" s="718" t="s">
        <v>2680</v>
      </c>
      <c r="C93" s="312"/>
      <c r="D93" s="312"/>
      <c r="E93" s="312"/>
      <c r="F93" s="719"/>
      <c r="G93" s="464">
        <f>SUMIFS(BalanceN[BS_Debit],BalanceN[Table],"&gt;=62530",BalanceN[Table],"&lt;62540")-SUMIFS(BalanceN[BS_Credit],BalanceN[Table],"&gt;=62530",BalanceN[Table],"&lt;62540")</f>
        <v>0</v>
      </c>
      <c r="H93" s="464">
        <f>SUMIFS(BalanceN1[BS_Debit],BalanceN1[Table],"&gt;=62530",BalanceN1[Table],"&lt;62540")-SUMIFS(BalanceN1[BS_Credit],BalanceN1[Table],"&gt;=62530",BalanceN1[Table],"&lt;62540")</f>
        <v>0</v>
      </c>
      <c r="I93" s="464">
        <f t="shared" si="3"/>
        <v>0</v>
      </c>
      <c r="J93" s="473" t="str">
        <f t="shared" si="4"/>
        <v/>
      </c>
    </row>
    <row r="94" spans="1:10" ht="14.25" customHeight="1">
      <c r="A94" s="717">
        <v>6254</v>
      </c>
      <c r="B94" s="718" t="s">
        <v>2681</v>
      </c>
      <c r="C94" s="312"/>
      <c r="D94" s="312"/>
      <c r="E94" s="312"/>
      <c r="F94" s="719"/>
      <c r="G94" s="464">
        <f>SUMIFS(BalanceN[BS_Debit],BalanceN[Table],"&gt;=62540",BalanceN[Table],"&lt;62550")-SUMIFS(BalanceN[BS_Credit],BalanceN[Table],"&gt;=62540",BalanceN[Table],"&lt;62550")</f>
        <v>0</v>
      </c>
      <c r="H94" s="464">
        <f>SUMIFS(BalanceN1[BS_Debit],BalanceN1[Table],"&gt;=62540",BalanceN1[Table],"&lt;62550")-SUMIFS(BalanceN1[BS_Credit],BalanceN1[Table],"&gt;=62540",BalanceN1[Table],"&lt;62550")</f>
        <v>0</v>
      </c>
      <c r="I94" s="464">
        <f t="shared" si="3"/>
        <v>0</v>
      </c>
      <c r="J94" s="473" t="str">
        <f t="shared" si="4"/>
        <v/>
      </c>
    </row>
    <row r="95" spans="1:10" ht="14.25" customHeight="1">
      <c r="A95" s="717">
        <v>6255</v>
      </c>
      <c r="B95" s="718" t="s">
        <v>2682</v>
      </c>
      <c r="C95" s="312"/>
      <c r="D95" s="312"/>
      <c r="E95" s="312"/>
      <c r="F95" s="719"/>
      <c r="G95" s="464">
        <f>SUMIFS(BalanceN[BS_Debit],BalanceN[Table],"&gt;=62550",BalanceN[Table],"&lt;62560")-SUMIFS(BalanceN[BS_Credit],BalanceN[Table],"&gt;=62550",BalanceN[Table],"&lt;62560")</f>
        <v>0</v>
      </c>
      <c r="H95" s="464">
        <f>SUMIFS(BalanceN1[BS_Debit],BalanceN1[Table],"&gt;=62550",BalanceN1[Table],"&lt;62560")-SUMIFS(BalanceN1[BS_Credit],BalanceN1[Table],"&gt;=62550",BalanceN1[Table],"&lt;62560")</f>
        <v>0</v>
      </c>
      <c r="I95" s="464">
        <f t="shared" si="3"/>
        <v>0</v>
      </c>
      <c r="J95" s="473" t="str">
        <f t="shared" si="4"/>
        <v/>
      </c>
    </row>
    <row r="96" spans="1:10" ht="14.25" customHeight="1">
      <c r="A96" s="717">
        <v>6257</v>
      </c>
      <c r="B96" s="718" t="s">
        <v>2683</v>
      </c>
      <c r="C96" s="312"/>
      <c r="D96" s="312"/>
      <c r="E96" s="312"/>
      <c r="F96" s="719"/>
      <c r="G96" s="464">
        <f>SUMIFS(BalanceN[BS_Debit],BalanceN[Table],"&gt;=62570",BalanceN[Table],"&lt;62580")-SUMIFS(BalanceN[BS_Credit],BalanceN[Table],"&gt;=62570",BalanceN[Table],"&lt;62580")</f>
        <v>0</v>
      </c>
      <c r="H96" s="464">
        <f>SUMIFS(BalanceN1[BS_Debit],BalanceN1[Table],"&gt;=62570",BalanceN1[Table],"&lt;62580")-SUMIFS(BalanceN1[BS_Credit],BalanceN1[Table],"&gt;=62570",BalanceN1[Table],"&lt;62580")</f>
        <v>0</v>
      </c>
      <c r="I96" s="464">
        <f t="shared" si="3"/>
        <v>0</v>
      </c>
      <c r="J96" s="473" t="str">
        <f t="shared" si="4"/>
        <v/>
      </c>
    </row>
    <row r="97" spans="1:10" ht="14.25" customHeight="1">
      <c r="A97" s="717">
        <v>6258</v>
      </c>
      <c r="B97" s="718" t="s">
        <v>2684</v>
      </c>
      <c r="C97" s="312"/>
      <c r="D97" s="312"/>
      <c r="E97" s="312"/>
      <c r="F97" s="719"/>
      <c r="G97" s="464">
        <f>SUMIFS(BalanceN[BS_Debit],BalanceN[Table],"&gt;=62580",BalanceN[Table],"&lt;62590")-SUMIFS(BalanceN[BS_Credit],BalanceN[Table],"&gt;=62580",BalanceN[Table],"&lt;62590")</f>
        <v>0</v>
      </c>
      <c r="H97" s="464">
        <f>SUMIFS(BalanceN1[BS_Debit],BalanceN1[Table],"&gt;=62580",BalanceN1[Table],"&lt;62590")-SUMIFS(BalanceN1[BS_Credit],BalanceN1[Table],"&gt;=62580",BalanceN1[Table],"&lt;62590")</f>
        <v>0</v>
      </c>
      <c r="I97" s="464">
        <f t="shared" si="3"/>
        <v>0</v>
      </c>
      <c r="J97" s="473" t="str">
        <f t="shared" si="4"/>
        <v/>
      </c>
    </row>
    <row r="98" spans="1:10" ht="14.25" customHeight="1">
      <c r="A98" s="717">
        <v>6261</v>
      </c>
      <c r="B98" s="718" t="s">
        <v>2685</v>
      </c>
      <c r="C98" s="312"/>
      <c r="D98" s="312"/>
      <c r="E98" s="312"/>
      <c r="F98" s="719"/>
      <c r="G98" s="464">
        <f>SUMIFS(BalanceN[BS_Debit],BalanceN[Table],"&gt;=62610",BalanceN[Table],"&lt;62620")-SUMIFS(BalanceN[BS_Credit],BalanceN[Table],"&gt;=62610",BalanceN[Table],"&lt;62620")</f>
        <v>0</v>
      </c>
      <c r="H98" s="464">
        <f>SUMIFS(BalanceN1[BS_Debit],BalanceN1[Table],"&gt;=62610",BalanceN1[Table],"&lt;62620")-SUMIFS(BalanceN1[BS_Credit],BalanceN1[Table],"&gt;=62610",BalanceN1[Table],"&lt;62620")</f>
        <v>0</v>
      </c>
      <c r="I98" s="464">
        <f t="shared" si="3"/>
        <v>0</v>
      </c>
      <c r="J98" s="473" t="str">
        <f t="shared" si="4"/>
        <v/>
      </c>
    </row>
    <row r="99" spans="1:10" ht="14.25" customHeight="1">
      <c r="A99" s="717">
        <v>6265</v>
      </c>
      <c r="B99" s="718" t="s">
        <v>2686</v>
      </c>
      <c r="C99" s="312"/>
      <c r="D99" s="312"/>
      <c r="E99" s="312"/>
      <c r="F99" s="719"/>
      <c r="G99" s="464">
        <f>SUMIFS(BalanceN[BS_Debit],BalanceN[Table],"&gt;=62650",BalanceN[Table],"&lt;62660")-SUMIFS(BalanceN[BS_Credit],BalanceN[Table],"&gt;=62650",BalanceN[Table],"&lt;62660")</f>
        <v>0</v>
      </c>
      <c r="H99" s="464">
        <f>SUMIFS(BalanceN1[BS_Debit],BalanceN1[Table],"&gt;=62650",BalanceN1[Table],"&lt;62660")-SUMIFS(BalanceN1[BS_Credit],BalanceN1[Table],"&gt;=62650",BalanceN1[Table],"&lt;62660")</f>
        <v>30000</v>
      </c>
      <c r="I99" s="464">
        <f t="shared" si="3"/>
        <v>-30000</v>
      </c>
      <c r="J99" s="473">
        <f t="shared" si="4"/>
        <v>-1</v>
      </c>
    </row>
    <row r="100" spans="1:10" ht="14.25" customHeight="1">
      <c r="A100" s="717">
        <v>6266</v>
      </c>
      <c r="B100" s="718" t="s">
        <v>2687</v>
      </c>
      <c r="C100" s="312"/>
      <c r="D100" s="312"/>
      <c r="E100" s="312"/>
      <c r="F100" s="719"/>
      <c r="G100" s="464">
        <f>SUMIFS(BalanceN[BS_Debit],BalanceN[Table],"&gt;=62660",BalanceN[Table],"&lt;62670")-SUMIFS(BalanceN[BS_Credit],BalanceN[Table],"&gt;=62660",BalanceN[Table],"&lt;62670")</f>
        <v>0</v>
      </c>
      <c r="H100" s="464">
        <f>SUMIFS(BalanceN1[BS_Debit],BalanceN1[Table],"&gt;=62660",BalanceN1[Table],"&lt;62670")-SUMIFS(BalanceN1[BS_Credit],BalanceN1[Table],"&gt;=62660",BalanceN1[Table],"&lt;62670")</f>
        <v>0</v>
      </c>
      <c r="I100" s="464">
        <f t="shared" si="3"/>
        <v>0</v>
      </c>
      <c r="J100" s="473" t="str">
        <f t="shared" si="4"/>
        <v/>
      </c>
    </row>
    <row r="101" spans="1:10" ht="14.25" customHeight="1">
      <c r="A101" s="717">
        <v>6271</v>
      </c>
      <c r="B101" s="718" t="s">
        <v>2688</v>
      </c>
      <c r="C101" s="312"/>
      <c r="D101" s="312"/>
      <c r="E101" s="312"/>
      <c r="F101" s="719"/>
      <c r="G101" s="464">
        <f>SUMIFS(BalanceN[BS_Debit],BalanceN[Table],"&gt;=62710",BalanceN[Table],"&lt;62720")-SUMIFS(BalanceN[BS_Credit],BalanceN[Table],"&gt;=62710",BalanceN[Table],"&lt;62720")</f>
        <v>0</v>
      </c>
      <c r="H101" s="464">
        <f>SUMIFS(BalanceN1[BS_Debit],BalanceN1[Table],"&gt;=62710",BalanceN1[Table],"&lt;62720")-SUMIFS(BalanceN1[BS_Credit],BalanceN1[Table],"&gt;=62710",BalanceN1[Table],"&lt;62720")</f>
        <v>200000</v>
      </c>
      <c r="I101" s="464">
        <f t="shared" si="3"/>
        <v>-200000</v>
      </c>
      <c r="J101" s="473">
        <f t="shared" si="4"/>
        <v>-1</v>
      </c>
    </row>
    <row r="102" spans="1:10" ht="14.25" customHeight="1">
      <c r="A102" s="717">
        <v>6272</v>
      </c>
      <c r="B102" s="718" t="s">
        <v>2689</v>
      </c>
      <c r="C102" s="312"/>
      <c r="D102" s="312"/>
      <c r="E102" s="312"/>
      <c r="F102" s="719"/>
      <c r="G102" s="464">
        <f>SUMIFS(BalanceN[BS_Debit],BalanceN[Table],"&gt;=62720",BalanceN[Table],"&lt;62730")-SUMIFS(BalanceN[BS_Credit],BalanceN[Table],"&gt;=62720",BalanceN[Table],"&lt;62730")</f>
        <v>0</v>
      </c>
      <c r="H102" s="464">
        <f>SUMIFS(BalanceN1[BS_Debit],BalanceN1[Table],"&gt;=62720",BalanceN1[Table],"&lt;62730")-SUMIFS(BalanceN1[BS_Credit],BalanceN1[Table],"&gt;=62720",BalanceN1[Table],"&lt;62730")</f>
        <v>0</v>
      </c>
      <c r="I102" s="464">
        <f t="shared" si="3"/>
        <v>0</v>
      </c>
      <c r="J102" s="473" t="str">
        <f t="shared" si="4"/>
        <v/>
      </c>
    </row>
    <row r="103" spans="1:10" ht="14.25" customHeight="1">
      <c r="A103" s="717">
        <v>6273</v>
      </c>
      <c r="B103" s="718" t="s">
        <v>2690</v>
      </c>
      <c r="C103" s="312"/>
      <c r="D103" s="312"/>
      <c r="E103" s="312"/>
      <c r="F103" s="719"/>
      <c r="G103" s="464">
        <f>SUMIFS(BalanceN[BS_Debit],BalanceN[Table],"&gt;=62730",BalanceN[Table],"&lt;62740")-SUMIFS(BalanceN[BS_Credit],BalanceN[Table],"&gt;=62730",BalanceN[Table],"&lt;62740")</f>
        <v>0</v>
      </c>
      <c r="H103" s="464">
        <f>SUMIFS(BalanceN1[BS_Debit],BalanceN1[Table],"&gt;=62730",BalanceN1[Table],"&lt;62740")-SUMIFS(BalanceN1[BS_Credit],BalanceN1[Table],"&gt;=62730",BalanceN1[Table],"&lt;62740")</f>
        <v>0</v>
      </c>
      <c r="I103" s="464">
        <f t="shared" si="3"/>
        <v>0</v>
      </c>
      <c r="J103" s="473" t="str">
        <f t="shared" si="4"/>
        <v/>
      </c>
    </row>
    <row r="104" spans="1:10" ht="14.25" customHeight="1">
      <c r="A104" s="717">
        <v>6274</v>
      </c>
      <c r="B104" s="718" t="s">
        <v>2691</v>
      </c>
      <c r="C104" s="312"/>
      <c r="D104" s="312"/>
      <c r="E104" s="312"/>
      <c r="F104" s="719"/>
      <c r="G104" s="464">
        <f>SUMIFS(BalanceN[BS_Debit],BalanceN[Table],"&gt;=62740",BalanceN[Table],"&lt;62750")-SUMIFS(BalanceN[BS_Credit],BalanceN[Table],"&gt;=62740",BalanceN[Table],"&lt;62750")</f>
        <v>0</v>
      </c>
      <c r="H104" s="464">
        <f>SUMIFS(BalanceN1[BS_Debit],BalanceN1[Table],"&gt;=62740",BalanceN1[Table],"&lt;62750")-SUMIFS(BalanceN1[BS_Credit],BalanceN1[Table],"&gt;=62740",BalanceN1[Table],"&lt;62750")</f>
        <v>0</v>
      </c>
      <c r="I104" s="464">
        <f t="shared" si="3"/>
        <v>0</v>
      </c>
      <c r="J104" s="473" t="str">
        <f t="shared" si="4"/>
        <v/>
      </c>
    </row>
    <row r="105" spans="1:10" ht="14.25" customHeight="1">
      <c r="A105" s="717">
        <v>6275</v>
      </c>
      <c r="B105" s="718" t="s">
        <v>2692</v>
      </c>
      <c r="C105" s="312"/>
      <c r="D105" s="312"/>
      <c r="E105" s="312"/>
      <c r="F105" s="719"/>
      <c r="G105" s="464">
        <f>SUMIFS(BalanceN[BS_Debit],BalanceN[Table],"&gt;=62750",BalanceN[Table],"&lt;62760")-SUMIFS(BalanceN[BS_Credit],BalanceN[Table],"&gt;=62750",BalanceN[Table],"&lt;62760")</f>
        <v>0</v>
      </c>
      <c r="H105" s="464">
        <f>SUMIFS(BalanceN1[BS_Debit],BalanceN1[Table],"&gt;=62750",BalanceN1[Table],"&lt;62760")-SUMIFS(BalanceN1[BS_Credit],BalanceN1[Table],"&gt;=62750",BalanceN1[Table],"&lt;62760")</f>
        <v>0</v>
      </c>
      <c r="I105" s="464">
        <f t="shared" si="3"/>
        <v>0</v>
      </c>
      <c r="J105" s="473" t="str">
        <f t="shared" si="4"/>
        <v/>
      </c>
    </row>
    <row r="106" spans="1:10" ht="14.25" customHeight="1">
      <c r="A106" s="717">
        <v>6276</v>
      </c>
      <c r="B106" s="718" t="s">
        <v>2693</v>
      </c>
      <c r="C106" s="312"/>
      <c r="D106" s="312"/>
      <c r="E106" s="312"/>
      <c r="F106" s="719"/>
      <c r="G106" s="464">
        <f>SUMIFS(BalanceN[BS_Debit],BalanceN[Table],"&gt;=62760",BalanceN[Table],"&lt;62770")-SUMIFS(BalanceN[BS_Credit],BalanceN[Table],"&gt;=62760",BalanceN[Table],"&lt;62770")</f>
        <v>0</v>
      </c>
      <c r="H106" s="464">
        <f>SUMIFS(BalanceN1[BS_Debit],BalanceN1[Table],"&gt;=62760",BalanceN1[Table],"&lt;62770")-SUMIFS(BalanceN1[BS_Credit],BalanceN1[Table],"&gt;=62760",BalanceN1[Table],"&lt;62770")</f>
        <v>0</v>
      </c>
      <c r="I106" s="464">
        <f t="shared" si="3"/>
        <v>0</v>
      </c>
      <c r="J106" s="473" t="str">
        <f t="shared" si="4"/>
        <v/>
      </c>
    </row>
    <row r="107" spans="1:10" ht="14.25" customHeight="1">
      <c r="A107" s="717">
        <v>6277</v>
      </c>
      <c r="B107" s="718" t="s">
        <v>2694</v>
      </c>
      <c r="C107" s="312"/>
      <c r="D107" s="312"/>
      <c r="E107" s="312"/>
      <c r="F107" s="719"/>
      <c r="G107" s="464">
        <f>SUMIFS(BalanceN[BS_Debit],BalanceN[Table],"&gt;=62770",BalanceN[Table],"&lt;62780")-SUMIFS(BalanceN[BS_Credit],BalanceN[Table],"&gt;=62770",BalanceN[Table],"&lt;62780")</f>
        <v>0</v>
      </c>
      <c r="H107" s="464">
        <f>SUMIFS(BalanceN1[BS_Debit],BalanceN1[Table],"&gt;=62770",BalanceN1[Table],"&lt;62780")-SUMIFS(BalanceN1[BS_Credit],BalanceN1[Table],"&gt;=62770",BalanceN1[Table],"&lt;62780")</f>
        <v>0</v>
      </c>
      <c r="I107" s="464">
        <f t="shared" si="3"/>
        <v>0</v>
      </c>
      <c r="J107" s="473" t="str">
        <f t="shared" si="4"/>
        <v/>
      </c>
    </row>
    <row r="108" spans="1:10" ht="14.25" customHeight="1">
      <c r="A108" s="717">
        <v>6278</v>
      </c>
      <c r="B108" s="718" t="s">
        <v>2695</v>
      </c>
      <c r="C108" s="312"/>
      <c r="D108" s="312"/>
      <c r="E108" s="312"/>
      <c r="F108" s="719"/>
      <c r="G108" s="464">
        <f>SUMIFS(BalanceN[BS_Debit],BalanceN[Table],"&gt;=62780",BalanceN[Table],"&lt;62790")-SUMIFS(BalanceN[BS_Credit],BalanceN[Table],"&gt;=62780",BalanceN[Table],"&lt;62790")</f>
        <v>0</v>
      </c>
      <c r="H108" s="464">
        <f>SUMIFS(BalanceN1[BS_Debit],BalanceN1[Table],"&gt;=62780",BalanceN1[Table],"&lt;62790")-SUMIFS(BalanceN1[BS_Credit],BalanceN1[Table],"&gt;=62780",BalanceN1[Table],"&lt;62790")</f>
        <v>0</v>
      </c>
      <c r="I108" s="464">
        <f t="shared" si="3"/>
        <v>0</v>
      </c>
      <c r="J108" s="473" t="str">
        <f t="shared" si="4"/>
        <v/>
      </c>
    </row>
    <row r="109" spans="1:10" ht="14.25" customHeight="1">
      <c r="A109" s="717">
        <v>6281</v>
      </c>
      <c r="B109" s="718" t="s">
        <v>2696</v>
      </c>
      <c r="C109" s="312"/>
      <c r="D109" s="312"/>
      <c r="E109" s="312"/>
      <c r="F109" s="719"/>
      <c r="G109" s="464">
        <f>SUMIFS(BalanceN[BS_Debit],BalanceN[Table],"&gt;=62810",BalanceN[Table],"&lt;62820")-SUMIFS(BalanceN[BS_Credit],BalanceN[Table],"&gt;=62810",BalanceN[Table],"&lt;62820")</f>
        <v>6506250</v>
      </c>
      <c r="H109" s="464">
        <f>SUMIFS(BalanceN1[BS_Debit],BalanceN1[Table],"&gt;=62810",BalanceN1[Table],"&lt;62820")-SUMIFS(BalanceN1[BS_Credit],BalanceN1[Table],"&gt;=62810",BalanceN1[Table],"&lt;62820")</f>
        <v>4365850</v>
      </c>
      <c r="I109" s="464">
        <f t="shared" si="3"/>
        <v>2140400</v>
      </c>
      <c r="J109" s="473">
        <f t="shared" si="4"/>
        <v>0.49025962870918605</v>
      </c>
    </row>
    <row r="110" spans="1:10" ht="14.25" customHeight="1">
      <c r="A110" s="717">
        <v>6282</v>
      </c>
      <c r="B110" s="718" t="s">
        <v>2697</v>
      </c>
      <c r="C110" s="312"/>
      <c r="D110" s="312"/>
      <c r="E110" s="312"/>
      <c r="F110" s="719"/>
      <c r="G110" s="464">
        <f>SUMIFS(BalanceN[BS_Debit],BalanceN[Table],"&gt;=62820",BalanceN[Table],"&lt;62830")-SUMIFS(BalanceN[BS_Credit],BalanceN[Table],"&gt;=62820",BalanceN[Table],"&lt;62830")</f>
        <v>0</v>
      </c>
      <c r="H110" s="464">
        <f>SUMIFS(BalanceN1[BS_Debit],BalanceN1[Table],"&gt;=62820",BalanceN1[Table],"&lt;62830")-SUMIFS(BalanceN1[BS_Credit],BalanceN1[Table],"&gt;=62820",BalanceN1[Table],"&lt;62830")</f>
        <v>0</v>
      </c>
      <c r="I110" s="464">
        <f t="shared" si="3"/>
        <v>0</v>
      </c>
      <c r="J110" s="473" t="str">
        <f t="shared" si="4"/>
        <v/>
      </c>
    </row>
    <row r="111" spans="1:10" ht="14.25" customHeight="1">
      <c r="A111" s="717">
        <v>6283</v>
      </c>
      <c r="B111" s="718" t="s">
        <v>2698</v>
      </c>
      <c r="C111" s="312"/>
      <c r="D111" s="312"/>
      <c r="E111" s="312"/>
      <c r="F111" s="719"/>
      <c r="G111" s="464">
        <f>SUMIFS(BalanceN[BS_Debit],BalanceN[Table],"&gt;=62830",BalanceN[Table],"&lt;62840")-SUMIFS(BalanceN[BS_Credit],BalanceN[Table],"&gt;=62830",BalanceN[Table],"&lt;62840")</f>
        <v>0</v>
      </c>
      <c r="H111" s="464">
        <f>SUMIFS(BalanceN1[BS_Debit],BalanceN1[Table],"&gt;=62830",BalanceN1[Table],"&lt;62840")-SUMIFS(BalanceN1[BS_Credit],BalanceN1[Table],"&gt;=62830",BalanceN1[Table],"&lt;62840")</f>
        <v>0</v>
      </c>
      <c r="I111" s="464">
        <f t="shared" si="3"/>
        <v>0</v>
      </c>
      <c r="J111" s="473" t="str">
        <f t="shared" si="4"/>
        <v/>
      </c>
    </row>
    <row r="112" spans="1:10" s="129" customFormat="1" ht="14.25" customHeight="1">
      <c r="A112" s="717">
        <v>6284</v>
      </c>
      <c r="B112" s="718" t="s">
        <v>2699</v>
      </c>
      <c r="C112" s="674"/>
      <c r="D112" s="674"/>
      <c r="E112" s="674"/>
      <c r="F112" s="723"/>
      <c r="G112" s="474">
        <f>SUMIFS(BalanceN[BS_Debit],BalanceN[Table],"&gt;=62840",BalanceN[Table],"&lt;62850")-SUMIFS(BalanceN[BS_Credit],BalanceN[Table],"&gt;=62840",BalanceN[Table],"&lt;62850")</f>
        <v>0</v>
      </c>
      <c r="H112" s="474">
        <f>SUMIFS(BalanceN1[BS_Debit],BalanceN1[Table],"&gt;=62840",BalanceN1[Table],"&lt;62850")-SUMIFS(BalanceN1[BS_Credit],BalanceN1[Table],"&gt;=62840",BalanceN1[Table],"&lt;62850")</f>
        <v>0</v>
      </c>
      <c r="I112" s="474">
        <f t="shared" si="3"/>
        <v>0</v>
      </c>
      <c r="J112" s="475"/>
    </row>
    <row r="113" spans="1:10" ht="14.25" customHeight="1">
      <c r="A113" s="717">
        <v>6288</v>
      </c>
      <c r="B113" s="718" t="s">
        <v>2700</v>
      </c>
      <c r="C113" s="312"/>
      <c r="D113" s="312"/>
      <c r="E113" s="312"/>
      <c r="F113" s="719"/>
      <c r="G113" s="464">
        <f>SUMIFS(BalanceN[BS_Debit],BalanceN[Table],"&gt;=62880",BalanceN[Table],"&lt;62890")-SUMIFS(BalanceN[BS_Credit],BalanceN[Table],"&gt;=62880",BalanceN[Table],"&lt;62890")</f>
        <v>810400</v>
      </c>
      <c r="H113" s="464">
        <f>SUMIFS(BalanceN1[BS_Debit],BalanceN1[Table],"&gt;=62880",BalanceN1[Table],"&lt;62890")-SUMIFS(BalanceN1[BS_Credit],BalanceN1[Table],"&gt;=62880",BalanceN1[Table],"&lt;62890")</f>
        <v>857400</v>
      </c>
      <c r="I113" s="464">
        <f t="shared" si="3"/>
        <v>-47000</v>
      </c>
      <c r="J113" s="473">
        <f t="shared" si="4"/>
        <v>-5.4816888266853277E-2</v>
      </c>
    </row>
    <row r="114" spans="1:10" ht="14.25" customHeight="1">
      <c r="A114" s="717">
        <v>6311</v>
      </c>
      <c r="B114" s="718" t="s">
        <v>2701</v>
      </c>
      <c r="C114" s="312"/>
      <c r="D114" s="312"/>
      <c r="E114" s="312"/>
      <c r="F114" s="719"/>
      <c r="G114" s="464">
        <f>SUMIFS(BalanceN[BS_Debit],BalanceN[Table],"&gt;=63110",BalanceN[Table],"&lt;63120")-SUMIFS(BalanceN[BS_Credit],BalanceN[Table],"&gt;=63110",BalanceN[Table],"&lt;63120")</f>
        <v>0</v>
      </c>
      <c r="H114" s="464">
        <f>SUMIFS(BalanceN1[BS_Debit],BalanceN1[Table],"&gt;=63110",BalanceN1[Table],"&lt;63120")-SUMIFS(BalanceN1[BS_Credit],BalanceN1[Table],"&gt;=63110",BalanceN1[Table],"&lt;63120")</f>
        <v>0</v>
      </c>
      <c r="I114" s="464">
        <f t="shared" si="3"/>
        <v>0</v>
      </c>
      <c r="J114" s="473" t="str">
        <f>IF(H114,(G114-H114)/H114,IF(ISBLANK(H114),"",IF(G114,IF( G114 &gt; 0,1,-1),"")))</f>
        <v/>
      </c>
    </row>
    <row r="115" spans="1:10" ht="14.25" customHeight="1">
      <c r="A115" s="717">
        <v>6312</v>
      </c>
      <c r="B115" s="718" t="s">
        <v>2702</v>
      </c>
      <c r="C115" s="312"/>
      <c r="D115" s="312"/>
      <c r="E115" s="312"/>
      <c r="F115" s="719"/>
      <c r="G115" s="464">
        <f>SUMIFS(BalanceN[BS_Debit],BalanceN[Table],"&gt;=63120",BalanceN[Table],"&lt;63130")-SUMIFS(BalanceN[BS_Credit],BalanceN[Table],"&gt;=63120",BalanceN[Table],"&lt;63130")</f>
        <v>0</v>
      </c>
      <c r="H115" s="464">
        <f>SUMIFS(BalanceN1[BS_Debit],BalanceN1[Table],"&gt;=63120",BalanceN1[Table],"&lt;63130")-SUMIFS(BalanceN1[BS_Credit],BalanceN1[Table],"&gt;=63120",BalanceN1[Table],"&lt;63130")</f>
        <v>0</v>
      </c>
      <c r="I115" s="464">
        <f t="shared" si="3"/>
        <v>0</v>
      </c>
      <c r="J115" s="473" t="str">
        <f t="shared" si="4"/>
        <v/>
      </c>
    </row>
    <row r="116" spans="1:10" ht="14.25" customHeight="1">
      <c r="A116" s="717">
        <v>6313</v>
      </c>
      <c r="B116" s="718" t="s">
        <v>2703</v>
      </c>
      <c r="C116" s="312"/>
      <c r="D116" s="312"/>
      <c r="E116" s="312"/>
      <c r="F116" s="719"/>
      <c r="G116" s="464">
        <f>SUMIFS(BalanceN[BS_Debit],BalanceN[Table],"&gt;=63130",BalanceN[Table],"&lt;63140")-SUMIFS(BalanceN[BS_Credit],BalanceN[Table],"&gt;=63130",BalanceN[Table],"&lt;63140")</f>
        <v>0</v>
      </c>
      <c r="H116" s="464">
        <f>SUMIFS(BalanceN1[BS_Debit],BalanceN1[Table],"&gt;=63130",BalanceN1[Table],"&lt;63140")-SUMIFS(BalanceN1[BS_Credit],BalanceN1[Table],"&gt;=63130",BalanceN1[Table],"&lt;63140")</f>
        <v>0</v>
      </c>
      <c r="I116" s="464">
        <f t="shared" si="3"/>
        <v>0</v>
      </c>
      <c r="J116" s="473" t="str">
        <f t="shared" si="4"/>
        <v/>
      </c>
    </row>
    <row r="117" spans="1:10" ht="14.25" customHeight="1">
      <c r="A117" s="717">
        <v>6314</v>
      </c>
      <c r="B117" s="718" t="s">
        <v>2704</v>
      </c>
      <c r="C117" s="674"/>
      <c r="D117" s="674"/>
      <c r="E117" s="312"/>
      <c r="F117" s="719"/>
      <c r="G117" s="464">
        <f>SUMIFS(BalanceN[BS_Debit],BalanceN[Table],"&gt;=63140",BalanceN[Table],"&lt;63150")-SUMIFS(BalanceN[BS_Credit],BalanceN[Table],"&gt;=63140",BalanceN[Table],"&lt;63150")</f>
        <v>0</v>
      </c>
      <c r="H117" s="464">
        <f>SUMIFS(BalanceN1[BS_Debit],BalanceN1[Table],"&gt;=63140",BalanceN1[Table],"&lt;63150")-SUMIFS(BalanceN1[BS_Credit],BalanceN1[Table],"&gt;=63140",BalanceN1[Table],"&lt;63150")</f>
        <v>0</v>
      </c>
      <c r="I117" s="464">
        <f t="shared" si="3"/>
        <v>0</v>
      </c>
      <c r="J117" s="473" t="str">
        <f t="shared" si="4"/>
        <v/>
      </c>
    </row>
    <row r="118" spans="1:10" ht="14.25" customHeight="1">
      <c r="A118" s="717">
        <v>6315</v>
      </c>
      <c r="B118" s="718" t="s">
        <v>2705</v>
      </c>
      <c r="C118" s="312"/>
      <c r="D118" s="312"/>
      <c r="E118" s="312"/>
      <c r="F118" s="719"/>
      <c r="G118" s="464">
        <f>SUMIFS(BalanceN[BS_Debit],BalanceN[Table],"&gt;=63150",BalanceN[Table],"&lt;63160")-SUMIFS(BalanceN[BS_Credit],BalanceN[Table],"&gt;=63150",BalanceN[Table],"&lt;63160")</f>
        <v>0</v>
      </c>
      <c r="H118" s="464">
        <f>SUMIFS(BalanceN1[BS_Debit],BalanceN1[Table],"&gt;=63150",BalanceN1[Table],"&lt;63160")-SUMIFS(BalanceN1[BS_Credit],BalanceN1[Table],"&gt;=63150",BalanceN1[Table],"&lt;63160")</f>
        <v>0</v>
      </c>
      <c r="I118" s="464">
        <f t="shared" si="3"/>
        <v>0</v>
      </c>
      <c r="J118" s="473" t="str">
        <f t="shared" si="4"/>
        <v/>
      </c>
    </row>
    <row r="119" spans="1:10" ht="14.25" customHeight="1">
      <c r="A119" s="717">
        <v>6316</v>
      </c>
      <c r="B119" s="718" t="s">
        <v>2706</v>
      </c>
      <c r="C119" s="312"/>
      <c r="D119" s="312"/>
      <c r="E119" s="312"/>
      <c r="F119" s="719"/>
      <c r="G119" s="464">
        <f>SUMIFS(BalanceN[BS_Debit],BalanceN[Table],"&gt;=63160",BalanceN[Table],"&lt;63170")-SUMIFS(BalanceN[BS_Credit],BalanceN[Table],"&gt;=63160",BalanceN[Table],"&lt;63170")</f>
        <v>0</v>
      </c>
      <c r="H119" s="464">
        <f>SUMIFS(BalanceN1[BS_Debit],BalanceN1[Table],"&gt;=63160",BalanceN1[Table],"&lt;63170")-SUMIFS(BalanceN1[BS_Credit],BalanceN1[Table],"&gt;=63160",BalanceN1[Table],"&lt;63170")</f>
        <v>0</v>
      </c>
      <c r="I119" s="464">
        <f t="shared" si="3"/>
        <v>0</v>
      </c>
      <c r="J119" s="473" t="str">
        <f t="shared" si="4"/>
        <v/>
      </c>
    </row>
    <row r="120" spans="1:10" ht="14.25" customHeight="1">
      <c r="A120" s="717">
        <v>6317</v>
      </c>
      <c r="B120" s="718" t="s">
        <v>2707</v>
      </c>
      <c r="C120" s="312"/>
      <c r="D120" s="312"/>
      <c r="E120" s="312"/>
      <c r="F120" s="719"/>
      <c r="G120" s="464">
        <f>SUMIFS(BalanceN[BS_Debit],BalanceN[Table],"&gt;=63170",BalanceN[Table],"&lt;63180")-SUMIFS(BalanceN[BS_Credit],BalanceN[Table],"&gt;=63170",BalanceN[Table],"&lt;63180")</f>
        <v>0</v>
      </c>
      <c r="H120" s="464">
        <f>SUMIFS(BalanceN1[BS_Debit],BalanceN1[Table],"&gt;=63170",BalanceN1[Table],"&lt;63180")-SUMIFS(BalanceN1[BS_Credit],BalanceN1[Table],"&gt;=63170",BalanceN1[Table],"&lt;63180")</f>
        <v>0</v>
      </c>
      <c r="I120" s="464">
        <f t="shared" si="3"/>
        <v>0</v>
      </c>
      <c r="J120" s="473" t="str">
        <f t="shared" si="4"/>
        <v/>
      </c>
    </row>
    <row r="121" spans="1:10" ht="14.25" customHeight="1">
      <c r="A121" s="717">
        <v>6318</v>
      </c>
      <c r="B121" s="718" t="s">
        <v>2708</v>
      </c>
      <c r="C121" s="312"/>
      <c r="D121" s="312"/>
      <c r="E121" s="312"/>
      <c r="F121" s="719"/>
      <c r="G121" s="464">
        <f>SUMIFS(BalanceN[BS_Debit],BalanceN[Table],"&gt;=63180",BalanceN[Table],"&lt;63190")-SUMIFS(BalanceN[BS_Credit],BalanceN[Table],"&gt;=63180",BalanceN[Table],"&lt;63190")</f>
        <v>8430066</v>
      </c>
      <c r="H121" s="464">
        <f>SUMIFS(BalanceN1[BS_Debit],BalanceN1[Table],"&gt;=63180",BalanceN1[Table],"&lt;63190")-SUMIFS(BalanceN1[BS_Credit],BalanceN1[Table],"&gt;=63180",BalanceN1[Table],"&lt;63190")</f>
        <v>12728046</v>
      </c>
      <c r="I121" s="464">
        <f t="shared" si="3"/>
        <v>-4297980</v>
      </c>
      <c r="J121" s="473">
        <f t="shared" si="4"/>
        <v>-0.33767791222627574</v>
      </c>
    </row>
    <row r="122" spans="1:10" ht="14.25" customHeight="1">
      <c r="A122" s="717">
        <v>6322</v>
      </c>
      <c r="B122" s="718" t="s">
        <v>2709</v>
      </c>
      <c r="C122" s="312"/>
      <c r="D122" s="312"/>
      <c r="E122" s="312"/>
      <c r="F122" s="719"/>
      <c r="G122" s="464">
        <f>SUMIFS(BalanceN[BS_Debit],BalanceN[Table],"&gt;=63220",BalanceN[Table],"&lt;63230")-SUMIFS(BalanceN[BS_Credit],BalanceN[Table],"&gt;=63220",BalanceN[Table],"&lt;63230")</f>
        <v>0</v>
      </c>
      <c r="H122" s="464">
        <f>SUMIFS(BalanceN1[BS_Debit],BalanceN1[Table],"&gt;=63220",BalanceN1[Table],"&lt;63230")-SUMIFS(BalanceN1[BS_Credit],BalanceN1[Table],"&gt;=63220",BalanceN1[Table],"&lt;63230")</f>
        <v>0</v>
      </c>
      <c r="I122" s="464">
        <f t="shared" si="3"/>
        <v>0</v>
      </c>
      <c r="J122" s="473" t="str">
        <f t="shared" si="4"/>
        <v/>
      </c>
    </row>
    <row r="123" spans="1:10" ht="14.25" customHeight="1">
      <c r="A123" s="717">
        <v>6324</v>
      </c>
      <c r="B123" s="718" t="s">
        <v>2710</v>
      </c>
      <c r="C123" s="312"/>
      <c r="D123" s="312"/>
      <c r="E123" s="312"/>
      <c r="F123" s="719"/>
      <c r="G123" s="464">
        <f>SUMIFS(BalanceN[BS_Debit],BalanceN[Table],"&gt;=63240",BalanceN[Table],"&lt;63250")-SUMIFS(BalanceN[BS_Credit],BalanceN[Table],"&gt;=63240",BalanceN[Table],"&lt;63250")</f>
        <v>18801520</v>
      </c>
      <c r="H123" s="464">
        <f>SUMIFS(BalanceN1[BS_Debit],BalanceN1[Table],"&gt;=63240",BalanceN1[Table],"&lt;63250")-SUMIFS(BalanceN1[BS_Credit],BalanceN1[Table],"&gt;=63240",BalanceN1[Table],"&lt;63250")</f>
        <v>5151420</v>
      </c>
      <c r="I123" s="464">
        <f t="shared" si="3"/>
        <v>13650100</v>
      </c>
      <c r="J123" s="473">
        <f t="shared" si="4"/>
        <v>2.6497742370064952</v>
      </c>
    </row>
    <row r="124" spans="1:10" ht="14.25" customHeight="1">
      <c r="A124" s="717">
        <v>6325</v>
      </c>
      <c r="B124" s="718" t="s">
        <v>2711</v>
      </c>
      <c r="C124" s="312"/>
      <c r="D124" s="312"/>
      <c r="E124" s="312"/>
      <c r="F124" s="719"/>
      <c r="G124" s="464">
        <f>SUMIFS(BalanceN[BS_Debit],BalanceN[Table],"&gt;=63250",BalanceN[Table],"&lt;63260")-SUMIFS(BalanceN[BS_Credit],BalanceN[Table],"&gt;=63250",BalanceN[Table],"&lt;63260")</f>
        <v>46680</v>
      </c>
      <c r="H124" s="464">
        <f>SUMIFS(BalanceN1[BS_Debit],BalanceN1[Table],"&gt;=63250",BalanceN1[Table],"&lt;63260")-SUMIFS(BalanceN1[BS_Credit],BalanceN1[Table],"&gt;=63250",BalanceN1[Table],"&lt;63260")</f>
        <v>0</v>
      </c>
      <c r="I124" s="464">
        <f t="shared" si="3"/>
        <v>46680</v>
      </c>
      <c r="J124" s="473">
        <f t="shared" si="4"/>
        <v>1</v>
      </c>
    </row>
    <row r="125" spans="1:10" ht="14.25" customHeight="1">
      <c r="A125" s="717">
        <v>6326</v>
      </c>
      <c r="B125" s="718" t="s">
        <v>2712</v>
      </c>
      <c r="C125" s="312"/>
      <c r="D125" s="312"/>
      <c r="E125" s="312"/>
      <c r="F125" s="719"/>
      <c r="G125" s="464">
        <f>SUMIFS(BalanceN[BS_Debit],BalanceN[Table],"&gt;=63260",BalanceN[Table],"&lt;63270")-SUMIFS(BalanceN[BS_Credit],BalanceN[Table],"&gt;=63260",BalanceN[Table],"&lt;63270")</f>
        <v>0</v>
      </c>
      <c r="H125" s="464">
        <f>SUMIFS(BalanceN1[BS_Debit],BalanceN1[Table],"&gt;=63260",BalanceN1[Table],"&lt;63270")-SUMIFS(BalanceN1[BS_Credit],BalanceN1[Table],"&gt;=63260",BalanceN1[Table],"&lt;63270")</f>
        <v>0</v>
      </c>
      <c r="I125" s="464">
        <f t="shared" si="3"/>
        <v>0</v>
      </c>
      <c r="J125" s="473" t="str">
        <f t="shared" si="4"/>
        <v/>
      </c>
    </row>
    <row r="126" spans="1:10" ht="14.25" customHeight="1">
      <c r="A126" s="717">
        <v>6327</v>
      </c>
      <c r="B126" s="718" t="s">
        <v>2713</v>
      </c>
      <c r="C126" s="312"/>
      <c r="D126" s="312"/>
      <c r="E126" s="312"/>
      <c r="F126" s="719"/>
      <c r="G126" s="464">
        <f>SUMIFS(BalanceN[BS_Debit],BalanceN[Table],"&gt;=63270",BalanceN[Table],"&lt;63280")-SUMIFS(BalanceN[BS_Credit],BalanceN[Table],"&gt;=63270",BalanceN[Table],"&lt;63280")</f>
        <v>0</v>
      </c>
      <c r="H126" s="464">
        <f>SUMIFS(BalanceN1[BS_Debit],BalanceN1[Table],"&gt;=63270",BalanceN1[Table],"&lt;63280")-SUMIFS(BalanceN1[BS_Credit],BalanceN1[Table],"&gt;=63270",BalanceN1[Table],"&lt;63280")</f>
        <v>0</v>
      </c>
      <c r="I126" s="464">
        <f t="shared" si="3"/>
        <v>0</v>
      </c>
      <c r="J126" s="473" t="str">
        <f t="shared" si="4"/>
        <v/>
      </c>
    </row>
    <row r="127" spans="1:10" ht="14.25" customHeight="1">
      <c r="A127" s="717">
        <v>6328</v>
      </c>
      <c r="B127" s="718" t="s">
        <v>2714</v>
      </c>
      <c r="C127" s="312"/>
      <c r="D127" s="312"/>
      <c r="E127" s="312"/>
      <c r="F127" s="719"/>
      <c r="G127" s="464">
        <f>SUMIFS(BalanceN[BS_Debit],BalanceN[Table],"&gt;=63280",BalanceN[Table],"&lt;63290")-SUMIFS(BalanceN[BS_Credit],BalanceN[Table],"&gt;=63280",BalanceN[Table],"&lt;63290")</f>
        <v>2406375</v>
      </c>
      <c r="H127" s="464">
        <f>SUMIFS(BalanceN1[BS_Debit],BalanceN1[Table],"&gt;=63280",BalanceN1[Table],"&lt;63290")-SUMIFS(BalanceN1[BS_Credit],BalanceN1[Table],"&gt;=63280",BalanceN1[Table],"&lt;63290")</f>
        <v>1866275</v>
      </c>
      <c r="I127" s="464">
        <f t="shared" si="3"/>
        <v>540100</v>
      </c>
      <c r="J127" s="473">
        <f t="shared" si="4"/>
        <v>0.28940000803740068</v>
      </c>
    </row>
    <row r="128" spans="1:10" ht="14.25" customHeight="1">
      <c r="A128" s="717">
        <v>633</v>
      </c>
      <c r="B128" s="718" t="s">
        <v>2206</v>
      </c>
      <c r="C128" s="312"/>
      <c r="D128" s="312"/>
      <c r="E128" s="312"/>
      <c r="F128" s="719"/>
      <c r="G128" s="464">
        <f>SUMIFS(BalanceN[BS_Debit],BalanceN[Table],"&gt;=63300",BalanceN[Table],"&lt;63400")-SUMIFS(BalanceN[BS_Credit],BalanceN[Table],"&gt;=63300",BalanceN[Table],"&lt;63400")</f>
        <v>0</v>
      </c>
      <c r="H128" s="464">
        <f>SUMIFS(BalanceN1[BS_Debit],BalanceN1[Table],"&gt;=63300",BalanceN1[Table],"&lt;63400")-SUMIFS(BalanceN1[BS_Credit],BalanceN1[Table],"&gt;=63300",BalanceN1[Table],"&lt;63400")</f>
        <v>0</v>
      </c>
      <c r="I128" s="464">
        <f t="shared" si="3"/>
        <v>0</v>
      </c>
      <c r="J128" s="473" t="str">
        <f t="shared" si="4"/>
        <v/>
      </c>
    </row>
    <row r="129" spans="1:10" ht="14.25" customHeight="1">
      <c r="A129" s="717">
        <v>6342</v>
      </c>
      <c r="B129" s="718" t="s">
        <v>2715</v>
      </c>
      <c r="C129" s="312"/>
      <c r="D129" s="312"/>
      <c r="E129" s="312"/>
      <c r="F129" s="719"/>
      <c r="G129" s="464">
        <f>SUMIFS(BalanceN[BS_Debit],BalanceN[Table],"&gt;=63420",BalanceN[Table],"&lt;63430")-SUMIFS(BalanceN[BS_Credit],BalanceN[Table],"&gt;=63420",BalanceN[Table],"&lt;63430")</f>
        <v>0</v>
      </c>
      <c r="H129" s="464">
        <f>SUMIFS(BalanceN1[BS_Debit],BalanceN1[Table],"&gt;=63420",BalanceN1[Table],"&lt;63430")-SUMIFS(BalanceN1[BS_Credit],BalanceN1[Table],"&gt;=63420",BalanceN1[Table],"&lt;63430")</f>
        <v>0</v>
      </c>
      <c r="I129" s="464">
        <f t="shared" si="3"/>
        <v>0</v>
      </c>
      <c r="J129" s="473" t="str">
        <f t="shared" si="4"/>
        <v/>
      </c>
    </row>
    <row r="130" spans="1:10" ht="14.25" customHeight="1">
      <c r="A130" s="717">
        <v>6343</v>
      </c>
      <c r="B130" s="718" t="s">
        <v>2716</v>
      </c>
      <c r="C130" s="312"/>
      <c r="D130" s="312"/>
      <c r="E130" s="312"/>
      <c r="F130" s="719"/>
      <c r="G130" s="464">
        <f>SUMIFS(BalanceN[BS_Debit],BalanceN[Table],"&gt;=63430",BalanceN[Table],"&lt;63440")-SUMIFS(BalanceN[BS_Credit],BalanceN[Table],"&gt;=63430",BalanceN[Table],"&lt;63440")</f>
        <v>0</v>
      </c>
      <c r="H130" s="464">
        <f>SUMIFS(BalanceN1[BS_Debit],BalanceN1[Table],"&gt;=63430",BalanceN1[Table],"&lt;63440")-SUMIFS(BalanceN1[BS_Credit],BalanceN1[Table],"&gt;=63430",BalanceN1[Table],"&lt;63440")</f>
        <v>0</v>
      </c>
      <c r="I130" s="464">
        <f t="shared" si="3"/>
        <v>0</v>
      </c>
      <c r="J130" s="473" t="str">
        <f t="shared" si="4"/>
        <v/>
      </c>
    </row>
    <row r="131" spans="1:10" ht="14.25" customHeight="1">
      <c r="A131" s="717">
        <v>6344</v>
      </c>
      <c r="B131" s="718" t="s">
        <v>2717</v>
      </c>
      <c r="C131" s="312"/>
      <c r="D131" s="312"/>
      <c r="E131" s="312"/>
      <c r="F131" s="719"/>
      <c r="G131" s="464">
        <f>SUMIFS(BalanceN[BS_Debit],BalanceN[Table],"&gt;=63440",BalanceN[Table],"&lt;63450")-SUMIFS(BalanceN[BS_Credit],BalanceN[Table],"&gt;=63440",BalanceN[Table],"&lt;63450")</f>
        <v>0</v>
      </c>
      <c r="H131" s="464">
        <f>SUMIFS(BalanceN1[BS_Debit],BalanceN1[Table],"&gt;=63440",BalanceN1[Table],"&lt;63450")-SUMIFS(BalanceN1[BS_Credit],BalanceN1[Table],"&gt;=63440",BalanceN1[Table],"&lt;63450")</f>
        <v>0</v>
      </c>
      <c r="I131" s="464">
        <f t="shared" si="3"/>
        <v>0</v>
      </c>
      <c r="J131" s="473" t="str">
        <f t="shared" si="4"/>
        <v/>
      </c>
    </row>
    <row r="132" spans="1:10" ht="14.25" customHeight="1">
      <c r="A132" s="717">
        <v>6345</v>
      </c>
      <c r="B132" s="718" t="s">
        <v>2718</v>
      </c>
      <c r="C132" s="312"/>
      <c r="D132" s="312"/>
      <c r="E132" s="312"/>
      <c r="F132" s="719"/>
      <c r="G132" s="464">
        <f>SUMIFS(BalanceN[BS_Debit],BalanceN[Table],"&gt;=63450",BalanceN[Table],"&lt;63460")-SUMIFS(BalanceN[BS_Credit],BalanceN[Table],"&gt;=63450",BalanceN[Table],"&lt;63460")</f>
        <v>0</v>
      </c>
      <c r="H132" s="464">
        <f>SUMIFS(BalanceN1[BS_Debit],BalanceN1[Table],"&gt;=63450",BalanceN1[Table],"&lt;63460")-SUMIFS(BalanceN1[BS_Credit],BalanceN1[Table],"&gt;=63450",BalanceN1[Table],"&lt;63460")</f>
        <v>0</v>
      </c>
      <c r="I132" s="464">
        <f t="shared" si="3"/>
        <v>0</v>
      </c>
      <c r="J132" s="473" t="str">
        <f t="shared" si="4"/>
        <v/>
      </c>
    </row>
    <row r="133" spans="1:10" ht="14.25" customHeight="1">
      <c r="A133" s="717">
        <v>6346</v>
      </c>
      <c r="B133" s="718" t="s">
        <v>2719</v>
      </c>
      <c r="C133" s="312"/>
      <c r="D133" s="312"/>
      <c r="E133" s="312"/>
      <c r="F133" s="719"/>
      <c r="G133" s="464">
        <f>SUMIFS(BalanceN[BS_Debit],BalanceN[Table],"&gt;=63460",BalanceN[Table],"&lt;63470")-SUMIFS(BalanceN[BS_Credit],BalanceN[Table],"&gt;=63460",BalanceN[Table],"&lt;63470")</f>
        <v>48000</v>
      </c>
      <c r="H133" s="464">
        <f>SUMIFS(BalanceN1[BS_Debit],BalanceN1[Table],"&gt;=63460",BalanceN1[Table],"&lt;63470")-SUMIFS(BalanceN1[BS_Credit],BalanceN1[Table],"&gt;=63460",BalanceN1[Table],"&lt;63470")</f>
        <v>0</v>
      </c>
      <c r="I133" s="464">
        <f t="shared" si="3"/>
        <v>48000</v>
      </c>
      <c r="J133" s="473">
        <f t="shared" si="4"/>
        <v>1</v>
      </c>
    </row>
    <row r="134" spans="1:10" ht="14.25" customHeight="1">
      <c r="A134" s="717">
        <v>6351</v>
      </c>
      <c r="B134" s="718" t="s">
        <v>2208</v>
      </c>
      <c r="C134" s="312"/>
      <c r="D134" s="312"/>
      <c r="E134" s="312"/>
      <c r="F134" s="719"/>
      <c r="G134" s="464">
        <f>SUMIFS(BalanceN[BS_Debit],BalanceN[Table],"&gt;=63510",BalanceN[Table],"&lt;63520")-SUMIFS(BalanceN[BS_Credit],BalanceN[Table],"&gt;=63510",BalanceN[Table],"&lt;63520")</f>
        <v>200000</v>
      </c>
      <c r="H134" s="464">
        <f>SUMIFS(BalanceN1[BS_Debit],BalanceN1[Table],"&gt;=63510",BalanceN1[Table],"&lt;63520")-SUMIFS(BalanceN1[BS_Credit],BalanceN1[Table],"&gt;=63510",BalanceN1[Table],"&lt;63520")</f>
        <v>290000</v>
      </c>
      <c r="I134" s="464">
        <f t="shared" si="3"/>
        <v>-90000</v>
      </c>
      <c r="J134" s="473">
        <f t="shared" si="4"/>
        <v>-0.31034482758620691</v>
      </c>
    </row>
    <row r="135" spans="1:10" ht="14.25" customHeight="1">
      <c r="A135" s="717">
        <v>6358</v>
      </c>
      <c r="B135" s="718" t="s">
        <v>2720</v>
      </c>
      <c r="C135" s="312"/>
      <c r="D135" s="312"/>
      <c r="E135" s="312"/>
      <c r="F135" s="719"/>
      <c r="G135" s="464">
        <f>SUMIFS(BalanceN[BS_Debit],BalanceN[Table],"&gt;=63580",BalanceN[Table],"&lt;63590")-SUMIFS(BalanceN[BS_Credit],BalanceN[Table],"&gt;=63580",BalanceN[Table],"&lt;63590")</f>
        <v>0</v>
      </c>
      <c r="H135" s="464">
        <f>SUMIFS(BalanceN1[BS_Debit],BalanceN1[Table],"&gt;=63580",BalanceN1[Table],"&lt;63590")-SUMIFS(BalanceN1[BS_Credit],BalanceN1[Table],"&gt;=63580",BalanceN1[Table],"&lt;63590")</f>
        <v>0</v>
      </c>
      <c r="I135" s="464">
        <f t="shared" si="3"/>
        <v>0</v>
      </c>
      <c r="J135" s="473" t="str">
        <f t="shared" si="4"/>
        <v/>
      </c>
    </row>
    <row r="136" spans="1:10" ht="14.25" customHeight="1">
      <c r="A136" s="717">
        <v>6371</v>
      </c>
      <c r="B136" s="718" t="s">
        <v>2721</v>
      </c>
      <c r="C136" s="312"/>
      <c r="D136" s="312"/>
      <c r="E136" s="312"/>
      <c r="F136" s="719"/>
      <c r="G136" s="464">
        <f>SUMIFS(BalanceN[BS_Debit],BalanceN[Table],"&gt;=63710",BalanceN[Table],"&lt;63720")-SUMIFS(BalanceN[BS_Credit],BalanceN[Table],"&gt;=63710",BalanceN[Table],"&lt;63720")</f>
        <v>0</v>
      </c>
      <c r="H136" s="464">
        <f>SUMIFS(BalanceN1[BS_Debit],BalanceN1[Table],"&gt;=63710",BalanceN1[Table],"&lt;63720")-SUMIFS(BalanceN1[BS_Credit],BalanceN1[Table],"&gt;=63710",BalanceN1[Table],"&lt;63720")</f>
        <v>0</v>
      </c>
      <c r="I136" s="464">
        <f t="shared" si="3"/>
        <v>0</v>
      </c>
      <c r="J136" s="473" t="str">
        <f t="shared" si="4"/>
        <v/>
      </c>
    </row>
    <row r="137" spans="1:10" ht="14.25" customHeight="1">
      <c r="A137" s="717">
        <v>6372</v>
      </c>
      <c r="B137" s="718" t="s">
        <v>2722</v>
      </c>
      <c r="C137" s="312"/>
      <c r="D137" s="312"/>
      <c r="E137" s="312"/>
      <c r="F137" s="719"/>
      <c r="G137" s="464">
        <f>SUMIFS(BalanceN[BS_Debit],BalanceN[Table],"&gt;=63720",BalanceN[Table],"&lt;63730")-SUMIFS(BalanceN[BS_Credit],BalanceN[Table],"&gt;=63720",BalanceN[Table],"&lt;63730")</f>
        <v>0</v>
      </c>
      <c r="H137" s="464">
        <f>SUMIFS(BalanceN1[BS_Debit],BalanceN1[Table],"&gt;=63720",BalanceN1[Table],"&lt;63730")-SUMIFS(BalanceN1[BS_Credit],BalanceN1[Table],"&gt;=63720",BalanceN1[Table],"&lt;63730")</f>
        <v>0</v>
      </c>
      <c r="I137" s="464">
        <f t="shared" si="3"/>
        <v>0</v>
      </c>
      <c r="J137" s="473" t="str">
        <f t="shared" si="4"/>
        <v/>
      </c>
    </row>
    <row r="138" spans="1:10" ht="14.25" customHeight="1">
      <c r="A138" s="717">
        <v>6381</v>
      </c>
      <c r="B138" s="718" t="s">
        <v>2723</v>
      </c>
      <c r="C138" s="312"/>
      <c r="D138" s="312"/>
      <c r="E138" s="312"/>
      <c r="F138" s="719"/>
      <c r="G138" s="464">
        <f>SUMIFS(BalanceN[BS_Debit],BalanceN[Table],"&gt;=63810",BalanceN[Table],"&lt;63820")-SUMIFS(BalanceN[BS_Credit],BalanceN[Table],"&gt;=63810",BalanceN[Table],"&lt;63820")</f>
        <v>0</v>
      </c>
      <c r="H138" s="464">
        <f>SUMIFS(BalanceN1[BS_Debit],BalanceN1[Table],"&gt;=63810",BalanceN1[Table],"&lt;63820")-SUMIFS(BalanceN1[BS_Credit],BalanceN1[Table],"&gt;=63810",BalanceN1[Table],"&lt;63820")</f>
        <v>0</v>
      </c>
      <c r="I138" s="464">
        <f t="shared" si="3"/>
        <v>0</v>
      </c>
      <c r="J138" s="473" t="str">
        <f t="shared" si="4"/>
        <v/>
      </c>
    </row>
    <row r="139" spans="1:10" ht="14.25" customHeight="1">
      <c r="A139" s="717">
        <v>6382</v>
      </c>
      <c r="B139" s="718" t="s">
        <v>2724</v>
      </c>
      <c r="C139" s="312"/>
      <c r="D139" s="312"/>
      <c r="E139" s="312"/>
      <c r="F139" s="719"/>
      <c r="G139" s="464">
        <f>SUMIFS(BalanceN[BS_Debit],BalanceN[Table],"&gt;=63820",BalanceN[Table],"&lt;63830")-SUMIFS(BalanceN[BS_Credit],BalanceN[Table],"&gt;=63820",BalanceN[Table],"&lt;63830")</f>
        <v>0</v>
      </c>
      <c r="H139" s="464">
        <f>SUMIFS(BalanceN1[BS_Debit],BalanceN1[Table],"&gt;=63820",BalanceN1[Table],"&lt;63830")-SUMIFS(BalanceN1[BS_Credit],BalanceN1[Table],"&gt;=63820",BalanceN1[Table],"&lt;63830")</f>
        <v>0</v>
      </c>
      <c r="I139" s="464">
        <f t="shared" si="3"/>
        <v>0</v>
      </c>
      <c r="J139" s="473" t="str">
        <f t="shared" si="4"/>
        <v/>
      </c>
    </row>
    <row r="140" spans="1:10" ht="14.25" customHeight="1">
      <c r="A140" s="717">
        <v>6383</v>
      </c>
      <c r="B140" s="718" t="s">
        <v>2725</v>
      </c>
      <c r="C140" s="312"/>
      <c r="D140" s="312"/>
      <c r="E140" s="312"/>
      <c r="F140" s="719"/>
      <c r="G140" s="464">
        <f>SUMIFS(BalanceN[BS_Debit],BalanceN[Table],"&gt;=63830",BalanceN[Table],"&lt;63840")-SUMIFS(BalanceN[BS_Credit],BalanceN[Table],"&gt;=63830",BalanceN[Table],"&lt;63840")</f>
        <v>31500</v>
      </c>
      <c r="H140" s="464">
        <f>SUMIFS(BalanceN1[BS_Debit],BalanceN1[Table],"&gt;=63830",BalanceN1[Table],"&lt;63840")-SUMIFS(BalanceN1[BS_Credit],BalanceN1[Table],"&gt;=63830",BalanceN1[Table],"&lt;63840")</f>
        <v>18000</v>
      </c>
      <c r="I140" s="464">
        <f t="shared" si="3"/>
        <v>13500</v>
      </c>
      <c r="J140" s="473">
        <f>IF(H140,(G140-H140)/H140,IF(ISBLANK(H140),"",IF(G140,IF( G140 &gt; 0,1,-1),"")))</f>
        <v>0.75</v>
      </c>
    </row>
    <row r="141" spans="1:10" ht="14.25" customHeight="1">
      <c r="A141" s="717">
        <v>6384</v>
      </c>
      <c r="B141" s="718" t="s">
        <v>2726</v>
      </c>
      <c r="C141" s="312"/>
      <c r="D141" s="312"/>
      <c r="E141" s="312"/>
      <c r="F141" s="719"/>
      <c r="G141" s="464">
        <f>SUMIFS(BalanceN[BS_Debit],BalanceN[Table],"&gt;=63840",BalanceN[Table],"&lt;63850")-SUMIFS(BalanceN[BS_Credit],BalanceN[Table],"&gt;=63840",BalanceN[Table],"&lt;63850")</f>
        <v>0</v>
      </c>
      <c r="H141" s="464">
        <f>SUMIFS(BalanceN1[BS_Debit],BalanceN1[Table],"&gt;=63840",BalanceN1[Table],"&lt;63850")-SUMIFS(BalanceN1[BS_Credit],BalanceN1[Table],"&gt;=63840",BalanceN1[Table],"&lt;63850")</f>
        <v>0</v>
      </c>
      <c r="I141" s="464">
        <f t="shared" si="3"/>
        <v>0</v>
      </c>
      <c r="J141" s="473" t="str">
        <f t="shared" si="4"/>
        <v/>
      </c>
    </row>
    <row r="142" spans="1:10" ht="14.25" customHeight="1">
      <c r="A142" s="717">
        <v>6385</v>
      </c>
      <c r="B142" s="718" t="s">
        <v>2727</v>
      </c>
      <c r="C142" s="312"/>
      <c r="D142" s="312"/>
      <c r="E142" s="312"/>
      <c r="F142" s="719"/>
      <c r="G142" s="464">
        <f>SUMIFS(BalanceN[BS_Debit],BalanceN[Table],"&gt;=63850",BalanceN[Table],"&lt;63860")-SUMIFS(BalanceN[BS_Credit],BalanceN[Table],"&gt;=63850",BalanceN[Table],"&lt;63860")</f>
        <v>0</v>
      </c>
      <c r="H142" s="464">
        <f>SUMIFS(BalanceN1[BS_Debit],BalanceN1[Table],"&gt;=63850",BalanceN1[Table],"&lt;63860")-SUMIFS(BalanceN1[BS_Credit],BalanceN1[Table],"&gt;=63850",BalanceN1[Table],"&lt;63860")</f>
        <v>0</v>
      </c>
      <c r="I142" s="464">
        <f t="shared" si="3"/>
        <v>0</v>
      </c>
      <c r="J142" s="473" t="str">
        <f t="shared" si="4"/>
        <v/>
      </c>
    </row>
    <row r="143" spans="1:10" s="129" customFormat="1" ht="14.25" customHeight="1" thickBot="1">
      <c r="A143" s="717">
        <v>6388</v>
      </c>
      <c r="B143" s="718" t="s">
        <v>2728</v>
      </c>
      <c r="C143" s="674"/>
      <c r="D143" s="674"/>
      <c r="E143" s="674"/>
      <c r="F143" s="723"/>
      <c r="G143" s="476">
        <f>SUMIFS(BalanceN[BS_Debit],BalanceN[Table],"&gt;=63880",BalanceN[Table],"&lt;63890")-SUMIFS(BalanceN[BS_Credit],BalanceN[Table],"&gt;=63880",BalanceN[Table],"&lt;63890")</f>
        <v>30300</v>
      </c>
      <c r="H143" s="476">
        <f>SUMIFS(BalanceN1[BS_Debit],BalanceN1[Table],"&gt;=63880",BalanceN1[Table],"&lt;63890")-SUMIFS(BalanceN1[BS_Credit],BalanceN1[Table],"&gt;=63880",BalanceN1[Table],"&lt;63890")</f>
        <v>0</v>
      </c>
      <c r="I143" s="474">
        <f t="shared" si="3"/>
        <v>30300</v>
      </c>
      <c r="J143" s="473">
        <f t="shared" si="4"/>
        <v>1</v>
      </c>
    </row>
    <row r="144" spans="1:10" ht="14.25" customHeight="1" thickTop="1" thickBot="1">
      <c r="A144" s="720" t="s">
        <v>1302</v>
      </c>
      <c r="B144" s="721"/>
      <c r="C144" s="722" t="s">
        <v>1303</v>
      </c>
      <c r="D144" s="312"/>
      <c r="E144" s="312"/>
      <c r="F144" s="312"/>
      <c r="G144" s="466">
        <f>SUM(G63:G73,G85:G143)</f>
        <v>72599329</v>
      </c>
      <c r="H144" s="466">
        <f>SUM(H63:H73,H85:H143)</f>
        <v>60787379</v>
      </c>
      <c r="I144" s="466">
        <f t="shared" si="3"/>
        <v>11811950</v>
      </c>
      <c r="J144" s="477">
        <f t="shared" si="4"/>
        <v>0.1943158299356845</v>
      </c>
    </row>
    <row r="145" spans="1:10" ht="14.25" customHeight="1" thickTop="1">
      <c r="A145" s="717">
        <v>6411</v>
      </c>
      <c r="B145" s="718" t="s">
        <v>2729</v>
      </c>
      <c r="C145" s="312"/>
      <c r="D145" s="121"/>
      <c r="E145" s="121"/>
      <c r="F145" s="121"/>
      <c r="G145" s="478">
        <f>SUMIFS(BalanceN[BS_Debit],BalanceN[Table],"&gt;=64110",BalanceN[Table],"&lt;64120")-SUMIFS(BalanceN[BS_Credit],BalanceN[Table],"&gt;=64110",BalanceN[Table],"&lt;64120")</f>
        <v>0</v>
      </c>
      <c r="H145" s="478">
        <f>SUMIFS(BalanceN1[BS_Debit],BalanceN1[Table],"&gt;=64110",BalanceN1[Table],"&lt;64120")-SUMIFS(BalanceN1[BS_Credit],BalanceN1[Table],"&gt;=64110",BalanceN1[Table],"&lt;64120")</f>
        <v>0</v>
      </c>
      <c r="I145" s="478">
        <f t="shared" si="3"/>
        <v>0</v>
      </c>
      <c r="J145" s="473" t="str">
        <f t="shared" si="4"/>
        <v/>
      </c>
    </row>
    <row r="146" spans="1:10" ht="14.25" customHeight="1">
      <c r="A146" s="717">
        <v>6412</v>
      </c>
      <c r="B146" s="718" t="s">
        <v>2730</v>
      </c>
      <c r="C146" s="312"/>
      <c r="D146" s="121"/>
      <c r="E146" s="121"/>
      <c r="F146" s="121"/>
      <c r="G146" s="478">
        <f>SUMIFS(BalanceN[BS_Debit],BalanceN[Table],"&gt;=64120",BalanceN[Table],"&lt;64130")-SUMIFS(BalanceN[BS_Credit],BalanceN[Table],"&gt;=64120",BalanceN[Table],"&lt;64130")</f>
        <v>0</v>
      </c>
      <c r="H146" s="478">
        <f>SUMIFS(BalanceN1[BS_Debit],BalanceN1[Table],"&gt;=64120",BalanceN1[Table],"&lt;64130")-SUMIFS(BalanceN1[BS_Credit],BalanceN1[Table],"&gt;=64120",BalanceN1[Table],"&lt;64130")</f>
        <v>0</v>
      </c>
      <c r="I146" s="478">
        <f t="shared" si="3"/>
        <v>0</v>
      </c>
      <c r="J146" s="473" t="str">
        <f t="shared" si="4"/>
        <v/>
      </c>
    </row>
    <row r="147" spans="1:10" ht="14.25" customHeight="1">
      <c r="A147" s="717">
        <v>6413</v>
      </c>
      <c r="B147" s="718" t="s">
        <v>2731</v>
      </c>
      <c r="C147" s="312"/>
      <c r="D147" s="121"/>
      <c r="E147" s="121"/>
      <c r="F147" s="732"/>
      <c r="G147" s="478">
        <f>SUMIFS(BalanceN[BS_Debit],BalanceN[Table],"&gt;=64130",BalanceN[Table],"&lt;64140")-SUMIFS(BalanceN[BS_Credit],BalanceN[Table],"&gt;=64130",BalanceN[Table],"&lt;64140")</f>
        <v>0</v>
      </c>
      <c r="H147" s="464">
        <f>SUMIFS(BalanceN1[BS_Debit],BalanceN1[Table],"&gt;=64130",BalanceN1[Table],"&lt;64140")-SUMIFS(BalanceN1[BS_Credit],BalanceN1[Table],"&gt;=64130",BalanceN1[Table],"&lt;64140")</f>
        <v>0</v>
      </c>
      <c r="I147" s="478">
        <f t="shared" si="3"/>
        <v>0</v>
      </c>
      <c r="J147" s="473" t="str">
        <f t="shared" si="4"/>
        <v/>
      </c>
    </row>
    <row r="148" spans="1:10" ht="14.25" customHeight="1">
      <c r="A148" s="724">
        <v>6414</v>
      </c>
      <c r="B148" s="725" t="s">
        <v>2732</v>
      </c>
      <c r="C148" s="733"/>
      <c r="D148" s="734"/>
      <c r="E148" s="734"/>
      <c r="F148" s="735"/>
      <c r="G148" s="478">
        <f>SUMIFS(BalanceN[BS_Debit],BalanceN[Table],"&gt;=64140",BalanceN[Table],"&lt;64150")-SUMIFS(BalanceN[BS_Credit],BalanceN[Table],"&gt;=64140",BalanceN[Table],""&lt;64150)</f>
        <v>0</v>
      </c>
      <c r="H148" s="479">
        <f>SUMIFS(BalanceN1[BS_Debit],BalanceN1[Table],"&gt;=64140",BalanceN1[Table],"&lt;64150")-SUMIFS(BalanceN1[BS_Credit],BalanceN1[Table],"&gt;=64140",BalanceN1[Table],""&lt;64150)</f>
        <v>0</v>
      </c>
      <c r="I148" s="479">
        <f t="shared" si="3"/>
        <v>0</v>
      </c>
      <c r="J148" s="480" t="str">
        <f t="shared" si="4"/>
        <v/>
      </c>
    </row>
    <row r="149" spans="1:10" ht="14.25" customHeight="1">
      <c r="A149" s="736"/>
      <c r="B149" s="737"/>
      <c r="C149" s="722"/>
      <c r="D149" s="312"/>
      <c r="E149" s="312"/>
      <c r="F149" s="312"/>
      <c r="G149" s="738"/>
      <c r="H149" s="738"/>
      <c r="I149" s="738"/>
      <c r="J149" s="739"/>
    </row>
    <row r="150" spans="1:10">
      <c r="A150" s="2175" t="s">
        <v>17</v>
      </c>
      <c r="B150" s="2177"/>
      <c r="C150" s="572"/>
      <c r="D150" s="1276" t="str">
        <f>"- "&amp;Code!K68+2&amp;" -"</f>
        <v>- 41 -</v>
      </c>
      <c r="E150" s="1276"/>
      <c r="F150" s="1276"/>
      <c r="G150" s="2174"/>
      <c r="H150" s="2175" t="s">
        <v>2733</v>
      </c>
      <c r="I150" s="2176"/>
      <c r="J150" s="2177"/>
    </row>
    <row r="151" spans="1:10">
      <c r="A151" s="312" t="s">
        <v>50</v>
      </c>
      <c r="B151" s="612"/>
      <c r="C151" s="2164" t="str">
        <f>C2</f>
        <v>OHADA</v>
      </c>
      <c r="D151" s="2164"/>
      <c r="E151" s="2164"/>
      <c r="F151" s="2164"/>
      <c r="G151" s="2164"/>
      <c r="H151" s="2164"/>
      <c r="I151" s="2164"/>
      <c r="J151" s="2164"/>
    </row>
    <row r="152" spans="1:10">
      <c r="A152" s="312" t="s">
        <v>51</v>
      </c>
      <c r="B152" s="2164" t="str">
        <f>B3</f>
        <v/>
      </c>
      <c r="C152" s="2164"/>
      <c r="D152" s="2164"/>
      <c r="E152" s="2164"/>
      <c r="F152" s="2164"/>
      <c r="G152" s="2164"/>
      <c r="H152" s="2164"/>
      <c r="I152" s="597" t="s">
        <v>1021</v>
      </c>
      <c r="J152" s="707" t="str">
        <f>J3</f>
        <v/>
      </c>
    </row>
    <row r="153" spans="1:10">
      <c r="A153" s="312" t="s">
        <v>53</v>
      </c>
      <c r="B153" s="312"/>
      <c r="C153" s="2164" t="str">
        <f>C4</f>
        <v/>
      </c>
      <c r="D153" s="2164"/>
      <c r="E153" s="708"/>
      <c r="F153" s="708"/>
      <c r="G153" s="597" t="s">
        <v>54</v>
      </c>
      <c r="H153" s="707">
        <f>H4</f>
        <v>0</v>
      </c>
      <c r="I153" s="597" t="s">
        <v>55</v>
      </c>
      <c r="J153" s="707">
        <f>J4</f>
        <v>1</v>
      </c>
    </row>
    <row r="154" spans="1:10">
      <c r="A154" s="312" t="s">
        <v>56</v>
      </c>
      <c r="B154" s="312"/>
      <c r="C154" s="2164" t="str">
        <f>C5</f>
        <v/>
      </c>
      <c r="D154" s="2164"/>
      <c r="E154" s="2164"/>
      <c r="F154" s="2164"/>
      <c r="G154" s="710"/>
      <c r="H154" s="707"/>
      <c r="I154" s="708"/>
      <c r="J154" s="708"/>
    </row>
    <row r="155" spans="1:10" ht="5.25" customHeight="1">
      <c r="A155" s="317"/>
      <c r="B155" s="317"/>
      <c r="C155" s="675"/>
      <c r="D155" s="675"/>
      <c r="E155" s="627"/>
      <c r="F155" s="676"/>
      <c r="G155" s="627"/>
      <c r="H155" s="675"/>
      <c r="I155" s="119"/>
      <c r="J155" s="119"/>
    </row>
    <row r="156" spans="1:10">
      <c r="A156" s="2165" t="s">
        <v>2621</v>
      </c>
      <c r="B156" s="2166"/>
      <c r="C156" s="2166"/>
      <c r="D156" s="2166"/>
      <c r="E156" s="2166"/>
      <c r="F156" s="2166"/>
      <c r="G156" s="2166"/>
      <c r="H156" s="2166"/>
      <c r="I156" s="2166"/>
      <c r="J156" s="2167"/>
    </row>
    <row r="157" spans="1:10" ht="5.25" customHeight="1">
      <c r="A157" s="119"/>
      <c r="B157" s="119"/>
      <c r="C157" s="119"/>
      <c r="D157" s="119"/>
      <c r="E157" s="119"/>
      <c r="F157" s="119"/>
      <c r="G157" s="119"/>
      <c r="H157" s="119"/>
      <c r="I157" s="119"/>
      <c r="J157" s="119"/>
    </row>
    <row r="158" spans="1:10">
      <c r="A158" s="2168" t="s">
        <v>2622</v>
      </c>
      <c r="B158" s="2169"/>
      <c r="C158" s="2169"/>
      <c r="D158" s="2169"/>
      <c r="E158" s="2169"/>
      <c r="F158" s="2169"/>
      <c r="G158" s="2168" t="s">
        <v>2623</v>
      </c>
      <c r="H158" s="2168" t="s">
        <v>2624</v>
      </c>
      <c r="I158" s="2168" t="s">
        <v>2625</v>
      </c>
      <c r="J158" s="2170"/>
    </row>
    <row r="159" spans="1:10">
      <c r="A159" s="2171"/>
      <c r="B159" s="2172"/>
      <c r="C159" s="2172"/>
      <c r="D159" s="2172"/>
      <c r="E159" s="2172"/>
      <c r="F159" s="2172"/>
      <c r="G159" s="2171"/>
      <c r="H159" s="2171"/>
      <c r="I159" s="711" t="s">
        <v>2626</v>
      </c>
      <c r="J159" s="712" t="s">
        <v>2627</v>
      </c>
    </row>
    <row r="160" spans="1:10" ht="14.25" customHeight="1">
      <c r="A160" s="717">
        <v>6415</v>
      </c>
      <c r="B160" s="718" t="s">
        <v>2734</v>
      </c>
      <c r="C160" s="312"/>
      <c r="D160" s="312"/>
      <c r="E160" s="312"/>
      <c r="F160" s="719"/>
      <c r="G160" s="464">
        <f>SUMIFS(BalanceN[BS_Debit],BalanceN[Table],"&gt;=64150",BalanceN[Table],"&lt;64160")-SUMIFS(BalanceN[BS_Credit],BalanceN[Table],"&gt;=64150",BalanceN[Table],"&lt;64160")</f>
        <v>0</v>
      </c>
      <c r="H160" s="464">
        <f>SUMIFS(BalanceN1[BS_Debit],BalanceN1[Table],"&gt;=64150",BalanceN1[Table],"&lt;64160")-SUMIFS(BalanceN1[BS_Credit],BalanceN1[Table],"&gt;=64150",BalanceN1[Table],"&lt;64160")</f>
        <v>0</v>
      </c>
      <c r="I160" s="464">
        <f t="shared" ref="I160:I173" si="5">G160-H160</f>
        <v>0</v>
      </c>
      <c r="J160" s="473" t="str">
        <f>IF(H160,(G160-H160)/H160,IF(ISBLANK(H160),"",IF(G160,IF( G160 &gt; 0,1,-1),"")))</f>
        <v/>
      </c>
    </row>
    <row r="161" spans="1:10" ht="14.25" customHeight="1">
      <c r="A161" s="717">
        <v>6418</v>
      </c>
      <c r="B161" s="718" t="s">
        <v>2735</v>
      </c>
      <c r="C161" s="312"/>
      <c r="D161" s="312"/>
      <c r="E161" s="312"/>
      <c r="F161" s="719"/>
      <c r="G161" s="464">
        <f>SUMIFS(BalanceN[BS_Debit],BalanceN[Table],"&gt;=64180",BalanceN[Table],"&lt;64190")-SUMIFS(BalanceN[BS_Credit],BalanceN[Table],"&gt;=64180",BalanceN[Table],"&lt;64190")</f>
        <v>0</v>
      </c>
      <c r="H161" s="464">
        <f>SUMIFS(BalanceN1[BS_Debit],BalanceN1[Table],"&gt;=64180",BalanceN1[Table],"&lt;64190")-SUMIFS(BalanceN1[BS_Credit],BalanceN1[Table],"&gt;=64180",BalanceN1[Table],"&lt;64190")</f>
        <v>0</v>
      </c>
      <c r="I161" s="464">
        <f t="shared" si="5"/>
        <v>0</v>
      </c>
      <c r="J161" s="473" t="str">
        <f t="shared" ref="J161:J221" si="6">IF(H161,(G161-H161)/H161,IF(ISBLANK(H161),"",IF(G161,IF( G161 &gt; 0,1,-1),"")))</f>
        <v/>
      </c>
    </row>
    <row r="162" spans="1:10" ht="14.25" customHeight="1">
      <c r="A162" s="717">
        <v>645</v>
      </c>
      <c r="B162" s="718" t="s">
        <v>2214</v>
      </c>
      <c r="C162" s="312"/>
      <c r="D162" s="312"/>
      <c r="E162" s="312"/>
      <c r="F162" s="719"/>
      <c r="G162" s="464">
        <f>SUMIFS(BalanceN[BS_Debit],BalanceN[Table],"&gt;=64500",BalanceN[Table],"&lt;64600")-SUMIFS(BalanceN[BS_Credit],BalanceN[Table],"&gt;=64500",BalanceN[Table],"&lt;64600")</f>
        <v>0</v>
      </c>
      <c r="H162" s="464">
        <f>SUMIFS(BalanceN1[BS_Debit],BalanceN1[Table],"&gt;=64500",BalanceN1[Table],"&lt;64600")-SUMIFS(BalanceN1[BS_Credit],BalanceN1[Table],"&gt;=64500",BalanceN1[Table],"&lt;64600")</f>
        <v>0</v>
      </c>
      <c r="I162" s="464">
        <f t="shared" si="5"/>
        <v>0</v>
      </c>
      <c r="J162" s="473" t="str">
        <f t="shared" si="6"/>
        <v/>
      </c>
    </row>
    <row r="163" spans="1:10" ht="14.25" customHeight="1">
      <c r="A163" s="717">
        <v>6461</v>
      </c>
      <c r="B163" s="718" t="s">
        <v>2736</v>
      </c>
      <c r="C163" s="312"/>
      <c r="D163" s="312"/>
      <c r="E163" s="312"/>
      <c r="F163" s="719"/>
      <c r="G163" s="464">
        <f>SUMIFS(BalanceN[BS_Debit],BalanceN[Table],"&gt;=64610",BalanceN[Table],"&lt;64620")-SUMIFS(BalanceN[BS_Credit],BalanceN[Table],"&gt;=64610",BalanceN[Table],"&lt;64620")</f>
        <v>3000000</v>
      </c>
      <c r="H163" s="464">
        <f>SUMIFS(BalanceN1[BS_Debit],BalanceN1[Table],"&gt;=64610",BalanceN1[Table],"&lt;64620")-SUMIFS(BalanceN1[BS_Credit],BalanceN1[Table],"&gt;=64610",BalanceN1[Table],"&lt;64620")</f>
        <v>0</v>
      </c>
      <c r="I163" s="464">
        <f t="shared" si="5"/>
        <v>3000000</v>
      </c>
      <c r="J163" s="473">
        <f t="shared" si="6"/>
        <v>1</v>
      </c>
    </row>
    <row r="164" spans="1:10" ht="14.25" customHeight="1">
      <c r="A164" s="717">
        <v>6462</v>
      </c>
      <c r="B164" s="718" t="s">
        <v>2737</v>
      </c>
      <c r="C164" s="312"/>
      <c r="D164" s="312"/>
      <c r="E164" s="312"/>
      <c r="F164" s="719"/>
      <c r="G164" s="464">
        <f>SUMIFS(BalanceN[BS_Debit],BalanceN[Table],"&gt;=64620",BalanceN[Table],"&lt;64630")-SUMIFS(BalanceN[BS_Credit],BalanceN[Table],"&gt;=64620",BalanceN[Table],"&lt;64630")</f>
        <v>10200</v>
      </c>
      <c r="H164" s="464">
        <f>SUMIFS(BalanceN1[BS_Debit],BalanceN1[Table],"&gt;=64620",BalanceN1[Table],"&lt;64630")-SUMIFS(BalanceN1[BS_Credit],BalanceN1[Table],"&gt;=64620",BalanceN1[Table],"&lt;64630")</f>
        <v>0</v>
      </c>
      <c r="I164" s="464">
        <f t="shared" si="5"/>
        <v>10200</v>
      </c>
      <c r="J164" s="473">
        <f t="shared" si="6"/>
        <v>1</v>
      </c>
    </row>
    <row r="165" spans="1:10" ht="14.25" customHeight="1">
      <c r="A165" s="717">
        <v>6463</v>
      </c>
      <c r="B165" s="718" t="s">
        <v>2738</v>
      </c>
      <c r="C165" s="312"/>
      <c r="D165" s="312"/>
      <c r="E165" s="312"/>
      <c r="F165" s="719"/>
      <c r="G165" s="464">
        <f>SUMIFS(BalanceN[BS_Debit],BalanceN[Table],"&gt;=64630",BalanceN[Table],"&lt;64640")-SUMIFS(BalanceN[BS_Credit],BalanceN[Table],"&gt;=64630",BalanceN[Table],"&lt;64640")</f>
        <v>0</v>
      </c>
      <c r="H165" s="464">
        <f>SUMIFS(BalanceN1[BS_Debit],BalanceN1[Table],"&gt;=64630",BalanceN1[Table],"&lt;64640")-SUMIFS(BalanceN1[BS_Credit],BalanceN1[Table],"&gt;=64630",BalanceN1[Table],"&lt;64640")</f>
        <v>0</v>
      </c>
      <c r="I165" s="464">
        <f t="shared" si="5"/>
        <v>0</v>
      </c>
      <c r="J165" s="473" t="str">
        <f t="shared" si="6"/>
        <v/>
      </c>
    </row>
    <row r="166" spans="1:10" ht="14.25" customHeight="1">
      <c r="A166" s="717">
        <v>6464</v>
      </c>
      <c r="B166" s="718" t="s">
        <v>2739</v>
      </c>
      <c r="C166" s="312"/>
      <c r="D166" s="312"/>
      <c r="E166" s="312"/>
      <c r="F166" s="719"/>
      <c r="G166" s="464">
        <f>SUMIFS(BalanceN[BS_Debit],BalanceN[Table],"&gt;=64640",BalanceN[Table],"&lt;64650")-SUMIFS(BalanceN[BS_Credit],BalanceN[Table],"&gt;=64640",BalanceN[Table],"&lt;64650")</f>
        <v>35000</v>
      </c>
      <c r="H166" s="464">
        <f>SUMIFS(BalanceN1[BS_Debit],BalanceN1[Table],"&gt;=64640",BalanceN1[Table],"&lt;64650")-SUMIFS(BalanceN1[BS_Credit],BalanceN1[Table],"&gt;=64640",BalanceN1[Table],"&lt;64650")</f>
        <v>0</v>
      </c>
      <c r="I166" s="464">
        <f t="shared" si="5"/>
        <v>35000</v>
      </c>
      <c r="J166" s="473">
        <f t="shared" si="6"/>
        <v>1</v>
      </c>
    </row>
    <row r="167" spans="1:10" ht="14.25" customHeight="1">
      <c r="A167" s="717">
        <v>6468</v>
      </c>
      <c r="B167" s="718" t="s">
        <v>2740</v>
      </c>
      <c r="C167" s="312"/>
      <c r="D167" s="312"/>
      <c r="E167" s="312"/>
      <c r="F167" s="719"/>
      <c r="G167" s="464">
        <f>SUMIFS(BalanceN[BS_Debit],BalanceN[Table],"&gt;=64680",BalanceN[Table],"&lt;64690")-SUMIFS(BalanceN[BS_Credit],BalanceN[Table],"&gt;=64680",BalanceN[Table],"&lt;64690")</f>
        <v>0</v>
      </c>
      <c r="H167" s="464">
        <f>SUMIFS(BalanceN1[BS_Debit],BalanceN1[Table],"&gt;=64680",BalanceN1[Table],"&lt;64690")-SUMIFS(BalanceN1[BS_Credit],BalanceN1[Table],"&gt;=64680",BalanceN1[Table],"&lt;64690")</f>
        <v>35000</v>
      </c>
      <c r="I167" s="464">
        <f t="shared" si="5"/>
        <v>-35000</v>
      </c>
      <c r="J167" s="473">
        <f t="shared" si="6"/>
        <v>-1</v>
      </c>
    </row>
    <row r="168" spans="1:10" ht="14.25" customHeight="1">
      <c r="A168" s="717">
        <v>6471</v>
      </c>
      <c r="B168" s="718" t="s">
        <v>2741</v>
      </c>
      <c r="C168" s="312"/>
      <c r="D168" s="312"/>
      <c r="E168" s="312"/>
      <c r="F168" s="719"/>
      <c r="G168" s="464">
        <f>SUMIFS(BalanceN[BS_Debit],BalanceN[Table],"&gt;=64710",BalanceN[Table],"&lt;64720")-SUMIFS(BalanceN[BS_Credit],BalanceN[Table],"&gt;=64710",BalanceN[Table],"&lt;64720")</f>
        <v>0</v>
      </c>
      <c r="H168" s="464">
        <f>SUMIFS(BalanceN1[BS_Debit],BalanceN1[Table],"&gt;=64710",BalanceN1[Table],"&lt;64720")-SUMIFS(BalanceN1[BS_Credit],BalanceN1[Table],"&gt;=64710",BalanceN1[Table],"&lt;64720")</f>
        <v>0</v>
      </c>
      <c r="I168" s="464">
        <f t="shared" si="5"/>
        <v>0</v>
      </c>
      <c r="J168" s="473" t="str">
        <f t="shared" si="6"/>
        <v/>
      </c>
    </row>
    <row r="169" spans="1:10" ht="14.25" customHeight="1">
      <c r="A169" s="717">
        <v>6472</v>
      </c>
      <c r="B169" s="718" t="s">
        <v>2742</v>
      </c>
      <c r="C169" s="312"/>
      <c r="D169" s="312"/>
      <c r="E169" s="312"/>
      <c r="F169" s="719"/>
      <c r="G169" s="464">
        <f>SUMIFS(BalanceN[BS_Debit],BalanceN[Table],"&gt;=64720",BalanceN[Table],"&lt;64730")-SUMIFS(BalanceN[BS_Credit],BalanceN[Table],"&gt;=64720",BalanceN[Table],"&lt;64730")</f>
        <v>90000</v>
      </c>
      <c r="H169" s="464">
        <f>SUMIFS(BalanceN1[BS_Debit],BalanceN1[Table],"&gt;=64720",BalanceN1[Table],"&lt;64730")-SUMIFS(BalanceN1[BS_Credit],BalanceN1[Table],"&gt;=64720",BalanceN1[Table],"&lt;64730")</f>
        <v>0</v>
      </c>
      <c r="I169" s="464">
        <f t="shared" si="5"/>
        <v>90000</v>
      </c>
      <c r="J169" s="473">
        <f t="shared" si="6"/>
        <v>1</v>
      </c>
    </row>
    <row r="170" spans="1:10" ht="14.25" customHeight="1">
      <c r="A170" s="717">
        <v>6473</v>
      </c>
      <c r="B170" s="718" t="s">
        <v>2743</v>
      </c>
      <c r="C170" s="312"/>
      <c r="D170" s="312"/>
      <c r="E170" s="312"/>
      <c r="F170" s="719"/>
      <c r="G170" s="464">
        <f>SUMIFS(BalanceN[BS_Debit],BalanceN[Table],"&gt;=64730",BalanceN[Table],"&lt;64740")-SUMIFS(BalanceN[BS_Credit],BalanceN[Table],"&gt;=64730",BalanceN[Table],"&lt;64740")</f>
        <v>0</v>
      </c>
      <c r="H170" s="464">
        <f>SUMIFS(BalanceN1[BS_Debit],BalanceN1[Table],"&gt;=64730",BalanceN1[Table],"&lt;64740")-SUMIFS(BalanceN1[BS_Credit],BalanceN1[Table],"&gt;=64730",BalanceN1[Table],"&lt;64740")</f>
        <v>0</v>
      </c>
      <c r="I170" s="464">
        <f t="shared" si="5"/>
        <v>0</v>
      </c>
      <c r="J170" s="473" t="str">
        <f t="shared" si="6"/>
        <v/>
      </c>
    </row>
    <row r="171" spans="1:10" ht="14.25" customHeight="1">
      <c r="A171" s="717">
        <v>6474</v>
      </c>
      <c r="B171" s="718" t="s">
        <v>2744</v>
      </c>
      <c r="C171" s="312"/>
      <c r="D171" s="312"/>
      <c r="E171" s="312"/>
      <c r="F171" s="719"/>
      <c r="G171" s="464">
        <f>SUMIFS(BalanceN[BS_Debit],BalanceN[Table],"&gt;=64740",BalanceN[Table],"&lt;64750")-SUMIFS(BalanceN[BS_Credit],BalanceN[Table],"&gt;=64740",BalanceN[Table],"&lt;64750")</f>
        <v>0</v>
      </c>
      <c r="H171" s="464">
        <f>SUMIFS(BalanceN1[BS_Debit],BalanceN1[Table],"&gt;=64740",BalanceN1[Table],"&lt;64750")-SUMIFS(BalanceN1[BS_Credit],BalanceN1[Table],"&gt;=64740",BalanceN1[Table],"&lt;64750")</f>
        <v>0</v>
      </c>
      <c r="I171" s="464">
        <f t="shared" si="5"/>
        <v>0</v>
      </c>
      <c r="J171" s="473" t="str">
        <f t="shared" si="6"/>
        <v/>
      </c>
    </row>
    <row r="172" spans="1:10" ht="14.25" customHeight="1">
      <c r="A172" s="717">
        <v>6478</v>
      </c>
      <c r="B172" s="718" t="s">
        <v>2745</v>
      </c>
      <c r="C172" s="312"/>
      <c r="D172" s="312"/>
      <c r="E172" s="312"/>
      <c r="F172" s="719"/>
      <c r="G172" s="464">
        <f>SUMIFS(BalanceN[BS_Debit],BalanceN[Table],"&gt;=64780",BalanceN[Table],"&lt;64790")-SUMIFS(BalanceN[BS_Credit],BalanceN[Table],"&gt;=64780",BalanceN[Table],"&lt;64790")</f>
        <v>0</v>
      </c>
      <c r="H172" s="464">
        <f>SUMIFS(BalanceN1[BS_Debit],BalanceN1[Table],"&gt;=64780",BalanceN1[Table],"&lt;64790")-SUMIFS(BalanceN1[BS_Credit],BalanceN1[Table],"&gt;=64780",BalanceN1[Table],"&lt;64790")</f>
        <v>75000</v>
      </c>
      <c r="I172" s="464">
        <f t="shared" si="5"/>
        <v>-75000</v>
      </c>
      <c r="J172" s="473">
        <f t="shared" si="6"/>
        <v>-1</v>
      </c>
    </row>
    <row r="173" spans="1:10" ht="14.25" customHeight="1" thickBot="1">
      <c r="A173" s="717">
        <v>648</v>
      </c>
      <c r="B173" s="740" t="s">
        <v>2217</v>
      </c>
      <c r="C173" s="312"/>
      <c r="D173" s="312"/>
      <c r="E173" s="312"/>
      <c r="F173" s="719"/>
      <c r="G173" s="462">
        <f>SUMIFS(BalanceN[BS_Debit],BalanceN[Table],"&gt;=64800",BalanceN[Table],"&lt;64900")-SUMIFS(BalanceN[BS_Credit],BalanceN[Table],"&gt;=64800",BalanceN[Table],"&lt;64900")</f>
        <v>0</v>
      </c>
      <c r="H173" s="462">
        <f>SUMIFS(BalanceN1[BS_Debit],BalanceN1[Table],"&gt;=64800",BalanceN1[Table],"&lt;64900")-SUMIFS(BalanceN1[BS_Credit],BalanceN1[Table],"&gt;=64800",BalanceN1[Table],"&lt;64900")</f>
        <v>0</v>
      </c>
      <c r="I173" s="462">
        <f t="shared" si="5"/>
        <v>0</v>
      </c>
      <c r="J173" s="473" t="str">
        <f t="shared" si="6"/>
        <v/>
      </c>
    </row>
    <row r="174" spans="1:10" ht="14.25" customHeight="1" thickTop="1" thickBot="1">
      <c r="A174" s="720" t="s">
        <v>1304</v>
      </c>
      <c r="B174" s="741"/>
      <c r="C174" s="722" t="s">
        <v>1305</v>
      </c>
      <c r="D174" s="312"/>
      <c r="E174" s="312"/>
      <c r="F174" s="719"/>
      <c r="G174" s="466">
        <f>SUM(G145:G148,G160:G173)</f>
        <v>3135200</v>
      </c>
      <c r="H174" s="466">
        <f>SUM(H145:H148,H160:H173)</f>
        <v>110000</v>
      </c>
      <c r="I174" s="466">
        <f>G174-H174</f>
        <v>3025200</v>
      </c>
      <c r="J174" s="477">
        <f t="shared" si="6"/>
        <v>27.50181818181818</v>
      </c>
    </row>
    <row r="175" spans="1:10" ht="14.25" customHeight="1" thickTop="1">
      <c r="A175" s="717">
        <v>6511</v>
      </c>
      <c r="B175" s="718" t="s">
        <v>2221</v>
      </c>
      <c r="C175" s="312"/>
      <c r="D175" s="312"/>
      <c r="E175" s="312"/>
      <c r="F175" s="719"/>
      <c r="G175" s="462">
        <f>SUMIFS(BalanceN[BS_Debit],BalanceN[Table],"&gt;=65110",BalanceN[Table],"&lt;65120")-SUMIFS(BalanceN[BS_Credit],BalanceN[Table],"&gt;=65110",BalanceN[Table],"&lt;65120")</f>
        <v>4150956</v>
      </c>
      <c r="H175" s="462">
        <f>SUMIFS(BalanceN1[BS_Debit],BalanceN1[Table],"&gt;=65110",BalanceN1[Table],"&lt;65120")-SUMIFS(BalanceN1[BS_Credit],BalanceN1[Table],"&gt;=65110",BalanceN1[Table],"&lt;65120")</f>
        <v>0</v>
      </c>
      <c r="I175" s="462">
        <f>G175-H175</f>
        <v>4150956</v>
      </c>
      <c r="J175" s="473">
        <f t="shared" si="6"/>
        <v>1</v>
      </c>
    </row>
    <row r="176" spans="1:10" ht="14.25" customHeight="1">
      <c r="A176" s="717">
        <v>6515</v>
      </c>
      <c r="B176" s="718" t="s">
        <v>2222</v>
      </c>
      <c r="C176" s="312"/>
      <c r="D176" s="312"/>
      <c r="E176" s="312"/>
      <c r="F176" s="719"/>
      <c r="G176" s="464">
        <f>SUMIFS(BalanceN[BS_Debit],BalanceN[Table],"&gt;=65150",BalanceN[Table],"&lt;65160")-SUMIFS(BalanceN[BS_Credit],BalanceN[Table],"&gt;=65150",BalanceN[Table],"&lt;65160")</f>
        <v>0</v>
      </c>
      <c r="H176" s="464">
        <f>SUMIFS(BalanceN1[BS_Debit],BalanceN1[Table],"&gt;=65150",BalanceN1[Table],"&lt;65160")-SUMIFS(BalanceN1[BS_Credit],BalanceN1[Table],"&gt;=65150",BalanceN1[Table],"&lt;65160")</f>
        <v>0</v>
      </c>
      <c r="I176" s="464">
        <f t="shared" ref="I176:I221" si="7">G176-H176</f>
        <v>0</v>
      </c>
      <c r="J176" s="473" t="str">
        <f t="shared" si="6"/>
        <v/>
      </c>
    </row>
    <row r="177" spans="1:10" ht="14.25" customHeight="1">
      <c r="A177" s="717">
        <v>6521</v>
      </c>
      <c r="B177" s="718" t="s">
        <v>2746</v>
      </c>
      <c r="C177" s="312"/>
      <c r="D177" s="312"/>
      <c r="E177" s="312"/>
      <c r="F177" s="719"/>
      <c r="G177" s="464">
        <f>SUMIFS(BalanceN[BS_Debit],BalanceN[Table],"&gt;=65210",BalanceN[Table],"&lt;65220")-SUMIFS(BalanceN[BS_Credit],BalanceN[Table],"&gt;=65210",BalanceN[Table],"&lt;65220")</f>
        <v>0</v>
      </c>
      <c r="H177" s="464">
        <f>SUMIFS(BalanceN1[BS_Debit],BalanceN1[Table],"&gt;=65210",BalanceN1[Table],"&lt;65220")-SUMIFS(BalanceN1[BS_Credit],BalanceN1[Table],"&gt;=65210",BalanceN1[Table],"&lt;65220")</f>
        <v>0</v>
      </c>
      <c r="I177" s="464">
        <f t="shared" si="7"/>
        <v>0</v>
      </c>
      <c r="J177" s="473" t="str">
        <f t="shared" si="6"/>
        <v/>
      </c>
    </row>
    <row r="178" spans="1:10" ht="14.25" customHeight="1">
      <c r="A178" s="717">
        <v>6525</v>
      </c>
      <c r="B178" s="718" t="s">
        <v>2747</v>
      </c>
      <c r="C178" s="312"/>
      <c r="D178" s="312"/>
      <c r="E178" s="312"/>
      <c r="F178" s="719"/>
      <c r="G178" s="464">
        <f>SUMIFS(BalanceN[BS_Debit],BalanceN[Table],"&gt;=65250",BalanceN[Table],"&lt;65260")-SUMIFS(BalanceN[BS_Credit],BalanceN[Table],"&gt;=65250",BalanceN[Table],"&lt;65260")</f>
        <v>0</v>
      </c>
      <c r="H178" s="464">
        <f>SUMIFS(BalanceN1[BS_Debit],BalanceN1[Table],"&gt;=65250",BalanceN1[Table],"&lt;65260")-SUMIFS(BalanceN1[BS_Credit],BalanceN1[Table],"&gt;=65250",BalanceN1[Table],"&lt;65260")</f>
        <v>0</v>
      </c>
      <c r="I178" s="464">
        <f t="shared" si="7"/>
        <v>0</v>
      </c>
      <c r="J178" s="473" t="str">
        <f t="shared" si="6"/>
        <v/>
      </c>
    </row>
    <row r="179" spans="1:10" ht="14.25" customHeight="1">
      <c r="A179" s="717">
        <v>6541</v>
      </c>
      <c r="B179" s="718" t="s">
        <v>2748</v>
      </c>
      <c r="C179" s="312"/>
      <c r="D179" s="312"/>
      <c r="E179" s="312"/>
      <c r="F179" s="719"/>
      <c r="G179" s="464">
        <f>SUMIFS(BalanceN[BS_Debit],BalanceN[Table],"&gt;=65410",BalanceN[Table],"&lt;65420")-SUMIFS(BalanceN[BS_Credit],BalanceN[Table],"&gt;=65410",BalanceN[Table],"&lt;65420")</f>
        <v>0</v>
      </c>
      <c r="H179" s="464">
        <f>SUMIFS(BalanceN1[BS_Debit],BalanceN1[Table],"&gt;=65410",BalanceN1[Table],"&lt;65420")-SUMIFS(BalanceN1[BS_Credit],BalanceN1[Table],"&gt;=65410",BalanceN1[Table],"&lt;65420")</f>
        <v>0</v>
      </c>
      <c r="I179" s="464">
        <f t="shared" si="7"/>
        <v>0</v>
      </c>
      <c r="J179" s="473" t="str">
        <f t="shared" si="6"/>
        <v/>
      </c>
    </row>
    <row r="180" spans="1:10" ht="14.25" customHeight="1">
      <c r="A180" s="717">
        <v>6542</v>
      </c>
      <c r="B180" s="718" t="s">
        <v>2749</v>
      </c>
      <c r="C180" s="312"/>
      <c r="D180" s="312"/>
      <c r="E180" s="312"/>
      <c r="F180" s="719"/>
      <c r="G180" s="464">
        <f>SUMIFS(BalanceN[BS_Debit],BalanceN[Table],"&gt;=65420",BalanceN[Table],"&lt;65430")-SUMIFS(BalanceN[BS_Credit],BalanceN[Table],"&gt;=65420",BalanceN[Table],"&lt;65430")</f>
        <v>0</v>
      </c>
      <c r="H180" s="464">
        <f>SUMIFS(BalanceN1[BS_Debit],BalanceN1[Table],"&gt;=65420",BalanceN1[Table],"&lt;65430")-SUMIFS(BalanceN1[BS_Credit],BalanceN1[Table],"&gt;=65420",BalanceN1[Table],"&lt;65430")</f>
        <v>0</v>
      </c>
      <c r="I180" s="464">
        <f t="shared" si="7"/>
        <v>0</v>
      </c>
      <c r="J180" s="473" t="str">
        <f t="shared" si="6"/>
        <v/>
      </c>
    </row>
    <row r="181" spans="1:10" ht="14.25" customHeight="1">
      <c r="A181" s="717">
        <v>656</v>
      </c>
      <c r="B181" s="718" t="s">
        <v>2225</v>
      </c>
      <c r="C181" s="312"/>
      <c r="D181" s="312"/>
      <c r="E181" s="312"/>
      <c r="F181" s="719"/>
      <c r="G181" s="464">
        <f>SUMIFS(BalanceN[BS_Debit],BalanceN[Table],"&gt;=65600",BalanceN[Table],"&lt;65700")-SUMIFS(BalanceN[BS_Credit],BalanceN[Table],"&gt;=65600",BalanceN[Table],"&lt;65700")</f>
        <v>0</v>
      </c>
      <c r="H181" s="464">
        <f>SUMIFS(BalanceN1[BS_Debit],BalanceN1[Table],"&gt;=65600",BalanceN1[Table],"&lt;65700")-SUMIFS(BalanceN1[BS_Credit],BalanceN1[Table],"&gt;=65600",BalanceN1[Table],"&lt;65700")</f>
        <v>0</v>
      </c>
      <c r="I181" s="464">
        <f t="shared" si="7"/>
        <v>0</v>
      </c>
      <c r="J181" s="473" t="str">
        <f t="shared" si="6"/>
        <v/>
      </c>
    </row>
    <row r="182" spans="1:10" ht="14.25" customHeight="1">
      <c r="A182" s="717">
        <v>657</v>
      </c>
      <c r="B182" s="718" t="s">
        <v>2226</v>
      </c>
      <c r="C182" s="312"/>
      <c r="D182" s="312"/>
      <c r="E182" s="312"/>
      <c r="F182" s="719"/>
      <c r="G182" s="464">
        <f>SUMIFS(BalanceN[BS_Debit],BalanceN[Table],"&gt;=65700",BalanceN[Table],"&lt;65800")-SUMIFS(BalanceN[BS_Credit],BalanceN[Table],"&gt;=65700",BalanceN[Table],"&lt;65800")</f>
        <v>0</v>
      </c>
      <c r="H182" s="464">
        <f>SUMIFS(BalanceN1[BS_Debit],BalanceN1[Table],"&gt;=65700",BalanceN1[Table],"&lt;65800")-SUMIFS(BalanceN1[BS_Credit],BalanceN1[Table],"&gt;=65700",BalanceN1[Table],"&lt;65800")</f>
        <v>0</v>
      </c>
      <c r="I182" s="464">
        <f t="shared" si="7"/>
        <v>0</v>
      </c>
      <c r="J182" s="473" t="str">
        <f t="shared" si="6"/>
        <v/>
      </c>
    </row>
    <row r="183" spans="1:10" ht="14.25" customHeight="1">
      <c r="A183" s="717">
        <v>6581</v>
      </c>
      <c r="B183" s="718" t="s">
        <v>2227</v>
      </c>
      <c r="C183" s="312"/>
      <c r="D183" s="312"/>
      <c r="E183" s="312"/>
      <c r="F183" s="719"/>
      <c r="G183" s="464">
        <f>SUMIFS(BalanceN[BS_Debit],BalanceN[Table],"&gt;=65810",BalanceN[Table],"&lt;65820")-SUMIFS(BalanceN[BS_Credit],BalanceN[Table],"&gt;=65810",BalanceN[Table],"&lt;65820")</f>
        <v>0</v>
      </c>
      <c r="H183" s="464">
        <f>SUMIFS(BalanceN1[BS_Debit],BalanceN1[Table],"&gt;=65810",BalanceN1[Table],"&lt;65820")-SUMIFS(BalanceN1[BS_Credit],BalanceN1[Table],"&gt;=65810",BalanceN1[Table],"&lt;65820")</f>
        <v>0</v>
      </c>
      <c r="I183" s="464">
        <f t="shared" si="7"/>
        <v>0</v>
      </c>
      <c r="J183" s="473" t="str">
        <f t="shared" si="6"/>
        <v/>
      </c>
    </row>
    <row r="184" spans="1:10" ht="14.25" customHeight="1">
      <c r="A184" s="717">
        <v>6582</v>
      </c>
      <c r="B184" s="718" t="s">
        <v>2750</v>
      </c>
      <c r="C184" s="312"/>
      <c r="D184" s="312"/>
      <c r="E184" s="312"/>
      <c r="F184" s="719"/>
      <c r="G184" s="464">
        <f>SUMIFS(BalanceN[BS_Debit],BalanceN[Table],"&gt;=65820",BalanceN[Table],"&lt;65830")-SUMIFS(BalanceN[BS_Credit],BalanceN[Table],"&gt;=65820",BalanceN[Table],"&lt;65830")</f>
        <v>100000</v>
      </c>
      <c r="H184" s="464">
        <f>SUMIFS(BalanceN1[BS_Debit],BalanceN1[Table],"&gt;=65820",BalanceN1[Table],"&lt;65830")-SUMIFS(BalanceN1[BS_Credit],BalanceN1[Table],"&gt;=65820",BalanceN1[Table],"&lt;65830")</f>
        <v>0</v>
      </c>
      <c r="I184" s="464">
        <f t="shared" si="7"/>
        <v>100000</v>
      </c>
      <c r="J184" s="473">
        <f t="shared" si="6"/>
        <v>1</v>
      </c>
    </row>
    <row r="185" spans="1:10" ht="14.25" customHeight="1">
      <c r="A185" s="717">
        <v>6583</v>
      </c>
      <c r="B185" s="718" t="s">
        <v>2751</v>
      </c>
      <c r="C185" s="312"/>
      <c r="D185" s="312"/>
      <c r="E185" s="312"/>
      <c r="F185" s="719"/>
      <c r="G185" s="464">
        <f>SUMIFS(BalanceN[BS_Debit],BalanceN[Table],"&gt;=65830",BalanceN[Table],"&lt;65840")-SUMIFS(BalanceN[BS_Credit],BalanceN[Table],"&gt;=65830",BalanceN[Table],"&lt;65840")</f>
        <v>0</v>
      </c>
      <c r="H185" s="464">
        <f>SUMIFS(BalanceN1[BS_Debit],BalanceN1[Table],"&gt;=65830",BalanceN1[Table],"&lt;65840")-SUMIFS(BalanceN1[BS_Credit],BalanceN1[Table],"&gt;=65830",BalanceN1[Table],"&lt;65840")</f>
        <v>0</v>
      </c>
      <c r="I185" s="464">
        <f t="shared" si="7"/>
        <v>0</v>
      </c>
      <c r="J185" s="473" t="str">
        <f t="shared" si="6"/>
        <v/>
      </c>
    </row>
    <row r="186" spans="1:10" ht="14.25" customHeight="1">
      <c r="A186" s="717">
        <v>6588</v>
      </c>
      <c r="B186" s="718" t="s">
        <v>2229</v>
      </c>
      <c r="C186" s="312"/>
      <c r="D186" s="312"/>
      <c r="E186" s="312"/>
      <c r="F186" s="719"/>
      <c r="G186" s="464">
        <f>SUMIFS(BalanceN[BS_Debit],BalanceN[Table],"&gt;=65880",BalanceN[Table],"&lt;65890")-SUMIFS(BalanceN[BS_Credit],BalanceN[Table],"&gt;=65880",BalanceN[Table],"&lt;65890")</f>
        <v>12973</v>
      </c>
      <c r="H186" s="464">
        <f>SUMIFS(BalanceN1[BS_Debit],BalanceN1[Table],"&gt;=65880",BalanceN1[Table],"&lt;65890")-SUMIFS(BalanceN1[BS_Credit],BalanceN1[Table],"&gt;=65880",BalanceN1[Table],"&lt;65890")</f>
        <v>67670</v>
      </c>
      <c r="I186" s="464">
        <f t="shared" si="7"/>
        <v>-54697</v>
      </c>
      <c r="J186" s="473">
        <f t="shared" si="6"/>
        <v>-0.80829023200827543</v>
      </c>
    </row>
    <row r="187" spans="1:10" ht="14.25" customHeight="1">
      <c r="A187" s="717">
        <v>6591</v>
      </c>
      <c r="B187" s="718" t="s">
        <v>2752</v>
      </c>
      <c r="C187" s="312"/>
      <c r="D187" s="312"/>
      <c r="E187" s="312"/>
      <c r="F187" s="719"/>
      <c r="G187" s="464">
        <f>SUMIFS(BalanceN[BS_Debit],BalanceN[Table],"&gt;=65910",BalanceN[Table],"&lt;65920")-SUMIFS(BalanceN[BS_Credit],BalanceN[Table],"&gt;=65910",BalanceN[Table],"&lt;65920")</f>
        <v>0</v>
      </c>
      <c r="H187" s="464">
        <f>SUMIFS(BalanceN1[BS_Debit],BalanceN1[Table],"&gt;=65910",BalanceN1[Table],"&lt;65920")-SUMIFS(BalanceN1[BS_Credit],BalanceN1[Table],"&gt;=65910",BalanceN1[Table],"&lt;65920")</f>
        <v>0</v>
      </c>
      <c r="I187" s="464">
        <f t="shared" si="7"/>
        <v>0</v>
      </c>
      <c r="J187" s="473" t="str">
        <f t="shared" si="6"/>
        <v/>
      </c>
    </row>
    <row r="188" spans="1:10" ht="14.25" customHeight="1">
      <c r="A188" s="717">
        <v>6593</v>
      </c>
      <c r="B188" s="718" t="s">
        <v>2753</v>
      </c>
      <c r="C188" s="742"/>
      <c r="D188" s="742"/>
      <c r="E188" s="742"/>
      <c r="F188" s="743"/>
      <c r="G188" s="464">
        <f>SUMIFS(BalanceN[BS_Debit],BalanceN[Table],"&gt;=65930",BalanceN[Table],"&lt;65940")-SUMIFS(BalanceN[BS_Credit],BalanceN[Table],"&gt;=65930",BalanceN[Table],"&lt;65940")</f>
        <v>0</v>
      </c>
      <c r="H188" s="464">
        <f>SUMIFS(BalanceN1[BS_Debit],BalanceN1[Table],"&gt;=65930",BalanceN1[Table],"&lt;65940")-SUMIFS(BalanceN1[BS_Credit],BalanceN1[Table],"&gt;=65930",BalanceN1[Table],"&lt;65940")</f>
        <v>0</v>
      </c>
      <c r="I188" s="464">
        <f t="shared" si="7"/>
        <v>0</v>
      </c>
      <c r="J188" s="473" t="str">
        <f t="shared" si="6"/>
        <v/>
      </c>
    </row>
    <row r="189" spans="1:10" ht="14.25" customHeight="1">
      <c r="A189" s="717">
        <v>6594</v>
      </c>
      <c r="B189" s="718" t="s">
        <v>2754</v>
      </c>
      <c r="C189" s="742"/>
      <c r="D189" s="742"/>
      <c r="E189" s="742"/>
      <c r="F189" s="743"/>
      <c r="G189" s="464">
        <f>SUMIFS(BalanceN[BS_Debit],BalanceN[Table],"&gt;=65940",BalanceN[Table],"&lt;65950")-SUMIFS(BalanceN[BS_Credit],BalanceN[Table],"&gt;=65940",BalanceN[Table],"&lt;65950")</f>
        <v>0</v>
      </c>
      <c r="H189" s="464">
        <f>SUMIFS(BalanceN1[BS_Debit],BalanceN1[Table],"&gt;=65940",BalanceN1[Table],"&lt;65950")-SUMIFS(BalanceN1[BS_Credit],BalanceN1[Table],"&gt;=65940",BalanceN1[Table],"&lt;65950")</f>
        <v>0</v>
      </c>
      <c r="I189" s="464">
        <f t="shared" si="7"/>
        <v>0</v>
      </c>
      <c r="J189" s="473" t="str">
        <f t="shared" si="6"/>
        <v/>
      </c>
    </row>
    <row r="190" spans="1:10" ht="14.25" customHeight="1" thickBot="1">
      <c r="A190" s="717">
        <v>6598</v>
      </c>
      <c r="B190" s="718" t="s">
        <v>2755</v>
      </c>
      <c r="C190" s="742"/>
      <c r="D190" s="742"/>
      <c r="E190" s="742"/>
      <c r="F190" s="743"/>
      <c r="G190" s="462">
        <f>SUMIFS(BalanceN[BS_Debit],BalanceN[Table],"&gt;=65980",BalanceN[Table],"&lt;65990")-SUMIFS(BalanceN[BS_Credit],BalanceN[Table],"&gt;=65980",BalanceN[Table],"&lt;65990")</f>
        <v>0</v>
      </c>
      <c r="H190" s="462">
        <f>SUMIFS(BalanceN1[BS_Debit],BalanceN1[Table],"&gt;=65980",BalanceN1[Table],"&lt;65990")-SUMIFS(BalanceN1[BS_Credit],BalanceN1[Table],"&gt;=65980",BalanceN1[Table],"&lt;65990")</f>
        <v>0</v>
      </c>
      <c r="I190" s="462">
        <f t="shared" si="7"/>
        <v>0</v>
      </c>
      <c r="J190" s="473" t="str">
        <f t="shared" si="6"/>
        <v/>
      </c>
    </row>
    <row r="191" spans="1:10" ht="14.25" customHeight="1" thickTop="1" thickBot="1">
      <c r="A191" s="720" t="s">
        <v>1306</v>
      </c>
      <c r="B191" s="721"/>
      <c r="C191" s="722" t="s">
        <v>1307</v>
      </c>
      <c r="D191" s="312"/>
      <c r="E191" s="312"/>
      <c r="F191" s="719"/>
      <c r="G191" s="466">
        <f>SUM(G175:G190)</f>
        <v>4263929</v>
      </c>
      <c r="H191" s="466">
        <f>SUM(H175:H190)</f>
        <v>67670</v>
      </c>
      <c r="I191" s="466">
        <f>G191-H191</f>
        <v>4196259</v>
      </c>
      <c r="J191" s="477">
        <f t="shared" si="6"/>
        <v>62.01062509235998</v>
      </c>
    </row>
    <row r="192" spans="1:10" ht="14.25" customHeight="1" thickTop="1">
      <c r="A192" s="717">
        <v>6611</v>
      </c>
      <c r="B192" s="718" t="s">
        <v>2756</v>
      </c>
      <c r="C192" s="312"/>
      <c r="D192" s="312"/>
      <c r="E192" s="312"/>
      <c r="F192" s="719"/>
      <c r="G192" s="481">
        <f>SUMIFS(BalanceN[BS_Debit],BalanceN[Table],"&gt;=66110",BalanceN[Table],"&lt;66120")-SUMIFS(BalanceN[BS_Credit],BalanceN[Table],"&gt;=66110",BalanceN[Table],"&lt;66120")</f>
        <v>101601787</v>
      </c>
      <c r="H192" s="481">
        <f>SUMIFS(BalanceN1[BS_Debit],BalanceN1[Table],"&gt;=66110",BalanceN1[Table],"&lt;66120")-SUMIFS(BalanceN1[BS_Credit],BalanceN1[Table],"&gt;=66110",BalanceN1[Table],"&lt;66120")</f>
        <v>85757833</v>
      </c>
      <c r="I192" s="462">
        <f t="shared" si="7"/>
        <v>15843954</v>
      </c>
      <c r="J192" s="473">
        <f t="shared" si="6"/>
        <v>0.18475226630318423</v>
      </c>
    </row>
    <row r="193" spans="1:10" ht="14.25" customHeight="1">
      <c r="A193" s="717">
        <v>6612</v>
      </c>
      <c r="B193" s="718" t="s">
        <v>2757</v>
      </c>
      <c r="C193" s="312"/>
      <c r="D193" s="312"/>
      <c r="E193" s="312"/>
      <c r="F193" s="719"/>
      <c r="G193" s="464">
        <f>SUMIFS(BalanceN[BS_Debit],BalanceN[Table],"&gt;=66120",BalanceN[Table],"&lt;66130")-SUMIFS(BalanceN[BS_Credit],BalanceN[Table],"&gt;=66120",BalanceN[Table],"&lt;66130")</f>
        <v>0</v>
      </c>
      <c r="H193" s="464">
        <f>SUMIFS(BalanceN1[BS_Debit],BalanceN1[Table],"&gt;=66120",BalanceN1[Table],"&lt;66130")-SUMIFS(BalanceN1[BS_Credit],BalanceN1[Table],"&gt;=66120",BalanceN1[Table],"&lt;66130")</f>
        <v>0</v>
      </c>
      <c r="I193" s="464">
        <f t="shared" si="7"/>
        <v>0</v>
      </c>
      <c r="J193" s="473" t="str">
        <f t="shared" si="6"/>
        <v/>
      </c>
    </row>
    <row r="194" spans="1:10" ht="14.25" customHeight="1">
      <c r="A194" s="717">
        <v>6613</v>
      </c>
      <c r="B194" s="718" t="s">
        <v>2758</v>
      </c>
      <c r="C194" s="312"/>
      <c r="D194" s="312"/>
      <c r="E194" s="312"/>
      <c r="F194" s="719"/>
      <c r="G194" s="464">
        <f>SUMIFS(BalanceN[BS_Debit],BalanceN[Table],"&gt;=66130",BalanceN[Table],"&lt;66140")-SUMIFS(BalanceN[BS_Credit],BalanceN[Table],"&gt;=66130",BalanceN[Table],"&lt;66140")</f>
        <v>4632641</v>
      </c>
      <c r="H194" s="464">
        <f>SUMIFS(BalanceN1[BS_Debit],BalanceN1[Table],"&gt;=66130",BalanceN1[Table],"&lt;66140")-SUMIFS(BalanceN1[BS_Credit],BalanceN1[Table],"&gt;=66130",BalanceN1[Table],"&lt;66140")</f>
        <v>7969603</v>
      </c>
      <c r="I194" s="464">
        <f t="shared" si="7"/>
        <v>-3336962</v>
      </c>
      <c r="J194" s="473">
        <f t="shared" si="6"/>
        <v>-0.41871119552630165</v>
      </c>
    </row>
    <row r="195" spans="1:10" ht="14.25" customHeight="1">
      <c r="A195" s="717">
        <v>6614</v>
      </c>
      <c r="B195" s="718" t="s">
        <v>2759</v>
      </c>
      <c r="C195" s="742"/>
      <c r="D195" s="742"/>
      <c r="E195" s="742"/>
      <c r="F195" s="743"/>
      <c r="G195" s="464">
        <f>SUMIFS(BalanceN[BS_Debit],BalanceN[Table],"&gt;=66140",BalanceN[Table],"&lt;66150")-SUMIFS(BalanceN[BS_Credit],BalanceN[Table],"&gt;=66140",BalanceN[Table],"&lt;66150")</f>
        <v>0</v>
      </c>
      <c r="H195" s="464">
        <f>SUMIFS(BalanceN1[BS_Debit],BalanceN1[Table],"&gt;=66140",BalanceN1[Table],"&lt;66150")-SUMIFS(BalanceN1[BS_Credit],BalanceN1[Table],"&gt;=66140",BalanceN1[Table],"&lt;66150")</f>
        <v>0</v>
      </c>
      <c r="I195" s="464">
        <f t="shared" si="7"/>
        <v>0</v>
      </c>
      <c r="J195" s="473" t="str">
        <f t="shared" si="6"/>
        <v/>
      </c>
    </row>
    <row r="196" spans="1:10" ht="14.25" customHeight="1">
      <c r="A196" s="717">
        <v>6615</v>
      </c>
      <c r="B196" s="718" t="s">
        <v>2760</v>
      </c>
      <c r="C196" s="312"/>
      <c r="D196" s="312"/>
      <c r="E196" s="312"/>
      <c r="F196" s="719"/>
      <c r="G196" s="464">
        <f>SUMIFS(BalanceN[BS_Debit],BalanceN[Table],"&gt;=66150",BalanceN[Table],"&lt;66160")-SUMIFS(BalanceN[BS_Credit],BalanceN[Table],"&gt;=66150",BalanceN[Table],"&lt;66160")</f>
        <v>0</v>
      </c>
      <c r="H196" s="464">
        <f>SUMIFS(BalanceN1[BS_Debit],BalanceN1[Table],"&gt;=66150",BalanceN1[Table],"&lt;66160")-SUMIFS(BalanceN1[BS_Credit],BalanceN1[Table],"&gt;=66150",BalanceN1[Table],"&lt;66160")</f>
        <v>0</v>
      </c>
      <c r="I196" s="464">
        <f t="shared" si="7"/>
        <v>0</v>
      </c>
      <c r="J196" s="473" t="str">
        <f t="shared" si="6"/>
        <v/>
      </c>
    </row>
    <row r="197" spans="1:10" ht="14.25" customHeight="1">
      <c r="A197" s="717">
        <v>6616</v>
      </c>
      <c r="B197" s="718" t="s">
        <v>2761</v>
      </c>
      <c r="C197" s="312"/>
      <c r="D197" s="312"/>
      <c r="E197" s="312"/>
      <c r="F197" s="719"/>
      <c r="G197" s="464">
        <f>SUMIFS(BalanceN[BS_Debit],BalanceN[Table],"&gt;=66160",BalanceN[Table],"&lt;66170")-SUMIFS(BalanceN[BS_Credit],BalanceN[Table],"&gt;=66160",BalanceN[Table],"&lt;66170")</f>
        <v>0</v>
      </c>
      <c r="H197" s="464">
        <f>SUMIFS(BalanceN1[BS_Debit],BalanceN1[Table],"&gt;=66160",BalanceN1[Table],"&lt;66170")-SUMIFS(BalanceN1[BS_Credit],BalanceN1[Table],"&gt;=66160",BalanceN1[Table],"&lt;66170")</f>
        <v>0</v>
      </c>
      <c r="I197" s="464">
        <f t="shared" si="7"/>
        <v>0</v>
      </c>
      <c r="J197" s="473" t="str">
        <f t="shared" si="6"/>
        <v/>
      </c>
    </row>
    <row r="198" spans="1:10" ht="14.25" customHeight="1">
      <c r="A198" s="717">
        <v>6617</v>
      </c>
      <c r="B198" s="718" t="s">
        <v>2762</v>
      </c>
      <c r="C198" s="312"/>
      <c r="D198" s="312"/>
      <c r="E198" s="312"/>
      <c r="F198" s="719"/>
      <c r="G198" s="464">
        <f>SUMIFS(BalanceN[BS_Debit],BalanceN[Table],"&gt;=66170",BalanceN[Table],"&lt;66180")-SUMIFS(BalanceN[BS_Credit],BalanceN[Table],"&gt;=66170",BalanceN[Table],"&lt;66180")</f>
        <v>0</v>
      </c>
      <c r="H198" s="464">
        <f>SUMIFS(BalanceN1[BS_Debit],BalanceN1[Table],"&gt;=66170",BalanceN1[Table],"&lt;66180")-SUMIFS(BalanceN1[BS_Credit],BalanceN1[Table],"&gt;=66170",BalanceN1[Table],"&lt;66180")</f>
        <v>0</v>
      </c>
      <c r="I198" s="464">
        <f t="shared" si="7"/>
        <v>0</v>
      </c>
      <c r="J198" s="473" t="str">
        <f t="shared" si="6"/>
        <v/>
      </c>
    </row>
    <row r="199" spans="1:10" ht="14.25" customHeight="1">
      <c r="A199" s="717">
        <v>6618</v>
      </c>
      <c r="B199" s="718" t="s">
        <v>2763</v>
      </c>
      <c r="C199" s="312"/>
      <c r="D199" s="312"/>
      <c r="E199" s="312"/>
      <c r="F199" s="719"/>
      <c r="G199" s="464">
        <f>SUMIFS(BalanceN[BS_Debit],BalanceN[Table],"&gt;=66180",BalanceN[Table],"&lt;66190")-SUMIFS(BalanceN[BS_Credit],BalanceN[Table],"&gt;=66180",BalanceN[Table],"&lt;66190")</f>
        <v>45353580</v>
      </c>
      <c r="H199" s="464">
        <f>SUMIFS(BalanceN1[BS_Debit],BalanceN1[Table],"&gt;=66180",BalanceN1[Table],"&lt;66190")-SUMIFS(BalanceN1[BS_Credit],BalanceN1[Table],"&gt;=66180",BalanceN1[Table],"&lt;66190")</f>
        <v>46989030</v>
      </c>
      <c r="I199" s="464">
        <f t="shared" si="7"/>
        <v>-1635450</v>
      </c>
      <c r="J199" s="473">
        <f t="shared" si="6"/>
        <v>-3.4804932129903508E-2</v>
      </c>
    </row>
    <row r="200" spans="1:10" ht="14.25" customHeight="1">
      <c r="A200" s="717">
        <v>6621</v>
      </c>
      <c r="B200" s="718" t="s">
        <v>2764</v>
      </c>
      <c r="C200" s="312"/>
      <c r="D200" s="312"/>
      <c r="E200" s="312"/>
      <c r="F200" s="719"/>
      <c r="G200" s="464">
        <f>SUMIFS(BalanceN[BS_Debit],BalanceN[Table],"&gt;=66210",BalanceN[Table],"&lt;66220")-SUMIFS(BalanceN[BS_Credit],BalanceN[Table],"&gt;=66210",BalanceN[Table],"&lt;66220")</f>
        <v>26964127</v>
      </c>
      <c r="H200" s="464">
        <f>SUMIFS(BalanceN1[BS_Debit],BalanceN1[Table],"&gt;=66210",BalanceN1[Table],"&lt;66220")-SUMIFS(BalanceN1[BS_Credit],BalanceN1[Table],"&gt;=66210",BalanceN1[Table],"&lt;66220")</f>
        <v>27063888</v>
      </c>
      <c r="I200" s="464">
        <f t="shared" si="7"/>
        <v>-99761</v>
      </c>
      <c r="J200" s="473">
        <f t="shared" si="6"/>
        <v>-3.6861296499601241E-3</v>
      </c>
    </row>
    <row r="201" spans="1:10" ht="14.25" customHeight="1">
      <c r="A201" s="717">
        <v>6622</v>
      </c>
      <c r="B201" s="718" t="s">
        <v>2765</v>
      </c>
      <c r="C201" s="312"/>
      <c r="D201" s="312"/>
      <c r="E201" s="312"/>
      <c r="F201" s="719"/>
      <c r="G201" s="464">
        <f>SUMIFS(BalanceN[BS_Debit],BalanceN[Table],"&gt;=66220",BalanceN[Table],"&lt;66230")-SUMIFS(BalanceN[BS_Credit],BalanceN[Table],"&gt;=66220",BalanceN[Table],"&lt;66230")</f>
        <v>0</v>
      </c>
      <c r="H201" s="464">
        <f>SUMIFS(BalanceN1[BS_Debit],BalanceN1[Table],"&gt;=66220",BalanceN1[Table],"&lt;66230")-SUMIFS(BalanceN1[BS_Credit],BalanceN1[Table],"&gt;=66220",BalanceN1[Table],"&lt;66230")</f>
        <v>0</v>
      </c>
      <c r="I201" s="464">
        <f t="shared" si="7"/>
        <v>0</v>
      </c>
      <c r="J201" s="473" t="str">
        <f t="shared" si="6"/>
        <v/>
      </c>
    </row>
    <row r="202" spans="1:10" ht="14.25" customHeight="1">
      <c r="A202" s="717">
        <v>6623</v>
      </c>
      <c r="B202" s="718" t="s">
        <v>2766</v>
      </c>
      <c r="C202" s="312"/>
      <c r="D202" s="312"/>
      <c r="E202" s="312"/>
      <c r="F202" s="719"/>
      <c r="G202" s="464">
        <f>SUMIFS(BalanceN[BS_Debit],BalanceN[Table],"&gt;=66230",BalanceN[Table],"&lt;66240")-SUMIFS(BalanceN[BS_Credit],BalanceN[Table],"&gt;=66230",BalanceN[Table],"&lt;66240")</f>
        <v>907</v>
      </c>
      <c r="H202" s="464">
        <f>SUMIFS(BalanceN1[BS_Debit],BalanceN1[Table],"&gt;=66230",BalanceN1[Table],"&lt;66240")-SUMIFS(BalanceN1[BS_Credit],BalanceN1[Table],"&gt;=66230",BalanceN1[Table],"&lt;66240")</f>
        <v>0</v>
      </c>
      <c r="I202" s="464">
        <f t="shared" si="7"/>
        <v>907</v>
      </c>
      <c r="J202" s="473">
        <f t="shared" si="6"/>
        <v>1</v>
      </c>
    </row>
    <row r="203" spans="1:10" ht="14.25" customHeight="1">
      <c r="A203" s="717">
        <v>6624</v>
      </c>
      <c r="B203" s="718" t="s">
        <v>2767</v>
      </c>
      <c r="C203" s="742"/>
      <c r="D203" s="742"/>
      <c r="E203" s="742"/>
      <c r="F203" s="743"/>
      <c r="G203" s="464">
        <f>SUMIFS(BalanceN[BS_Debit],BalanceN[Table],"&gt;=66240",BalanceN[Table],"&lt;66250")-SUMIFS(BalanceN[BS_Credit],BalanceN[Table],"&gt;=66240",BalanceN[Table],"&lt;66250")</f>
        <v>0</v>
      </c>
      <c r="H203" s="464">
        <f>SUMIFS(BalanceN1[BS_Debit],BalanceN1[Table],"&gt;=66240",BalanceN1[Table],"&lt;66250")-SUMIFS(BalanceN1[BS_Credit],BalanceN1[Table],"&gt;=66240",BalanceN1[Table],"&lt;66250")</f>
        <v>0</v>
      </c>
      <c r="I203" s="464">
        <f t="shared" si="7"/>
        <v>0</v>
      </c>
      <c r="J203" s="473" t="str">
        <f t="shared" si="6"/>
        <v/>
      </c>
    </row>
    <row r="204" spans="1:10" ht="14.25" customHeight="1">
      <c r="A204" s="717">
        <v>6625</v>
      </c>
      <c r="B204" s="718" t="s">
        <v>2768</v>
      </c>
      <c r="C204" s="312"/>
      <c r="D204" s="312"/>
      <c r="E204" s="312"/>
      <c r="F204" s="719"/>
      <c r="G204" s="464">
        <f>SUMIFS(BalanceN[BS_Debit],BalanceN[Table],"&gt;=66250",BalanceN[Table],"&lt;66260")-SUMIFS(BalanceN[BS_Credit],BalanceN[Table],"&gt;=66250",BalanceN[Table],"&lt;66260")</f>
        <v>0</v>
      </c>
      <c r="H204" s="464">
        <f>SUMIFS(BalanceN1[BS_Debit],BalanceN1[Table],"&gt;=66250",BalanceN1[Table],"&lt;66260")-SUMIFS(BalanceN1[BS_Credit],BalanceN1[Table],"&gt;=66250",BalanceN1[Table],"&lt;66260")</f>
        <v>0</v>
      </c>
      <c r="I204" s="464">
        <f t="shared" si="7"/>
        <v>0</v>
      </c>
      <c r="J204" s="473" t="str">
        <f t="shared" si="6"/>
        <v/>
      </c>
    </row>
    <row r="205" spans="1:10" ht="14.25" customHeight="1">
      <c r="A205" s="717">
        <v>6626</v>
      </c>
      <c r="B205" s="718" t="s">
        <v>2769</v>
      </c>
      <c r="C205" s="312"/>
      <c r="D205" s="312"/>
      <c r="E205" s="312"/>
      <c r="F205" s="719"/>
      <c r="G205" s="464">
        <f>SUMIFS(BalanceN[BS_Debit],BalanceN[Table],"&gt;=66260",BalanceN[Table],"&lt;66270")-SUMIFS(BalanceN[BS_Credit],BalanceN[Table],"&gt;=66260",BalanceN[Table],"&lt;66270")</f>
        <v>0</v>
      </c>
      <c r="H205" s="464">
        <f>SUMIFS(BalanceN1[BS_Debit],BalanceN1[Table],"&gt;=66260",BalanceN1[Table],"&lt;66270")-SUMIFS(BalanceN1[BS_Credit],BalanceN1[Table],"&gt;=66260",BalanceN1[Table],"&lt;66270")</f>
        <v>0</v>
      </c>
      <c r="I205" s="464">
        <f t="shared" si="7"/>
        <v>0</v>
      </c>
      <c r="J205" s="473" t="str">
        <f t="shared" si="6"/>
        <v/>
      </c>
    </row>
    <row r="206" spans="1:10" ht="14.25" customHeight="1">
      <c r="A206" s="717">
        <v>6627</v>
      </c>
      <c r="B206" s="718" t="s">
        <v>2770</v>
      </c>
      <c r="C206" s="312"/>
      <c r="D206" s="312"/>
      <c r="E206" s="312"/>
      <c r="F206" s="719"/>
      <c r="G206" s="464">
        <f>SUMIFS(BalanceN[BS_Debit],BalanceN[Table],"&gt;=66270",BalanceN[Table],"&lt;66280")-SUMIFS(BalanceN[BS_Credit],BalanceN[Table],"&gt;=66270",BalanceN[Table],"&lt;66280")</f>
        <v>0</v>
      </c>
      <c r="H206" s="464">
        <f>SUMIFS(BalanceN1[BS_Debit],BalanceN1[Table],"&gt;=66270",BalanceN1[Table],"&lt;66280")-SUMIFS(BalanceN1[BS_Credit],BalanceN1[Table],"&gt;=66270",BalanceN1[Table],"&lt;66280")</f>
        <v>0</v>
      </c>
      <c r="I206" s="464">
        <f t="shared" si="7"/>
        <v>0</v>
      </c>
      <c r="J206" s="473" t="str">
        <f t="shared" si="6"/>
        <v/>
      </c>
    </row>
    <row r="207" spans="1:10" ht="14.25" customHeight="1">
      <c r="A207" s="717">
        <v>6628</v>
      </c>
      <c r="B207" s="718" t="s">
        <v>2771</v>
      </c>
      <c r="C207" s="312"/>
      <c r="D207" s="312"/>
      <c r="E207" s="312"/>
      <c r="F207" s="719"/>
      <c r="G207" s="464">
        <f>SUMIFS(BalanceN[BS_Debit],BalanceN[Table],"&gt;=66280",BalanceN[Table],"&lt;66290")-SUMIFS(BalanceN[BS_Credit],BalanceN[Table],"&gt;=66280",BalanceN[Table],"&lt;66290")</f>
        <v>0</v>
      </c>
      <c r="H207" s="464">
        <f>SUMIFS(BalanceN1[BS_Debit],BalanceN1[Table],"&gt;=66280",BalanceN1[Table],"&lt;66290")-SUMIFS(BalanceN1[BS_Credit],BalanceN1[Table],"&gt;=66280",BalanceN1[Table],"&lt;66290")</f>
        <v>0</v>
      </c>
      <c r="I207" s="464">
        <f t="shared" si="7"/>
        <v>0</v>
      </c>
      <c r="J207" s="473" t="str">
        <f t="shared" si="6"/>
        <v/>
      </c>
    </row>
    <row r="208" spans="1:10" ht="14.25" customHeight="1">
      <c r="A208" s="717">
        <v>6631</v>
      </c>
      <c r="B208" s="718" t="s">
        <v>2772</v>
      </c>
      <c r="C208" s="312"/>
      <c r="D208" s="312"/>
      <c r="E208" s="312"/>
      <c r="F208" s="719"/>
      <c r="G208" s="464">
        <f>SUMIFS(BalanceN[BS_Debit],BalanceN[Table],"&gt;=66310",BalanceN[Table],"&lt;66320")-SUMIFS(BalanceN[BS_Credit],BalanceN[Table],"&gt;=66310",BalanceN[Table],"&lt;66320")</f>
        <v>3216000</v>
      </c>
      <c r="H208" s="464">
        <f>SUMIFS(BalanceN1[BS_Debit],BalanceN1[Table],"&gt;=66310",BalanceN1[Table],"&lt;66320")-SUMIFS(BalanceN1[BS_Credit],BalanceN1[Table],"&gt;=66310",BalanceN1[Table],"&lt;66320")</f>
        <v>3216000</v>
      </c>
      <c r="I208" s="464">
        <f t="shared" si="7"/>
        <v>0</v>
      </c>
      <c r="J208" s="473">
        <f t="shared" si="6"/>
        <v>0</v>
      </c>
    </row>
    <row r="209" spans="1:10" ht="14.25" customHeight="1">
      <c r="A209" s="717">
        <v>6632</v>
      </c>
      <c r="B209" s="718" t="s">
        <v>2773</v>
      </c>
      <c r="C209" s="312"/>
      <c r="D209" s="312"/>
      <c r="E209" s="312"/>
      <c r="F209" s="719"/>
      <c r="G209" s="464">
        <f>SUMIFS(BalanceN[BS_Debit],BalanceN[Table],"&gt;=66320",BalanceN[Table],"&lt;66330")-SUMIFS(BalanceN[BS_Credit],BalanceN[Table],"&gt;=66320",BalanceN[Table],"&lt;66330")</f>
        <v>0</v>
      </c>
      <c r="H209" s="464">
        <f>SUMIFS(BalanceN1[BS_Debit],BalanceN1[Table],"&gt;=66320",BalanceN1[Table],"&lt;66330")-SUMIFS(BalanceN1[BS_Credit],BalanceN1[Table],"&gt;=66320",BalanceN1[Table],"&lt;66330")</f>
        <v>0</v>
      </c>
      <c r="I209" s="464">
        <f t="shared" si="7"/>
        <v>0</v>
      </c>
      <c r="J209" s="473" t="str">
        <f t="shared" si="6"/>
        <v/>
      </c>
    </row>
    <row r="210" spans="1:10" ht="14.25" customHeight="1">
      <c r="A210" s="717">
        <v>6633</v>
      </c>
      <c r="B210" s="718" t="s">
        <v>2774</v>
      </c>
      <c r="C210" s="312"/>
      <c r="D210" s="312"/>
      <c r="E210" s="312"/>
      <c r="F210" s="719"/>
      <c r="G210" s="464">
        <f>SUMIFS(BalanceN[BS_Debit],BalanceN[Table],"&gt;=66330",BalanceN[Table],"&lt;66340")-SUMIFS(BalanceN[BS_Credit],BalanceN[Table],"&gt;=66330",BalanceN[Table],"&lt;66340")</f>
        <v>0</v>
      </c>
      <c r="H210" s="464">
        <f>SUMIFS(BalanceN1[BS_Debit],BalanceN1[Table],"&gt;=66330",BalanceN1[Table],"&lt;66340")-SUMIFS(BalanceN1[BS_Credit],BalanceN1[Table],"&gt;=66330",BalanceN1[Table],"&lt;66340")</f>
        <v>0</v>
      </c>
      <c r="I210" s="464">
        <f t="shared" si="7"/>
        <v>0</v>
      </c>
      <c r="J210" s="473" t="str">
        <f t="shared" si="6"/>
        <v/>
      </c>
    </row>
    <row r="211" spans="1:10" ht="14.25" customHeight="1">
      <c r="A211" s="717">
        <v>6634</v>
      </c>
      <c r="B211" s="718" t="s">
        <v>2775</v>
      </c>
      <c r="C211" s="312"/>
      <c r="D211" s="312"/>
      <c r="E211" s="312"/>
      <c r="F211" s="719"/>
      <c r="G211" s="464">
        <f>SUMIFS(BalanceN[BS_Debit],BalanceN[Table],"&gt;=66340",BalanceN[Table],"&lt;66350")-SUMIFS(BalanceN[BS_Credit],BalanceN[Table],"&gt;=66340",BalanceN[Table],"&lt;66350")</f>
        <v>5407994</v>
      </c>
      <c r="H211" s="464">
        <f>SUMIFS(BalanceN1[BS_Debit],BalanceN1[Table],"&gt;=66340",BalanceN1[Table],"&lt;66350")-SUMIFS(BalanceN1[BS_Credit],BalanceN1[Table],"&gt;=66340",BalanceN1[Table],"&lt;66350")</f>
        <v>5360307</v>
      </c>
      <c r="I211" s="464">
        <f t="shared" si="7"/>
        <v>47687</v>
      </c>
      <c r="J211" s="473">
        <f t="shared" si="6"/>
        <v>8.8963188115904548E-3</v>
      </c>
    </row>
    <row r="212" spans="1:10" ht="14.25" customHeight="1">
      <c r="A212" s="717">
        <v>6638</v>
      </c>
      <c r="B212" s="718" t="s">
        <v>2776</v>
      </c>
      <c r="C212" s="312"/>
      <c r="D212" s="312"/>
      <c r="E212" s="312"/>
      <c r="F212" s="719"/>
      <c r="G212" s="464">
        <f>SUMIFS(BalanceN[BS_Debit],BalanceN[Table],"&gt;=66380",BalanceN[Table],"&lt;66390")-SUMIFS(BalanceN[BS_Credit],BalanceN[Table],"&gt;=66380",BalanceN[Table],"&lt;66390")</f>
        <v>4651183</v>
      </c>
      <c r="H212" s="464">
        <f>SUMIFS(BalanceN1[BS_Debit],BalanceN1[Table],"&gt;=66380",BalanceN1[Table],"&lt;66390")-SUMIFS(BalanceN1[BS_Credit],BalanceN1[Table],"&gt;=66380",BalanceN1[Table],"&lt;66390")</f>
        <v>4776437</v>
      </c>
      <c r="I212" s="464">
        <f t="shared" si="7"/>
        <v>-125254</v>
      </c>
      <c r="J212" s="473">
        <f t="shared" si="6"/>
        <v>-2.6223312481667822E-2</v>
      </c>
    </row>
    <row r="213" spans="1:10" ht="14.25" customHeight="1">
      <c r="A213" s="717">
        <v>6641</v>
      </c>
      <c r="B213" s="718" t="s">
        <v>2777</v>
      </c>
      <c r="C213" s="312"/>
      <c r="D213" s="312"/>
      <c r="E213" s="312"/>
      <c r="F213" s="719"/>
      <c r="G213" s="462">
        <f>SUMIFS(BalanceN[BS_Debit],BalanceN[Table],"&gt;=66410",BalanceN[Table],"&lt;66420")-SUMIFS(BalanceN[BS_Credit],BalanceN[Table],"&gt;=66410",BalanceN[Table],"&lt;66420")</f>
        <v>18011685</v>
      </c>
      <c r="H213" s="462">
        <f>SUMIFS(BalanceN1[BS_Debit],BalanceN1[Table],"&gt;=66410",BalanceN1[Table],"&lt;66420")-SUMIFS(BalanceN1[BS_Credit],BalanceN1[Table],"&gt;=66410",BalanceN1[Table],"&lt;66420")</f>
        <v>22736375</v>
      </c>
      <c r="I213" s="464">
        <f t="shared" si="7"/>
        <v>-4724690</v>
      </c>
      <c r="J213" s="473">
        <f t="shared" si="6"/>
        <v>-0.20780313484449478</v>
      </c>
    </row>
    <row r="214" spans="1:10" ht="14.25" customHeight="1">
      <c r="A214" s="717">
        <v>6642</v>
      </c>
      <c r="B214" s="718" t="s">
        <v>2778</v>
      </c>
      <c r="C214" s="312"/>
      <c r="D214" s="312"/>
      <c r="E214" s="312"/>
      <c r="F214" s="719"/>
      <c r="G214" s="464">
        <f>SUMIFS(BalanceN[BS_Debit],BalanceN[Table],"&gt;=66420",BalanceN[Table],"&lt;66430")-SUMIFS(BalanceN[BS_Credit],BalanceN[Table],"&gt;=66420",BalanceN[Table],"&lt;66430")</f>
        <v>6271700</v>
      </c>
      <c r="H214" s="464">
        <f>SUMIFS(BalanceN1[BS_Debit],BalanceN1[Table],"&gt;=66420",BalanceN1[Table],"&lt;66430")-SUMIFS(BalanceN1[BS_Credit],BalanceN1[Table],"&gt;=66420",BalanceN1[Table],"&lt;66430")</f>
        <v>513033</v>
      </c>
      <c r="I214" s="464">
        <f t="shared" si="7"/>
        <v>5758667</v>
      </c>
      <c r="J214" s="473">
        <f t="shared" si="6"/>
        <v>11.224749674972175</v>
      </c>
    </row>
    <row r="215" spans="1:10" ht="14.25" customHeight="1">
      <c r="A215" s="717">
        <v>6661</v>
      </c>
      <c r="B215" s="718" t="s">
        <v>2779</v>
      </c>
      <c r="C215" s="312"/>
      <c r="D215" s="312"/>
      <c r="E215" s="312"/>
      <c r="F215" s="719"/>
      <c r="G215" s="464">
        <f>SUMIFS(BalanceN[BS_Debit],BalanceN[Table],"&gt;=66610",BalanceN[Table],"&lt;66620")-SUMIFS(BalanceN[BS_Credit],BalanceN[Table],"&gt;=66610",BalanceN[Table],"&lt;66620")</f>
        <v>0</v>
      </c>
      <c r="H215" s="464">
        <f>SUMIFS(BalanceN1[BS_Debit],BalanceN1[Table],"&gt;=66610",BalanceN1[Table],"&lt;66620")-SUMIFS(BalanceN1[BS_Credit],BalanceN1[Table],"&gt;=66610",BalanceN1[Table],"&lt;66620")</f>
        <v>0</v>
      </c>
      <c r="I215" s="464">
        <f t="shared" si="7"/>
        <v>0</v>
      </c>
      <c r="J215" s="473" t="str">
        <f t="shared" si="6"/>
        <v/>
      </c>
    </row>
    <row r="216" spans="1:10" ht="14.25" customHeight="1">
      <c r="A216" s="717">
        <v>6662</v>
      </c>
      <c r="B216" s="718" t="s">
        <v>2780</v>
      </c>
      <c r="C216" s="312"/>
      <c r="D216" s="312"/>
      <c r="E216" s="312"/>
      <c r="F216" s="719"/>
      <c r="G216" s="464">
        <f>SUMIFS(BalanceN[BS_Debit],BalanceN[Table],"&gt;=66620",BalanceN[Table],"&lt;66630")-SUMIFS(BalanceN[BS_Credit],BalanceN[Table],"&gt;=66620",BalanceN[Table],"&lt;66630")</f>
        <v>0</v>
      </c>
      <c r="H216" s="464">
        <f>SUMIFS(BalanceN1[BS_Debit],BalanceN1[Table],"&gt;=66620",BalanceN1[Table],"&lt;66630")-SUMIFS(BalanceN1[BS_Credit],BalanceN1[Table],"&gt;=66620",BalanceN1[Table],"&lt;66630")</f>
        <v>0</v>
      </c>
      <c r="I216" s="464">
        <f t="shared" si="7"/>
        <v>0</v>
      </c>
      <c r="J216" s="473" t="str">
        <f t="shared" si="6"/>
        <v/>
      </c>
    </row>
    <row r="217" spans="1:10" ht="14.25" customHeight="1">
      <c r="A217" s="717">
        <v>6671</v>
      </c>
      <c r="B217" s="718" t="s">
        <v>2781</v>
      </c>
      <c r="C217" s="312"/>
      <c r="D217" s="312"/>
      <c r="E217" s="312"/>
      <c r="F217" s="719"/>
      <c r="G217" s="464">
        <f>SUMIFS(BalanceN[BS_Debit],BalanceN[Table],"&gt;=66710",BalanceN[Table],"&lt;66720")-SUMIFS(BalanceN[BS_Credit],BalanceN[Table],"&gt;=66710",BalanceN[Table],"&lt;66720")</f>
        <v>0</v>
      </c>
      <c r="H217" s="464">
        <f>SUMIFS(BalanceN1[BS_Debit],BalanceN1[Table],"&gt;=66710",BalanceN1[Table],"&lt;66720")-SUMIFS(BalanceN1[BS_Credit],BalanceN1[Table],"&gt;=66710",BalanceN1[Table],"&lt;66720")</f>
        <v>0</v>
      </c>
      <c r="I217" s="464">
        <f t="shared" si="7"/>
        <v>0</v>
      </c>
      <c r="J217" s="473" t="str">
        <f t="shared" si="6"/>
        <v/>
      </c>
    </row>
    <row r="218" spans="1:10" ht="14.25" customHeight="1">
      <c r="A218" s="717">
        <v>6672</v>
      </c>
      <c r="B218" s="718" t="s">
        <v>2782</v>
      </c>
      <c r="C218" s="312"/>
      <c r="D218" s="312"/>
      <c r="E218" s="312"/>
      <c r="F218" s="732"/>
      <c r="G218" s="464">
        <f>SUMIFS(BalanceN[BS_Debit],BalanceN[Table],"&gt;=66720",BalanceN[Table],"&lt;66730")-SUMIFS(BalanceN[BS_Credit],BalanceN[Table],"&gt;=66720",BalanceN[Table],"&lt;66730")</f>
        <v>0</v>
      </c>
      <c r="H218" s="464">
        <f>SUMIFS(BalanceN1[BS_Debit],BalanceN1[Table],"&gt;=66720",BalanceN1[Table],"&lt;66730")-SUMIFS(BalanceN1[BS_Credit],BalanceN1[Table],"&gt;=66720",BalanceN1[Table],"&lt;66730")</f>
        <v>0</v>
      </c>
      <c r="I218" s="464">
        <f t="shared" si="7"/>
        <v>0</v>
      </c>
      <c r="J218" s="473" t="str">
        <f t="shared" si="6"/>
        <v/>
      </c>
    </row>
    <row r="219" spans="1:10" ht="14.25" customHeight="1">
      <c r="A219" s="717">
        <v>6681</v>
      </c>
      <c r="B219" s="718" t="s">
        <v>2783</v>
      </c>
      <c r="C219" s="312"/>
      <c r="D219" s="312"/>
      <c r="E219" s="312"/>
      <c r="F219" s="732"/>
      <c r="G219" s="464">
        <f>SUMIFS(BalanceN[BS_Debit],BalanceN[Table],"&gt;=66810",BalanceN[Table],"&lt;66820")-SUMIFS(BalanceN[BS_Credit],BalanceN[Table],"&gt;=66810",BalanceN[Table],"&lt;66820")</f>
        <v>0</v>
      </c>
      <c r="H219" s="464">
        <f>SUMIFS(BalanceN1[BS_Debit],BalanceN1[Table],"&gt;=66810",BalanceN1[Table],"&lt;66820")-SUMIFS(BalanceN1[BS_Credit],BalanceN1[Table],"&gt;=66810",BalanceN1[Table],"&lt;66820")</f>
        <v>0</v>
      </c>
      <c r="I219" s="464">
        <f t="shared" si="7"/>
        <v>0</v>
      </c>
      <c r="J219" s="473" t="str">
        <f t="shared" si="6"/>
        <v/>
      </c>
    </row>
    <row r="220" spans="1:10" ht="14.25" customHeight="1">
      <c r="A220" s="717">
        <v>6682</v>
      </c>
      <c r="B220" s="718" t="s">
        <v>2784</v>
      </c>
      <c r="C220" s="312"/>
      <c r="D220" s="312"/>
      <c r="E220" s="312"/>
      <c r="F220" s="732"/>
      <c r="G220" s="464">
        <f>SUMIFS(BalanceN[BS_Debit],BalanceN[Table],"&gt;=66820",BalanceN[Table],"&lt;66830")-SUMIFS(BalanceN[BS_Credit],BalanceN[Table],"&gt;=66820",BalanceN[Table],"&lt;66830")</f>
        <v>0</v>
      </c>
      <c r="H220" s="464">
        <f>SUMIFS(BalanceN1[BS_Debit],BalanceN1[Table],"&gt;=66820",BalanceN1[Table],"&lt;66830")-SUMIFS(BalanceN1[BS_Credit],BalanceN1[Table],"&gt;=66820",BalanceN1[Table],"&lt;66830")</f>
        <v>0</v>
      </c>
      <c r="I220" s="464">
        <f t="shared" si="7"/>
        <v>0</v>
      </c>
      <c r="J220" s="473" t="str">
        <f t="shared" si="6"/>
        <v/>
      </c>
    </row>
    <row r="221" spans="1:10" ht="14.25" customHeight="1">
      <c r="A221" s="724">
        <v>6683</v>
      </c>
      <c r="B221" s="725" t="s">
        <v>2785</v>
      </c>
      <c r="C221" s="733"/>
      <c r="D221" s="733"/>
      <c r="E221" s="733"/>
      <c r="F221" s="735"/>
      <c r="G221" s="479">
        <f>SUMIFS(BalanceN[BS_Debit],BalanceN[Table],"&gt;=66830",BalanceN[Table],"&lt;66840")-SUMIFS(BalanceN[BS_Credit],BalanceN[Table],"&gt;=66830",BalanceN[Table],"&lt;66840")</f>
        <v>0</v>
      </c>
      <c r="H221" s="479">
        <f>SUMIFS(BalanceN1[BS_Debit],BalanceN1[Table],"&gt;=66830",BalanceN1[Table],"&lt;66840")-SUMIFS(BalanceN1[BS_Credit],BalanceN1[Table],"&gt;=66830",BalanceN1[Table],"&lt;66840")</f>
        <v>0</v>
      </c>
      <c r="I221" s="479">
        <f t="shared" si="7"/>
        <v>0</v>
      </c>
      <c r="J221" s="480" t="str">
        <f t="shared" si="6"/>
        <v/>
      </c>
    </row>
    <row r="222" spans="1:10" ht="14.25" customHeight="1">
      <c r="A222" s="728"/>
      <c r="B222" s="729"/>
      <c r="C222" s="312"/>
      <c r="D222" s="312"/>
      <c r="E222" s="312"/>
      <c r="F222" s="312"/>
      <c r="G222" s="730"/>
      <c r="H222" s="730"/>
      <c r="I222" s="730"/>
      <c r="J222" s="731"/>
    </row>
    <row r="223" spans="1:10">
      <c r="A223" s="2069" t="s">
        <v>17</v>
      </c>
      <c r="B223" s="2071"/>
      <c r="C223" s="572"/>
      <c r="D223" s="1276" t="str">
        <f>"- "&amp;Code!K68+3&amp;" -"</f>
        <v>- 42 -</v>
      </c>
      <c r="E223" s="1276"/>
      <c r="F223" s="1276"/>
      <c r="G223" s="2174"/>
      <c r="H223" s="2175" t="s">
        <v>2786</v>
      </c>
      <c r="I223" s="2176"/>
      <c r="J223" s="2177"/>
    </row>
    <row r="224" spans="1:10">
      <c r="A224" s="312" t="s">
        <v>50</v>
      </c>
      <c r="B224" s="612"/>
      <c r="C224" s="2164" t="str">
        <f>C2</f>
        <v>OHADA</v>
      </c>
      <c r="D224" s="2164"/>
      <c r="E224" s="2164"/>
      <c r="F224" s="2164"/>
      <c r="G224" s="2164"/>
      <c r="H224" s="2164"/>
      <c r="I224" s="2164"/>
      <c r="J224" s="2164"/>
    </row>
    <row r="225" spans="1:10">
      <c r="A225" s="312" t="s">
        <v>51</v>
      </c>
      <c r="B225" s="2164" t="str">
        <f>B3</f>
        <v/>
      </c>
      <c r="C225" s="2164"/>
      <c r="D225" s="2164"/>
      <c r="E225" s="2164"/>
      <c r="F225" s="2164"/>
      <c r="G225" s="2164"/>
      <c r="H225" s="2164"/>
      <c r="I225" s="597" t="s">
        <v>1021</v>
      </c>
      <c r="J225" s="707" t="str">
        <f>J3</f>
        <v/>
      </c>
    </row>
    <row r="226" spans="1:10">
      <c r="A226" s="312" t="s">
        <v>53</v>
      </c>
      <c r="B226" s="312"/>
      <c r="C226" s="2164" t="str">
        <f>C4</f>
        <v/>
      </c>
      <c r="D226" s="2164"/>
      <c r="E226" s="708"/>
      <c r="F226" s="708"/>
      <c r="G226" s="597" t="s">
        <v>54</v>
      </c>
      <c r="H226" s="707">
        <f>H4</f>
        <v>0</v>
      </c>
      <c r="I226" s="597" t="s">
        <v>55</v>
      </c>
      <c r="J226" s="707">
        <f>J4</f>
        <v>1</v>
      </c>
    </row>
    <row r="227" spans="1:10">
      <c r="A227" s="312" t="s">
        <v>56</v>
      </c>
      <c r="B227" s="312"/>
      <c r="C227" s="2164" t="str">
        <f>C5</f>
        <v/>
      </c>
      <c r="D227" s="2164"/>
      <c r="E227" s="2164"/>
      <c r="F227" s="2164"/>
      <c r="G227" s="710"/>
      <c r="H227" s="707"/>
      <c r="I227" s="708"/>
      <c r="J227" s="708"/>
    </row>
    <row r="228" spans="1:10" ht="5.25" customHeight="1">
      <c r="A228" s="317"/>
      <c r="B228" s="317"/>
      <c r="C228" s="675"/>
      <c r="D228" s="675"/>
      <c r="E228" s="627"/>
      <c r="F228" s="676"/>
      <c r="G228" s="627"/>
      <c r="H228" s="675"/>
      <c r="I228" s="119"/>
      <c r="J228" s="119"/>
    </row>
    <row r="229" spans="1:10">
      <c r="A229" s="2165" t="s">
        <v>2621</v>
      </c>
      <c r="B229" s="2166"/>
      <c r="C229" s="2166"/>
      <c r="D229" s="2166"/>
      <c r="E229" s="2166"/>
      <c r="F229" s="2166"/>
      <c r="G229" s="2166"/>
      <c r="H229" s="2166"/>
      <c r="I229" s="2166"/>
      <c r="J229" s="2167"/>
    </row>
    <row r="230" spans="1:10" ht="5.25" customHeight="1">
      <c r="A230" s="119"/>
      <c r="B230" s="119"/>
      <c r="C230" s="119"/>
      <c r="D230" s="119"/>
      <c r="E230" s="119"/>
      <c r="F230" s="119"/>
      <c r="G230" s="119"/>
      <c r="H230" s="119"/>
      <c r="I230" s="119"/>
      <c r="J230" s="119"/>
    </row>
    <row r="231" spans="1:10">
      <c r="A231" s="2168" t="s">
        <v>2622</v>
      </c>
      <c r="B231" s="2169"/>
      <c r="C231" s="2169"/>
      <c r="D231" s="2169"/>
      <c r="E231" s="2169"/>
      <c r="F231" s="2170"/>
      <c r="G231" s="2169" t="s">
        <v>2623</v>
      </c>
      <c r="H231" s="2168" t="s">
        <v>2624</v>
      </c>
      <c r="I231" s="2168" t="s">
        <v>2625</v>
      </c>
      <c r="J231" s="2170"/>
    </row>
    <row r="232" spans="1:10">
      <c r="A232" s="2171"/>
      <c r="B232" s="2172"/>
      <c r="C232" s="2172"/>
      <c r="D232" s="2172"/>
      <c r="E232" s="2172"/>
      <c r="F232" s="2173"/>
      <c r="G232" s="2172"/>
      <c r="H232" s="2171"/>
      <c r="I232" s="711" t="s">
        <v>2626</v>
      </c>
      <c r="J232" s="712" t="s">
        <v>2627</v>
      </c>
    </row>
    <row r="233" spans="1:10" ht="14.25" customHeight="1">
      <c r="A233" s="717">
        <v>6684</v>
      </c>
      <c r="B233" s="718" t="s">
        <v>2787</v>
      </c>
      <c r="C233" s="312"/>
      <c r="D233" s="312"/>
      <c r="E233" s="312"/>
      <c r="F233" s="719"/>
      <c r="G233" s="464">
        <f>SUMIFS(BalanceN[BS_Debit],BalanceN[Table],"&gt;=66840",BalanceN[Table],"&lt;66850")-SUMIFS(BalanceN[BS_Credit],BalanceN[Table],"&gt;=66840",BalanceN[Table],"&lt;66850")</f>
        <v>1688279</v>
      </c>
      <c r="H233" s="464">
        <f>SUMIFS(BalanceN1[BS_Debit],BalanceN1[Table],"&gt;=66840",BalanceN1[Table],"&lt;66850")-SUMIFS(BalanceN1[BS_Credit],BalanceN1[Table],"&gt;=66840",BalanceN1[Table],"&lt;66850")</f>
        <v>662735</v>
      </c>
      <c r="I233" s="464">
        <f t="shared" ref="I233:I271" si="8">G233-H233</f>
        <v>1025544</v>
      </c>
      <c r="J233" s="473">
        <f t="shared" ref="J233:J273" si="9">IF(H233,(G233-H233)/H233,IF(ISBLANK(H233),"",IF(G233,IF( G233 &gt; 0,1,-1),"")))</f>
        <v>1.5474420394275239</v>
      </c>
    </row>
    <row r="234" spans="1:10" ht="14.25" customHeight="1">
      <c r="A234" s="717">
        <v>6685</v>
      </c>
      <c r="B234" s="718" t="s">
        <v>2788</v>
      </c>
      <c r="C234" s="312"/>
      <c r="D234" s="312"/>
      <c r="E234" s="312"/>
      <c r="F234" s="719"/>
      <c r="G234" s="464">
        <f>SUMIFS(BalanceN[BS_Debit],BalanceN[Table],"&gt;=66850",BalanceN[Table],"&lt;66860")-SUMIFS(BalanceN[BS_Credit],BalanceN[Table],"&gt;=66850",BalanceN[Table],"&lt;66860")</f>
        <v>417210</v>
      </c>
      <c r="H234" s="464">
        <f>SUMIFS(BalanceN1[BS_Debit],BalanceN1[Table],"&gt;=66850",BalanceN1[Table],"&lt;66860")-SUMIFS(BalanceN1[BS_Credit],BalanceN1[Table],"&gt;=66850",BalanceN1[Table],"&lt;66860")</f>
        <v>3807010</v>
      </c>
      <c r="I234" s="464">
        <f t="shared" si="8"/>
        <v>-3389800</v>
      </c>
      <c r="J234" s="473">
        <f t="shared" si="9"/>
        <v>-0.89041005933790562</v>
      </c>
    </row>
    <row r="235" spans="1:10" ht="14.25" customHeight="1">
      <c r="A235" s="717">
        <v>6686</v>
      </c>
      <c r="B235" s="718" t="s">
        <v>2789</v>
      </c>
      <c r="C235" s="312"/>
      <c r="D235" s="312"/>
      <c r="E235" s="312"/>
      <c r="F235" s="719"/>
      <c r="G235" s="464">
        <f>SUMIFS(BalanceN[BS_Debit],BalanceN[Table],"&gt;=66860",BalanceN[Table],"&lt;66870")-SUMIFS(BalanceN[BS_Credit],BalanceN[Table],"&gt;=66860",BalanceN[Table],"&lt;66870")</f>
        <v>0</v>
      </c>
      <c r="H235" s="464">
        <f>SUMIFS(BalanceN1[BS_Debit],BalanceN1[Table],"&gt;=66860",BalanceN1[Table],"&lt;66870")-SUMIFS(BalanceN1[BS_Credit],BalanceN1[Table],"&gt;=66860",BalanceN1[Table],"&lt;66870")</f>
        <v>0</v>
      </c>
      <c r="I235" s="464">
        <f t="shared" si="8"/>
        <v>0</v>
      </c>
      <c r="J235" s="473" t="str">
        <f t="shared" si="9"/>
        <v/>
      </c>
    </row>
    <row r="236" spans="1:10" ht="14.25" customHeight="1">
      <c r="A236" s="717">
        <v>6687</v>
      </c>
      <c r="B236" s="718" t="s">
        <v>2790</v>
      </c>
      <c r="C236" s="312"/>
      <c r="D236" s="312"/>
      <c r="E236" s="312"/>
      <c r="F236" s="719"/>
      <c r="G236" s="464">
        <f>SUMIFS(BalanceN[BS_Debit],BalanceN[Table],"&gt;=66870",BalanceN[Table],"&lt;66880")-SUMIFS(BalanceN[BS_Credit],BalanceN[Table],"&gt;=66870",BalanceN[Table],"&lt;66880")</f>
        <v>0</v>
      </c>
      <c r="H236" s="464">
        <f>SUMIFS(BalanceN1[BS_Debit],BalanceN1[Table],"&gt;=66870",BalanceN1[Table],"&lt;66880")-SUMIFS(BalanceN1[BS_Credit],BalanceN1[Table],"&gt;=66870",BalanceN1[Table],"&lt;66880")</f>
        <v>0</v>
      </c>
      <c r="I236" s="464">
        <f t="shared" si="8"/>
        <v>0</v>
      </c>
      <c r="J236" s="473" t="str">
        <f t="shared" si="9"/>
        <v/>
      </c>
    </row>
    <row r="237" spans="1:10" ht="14.25" customHeight="1" thickBot="1">
      <c r="A237" s="717">
        <v>6688</v>
      </c>
      <c r="B237" s="718" t="s">
        <v>2791</v>
      </c>
      <c r="C237" s="312"/>
      <c r="D237" s="312"/>
      <c r="E237" s="312"/>
      <c r="F237" s="719"/>
      <c r="G237" s="462">
        <f>SUMIFS(BalanceN[BS_Debit],BalanceN[Table],"&gt;=66880",BalanceN[Table],"&lt;66890")-SUMIFS(BalanceN[BS_Credit],BalanceN[Table],"&gt;=66880",BalanceN[Table],"&lt;66890")</f>
        <v>0</v>
      </c>
      <c r="H237" s="462">
        <f>SUMIFS(BalanceN1[BS_Debit],BalanceN1[Table],"&gt;=66880",BalanceN1[Table],"&lt;66890")-SUMIFS(BalanceN1[BS_Credit],BalanceN1[Table],"&gt;=66880",BalanceN1[Table],"&lt;66890")</f>
        <v>0</v>
      </c>
      <c r="I237" s="462">
        <f t="shared" si="8"/>
        <v>0</v>
      </c>
      <c r="J237" s="473" t="str">
        <f t="shared" si="9"/>
        <v/>
      </c>
    </row>
    <row r="238" spans="1:10" ht="14.25" customHeight="1" thickTop="1" thickBot="1">
      <c r="A238" s="720" t="s">
        <v>1310</v>
      </c>
      <c r="B238" s="721"/>
      <c r="C238" s="722" t="s">
        <v>1311</v>
      </c>
      <c r="D238" s="312"/>
      <c r="E238" s="312"/>
      <c r="F238" s="719"/>
      <c r="G238" s="466">
        <f>SUM(G192:G221,G233:G237)</f>
        <v>218217093</v>
      </c>
      <c r="H238" s="466">
        <f>SUM(H192:H221,H233:H237)</f>
        <v>208852251</v>
      </c>
      <c r="I238" s="466">
        <f t="shared" si="8"/>
        <v>9364842</v>
      </c>
      <c r="J238" s="477">
        <f t="shared" si="9"/>
        <v>4.4839555021123523E-2</v>
      </c>
    </row>
    <row r="239" spans="1:10" ht="14.25" customHeight="1" thickTop="1">
      <c r="A239" s="717">
        <v>6711</v>
      </c>
      <c r="B239" s="718" t="s">
        <v>2792</v>
      </c>
      <c r="C239" s="312"/>
      <c r="D239" s="312"/>
      <c r="E239" s="312"/>
      <c r="F239" s="719"/>
      <c r="G239" s="481">
        <f>SUMIFS(BalanceN[BS_Debit],BalanceN[Table],"&gt;=67110",BalanceN[Table],"&lt;67120")-SUMIFS(BalanceN[BS_Credit],BalanceN[Table],"&gt;=67110",BalanceN[Table],"&lt;67120")</f>
        <v>0</v>
      </c>
      <c r="H239" s="481">
        <f>SUMIFS(BalanceN1[BS_Debit],BalanceN1[Table],"&gt;=67110",BalanceN1[Table],"&lt;67120")-SUMIFS(BalanceN1[BS_Credit],BalanceN1[Table],"&gt;=67110",BalanceN1[Table],"&lt;67120")</f>
        <v>0</v>
      </c>
      <c r="I239" s="464">
        <f t="shared" si="8"/>
        <v>0</v>
      </c>
      <c r="J239" s="473" t="str">
        <f t="shared" si="9"/>
        <v/>
      </c>
    </row>
    <row r="240" spans="1:10" ht="14.25" customHeight="1">
      <c r="A240" s="717">
        <v>6712</v>
      </c>
      <c r="B240" s="718" t="s">
        <v>2793</v>
      </c>
      <c r="C240" s="312"/>
      <c r="D240" s="312"/>
      <c r="E240" s="312"/>
      <c r="F240" s="719"/>
      <c r="G240" s="464">
        <f>SUMIFS(BalanceN[BS_Debit],BalanceN[Table],"&gt;=67120",BalanceN[Table],"&lt;67130")-SUMIFS(BalanceN[BS_Credit],BalanceN[Table],"&gt;=67120",BalanceN[Table],"&lt;67130")</f>
        <v>3500000</v>
      </c>
      <c r="H240" s="464">
        <f>SUMIFS(BalanceN1[BS_Debit],BalanceN1[Table],"&gt;=67120",BalanceN1[Table],"&lt;67130")-SUMIFS(BalanceN1[BS_Credit],BalanceN1[Table],"&gt;=67120",BalanceN1[Table],"&lt;67130")</f>
        <v>0</v>
      </c>
      <c r="I240" s="464">
        <f t="shared" si="8"/>
        <v>3500000</v>
      </c>
      <c r="J240" s="473">
        <f t="shared" si="9"/>
        <v>1</v>
      </c>
    </row>
    <row r="241" spans="1:10" ht="14.25" customHeight="1">
      <c r="A241" s="717">
        <v>6713</v>
      </c>
      <c r="B241" s="718" t="s">
        <v>2794</v>
      </c>
      <c r="C241" s="312"/>
      <c r="D241" s="312"/>
      <c r="E241" s="312"/>
      <c r="F241" s="719"/>
      <c r="G241" s="464">
        <f>SUMIFS(BalanceN[BS_Debit],BalanceN[Table],"&gt;=67130",BalanceN[Table],"&lt;67140")-SUMIFS(BalanceN[BS_Credit],BalanceN[Table],"&gt;=67130",BalanceN[Table],"&lt;67140")</f>
        <v>0</v>
      </c>
      <c r="H241" s="464">
        <f>SUMIFS(BalanceN1[BS_Debit],BalanceN1[Table],"&gt;=67130",BalanceN1[Table],"&lt;67140")-SUMIFS(BalanceN1[BS_Credit],BalanceN1[Table],"&gt;=67130",BalanceN1[Table],"&lt;67140")</f>
        <v>0</v>
      </c>
      <c r="I241" s="464">
        <f t="shared" si="8"/>
        <v>0</v>
      </c>
      <c r="J241" s="473" t="str">
        <f t="shared" si="9"/>
        <v/>
      </c>
    </row>
    <row r="242" spans="1:10" ht="14.25" customHeight="1">
      <c r="A242" s="717">
        <v>6714</v>
      </c>
      <c r="B242" s="718" t="s">
        <v>2795</v>
      </c>
      <c r="C242" s="312"/>
      <c r="D242" s="312"/>
      <c r="E242" s="312"/>
      <c r="F242" s="719"/>
      <c r="G242" s="464">
        <f>SUMIFS(BalanceN[BS_Debit],BalanceN[Table],"&gt;=67140",BalanceN[Table],"&lt;67150")-SUMIFS(BalanceN[BS_Credit],BalanceN[Table],"&gt;=67140",BalanceN[Table],"&lt;67150")</f>
        <v>0</v>
      </c>
      <c r="H242" s="464">
        <f>SUMIFS(BalanceN1[BS_Debit],BalanceN1[Table],"&gt;=67140",BalanceN1[Table],"&lt;67150")-SUMIFS(BalanceN1[BS_Credit],BalanceN1[Table],"&gt;=67140",BalanceN1[Table],"&lt;67150")</f>
        <v>0</v>
      </c>
      <c r="I242" s="464">
        <f t="shared" si="8"/>
        <v>0</v>
      </c>
      <c r="J242" s="473" t="str">
        <f t="shared" si="9"/>
        <v/>
      </c>
    </row>
    <row r="243" spans="1:10" ht="14.25" customHeight="1">
      <c r="A243" s="717">
        <v>6721</v>
      </c>
      <c r="B243" s="718" t="s">
        <v>2796</v>
      </c>
      <c r="C243" s="312"/>
      <c r="D243" s="312"/>
      <c r="E243" s="312"/>
      <c r="F243" s="719"/>
      <c r="G243" s="464">
        <f>SUMIFS(BalanceN[BS_Debit],BalanceN[Table],"&gt;=67210",BalanceN[Table],"&lt;67220")-SUMIFS(BalanceN[BS_Credit],BalanceN[Table],"&gt;=67210",BalanceN[Table],"&lt;67220")</f>
        <v>0</v>
      </c>
      <c r="H243" s="464">
        <f>SUMIFS(BalanceN1[BS_Debit],BalanceN1[Table],"&gt;=67210",BalanceN1[Table],"&lt;67220")-SUMIFS(BalanceN1[BS_Credit],BalanceN1[Table],"&gt;=67210",BalanceN1[Table],"&lt;67220")</f>
        <v>0</v>
      </c>
      <c r="I243" s="464">
        <f t="shared" si="8"/>
        <v>0</v>
      </c>
      <c r="J243" s="473" t="str">
        <f t="shared" si="9"/>
        <v/>
      </c>
    </row>
    <row r="244" spans="1:10" ht="14.25" customHeight="1">
      <c r="A244" s="717">
        <v>6722</v>
      </c>
      <c r="B244" s="718" t="s">
        <v>2797</v>
      </c>
      <c r="C244" s="312"/>
      <c r="D244" s="312"/>
      <c r="E244" s="312"/>
      <c r="F244" s="719"/>
      <c r="G244" s="464">
        <f>SUMIFS(BalanceN[BS_Debit],BalanceN[Table],"&gt;=67220",BalanceN[Table],"&lt;67230")-SUMIFS(BalanceN[BS_Credit],BalanceN[Table],"&gt;=67220",BalanceN[Table],"&lt;67230")</f>
        <v>0</v>
      </c>
      <c r="H244" s="464">
        <f>SUMIFS(BalanceN1[BS_Debit],BalanceN1[Table],"&gt;=67220",BalanceN1[Table],"&lt;67230")-SUMIFS(BalanceN1[BS_Credit],BalanceN1[Table],"&gt;=67220",BalanceN1[Table],"&lt;67230")</f>
        <v>0</v>
      </c>
      <c r="I244" s="464">
        <f t="shared" si="8"/>
        <v>0</v>
      </c>
      <c r="J244" s="473" t="str">
        <f t="shared" si="9"/>
        <v/>
      </c>
    </row>
    <row r="245" spans="1:10" ht="14.25" customHeight="1">
      <c r="A245" s="717">
        <v>6723</v>
      </c>
      <c r="B245" s="718" t="s">
        <v>2798</v>
      </c>
      <c r="C245" s="312"/>
      <c r="D245" s="312"/>
      <c r="E245" s="312"/>
      <c r="F245" s="719"/>
      <c r="G245" s="464">
        <f>SUMIFS(BalanceN[BS_Debit],BalanceN[Table],"&gt;=67230",BalanceN[Table],"&lt;67240")-SUMIFS(BalanceN[BS_Credit],BalanceN[Table],"&gt;=67230",BalanceN[Table],"&lt;67240")</f>
        <v>0</v>
      </c>
      <c r="H245" s="464">
        <f>SUMIFS(BalanceN1[BS_Debit],BalanceN1[Table],"&gt;=67230",BalanceN1[Table],"&lt;67240")-SUMIFS(BalanceN1[BS_Credit],BalanceN1[Table],"&gt;=67230",BalanceN1[Table],"&lt;67240")</f>
        <v>0</v>
      </c>
      <c r="I245" s="464">
        <f t="shared" si="8"/>
        <v>0</v>
      </c>
      <c r="J245" s="473" t="str">
        <f t="shared" si="9"/>
        <v/>
      </c>
    </row>
    <row r="246" spans="1:10" ht="14.25" customHeight="1">
      <c r="A246" s="717">
        <v>6728</v>
      </c>
      <c r="B246" s="718" t="s">
        <v>2799</v>
      </c>
      <c r="C246" s="312"/>
      <c r="D246" s="312"/>
      <c r="E246" s="312"/>
      <c r="F246" s="719"/>
      <c r="G246" s="464">
        <f>SUMIFS(BalanceN[BS_Debit],BalanceN[Table],"&gt;=67280",BalanceN[Table],"&lt;67290")-SUMIFS(BalanceN[BS_Credit],BalanceN[Table],"&gt;=67280",BalanceN[Table],"&lt;67290")</f>
        <v>0</v>
      </c>
      <c r="H246" s="464">
        <f>SUMIFS(BalanceN1[BS_Debit],BalanceN1[Table],"&gt;=67280",BalanceN1[Table],"&lt;67290")-SUMIFS(BalanceN1[BS_Credit],BalanceN1[Table],"&gt;=67280",BalanceN1[Table],"&lt;67290")</f>
        <v>0</v>
      </c>
      <c r="I246" s="464">
        <f t="shared" si="8"/>
        <v>0</v>
      </c>
      <c r="J246" s="473" t="str">
        <f t="shared" si="9"/>
        <v/>
      </c>
    </row>
    <row r="247" spans="1:10" ht="14.25" customHeight="1">
      <c r="A247" s="717">
        <v>673</v>
      </c>
      <c r="B247" s="718" t="s">
        <v>2324</v>
      </c>
      <c r="C247" s="312"/>
      <c r="D247" s="312"/>
      <c r="E247" s="312"/>
      <c r="F247" s="719"/>
      <c r="G247" s="464">
        <f>SUMIFS(BalanceN[BS_Debit],BalanceN[Table],"&gt;=67300",BalanceN[Table],"&lt;67400")-SUMIFS(BalanceN[BS_Credit],BalanceN[Table],"&gt;=67300",BalanceN[Table],"&lt;67400")</f>
        <v>0</v>
      </c>
      <c r="H247" s="464">
        <f>SUMIFS(BalanceN1[BS_Debit],BalanceN1[Table],"&gt;=67300",BalanceN1[Table],"&lt;67400")-SUMIFS(BalanceN1[BS_Credit],BalanceN1[Table],"&gt;=67300",BalanceN1[Table],"&lt;67400")</f>
        <v>0</v>
      </c>
      <c r="I247" s="464">
        <f t="shared" si="8"/>
        <v>0</v>
      </c>
      <c r="J247" s="473" t="str">
        <f t="shared" si="9"/>
        <v/>
      </c>
    </row>
    <row r="248" spans="1:10" ht="14.25" customHeight="1">
      <c r="A248" s="717">
        <v>6741</v>
      </c>
      <c r="B248" s="718" t="s">
        <v>2800</v>
      </c>
      <c r="C248" s="312"/>
      <c r="D248" s="312"/>
      <c r="E248" s="312"/>
      <c r="F248" s="719"/>
      <c r="G248" s="464">
        <f>SUMIFS(BalanceN[BS_Debit],BalanceN[Table],"&gt;=67410",BalanceN[Table],"&lt;67420")-SUMIFS(BalanceN[BS_Credit],BalanceN[Table],"&gt;=67410",BalanceN[Table],"&lt;67420")</f>
        <v>0</v>
      </c>
      <c r="H248" s="464">
        <f>SUMIFS(BalanceN1[BS_Debit],BalanceN1[Table],"&gt;=67410",BalanceN1[Table],"&lt;67420")-SUMIFS(BalanceN1[BS_Credit],BalanceN1[Table],"&gt;=67410",BalanceN1[Table],"&lt;67420")</f>
        <v>0</v>
      </c>
      <c r="I248" s="464">
        <f t="shared" si="8"/>
        <v>0</v>
      </c>
      <c r="J248" s="473" t="str">
        <f t="shared" si="9"/>
        <v/>
      </c>
    </row>
    <row r="249" spans="1:10" ht="14.25" customHeight="1">
      <c r="A249" s="717">
        <v>6742</v>
      </c>
      <c r="B249" s="718" t="s">
        <v>2801</v>
      </c>
      <c r="C249" s="312"/>
      <c r="D249" s="312"/>
      <c r="E249" s="312"/>
      <c r="F249" s="719"/>
      <c r="G249" s="464">
        <f>SUMIFS(BalanceN[BS_Debit],BalanceN[Table],"&gt;=67420",BalanceN[Table],"&lt;67430")-SUMIFS(BalanceN[BS_Credit],BalanceN[Table],"&gt;=67420",BalanceN[Table],"&lt;67430")</f>
        <v>0</v>
      </c>
      <c r="H249" s="464">
        <f>SUMIFS(BalanceN1[BS_Debit],BalanceN1[Table],"&gt;=67420",BalanceN1[Table],"&lt;67430")-SUMIFS(BalanceN1[BS_Credit],BalanceN1[Table],"&gt;=67420",BalanceN1[Table],"&lt;67430")</f>
        <v>0</v>
      </c>
      <c r="I249" s="464">
        <f t="shared" si="8"/>
        <v>0</v>
      </c>
      <c r="J249" s="473" t="str">
        <f t="shared" si="9"/>
        <v/>
      </c>
    </row>
    <row r="250" spans="1:10" ht="14.25" customHeight="1">
      <c r="A250" s="717">
        <v>6743</v>
      </c>
      <c r="B250" s="718" t="s">
        <v>2802</v>
      </c>
      <c r="C250" s="312"/>
      <c r="D250" s="312"/>
      <c r="E250" s="312"/>
      <c r="F250" s="719"/>
      <c r="G250" s="464">
        <f>SUMIFS(BalanceN[BS_Debit],BalanceN[Table],"&gt;=67430",BalanceN[Table],"&lt;67440")-SUMIFS(BalanceN[BS_Credit],BalanceN[Table],"&gt;=67430",BalanceN[Table],"&lt;67440")</f>
        <v>0</v>
      </c>
      <c r="H250" s="464">
        <f>SUMIFS(BalanceN1[BS_Debit],BalanceN1[Table],"&gt;=67430",BalanceN1[Table],"&lt;67440")-SUMIFS(BalanceN1[BS_Credit],BalanceN1[Table],"&gt;=67430",BalanceN1[Table],"&lt;67440")</f>
        <v>0</v>
      </c>
      <c r="I250" s="464">
        <f t="shared" si="8"/>
        <v>0</v>
      </c>
      <c r="J250" s="473" t="str">
        <f t="shared" si="9"/>
        <v/>
      </c>
    </row>
    <row r="251" spans="1:10" ht="14.25" customHeight="1">
      <c r="A251" s="717">
        <v>6744</v>
      </c>
      <c r="B251" s="718" t="s">
        <v>2803</v>
      </c>
      <c r="C251" s="312"/>
      <c r="D251" s="312"/>
      <c r="E251" s="312"/>
      <c r="F251" s="719"/>
      <c r="G251" s="464">
        <f>SUMIFS(BalanceN[BS_Debit],BalanceN[Table],"&gt;=67440",BalanceN[Table],"&lt;67450")-SUMIFS(BalanceN[BS_Credit],BalanceN[Table],"&gt;=67440",BalanceN[Table],"&lt;67450")</f>
        <v>0</v>
      </c>
      <c r="H251" s="464">
        <f>SUMIFS(BalanceN1[BS_Debit],BalanceN1[Table],"&gt;=67440",BalanceN1[Table],"&lt;67450")-SUMIFS(BalanceN1[BS_Credit],BalanceN1[Table],"&gt;=67440",BalanceN1[Table],"&lt;67450")</f>
        <v>0</v>
      </c>
      <c r="I251" s="464">
        <f t="shared" si="8"/>
        <v>0</v>
      </c>
      <c r="J251" s="473" t="str">
        <f t="shared" si="9"/>
        <v/>
      </c>
    </row>
    <row r="252" spans="1:10" ht="14.25" customHeight="1">
      <c r="A252" s="717">
        <v>6745</v>
      </c>
      <c r="B252" s="718" t="s">
        <v>2804</v>
      </c>
      <c r="C252" s="312"/>
      <c r="D252" s="312"/>
      <c r="E252" s="312"/>
      <c r="F252" s="719"/>
      <c r="G252" s="464">
        <f>SUMIFS(BalanceN[BS_Debit],BalanceN[Table],"&gt;=67450",BalanceN[Table],"&lt;67460")-SUMIFS(BalanceN[BS_Credit],BalanceN[Table],"&gt;=67450",BalanceN[Table],"&lt;67460")</f>
        <v>0</v>
      </c>
      <c r="H252" s="464">
        <f>SUMIFS(BalanceN1[BS_Debit],BalanceN1[Table],"&gt;=67450",BalanceN1[Table],"&lt;67460")-SUMIFS(BalanceN1[BS_Credit],BalanceN1[Table],"&gt;=67450",BalanceN1[Table],"&lt;67460")</f>
        <v>0</v>
      </c>
      <c r="I252" s="464">
        <f t="shared" si="8"/>
        <v>0</v>
      </c>
      <c r="J252" s="473" t="str">
        <f t="shared" si="9"/>
        <v/>
      </c>
    </row>
    <row r="253" spans="1:10" ht="14.25" customHeight="1">
      <c r="A253" s="717">
        <v>6748</v>
      </c>
      <c r="B253" s="718" t="s">
        <v>2805</v>
      </c>
      <c r="C253" s="312"/>
      <c r="D253" s="312"/>
      <c r="E253" s="312"/>
      <c r="F253" s="719"/>
      <c r="G253" s="464">
        <f>SUMIFS(BalanceN[BS_Debit],BalanceN[Table],"&gt;=67480",BalanceN[Table],"&lt;67490")-SUMIFS(BalanceN[BS_Credit],BalanceN[Table],"&gt;=67480",BalanceN[Table],"&lt;67490")</f>
        <v>0</v>
      </c>
      <c r="H253" s="464">
        <f>SUMIFS(BalanceN1[BS_Debit],BalanceN1[Table],"&gt;=67480",BalanceN1[Table],"&lt;67490")-SUMIFS(BalanceN1[BS_Credit],BalanceN1[Table],"&gt;=67480",BalanceN1[Table],"&lt;67490")</f>
        <v>0</v>
      </c>
      <c r="I253" s="464">
        <f t="shared" si="8"/>
        <v>0</v>
      </c>
      <c r="J253" s="473" t="str">
        <f t="shared" si="9"/>
        <v/>
      </c>
    </row>
    <row r="254" spans="1:10" ht="14.25" customHeight="1">
      <c r="A254" s="717">
        <v>675</v>
      </c>
      <c r="B254" s="718" t="s">
        <v>2326</v>
      </c>
      <c r="C254" s="312"/>
      <c r="D254" s="312"/>
      <c r="E254" s="312"/>
      <c r="F254" s="719"/>
      <c r="G254" s="464">
        <f>SUMIFS(BalanceN[BS_Debit],BalanceN[Table],"&gt;=67500",BalanceN[Table],"&lt;67600")-SUMIFS(BalanceN[BS_Credit],BalanceN[Table],"&gt;=67500",BalanceN[Table],"&lt;67600")</f>
        <v>0</v>
      </c>
      <c r="H254" s="464">
        <f>SUMIFS(BalanceN1[BS_Debit],BalanceN1[Table],"&gt;=67500",BalanceN1[Table],"&lt;67600")-SUMIFS(BalanceN1[BS_Credit],BalanceN1[Table],"&gt;=67500",BalanceN1[Table],"&lt;67600")</f>
        <v>0</v>
      </c>
      <c r="I254" s="464">
        <f t="shared" si="8"/>
        <v>0</v>
      </c>
      <c r="J254" s="473" t="str">
        <f t="shared" si="9"/>
        <v/>
      </c>
    </row>
    <row r="255" spans="1:10" ht="14.25" customHeight="1">
      <c r="A255" s="717">
        <v>676</v>
      </c>
      <c r="B255" s="718" t="s">
        <v>2327</v>
      </c>
      <c r="C255" s="312"/>
      <c r="D255" s="312"/>
      <c r="E255" s="312"/>
      <c r="F255" s="719"/>
      <c r="G255" s="464">
        <f>SUMIFS(BalanceN[BS_Debit],BalanceN[Table],"&gt;=67600",BalanceN[Table],"&lt;67700")-SUMIFS(BalanceN[BS_Credit],BalanceN[Table],"&gt;=67600",BalanceN[Table],"&lt;67700")</f>
        <v>0</v>
      </c>
      <c r="H255" s="464">
        <f>SUMIFS(BalanceN1[BS_Debit],BalanceN1[Table],"&gt;=67600",BalanceN1[Table],"&lt;67700")-SUMIFS(BalanceN1[BS_Credit],BalanceN1[Table],"&gt;=67600",BalanceN1[Table],"&lt;67700")</f>
        <v>0</v>
      </c>
      <c r="I255" s="464">
        <f t="shared" si="8"/>
        <v>0</v>
      </c>
      <c r="J255" s="473" t="str">
        <f t="shared" si="9"/>
        <v/>
      </c>
    </row>
    <row r="256" spans="1:10" ht="14.25" customHeight="1">
      <c r="A256" s="717">
        <v>6771</v>
      </c>
      <c r="B256" s="718" t="s">
        <v>2806</v>
      </c>
      <c r="C256" s="744"/>
      <c r="D256" s="312"/>
      <c r="E256" s="312"/>
      <c r="F256" s="719"/>
      <c r="G256" s="464">
        <f>SUMIFS(BalanceN[BS_Debit],BalanceN[Table],"&gt;=67710",BalanceN[Table],"&lt;67720")-SUMIFS(BalanceN[BS_Credit],BalanceN[Table],"&gt;=67710",BalanceN[Table],"&lt;67720")</f>
        <v>0</v>
      </c>
      <c r="H256" s="464">
        <f>SUMIFS(BalanceN1[BS_Debit],BalanceN1[Table],"&gt;=67710",BalanceN1[Table],"&lt;67720")-SUMIFS(BalanceN1[BS_Credit],BalanceN1[Table],"&gt;=67710",BalanceN1[Table],"&lt;67720")</f>
        <v>0</v>
      </c>
      <c r="I256" s="464">
        <f t="shared" si="8"/>
        <v>0</v>
      </c>
      <c r="J256" s="473" t="str">
        <f t="shared" si="9"/>
        <v/>
      </c>
    </row>
    <row r="257" spans="1:10" ht="14.25" customHeight="1">
      <c r="A257" s="717">
        <v>6772</v>
      </c>
      <c r="B257" s="718" t="s">
        <v>2329</v>
      </c>
      <c r="C257" s="744"/>
      <c r="D257" s="312"/>
      <c r="E257" s="312"/>
      <c r="F257" s="719"/>
      <c r="G257" s="464">
        <f>SUMIFS(BalanceN[BS_Debit],BalanceN[Table],"&gt;=67720",BalanceN[Table],"&lt;67730")-SUMIFS(BalanceN[BS_Credit],BalanceN[Table],"&gt;=67720",BalanceN[Table],"&lt;67730")</f>
        <v>0</v>
      </c>
      <c r="H257" s="464">
        <f>SUMIFS(BalanceN1[BS_Debit],BalanceN1[Table],"&gt;=67720",BalanceN1[Table],"&lt;67730")-SUMIFS(BalanceN1[BS_Credit],BalanceN1[Table],"&gt;=67720",BalanceN1[Table],"&lt;67730")</f>
        <v>0</v>
      </c>
      <c r="I257" s="464">
        <f t="shared" si="8"/>
        <v>0</v>
      </c>
      <c r="J257" s="473" t="str">
        <f t="shared" si="9"/>
        <v/>
      </c>
    </row>
    <row r="258" spans="1:10" ht="14.25" customHeight="1">
      <c r="A258" s="717">
        <v>6781</v>
      </c>
      <c r="B258" s="718" t="s">
        <v>2807</v>
      </c>
      <c r="C258" s="744"/>
      <c r="D258" s="312"/>
      <c r="E258" s="312"/>
      <c r="F258" s="719"/>
      <c r="G258" s="464">
        <f>SUMIFS(BalanceN[BS_Debit],BalanceN[Table],"&gt;=67810",BalanceN[Table],"&lt;67820")-SUMIFS(BalanceN[BS_Credit],BalanceN[Table],"&gt;=67810",BalanceN[Table],"&lt;67820")</f>
        <v>0</v>
      </c>
      <c r="H258" s="464">
        <f>SUMIFS(BalanceN1[BS_Debit],BalanceN1[Table],"&gt;=67810",BalanceN1[Table],"&lt;67820")-SUMIFS(BalanceN1[BS_Credit],BalanceN1[Table],"&gt;=67810",BalanceN1[Table],"&lt;67820")</f>
        <v>0</v>
      </c>
      <c r="I258" s="464">
        <f t="shared" si="8"/>
        <v>0</v>
      </c>
      <c r="J258" s="473" t="str">
        <f t="shared" si="9"/>
        <v/>
      </c>
    </row>
    <row r="259" spans="1:10" ht="14.25" customHeight="1">
      <c r="A259" s="717">
        <v>6782</v>
      </c>
      <c r="B259" s="718" t="s">
        <v>2808</v>
      </c>
      <c r="C259" s="744"/>
      <c r="D259" s="312"/>
      <c r="E259" s="312"/>
      <c r="F259" s="719"/>
      <c r="G259" s="464">
        <f>SUMIFS(BalanceN[BS_Debit],BalanceN[Table],"&gt;=67820",BalanceN[Table],"&lt;67830")-SUMIFS(BalanceN[BS_Credit],BalanceN[Table],"&gt;=67820",BalanceN[Table],"&lt;67830")</f>
        <v>0</v>
      </c>
      <c r="H259" s="464">
        <f>SUMIFS(BalanceN1[BS_Debit],BalanceN1[Table],"&gt;=67820",BalanceN1[Table],"&lt;67830")-SUMIFS(BalanceN1[BS_Credit],BalanceN1[Table],"&gt;=67820",BalanceN1[Table],"&lt;67830")</f>
        <v>0</v>
      </c>
      <c r="I259" s="464">
        <f t="shared" si="8"/>
        <v>0</v>
      </c>
      <c r="J259" s="473" t="str">
        <f t="shared" si="9"/>
        <v/>
      </c>
    </row>
    <row r="260" spans="1:10" ht="14.25" customHeight="1">
      <c r="A260" s="717">
        <v>6784</v>
      </c>
      <c r="B260" s="718" t="s">
        <v>2809</v>
      </c>
      <c r="C260" s="744"/>
      <c r="D260" s="312"/>
      <c r="E260" s="312"/>
      <c r="F260" s="719"/>
      <c r="G260" s="464">
        <f>SUMIFS(BalanceN[BS_Debit],BalanceN[Table],"&gt;=67840",BalanceN[Table],"&lt;67850")-SUMIFS(BalanceN[BS_Credit],BalanceN[Table],"&gt;=67840",BalanceN[Table],"&lt;67850")</f>
        <v>0</v>
      </c>
      <c r="H260" s="464">
        <f>SUMIFS(BalanceN1[BS_Debit],BalanceN1[Table],"&gt;=67840",BalanceN1[Table],"&lt;67850")-SUMIFS(BalanceN1[BS_Credit],BalanceN1[Table],"&gt;=67840",BalanceN1[Table],"&lt;67850")</f>
        <v>0</v>
      </c>
      <c r="I260" s="464">
        <f t="shared" si="8"/>
        <v>0</v>
      </c>
      <c r="J260" s="473" t="str">
        <f t="shared" si="9"/>
        <v/>
      </c>
    </row>
    <row r="261" spans="1:10" ht="14.25" customHeight="1">
      <c r="A261" s="717">
        <v>6791</v>
      </c>
      <c r="B261" s="718" t="s">
        <v>2810</v>
      </c>
      <c r="C261" s="744"/>
      <c r="D261" s="312"/>
      <c r="E261" s="312"/>
      <c r="F261" s="719"/>
      <c r="G261" s="464">
        <f>SUMIFS(BalanceN[BS_Debit],BalanceN[Table],"&gt;=67910",BalanceN[Table],"&lt;67920")-SUMIFS(BalanceN[BS_Credit],BalanceN[Table],"&gt;=67910",BalanceN[Table],"&lt;67920")</f>
        <v>0</v>
      </c>
      <c r="H261" s="464">
        <f>SUMIFS(BalanceN1[BS_Debit],BalanceN1[Table],"&gt;=67910",BalanceN1[Table],"&lt;67920")-SUMIFS(BalanceN1[BS_Credit],BalanceN1[Table],"&gt;=67910",BalanceN1[Table],"&lt;67920")</f>
        <v>0</v>
      </c>
      <c r="I261" s="464">
        <f t="shared" si="8"/>
        <v>0</v>
      </c>
      <c r="J261" s="473" t="str">
        <f t="shared" si="9"/>
        <v/>
      </c>
    </row>
    <row r="262" spans="1:10" ht="14.25" customHeight="1">
      <c r="A262" s="717">
        <v>6795</v>
      </c>
      <c r="B262" s="718" t="s">
        <v>2811</v>
      </c>
      <c r="C262" s="744"/>
      <c r="D262" s="312"/>
      <c r="E262" s="312"/>
      <c r="F262" s="719"/>
      <c r="G262" s="464">
        <f>SUMIFS(BalanceN[BS_Debit],BalanceN[Table],"&gt;=67950",BalanceN[Table],"&lt;67960")-SUMIFS(BalanceN[BS_Credit],BalanceN[Table],"&gt;=67950",BalanceN[Table],"&lt;67960")</f>
        <v>0</v>
      </c>
      <c r="H262" s="464">
        <f>SUMIFS(BalanceN1[BS_Debit],BalanceN1[Table],"&gt;=67950",BalanceN1[Table],"&lt;67960")-SUMIFS(BalanceN1[BS_Credit],BalanceN1[Table],"&gt;=67950",BalanceN1[Table],"&lt;67960")</f>
        <v>0</v>
      </c>
      <c r="I262" s="464">
        <f t="shared" si="8"/>
        <v>0</v>
      </c>
      <c r="J262" s="473" t="str">
        <f t="shared" si="9"/>
        <v/>
      </c>
    </row>
    <row r="263" spans="1:10" ht="14.25" customHeight="1" thickBot="1">
      <c r="A263" s="717">
        <v>6798</v>
      </c>
      <c r="B263" s="718" t="s">
        <v>2812</v>
      </c>
      <c r="C263" s="744"/>
      <c r="D263" s="312"/>
      <c r="E263" s="312"/>
      <c r="F263" s="719"/>
      <c r="G263" s="462">
        <f>SUMIFS(BalanceN[BS_Debit],BalanceN[Table],"&gt;=67980",BalanceN[Table],"&lt;67990")-SUMIFS(BalanceN[BS_Credit],BalanceN[Table],"&gt;=67980",BalanceN[Table],"&lt;67990")</f>
        <v>0</v>
      </c>
      <c r="H263" s="462">
        <f>SUMIFS(BalanceN1[BS_Debit],BalanceN1[Table],"&gt;=67980",BalanceN1[Table],"&lt;67990")-SUMIFS(BalanceN1[BS_Credit],BalanceN1[Table],"&gt;=67980",BalanceN1[Table],"&lt;67990")</f>
        <v>0</v>
      </c>
      <c r="I263" s="462">
        <f t="shared" si="8"/>
        <v>0</v>
      </c>
      <c r="J263" s="473" t="str">
        <f t="shared" si="9"/>
        <v/>
      </c>
    </row>
    <row r="264" spans="1:10" ht="14.25" customHeight="1" thickTop="1" thickBot="1">
      <c r="A264" s="720" t="s">
        <v>1327</v>
      </c>
      <c r="B264" s="745" t="s">
        <v>2813</v>
      </c>
      <c r="C264" s="653"/>
      <c r="D264" s="312"/>
      <c r="E264" s="312"/>
      <c r="F264" s="719"/>
      <c r="G264" s="466">
        <f>SUM(G239:G263)</f>
        <v>3500000</v>
      </c>
      <c r="H264" s="466">
        <f>SUM(H239:H263)</f>
        <v>0</v>
      </c>
      <c r="I264" s="466">
        <f>G264-H264</f>
        <v>3500000</v>
      </c>
      <c r="J264" s="477">
        <f t="shared" si="9"/>
        <v>1</v>
      </c>
    </row>
    <row r="265" spans="1:10" ht="14.25" customHeight="1" thickTop="1">
      <c r="A265" s="717">
        <v>6812</v>
      </c>
      <c r="B265" s="718" t="s">
        <v>2814</v>
      </c>
      <c r="C265" s="744"/>
      <c r="D265" s="312"/>
      <c r="E265" s="312"/>
      <c r="F265" s="719"/>
      <c r="G265" s="481">
        <f>SUMIFS(BalanceN[BS_Debit],BalanceN[Table],"&gt;=68120",BalanceN[Table],"&lt;68130")-SUMIFS(BalanceN[BS_Credit],BalanceN[Table],"&gt;=68120",BalanceN[Table],"&lt;68130")</f>
        <v>0</v>
      </c>
      <c r="H265" s="481">
        <f>SUMIFS(BalanceN1[BS_Debit],BalanceN1[Table],"&gt;=68120",BalanceN1[Table],"&lt;68130")-SUMIFS(BalanceN1[BS_Credit],BalanceN1[Table],"&gt;=68120",BalanceN1[Table],"&lt;68130")</f>
        <v>0</v>
      </c>
      <c r="I265" s="481">
        <f t="shared" si="8"/>
        <v>0</v>
      </c>
      <c r="J265" s="473" t="str">
        <f t="shared" si="9"/>
        <v/>
      </c>
    </row>
    <row r="266" spans="1:10" ht="14.25" customHeight="1">
      <c r="A266" s="717">
        <v>6813</v>
      </c>
      <c r="B266" s="718" t="s">
        <v>2815</v>
      </c>
      <c r="C266" s="744"/>
      <c r="D266" s="312"/>
      <c r="E266" s="312"/>
      <c r="F266" s="719"/>
      <c r="G266" s="464">
        <f>SUMIFS(BalanceN[BS_Debit],BalanceN[Table],"&gt;=68130",BalanceN[Table],"&lt;68140")-SUMIFS(BalanceN[BS_Credit],BalanceN[Table],"&gt;=68130",BalanceN[Table],"&lt;68140")</f>
        <v>19259644</v>
      </c>
      <c r="H266" s="464">
        <f>SUMIFS(BalanceN1[BS_Debit],BalanceN1[Table],"&gt;=68130",BalanceN1[Table],"&lt;68140")-SUMIFS(BalanceN1[BS_Credit],BalanceN1[Table],"&gt;=68130",BalanceN1[Table],"&lt;68140")</f>
        <v>24304993</v>
      </c>
      <c r="I266" s="464">
        <f t="shared" si="8"/>
        <v>-5045349</v>
      </c>
      <c r="J266" s="473">
        <f t="shared" si="9"/>
        <v>-0.20758487772450707</v>
      </c>
    </row>
    <row r="267" spans="1:10" ht="14.25" customHeight="1">
      <c r="A267" s="717">
        <v>6911</v>
      </c>
      <c r="B267" s="718" t="s">
        <v>2816</v>
      </c>
      <c r="C267" s="744"/>
      <c r="D267" s="312"/>
      <c r="E267" s="312"/>
      <c r="F267" s="719"/>
      <c r="G267" s="464">
        <f>SUMIFS(BalanceN[BS_Debit],BalanceN[Table],"&gt;=69110",BalanceN[Table],"&lt;69120")-SUMIFS(BalanceN[BS_Credit],BalanceN[Table],"&gt;=69110",BalanceN[Table],"&lt;69120")</f>
        <v>7251669</v>
      </c>
      <c r="H267" s="464">
        <f>SUMIFS(BalanceN1[BS_Debit],BalanceN1[Table],"&gt;=69110",BalanceN1[Table],"&lt;69120")-SUMIFS(BalanceN1[BS_Credit],BalanceN1[Table],"&gt;=69110",BalanceN1[Table],"&lt;69120")</f>
        <v>7310762</v>
      </c>
      <c r="I267" s="464">
        <f t="shared" si="8"/>
        <v>-59093</v>
      </c>
      <c r="J267" s="473">
        <f t="shared" si="9"/>
        <v>-8.0830151494468011E-3</v>
      </c>
    </row>
    <row r="268" spans="1:10" ht="14.25" customHeight="1">
      <c r="A268" s="717">
        <v>6913</v>
      </c>
      <c r="B268" s="718" t="s">
        <v>2817</v>
      </c>
      <c r="C268" s="744"/>
      <c r="D268" s="312"/>
      <c r="E268" s="312"/>
      <c r="F268" s="719"/>
      <c r="G268" s="464">
        <f>SUMIFS(BalanceN[BS_Debit],BalanceN[Table],"&gt;=69130",BalanceN[Table],"&lt;69140")-SUMIFS(BalanceN[BS_Credit],BalanceN[Table],"&gt;=69130",BalanceN[Table],"&lt;69140")</f>
        <v>0</v>
      </c>
      <c r="H268" s="464">
        <f>SUMIFS(BalanceN1[BS_Debit],BalanceN1[Table],"&gt;=69130",BalanceN1[Table],"&lt;69140")-SUMIFS(BalanceN1[BS_Credit],BalanceN1[Table],"&gt;=69130",BalanceN1[Table],"&lt;69140")</f>
        <v>0</v>
      </c>
      <c r="I268" s="464">
        <f t="shared" si="8"/>
        <v>0</v>
      </c>
      <c r="J268" s="473" t="str">
        <f t="shared" si="9"/>
        <v/>
      </c>
    </row>
    <row r="269" spans="1:10" ht="14.25" customHeight="1" thickBot="1">
      <c r="A269" s="717">
        <v>6914</v>
      </c>
      <c r="B269" s="718" t="s">
        <v>2818</v>
      </c>
      <c r="C269" s="744"/>
      <c r="D269" s="312"/>
      <c r="E269" s="312"/>
      <c r="F269" s="719"/>
      <c r="G269" s="462">
        <f>SUMIFS(BalanceN[BS_Debit],BalanceN[Table],"&gt;=69140",BalanceN[Table],"&lt;69150")-SUMIFS(BalanceN[BS_Credit],BalanceN[Table],"&gt;=69140",BalanceN[Table],"&lt;69150")</f>
        <v>0</v>
      </c>
      <c r="H269" s="462">
        <f>SUMIFS(BalanceN1[BS_Debit],BalanceN1[Table],"&gt;=69140",BalanceN1[Table],"&lt;69150")-SUMIFS(BalanceN1[BS_Credit],BalanceN1[Table],"&gt;=69140",BalanceN1[Table],"&lt;69150")</f>
        <v>0</v>
      </c>
      <c r="I269" s="462">
        <f t="shared" si="8"/>
        <v>0</v>
      </c>
      <c r="J269" s="473" t="str">
        <f t="shared" si="9"/>
        <v/>
      </c>
    </row>
    <row r="270" spans="1:10" ht="14.25" customHeight="1" thickTop="1" thickBot="1">
      <c r="A270" s="720" t="s">
        <v>1316</v>
      </c>
      <c r="B270" s="745" t="s">
        <v>1317</v>
      </c>
      <c r="C270" s="653"/>
      <c r="D270" s="312"/>
      <c r="E270" s="312"/>
      <c r="F270" s="719"/>
      <c r="G270" s="466">
        <f>SUM(G265:G269)</f>
        <v>26511313</v>
      </c>
      <c r="H270" s="466">
        <f>SUM(H265:H269)</f>
        <v>31615755</v>
      </c>
      <c r="I270" s="466">
        <f>G270-H270</f>
        <v>-5104442</v>
      </c>
      <c r="J270" s="477">
        <f t="shared" si="9"/>
        <v>-0.16145247836086787</v>
      </c>
    </row>
    <row r="271" spans="1:10" ht="14.25" customHeight="1" thickTop="1">
      <c r="A271" s="717">
        <v>6971</v>
      </c>
      <c r="B271" s="718" t="s">
        <v>2819</v>
      </c>
      <c r="C271" s="744"/>
      <c r="D271" s="312"/>
      <c r="E271" s="312"/>
      <c r="F271" s="719"/>
      <c r="G271" s="478">
        <f>SUMIFS(BalanceN[BS_Debit],BalanceN[Table],"&gt;=69710",BalanceN[Table],"&lt;69720")-SUMIFS(BalanceN[BS_Credit],BalanceN[Table],"&gt;=69710",BalanceN[Table],"&lt;69720")</f>
        <v>0</v>
      </c>
      <c r="H271" s="478">
        <f>SUMIFS(BalanceN1[BS_Debit],BalanceN1[Table],"&gt;=69710",BalanceN1[Table],"&lt;69720")-SUMIFS(BalanceN1[BS_Credit],BalanceN1[Table],"&gt;=69710",BalanceN1[Table],"&lt;69720")</f>
        <v>0</v>
      </c>
      <c r="I271" s="478">
        <f t="shared" si="8"/>
        <v>0</v>
      </c>
      <c r="J271" s="473" t="str">
        <f t="shared" si="9"/>
        <v/>
      </c>
    </row>
    <row r="272" spans="1:10" ht="14.25" customHeight="1" thickBot="1">
      <c r="A272" s="717">
        <v>6972</v>
      </c>
      <c r="B272" s="718" t="s">
        <v>2820</v>
      </c>
      <c r="C272" s="744"/>
      <c r="D272" s="312"/>
      <c r="E272" s="312"/>
      <c r="F272" s="719"/>
      <c r="G272" s="462">
        <f>SUMIFS(BalanceN[BS_Debit],BalanceN[Table],"&gt;=69720",BalanceN[Table],"&lt;69730")-SUMIFS(BalanceN[BS_Credit],BalanceN[Table],"&gt;=69720",BalanceN[Table],"&lt;69730")</f>
        <v>0</v>
      </c>
      <c r="H272" s="462">
        <f>SUMIFS(BalanceN1[BS_Debit],BalanceN1[Table],"&gt;=69720",BalanceN1[Table],"&lt;69730")-SUMIFS(BalanceN1[BS_Credit],BalanceN1[Table],"&gt;=69720",BalanceN1[Table],"&lt;69730")</f>
        <v>0</v>
      </c>
      <c r="I272" s="462">
        <f>G272-H272</f>
        <v>0</v>
      </c>
      <c r="J272" s="473" t="str">
        <f t="shared" si="9"/>
        <v/>
      </c>
    </row>
    <row r="273" spans="1:10" ht="14.25" customHeight="1" thickTop="1" thickBot="1">
      <c r="A273" s="720" t="s">
        <v>1329</v>
      </c>
      <c r="B273" s="745" t="s">
        <v>1330</v>
      </c>
      <c r="C273" s="653"/>
      <c r="D273" s="312"/>
      <c r="E273" s="312"/>
      <c r="F273" s="719"/>
      <c r="G273" s="466">
        <f>SUM(G271:G272)</f>
        <v>0</v>
      </c>
      <c r="H273" s="466">
        <f>SUM(H271:H272)</f>
        <v>0</v>
      </c>
      <c r="I273" s="466">
        <f>G273-H273</f>
        <v>0</v>
      </c>
      <c r="J273" s="477" t="str">
        <f t="shared" si="9"/>
        <v/>
      </c>
    </row>
    <row r="274" spans="1:10" ht="14.7" thickTop="1">
      <c r="A274" s="746"/>
      <c r="B274" s="746"/>
      <c r="C274" s="746"/>
      <c r="D274" s="746"/>
      <c r="E274" s="746"/>
      <c r="F274" s="746"/>
      <c r="G274" s="482"/>
      <c r="H274" s="482"/>
      <c r="I274" s="482"/>
      <c r="J274" s="483" t="str">
        <f>IF(H274,(G274-H274)/H274,IF(ISBLANK(H274),"",IF(G274,1,"")))</f>
        <v/>
      </c>
    </row>
    <row r="275" spans="1:10">
      <c r="A275" s="2163" t="s">
        <v>2821</v>
      </c>
      <c r="B275" s="2163"/>
      <c r="C275" s="2163"/>
      <c r="D275" s="2163"/>
      <c r="E275" s="2163"/>
      <c r="F275" s="2163"/>
      <c r="G275" s="484">
        <f>G17+G19+G26+G28+G51+G53+G62+G144+G174+G191+G238+G264+G270+G273</f>
        <v>1816252482</v>
      </c>
      <c r="H275" s="484">
        <f>H17+H19+H26+H28+H51+H53+H62+H144+H174+H191+H238+H264+H270+H273</f>
        <v>1747158553</v>
      </c>
      <c r="I275" s="484">
        <f>G275-H275</f>
        <v>69093929</v>
      </c>
      <c r="J275" s="485">
        <f>IF(H275,(G275-H275)/H275,IF(ISBLANK(H275),"",IF(G275,IF( G275 &gt; 0,1,-1),"")))</f>
        <v>3.9546456090868591E-2</v>
      </c>
    </row>
    <row r="276" spans="1:10">
      <c r="G276" s="1106">
        <f>SUMIFS(BalanceN[BS_Debit],BalanceN[Table],"&gt;=60000",BalanceN[Table],"&lt;70000")-SUMIFS(BalanceN[BS_Credit],BalanceN[Table],"&gt;=60000",BalanceN[Table],"&lt;70000")-G275</f>
        <v>0</v>
      </c>
      <c r="H276" s="1106">
        <f>SUMIFS(BalanceN1[BS_Debit],BalanceN1[Table],"&gt;=60000",BalanceN1[Table],"&lt;70000")-SUMIFS(BalanceN1[BS_Credit],BalanceN1[Table],"&gt;=60000",BalanceN1[Table],"&lt;70000")-H275</f>
        <v>0</v>
      </c>
    </row>
  </sheetData>
  <sheetProtection algorithmName="SHA-512" hashValue="R+L6Ctk35rXw+VLboGJHsu/qnssVSY4OoCpcEzUq8613cpoz9InBXLjBM4nsFcXTBTCYw8HOVJaZEzUX8q/ErA==" saltValue="1uRgUcAgU/2knzEoYfqXMA==" spinCount="100000" sheet="1" objects="1" scenarios="1" selectLockedCells="1"/>
  <mergeCells count="50">
    <mergeCell ref="H1:J1"/>
    <mergeCell ref="C2:J2"/>
    <mergeCell ref="B3:H3"/>
    <mergeCell ref="C5:D5"/>
    <mergeCell ref="E5:F5"/>
    <mergeCell ref="C4:D4"/>
    <mergeCell ref="A1:B1"/>
    <mergeCell ref="D1:G1"/>
    <mergeCell ref="C78:D78"/>
    <mergeCell ref="A7:J7"/>
    <mergeCell ref="A9:F10"/>
    <mergeCell ref="G9:G10"/>
    <mergeCell ref="H9:H10"/>
    <mergeCell ref="I9:J9"/>
    <mergeCell ref="A75:B75"/>
    <mergeCell ref="D75:G75"/>
    <mergeCell ref="H75:J75"/>
    <mergeCell ref="C76:J76"/>
    <mergeCell ref="B77:H77"/>
    <mergeCell ref="C153:D153"/>
    <mergeCell ref="C79:F79"/>
    <mergeCell ref="A81:J81"/>
    <mergeCell ref="A83:F84"/>
    <mergeCell ref="G83:G84"/>
    <mergeCell ref="H83:H84"/>
    <mergeCell ref="I83:J83"/>
    <mergeCell ref="A150:B150"/>
    <mergeCell ref="D150:G150"/>
    <mergeCell ref="H150:J150"/>
    <mergeCell ref="C151:J151"/>
    <mergeCell ref="B152:H152"/>
    <mergeCell ref="C226:D226"/>
    <mergeCell ref="C154:F154"/>
    <mergeCell ref="A156:J156"/>
    <mergeCell ref="A158:F159"/>
    <mergeCell ref="G158:G159"/>
    <mergeCell ref="H158:H159"/>
    <mergeCell ref="I158:J158"/>
    <mergeCell ref="A223:B223"/>
    <mergeCell ref="D223:G223"/>
    <mergeCell ref="H223:J223"/>
    <mergeCell ref="C224:J224"/>
    <mergeCell ref="B225:H225"/>
    <mergeCell ref="A275:F275"/>
    <mergeCell ref="C227:F227"/>
    <mergeCell ref="A229:J229"/>
    <mergeCell ref="A231:F232"/>
    <mergeCell ref="G231:G232"/>
    <mergeCell ref="H231:H232"/>
    <mergeCell ref="I231:J231"/>
  </mergeCells>
  <conditionalFormatting sqref="G11:I73">
    <cfRule type="cellIs" dxfId="130" priority="6" operator="equal">
      <formula>0</formula>
    </cfRule>
  </conditionalFormatting>
  <conditionalFormatting sqref="G85:I148">
    <cfRule type="cellIs" dxfId="129" priority="5" operator="equal">
      <formula>0</formula>
    </cfRule>
  </conditionalFormatting>
  <conditionalFormatting sqref="G85:I148">
    <cfRule type="cellIs" dxfId="128" priority="4" operator="equal">
      <formula>0</formula>
    </cfRule>
  </conditionalFormatting>
  <conditionalFormatting sqref="G160:I221">
    <cfRule type="cellIs" dxfId="127" priority="3" operator="equal">
      <formula>0</formula>
    </cfRule>
  </conditionalFormatting>
  <conditionalFormatting sqref="G233:I275">
    <cfRule type="cellIs" dxfId="126" priority="2" operator="equal">
      <formula>0</formula>
    </cfRule>
  </conditionalFormatting>
  <conditionalFormatting sqref="G276:H276">
    <cfRule type="cellIs" dxfId="125" priority="1" operator="equal">
      <formula>0</formula>
    </cfRule>
  </conditionalFormatting>
  <dataValidations count="1">
    <dataValidation type="whole" allowBlank="1" showInputMessage="1" showErrorMessage="1" errorTitle="Attention!" error="Valeur numérique attendue" sqref="G160:H221 G11:H73 G85:H148 G233:H274" xr:uid="{4E893EA9-8508-4500-98A4-74EE3ABC3F85}">
      <formula1>-9999999999999</formula1>
      <formula2>9999999999999</formula2>
    </dataValidation>
  </dataValidations>
  <printOptions horizontalCentered="1"/>
  <pageMargins left="0.19685039370078741" right="0.19685039370078741" top="0.27559055118110237" bottom="0.27559055118110237" header="0.31496062992125984" footer="0.31496062992125984"/>
  <pageSetup paperSize="9" scale="75" orientation="portrait" r:id="rId1"/>
  <rowBreaks count="3" manualBreakCount="3">
    <brk id="73" max="16383" man="1"/>
    <brk id="148" max="16383" man="1"/>
    <brk id="221" max="16383" man="1"/>
  </rowBreaks>
  <ignoredErrors>
    <ignoredError sqref="J274" formula="1"/>
  </ignoredErrors>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D223-BECC-439A-A010-05145D2F7431}">
  <sheetPr codeName="Feuil70">
    <tabColor rgb="FFC00000"/>
    <pageSetUpPr fitToPage="1"/>
  </sheetPr>
  <dimension ref="A1:H28"/>
  <sheetViews>
    <sheetView showGridLines="0" showRowColHeaders="0" zoomScaleNormal="100" workbookViewId="0">
      <selection activeCell="G10" sqref="G10"/>
    </sheetView>
  </sheetViews>
  <sheetFormatPr baseColWidth="10" defaultColWidth="11.5234375" defaultRowHeight="14.4"/>
  <cols>
    <col min="1" max="1" width="9.3125" style="103" customWidth="1"/>
    <col min="2" max="2" width="19.3125" style="103" customWidth="1"/>
    <col min="3" max="3" width="11.5234375" style="103"/>
    <col min="4" max="4" width="6.1015625" style="103" customWidth="1"/>
    <col min="5" max="5" width="15.41796875" style="103" customWidth="1"/>
    <col min="6" max="6" width="13.68359375" style="103" customWidth="1"/>
    <col min="7" max="8" width="16.41796875" style="103" customWidth="1"/>
    <col min="9" max="16384" width="11.5234375" style="103"/>
  </cols>
  <sheetData>
    <row r="1" spans="1:8" ht="18.75" customHeight="1">
      <c r="A1" s="1278" t="s">
        <v>17</v>
      </c>
      <c r="B1" s="1279"/>
      <c r="C1" s="576"/>
      <c r="D1" s="576"/>
      <c r="E1" s="572" t="str">
        <f>"- "&amp;Code!K69&amp;" -"</f>
        <v>- 43 -</v>
      </c>
      <c r="F1" s="118"/>
      <c r="G1" s="1278" t="s">
        <v>2822</v>
      </c>
      <c r="H1" s="1279"/>
    </row>
    <row r="2" spans="1:8" ht="21.9" customHeight="1">
      <c r="A2" s="317" t="s">
        <v>50</v>
      </c>
      <c r="B2" s="625"/>
      <c r="C2" s="1280" t="str">
        <f>'NOTES DGI - INS'!C3</f>
        <v>OHADA</v>
      </c>
      <c r="D2" s="1280"/>
      <c r="E2" s="1280"/>
      <c r="F2" s="1280"/>
      <c r="G2" s="1280"/>
      <c r="H2" s="1280"/>
    </row>
    <row r="3" spans="1:8">
      <c r="A3" s="317" t="s">
        <v>51</v>
      </c>
      <c r="B3" s="1280" t="str">
        <f>'NOTES DGI - INS'!B4</f>
        <v/>
      </c>
      <c r="C3" s="1280"/>
      <c r="D3" s="1280"/>
      <c r="E3" s="1280"/>
      <c r="F3" s="1280"/>
      <c r="G3" s="627" t="s">
        <v>1021</v>
      </c>
      <c r="H3" s="628" t="str">
        <f>'NOTES DGI - INS'!I4</f>
        <v/>
      </c>
    </row>
    <row r="4" spans="1:8">
      <c r="A4" s="317" t="s">
        <v>53</v>
      </c>
      <c r="B4" s="125"/>
      <c r="C4" s="1281" t="str">
        <f>'NOTES DGI - INS'!C5</f>
        <v/>
      </c>
      <c r="D4" s="1281"/>
      <c r="E4" s="627" t="s">
        <v>54</v>
      </c>
      <c r="F4" s="633">
        <f>'NOTES DGI - INS'!F5</f>
        <v>0</v>
      </c>
      <c r="G4" s="627" t="s">
        <v>55</v>
      </c>
      <c r="H4" s="628">
        <f>'NOTES DGI - INS'!I5</f>
        <v>1</v>
      </c>
    </row>
    <row r="5" spans="1:8">
      <c r="A5" s="317" t="s">
        <v>1533</v>
      </c>
      <c r="B5" s="125"/>
      <c r="C5" s="1275" t="str">
        <f>'NOTES DGI - INS'!C6</f>
        <v/>
      </c>
      <c r="D5" s="1275"/>
      <c r="E5" s="629"/>
      <c r="F5" s="630"/>
      <c r="G5" s="629"/>
      <c r="H5" s="630"/>
    </row>
    <row r="6" spans="1:8" ht="6" customHeight="1">
      <c r="A6" s="317"/>
      <c r="B6" s="125"/>
      <c r="C6" s="675"/>
      <c r="D6" s="675"/>
      <c r="E6" s="627"/>
      <c r="F6" s="676"/>
      <c r="G6" s="627"/>
      <c r="H6" s="675"/>
    </row>
    <row r="7" spans="1:8">
      <c r="A7" s="2182" t="s">
        <v>2621</v>
      </c>
      <c r="B7" s="2183"/>
      <c r="C7" s="2183"/>
      <c r="D7" s="2183"/>
      <c r="E7" s="2183"/>
      <c r="F7" s="2183"/>
      <c r="G7" s="2183"/>
      <c r="H7" s="2184"/>
    </row>
    <row r="8" spans="1:8" ht="6" customHeight="1">
      <c r="A8" s="118"/>
      <c r="B8" s="118"/>
      <c r="C8" s="118"/>
      <c r="D8" s="118"/>
      <c r="E8" s="118"/>
      <c r="F8" s="118"/>
      <c r="G8" s="118"/>
      <c r="H8" s="118"/>
    </row>
    <row r="9" spans="1:8" ht="28.5" customHeight="1">
      <c r="A9" s="2185" t="s">
        <v>2823</v>
      </c>
      <c r="B9" s="2186"/>
      <c r="C9" s="2186"/>
      <c r="D9" s="2186"/>
      <c r="E9" s="2186"/>
      <c r="F9" s="2187"/>
      <c r="G9" s="692" t="s">
        <v>2623</v>
      </c>
      <c r="H9" s="692" t="s">
        <v>2624</v>
      </c>
    </row>
    <row r="10" spans="1:8" s="593" customFormat="1">
      <c r="A10" s="693"/>
      <c r="B10" s="681" t="s">
        <v>2824</v>
      </c>
      <c r="C10" s="694"/>
      <c r="D10" s="694"/>
      <c r="E10" s="694"/>
      <c r="F10" s="695"/>
      <c r="G10" s="486"/>
      <c r="H10" s="486"/>
    </row>
    <row r="11" spans="1:8" s="593" customFormat="1">
      <c r="A11" s="532"/>
      <c r="B11" s="685" t="s">
        <v>2825</v>
      </c>
      <c r="C11" s="696"/>
      <c r="D11" s="696"/>
      <c r="E11" s="696"/>
      <c r="F11" s="697"/>
      <c r="G11" s="487"/>
      <c r="H11" s="487"/>
    </row>
    <row r="12" spans="1:8" s="593" customFormat="1">
      <c r="A12" s="532"/>
      <c r="B12" s="685" t="s">
        <v>2826</v>
      </c>
      <c r="C12" s="696"/>
      <c r="D12" s="696"/>
      <c r="E12" s="696"/>
      <c r="F12" s="697"/>
      <c r="G12" s="487"/>
      <c r="H12" s="487"/>
    </row>
    <row r="13" spans="1:8" s="593" customFormat="1">
      <c r="A13" s="532"/>
      <c r="B13" s="685" t="s">
        <v>2827</v>
      </c>
      <c r="C13" s="696"/>
      <c r="D13" s="696"/>
      <c r="E13" s="696"/>
      <c r="F13" s="697"/>
      <c r="G13" s="487"/>
      <c r="H13" s="487"/>
    </row>
    <row r="14" spans="1:8" s="593" customFormat="1" ht="14.7" thickBot="1">
      <c r="A14" s="532"/>
      <c r="B14" s="685" t="s">
        <v>2828</v>
      </c>
      <c r="C14" s="696"/>
      <c r="D14" s="696"/>
      <c r="E14" s="696"/>
      <c r="F14" s="697"/>
      <c r="G14" s="488"/>
      <c r="H14" s="488"/>
    </row>
    <row r="15" spans="1:8" s="593" customFormat="1" ht="15" thickTop="1" thickBot="1">
      <c r="A15" s="698"/>
      <c r="B15" s="699"/>
      <c r="C15" s="700" t="s">
        <v>2829</v>
      </c>
      <c r="D15" s="696"/>
      <c r="E15" s="696"/>
      <c r="F15" s="697"/>
      <c r="G15" s="489">
        <f>SUM(G10:G14)</f>
        <v>0</v>
      </c>
      <c r="H15" s="489">
        <f>SUM(H10:H14)</f>
        <v>0</v>
      </c>
    </row>
    <row r="16" spans="1:8" s="593" customFormat="1" ht="15" thickTop="1" thickBot="1">
      <c r="A16" s="698"/>
      <c r="B16" s="699"/>
      <c r="C16" s="700" t="s">
        <v>2830</v>
      </c>
      <c r="D16" s="696"/>
      <c r="E16" s="696"/>
      <c r="F16" s="697"/>
      <c r="G16" s="490"/>
      <c r="H16" s="490"/>
    </row>
    <row r="17" spans="1:8" s="593" customFormat="1" ht="14.7" thickTop="1">
      <c r="A17" s="532"/>
      <c r="B17" s="685" t="s">
        <v>2831</v>
      </c>
      <c r="C17" s="696"/>
      <c r="D17" s="696"/>
      <c r="E17" s="696"/>
      <c r="F17" s="697"/>
      <c r="G17" s="491"/>
      <c r="H17" s="491"/>
    </row>
    <row r="18" spans="1:8" s="593" customFormat="1">
      <c r="A18" s="532"/>
      <c r="B18" s="685" t="s">
        <v>2832</v>
      </c>
      <c r="C18" s="696"/>
      <c r="D18" s="696"/>
      <c r="E18" s="696"/>
      <c r="F18" s="697"/>
      <c r="G18" s="487"/>
      <c r="H18" s="487"/>
    </row>
    <row r="19" spans="1:8" s="593" customFormat="1">
      <c r="A19" s="532"/>
      <c r="B19" s="685" t="s">
        <v>2833</v>
      </c>
      <c r="C19" s="696"/>
      <c r="D19" s="696"/>
      <c r="E19" s="696"/>
      <c r="F19" s="697"/>
      <c r="G19" s="487"/>
      <c r="H19" s="487"/>
    </row>
    <row r="20" spans="1:8" s="593" customFormat="1">
      <c r="A20" s="532"/>
      <c r="B20" s="685" t="s">
        <v>2834</v>
      </c>
      <c r="C20" s="696"/>
      <c r="D20" s="696"/>
      <c r="E20" s="696"/>
      <c r="F20" s="697"/>
      <c r="G20" s="487"/>
      <c r="H20" s="487"/>
    </row>
    <row r="21" spans="1:8" s="593" customFormat="1">
      <c r="A21" s="532"/>
      <c r="B21" s="685" t="s">
        <v>2835</v>
      </c>
      <c r="C21" s="696"/>
      <c r="D21" s="696"/>
      <c r="E21" s="696"/>
      <c r="F21" s="697"/>
      <c r="G21" s="487"/>
      <c r="H21" s="487"/>
    </row>
    <row r="22" spans="1:8" s="593" customFormat="1" ht="14.7" thickBot="1">
      <c r="A22" s="532"/>
      <c r="B22" s="685" t="s">
        <v>2836</v>
      </c>
      <c r="C22" s="696"/>
      <c r="D22" s="696"/>
      <c r="E22" s="696"/>
      <c r="F22" s="697"/>
      <c r="G22" s="487"/>
      <c r="H22" s="487"/>
    </row>
    <row r="23" spans="1:8" s="593" customFormat="1" ht="15" thickTop="1" thickBot="1">
      <c r="A23" s="701"/>
      <c r="B23" s="699"/>
      <c r="C23" s="700" t="s">
        <v>2837</v>
      </c>
      <c r="D23" s="696"/>
      <c r="E23" s="696"/>
      <c r="F23" s="697"/>
      <c r="G23" s="489">
        <f>SUM(G17:G22)</f>
        <v>0</v>
      </c>
      <c r="H23" s="489">
        <f>SUM(H17:H22)</f>
        <v>0</v>
      </c>
    </row>
    <row r="24" spans="1:8" s="593" customFormat="1" ht="15" thickTop="1" thickBot="1">
      <c r="A24" s="698"/>
      <c r="B24" s="699"/>
      <c r="C24" s="700" t="s">
        <v>2838</v>
      </c>
      <c r="D24" s="696"/>
      <c r="E24" s="696"/>
      <c r="F24" s="697"/>
      <c r="G24" s="492"/>
      <c r="H24" s="492"/>
    </row>
    <row r="25" spans="1:8" s="593" customFormat="1" ht="15" thickTop="1" thickBot="1">
      <c r="A25" s="698"/>
      <c r="B25" s="699"/>
      <c r="C25" s="700" t="s">
        <v>2839</v>
      </c>
      <c r="D25" s="696"/>
      <c r="E25" s="696"/>
      <c r="F25" s="697"/>
      <c r="G25" s="493"/>
      <c r="H25" s="493"/>
    </row>
    <row r="26" spans="1:8" s="593" customFormat="1" ht="14.7" thickTop="1">
      <c r="A26" s="532"/>
      <c r="B26" s="685" t="s">
        <v>2840</v>
      </c>
      <c r="C26" s="696"/>
      <c r="D26" s="696"/>
      <c r="E26" s="696"/>
      <c r="F26" s="697"/>
      <c r="G26" s="487"/>
      <c r="H26" s="487"/>
    </row>
    <row r="27" spans="1:8" s="593" customFormat="1" ht="14.7" thickBot="1">
      <c r="A27" s="532"/>
      <c r="B27" s="685" t="s">
        <v>2841</v>
      </c>
      <c r="C27" s="696"/>
      <c r="D27" s="696"/>
      <c r="E27" s="696"/>
      <c r="F27" s="697"/>
      <c r="G27" s="488"/>
      <c r="H27" s="488"/>
    </row>
    <row r="28" spans="1:8" s="593" customFormat="1" ht="14.7" thickTop="1">
      <c r="A28" s="702"/>
      <c r="B28" s="703"/>
      <c r="C28" s="704" t="s">
        <v>2842</v>
      </c>
      <c r="D28" s="705"/>
      <c r="E28" s="705"/>
      <c r="F28" s="706"/>
      <c r="G28" s="494">
        <f>SUM(G26:G27)</f>
        <v>0</v>
      </c>
      <c r="H28" s="494">
        <f>SUM(H26:H27)</f>
        <v>0</v>
      </c>
    </row>
  </sheetData>
  <sheetProtection algorithmName="SHA-512" hashValue="f5ScniBuHH4YhYge1TQQd5yGk/RLQmhDAsqSPgwHgXFlah9dKcfUSXtI/XbZrkNtu+BggacdO/Sli7n1a/51bQ==" saltValue="LtUJAalEINxDXms45Mprvg==" spinCount="100000" sheet="1" objects="1" scenarios="1" selectLockedCells="1"/>
  <mergeCells count="8">
    <mergeCell ref="A7:H7"/>
    <mergeCell ref="A9:F9"/>
    <mergeCell ref="A1:B1"/>
    <mergeCell ref="G1:H1"/>
    <mergeCell ref="C2:H2"/>
    <mergeCell ref="B3:F3"/>
    <mergeCell ref="C4:D4"/>
    <mergeCell ref="C5:D5"/>
  </mergeCells>
  <conditionalFormatting sqref="G10:H28">
    <cfRule type="cellIs" dxfId="124" priority="1" operator="equal">
      <formula>0</formula>
    </cfRule>
  </conditionalFormatting>
  <dataValidations count="2">
    <dataValidation type="whole" allowBlank="1" showInputMessage="1" showErrorMessage="1" errorTitle="Attention!" error="Valeur numérique attendue" sqref="G10:H24 G26:H28" xr:uid="{80DD769F-DEAA-4607-86D2-6C01CE883DF3}">
      <formula1>-9999999999999</formula1>
      <formula2>9999999999999</formula2>
    </dataValidation>
    <dataValidation allowBlank="1" showInputMessage="1" showErrorMessage="1" errorTitle="Attention!" error="Valeur numérique attendue" sqref="G25:H25" xr:uid="{D41FD707-1219-4001-8B8E-C0EA3F209DB0}"/>
  </dataValidations>
  <printOptions horizontalCentered="1"/>
  <pageMargins left="0.39370078740157483" right="0.39370078740157483" top="0.35433070866141736" bottom="0.35433070866141736" header="0.31496062992125984" footer="0.31496062992125984"/>
  <pageSetup paperSize="9" scale="88"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2B654-B81F-41E5-8119-F4A33ECE6DEB}">
  <sheetPr codeName="Feuil71">
    <tabColor rgb="FFC00000"/>
    <pageSetUpPr fitToPage="1"/>
  </sheetPr>
  <dimension ref="A1:H12"/>
  <sheetViews>
    <sheetView showGridLines="0" showRowColHeaders="0" zoomScaleNormal="100" workbookViewId="0">
      <selection activeCell="G10" sqref="G10"/>
    </sheetView>
  </sheetViews>
  <sheetFormatPr baseColWidth="10" defaultColWidth="11.5234375" defaultRowHeight="14.4"/>
  <cols>
    <col min="1" max="1" width="9.68359375" style="103" customWidth="1"/>
    <col min="2" max="2" width="19" style="103" customWidth="1"/>
    <col min="3" max="4" width="11.5234375" style="103"/>
    <col min="5" max="5" width="16.68359375" style="103" customWidth="1"/>
    <col min="6" max="6" width="12.1015625" style="103" customWidth="1"/>
    <col min="7" max="8" width="16.41796875" style="103" customWidth="1"/>
    <col min="9" max="16384" width="11.5234375" style="103"/>
  </cols>
  <sheetData>
    <row r="1" spans="1:8" s="119" customFormat="1" ht="18.75" customHeight="1">
      <c r="A1" s="1278" t="s">
        <v>17</v>
      </c>
      <c r="B1" s="1279"/>
      <c r="C1" s="576"/>
      <c r="D1" s="576"/>
      <c r="E1" s="572" t="str">
        <f>"- "&amp;Code!K70&amp;" -"</f>
        <v>- 44 -</v>
      </c>
      <c r="G1" s="1278" t="s">
        <v>2843</v>
      </c>
      <c r="H1" s="1279"/>
    </row>
    <row r="2" spans="1:8" s="119" customFormat="1" ht="15" customHeight="1">
      <c r="A2" s="317" t="s">
        <v>50</v>
      </c>
      <c r="B2" s="625"/>
      <c r="C2" s="1280" t="str">
        <f>'NOTES DGI - INS'!C3</f>
        <v>OHADA</v>
      </c>
      <c r="D2" s="1280"/>
      <c r="E2" s="1280"/>
      <c r="F2" s="1280"/>
      <c r="G2" s="1280"/>
      <c r="H2" s="1280"/>
    </row>
    <row r="3" spans="1:8" s="119" customFormat="1" ht="15" customHeight="1">
      <c r="A3" s="317" t="s">
        <v>51</v>
      </c>
      <c r="B3" s="1280" t="str">
        <f>'NOTES DGI - INS'!B4</f>
        <v/>
      </c>
      <c r="C3" s="1280"/>
      <c r="D3" s="1280"/>
      <c r="E3" s="1280"/>
      <c r="F3" s="1280"/>
      <c r="G3" s="627" t="s">
        <v>1021</v>
      </c>
      <c r="H3" s="628" t="str">
        <f>'NOTES DGI - INS'!I4</f>
        <v/>
      </c>
    </row>
    <row r="4" spans="1:8" s="119" customFormat="1" ht="15" customHeight="1">
      <c r="A4" s="317" t="s">
        <v>53</v>
      </c>
      <c r="B4" s="317"/>
      <c r="C4" s="1281" t="str">
        <f>'NOTES DGI - INS'!C5</f>
        <v/>
      </c>
      <c r="D4" s="1281"/>
      <c r="E4" s="627" t="s">
        <v>54</v>
      </c>
      <c r="F4" s="633">
        <f>'NOTES DGI - INS'!F5</f>
        <v>0</v>
      </c>
      <c r="G4" s="627" t="s">
        <v>55</v>
      </c>
      <c r="H4" s="628">
        <f>'NOTES DGI - INS'!I5</f>
        <v>1</v>
      </c>
    </row>
    <row r="5" spans="1:8" s="119" customFormat="1" ht="15" customHeight="1">
      <c r="A5" s="317" t="s">
        <v>1533</v>
      </c>
      <c r="B5" s="317"/>
      <c r="C5" s="1275" t="str">
        <f>'NOTES DGI - INS'!C6</f>
        <v/>
      </c>
      <c r="D5" s="1275"/>
      <c r="E5" s="648"/>
      <c r="F5" s="648"/>
      <c r="G5" s="648"/>
      <c r="H5" s="648"/>
    </row>
    <row r="6" spans="1:8" s="119" customFormat="1" ht="6" customHeight="1">
      <c r="A6" s="317"/>
      <c r="B6" s="317"/>
      <c r="C6" s="675"/>
      <c r="D6" s="675"/>
      <c r="E6" s="627"/>
      <c r="F6" s="676"/>
      <c r="G6" s="627"/>
      <c r="H6" s="675"/>
    </row>
    <row r="7" spans="1:8">
      <c r="A7" s="2182" t="s">
        <v>2844</v>
      </c>
      <c r="B7" s="2183"/>
      <c r="C7" s="2183"/>
      <c r="D7" s="2183"/>
      <c r="E7" s="2183"/>
      <c r="F7" s="2183"/>
      <c r="G7" s="2183"/>
      <c r="H7" s="2184"/>
    </row>
    <row r="8" spans="1:8" ht="6" customHeight="1">
      <c r="A8" s="677"/>
      <c r="B8" s="121"/>
      <c r="C8" s="121"/>
      <c r="D8" s="121"/>
      <c r="E8" s="121"/>
      <c r="F8" s="121"/>
      <c r="G8" s="121"/>
      <c r="H8" s="678"/>
    </row>
    <row r="9" spans="1:8" ht="36.75" customHeight="1">
      <c r="A9" s="2188" t="s">
        <v>2845</v>
      </c>
      <c r="B9" s="2189"/>
      <c r="C9" s="2189"/>
      <c r="D9" s="2189"/>
      <c r="E9" s="2189"/>
      <c r="F9" s="2190"/>
      <c r="G9" s="679" t="s">
        <v>2623</v>
      </c>
      <c r="H9" s="679" t="s">
        <v>2624</v>
      </c>
    </row>
    <row r="10" spans="1:8" s="593" customFormat="1" ht="17.25" customHeight="1">
      <c r="A10" s="680"/>
      <c r="B10" s="681" t="s">
        <v>2846</v>
      </c>
      <c r="C10" s="682"/>
      <c r="D10" s="682"/>
      <c r="E10" s="682"/>
      <c r="F10" s="683"/>
      <c r="G10" s="495"/>
      <c r="H10" s="496"/>
    </row>
    <row r="11" spans="1:8" s="593" customFormat="1" ht="17.25" customHeight="1">
      <c r="A11" s="684"/>
      <c r="B11" s="685" t="s">
        <v>2847</v>
      </c>
      <c r="C11" s="686"/>
      <c r="D11" s="686"/>
      <c r="E11" s="686"/>
      <c r="F11" s="687"/>
      <c r="G11" s="497"/>
      <c r="H11" s="498"/>
    </row>
    <row r="12" spans="1:8" s="593" customFormat="1" ht="17.25" customHeight="1">
      <c r="A12" s="688"/>
      <c r="B12" s="689"/>
      <c r="C12" s="690" t="s">
        <v>2848</v>
      </c>
      <c r="D12" s="690"/>
      <c r="E12" s="690"/>
      <c r="F12" s="691"/>
      <c r="G12" s="499">
        <f>SUM(G10:G11)</f>
        <v>0</v>
      </c>
      <c r="H12" s="499">
        <f>SUM(H10:H11)</f>
        <v>0</v>
      </c>
    </row>
  </sheetData>
  <sheetProtection algorithmName="SHA-512" hashValue="LAc66oVEzcRuazcZSbgm5+DI7rK9bojnYeW4gEfkpNFfGBhDqgG1MR+3T1Iy5lUtN3Dt139TimnfXDclGFI+JQ==" saltValue="BzXKvDZdFEC9hoBHQpWCcA==" spinCount="100000" sheet="1" objects="1" scenarios="1" selectLockedCells="1"/>
  <mergeCells count="8">
    <mergeCell ref="A7:H7"/>
    <mergeCell ref="A9:F9"/>
    <mergeCell ref="A1:B1"/>
    <mergeCell ref="G1:H1"/>
    <mergeCell ref="C2:H2"/>
    <mergeCell ref="B3:F3"/>
    <mergeCell ref="C4:D4"/>
    <mergeCell ref="C5:D5"/>
  </mergeCells>
  <conditionalFormatting sqref="G12:H12">
    <cfRule type="cellIs" dxfId="123" priority="1" operator="equal">
      <formula>0</formula>
    </cfRule>
  </conditionalFormatting>
  <dataValidations count="1">
    <dataValidation type="whole" allowBlank="1" showInputMessage="1" showErrorMessage="1" errorTitle="Attention!" error="Valeur numérique attendue" sqref="G10:H11" xr:uid="{D56D316E-67FD-4921-BE1B-23D08E742507}">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orientation="landscape"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06C2-13A5-429D-91EE-5DC33BA7FC75}">
  <sheetPr codeName="Feuil72">
    <tabColor rgb="FFC00000"/>
    <pageSetUpPr fitToPage="1"/>
  </sheetPr>
  <dimension ref="A1:N76"/>
  <sheetViews>
    <sheetView showGridLines="0" showRowColHeaders="0" topLeftCell="A16" zoomScaleNormal="100" workbookViewId="0">
      <selection activeCell="A47" sqref="A47"/>
    </sheetView>
  </sheetViews>
  <sheetFormatPr baseColWidth="10" defaultColWidth="11.5234375" defaultRowHeight="14.4"/>
  <cols>
    <col min="1" max="1" width="34.41796875" style="103" customWidth="1"/>
    <col min="2" max="3" width="6.41796875" style="103" customWidth="1"/>
    <col min="4" max="4" width="11" style="103" customWidth="1"/>
    <col min="5" max="5" width="4.1015625" style="103" customWidth="1"/>
    <col min="6" max="6" width="11" style="103" customWidth="1"/>
    <col min="7" max="7" width="4.1015625" style="103" customWidth="1"/>
    <col min="8" max="8" width="0.41796875" style="103" customWidth="1"/>
    <col min="9" max="9" width="36.3125" style="103" customWidth="1"/>
    <col min="10" max="10" width="8.41796875" style="103" customWidth="1"/>
    <col min="11" max="11" width="9.89453125" style="103" customWidth="1"/>
    <col min="12" max="12" width="15.68359375" style="103" customWidth="1"/>
    <col min="13" max="13" width="9.89453125" style="103" customWidth="1"/>
    <col min="14" max="14" width="15.68359375" style="103" customWidth="1"/>
    <col min="15" max="16384" width="11.5234375" style="103"/>
  </cols>
  <sheetData>
    <row r="1" spans="1:14">
      <c r="A1" s="1276" t="str">
        <f>"- "&amp;Code!K71&amp;" -"</f>
        <v>- 44 -</v>
      </c>
      <c r="B1" s="1276"/>
      <c r="C1" s="1276"/>
      <c r="D1" s="1276"/>
      <c r="E1" s="1276"/>
      <c r="F1" s="1276"/>
      <c r="G1" s="1276"/>
      <c r="H1" s="1276"/>
      <c r="I1" s="1276"/>
      <c r="J1" s="1276"/>
      <c r="K1" s="1277"/>
      <c r="L1" s="1277"/>
      <c r="M1" s="1277"/>
      <c r="N1" s="1277"/>
    </row>
    <row r="2" spans="1:14" ht="18" customHeight="1">
      <c r="A2" s="650"/>
      <c r="B2" s="303"/>
      <c r="C2" s="576"/>
      <c r="D2" s="576"/>
      <c r="E2" s="576"/>
      <c r="F2" s="576"/>
      <c r="G2" s="576"/>
      <c r="H2" s="576"/>
      <c r="L2" s="1278" t="s">
        <v>2849</v>
      </c>
      <c r="M2" s="1723"/>
      <c r="N2" s="1279"/>
    </row>
    <row r="3" spans="1:14" s="626" customFormat="1" ht="21.9" customHeight="1">
      <c r="A3" s="317" t="s">
        <v>50</v>
      </c>
      <c r="B3" s="1280" t="str">
        <f>'NOTES DGI - INS'!C3</f>
        <v>OHADA</v>
      </c>
      <c r="C3" s="1280"/>
      <c r="D3" s="1280"/>
      <c r="E3" s="1280"/>
      <c r="F3" s="1280"/>
      <c r="G3" s="1280"/>
      <c r="H3" s="1280"/>
      <c r="I3" s="1280"/>
      <c r="J3" s="1280"/>
      <c r="K3" s="1280"/>
      <c r="L3" s="1280"/>
      <c r="M3" s="1280"/>
      <c r="N3" s="1280"/>
    </row>
    <row r="4" spans="1:14" s="626" customFormat="1" ht="15" customHeight="1">
      <c r="A4" s="317" t="s">
        <v>51</v>
      </c>
      <c r="B4" s="1280" t="str">
        <f>'NOTES DGI - INS'!B4</f>
        <v/>
      </c>
      <c r="C4" s="1280"/>
      <c r="D4" s="1280"/>
      <c r="E4" s="1280"/>
      <c r="F4" s="1280"/>
      <c r="G4" s="1280"/>
      <c r="H4" s="1280"/>
      <c r="I4" s="1280"/>
      <c r="J4" s="1280"/>
      <c r="K4" s="1280"/>
      <c r="L4" s="627" t="s">
        <v>1021</v>
      </c>
      <c r="M4" s="1489" t="str">
        <f>'NOTES DGI - INS'!I4</f>
        <v/>
      </c>
      <c r="N4" s="1489"/>
    </row>
    <row r="5" spans="1:14" s="626" customFormat="1" ht="15" customHeight="1">
      <c r="A5" s="317" t="s">
        <v>53</v>
      </c>
      <c r="B5" s="1281" t="str">
        <f>'NOTES DGI - INS'!C5</f>
        <v/>
      </c>
      <c r="C5" s="1281"/>
      <c r="D5" s="1281"/>
      <c r="E5" s="1281"/>
      <c r="F5" s="1281"/>
      <c r="G5" s="1281"/>
      <c r="H5" s="651"/>
      <c r="I5" s="646" t="s">
        <v>54</v>
      </c>
      <c r="J5" s="1648">
        <f>'NOTES DGI - INS'!F5</f>
        <v>0</v>
      </c>
      <c r="K5" s="1648"/>
      <c r="M5" s="627" t="s">
        <v>55</v>
      </c>
      <c r="N5" s="628">
        <f>'NOTES DGI - INS'!I5</f>
        <v>1</v>
      </c>
    </row>
    <row r="6" spans="1:14" s="626" customFormat="1" ht="15" customHeight="1">
      <c r="A6" s="317" t="s">
        <v>1533</v>
      </c>
      <c r="B6" s="1683" t="str">
        <f>'NOTES DGI - INS'!C6</f>
        <v/>
      </c>
      <c r="C6" s="1683"/>
      <c r="D6" s="1683"/>
      <c r="E6" s="1683"/>
      <c r="F6" s="1683"/>
      <c r="G6" s="1683"/>
      <c r="H6" s="1683"/>
      <c r="I6" s="1683"/>
      <c r="J6" s="1683"/>
      <c r="K6" s="1683"/>
      <c r="L6" s="1683"/>
      <c r="M6" s="1683"/>
      <c r="N6" s="1683"/>
    </row>
    <row r="7" spans="1:14" ht="30" customHeight="1">
      <c r="A7" s="1273" t="s">
        <v>2850</v>
      </c>
      <c r="B7" s="1273"/>
      <c r="C7" s="1273"/>
      <c r="D7" s="1273"/>
      <c r="E7" s="1273"/>
      <c r="F7" s="1273"/>
      <c r="G7" s="1273"/>
      <c r="H7" s="1273"/>
      <c r="I7" s="1273"/>
      <c r="J7" s="1273"/>
      <c r="K7" s="1273"/>
      <c r="L7" s="1273"/>
      <c r="M7" s="1273"/>
      <c r="N7" s="1273"/>
    </row>
    <row r="8" spans="1:14" s="653" customFormat="1" ht="13.5" customHeight="1">
      <c r="A8" s="2243" t="s">
        <v>2851</v>
      </c>
      <c r="B8" s="2244"/>
      <c r="C8" s="2244"/>
      <c r="D8" s="2244"/>
      <c r="E8" s="2244"/>
      <c r="F8" s="2244"/>
      <c r="G8" s="2245"/>
      <c r="H8" s="652"/>
      <c r="I8" s="2243" t="s">
        <v>2852</v>
      </c>
      <c r="J8" s="2246"/>
      <c r="K8" s="2246"/>
      <c r="L8" s="2246"/>
      <c r="M8" s="2246"/>
      <c r="N8" s="2247"/>
    </row>
    <row r="9" spans="1:14" s="653" customFormat="1" ht="15" customHeight="1">
      <c r="A9" s="1993" t="s">
        <v>2853</v>
      </c>
      <c r="B9" s="1993"/>
      <c r="C9" s="1993"/>
      <c r="D9" s="1993" t="s">
        <v>2854</v>
      </c>
      <c r="E9" s="1993"/>
      <c r="F9" s="1993" t="s">
        <v>2855</v>
      </c>
      <c r="G9" s="1993"/>
      <c r="H9" s="652"/>
      <c r="I9" s="1645" t="s">
        <v>2410</v>
      </c>
      <c r="J9" s="1645" t="s">
        <v>2856</v>
      </c>
      <c r="K9" s="1645" t="s">
        <v>2857</v>
      </c>
      <c r="L9" s="1645"/>
      <c r="M9" s="1645" t="s">
        <v>2858</v>
      </c>
      <c r="N9" s="1645"/>
    </row>
    <row r="10" spans="1:14" s="653" customFormat="1" ht="10.5">
      <c r="A10" s="2248"/>
      <c r="B10" s="2248"/>
      <c r="C10" s="2248"/>
      <c r="D10" s="2248"/>
      <c r="E10" s="2248"/>
      <c r="F10" s="2248"/>
      <c r="G10" s="2248"/>
      <c r="H10" s="652"/>
      <c r="I10" s="1645"/>
      <c r="J10" s="1645"/>
      <c r="K10" s="1645"/>
      <c r="L10" s="1645"/>
      <c r="M10" s="1645"/>
      <c r="N10" s="1645"/>
    </row>
    <row r="11" spans="1:14" s="653" customFormat="1" ht="15.75" customHeight="1">
      <c r="A11" s="2248"/>
      <c r="B11" s="2248"/>
      <c r="C11" s="2248"/>
      <c r="D11" s="2248"/>
      <c r="E11" s="2248"/>
      <c r="F11" s="2248"/>
      <c r="G11" s="2248"/>
      <c r="H11" s="652"/>
      <c r="I11" s="1645"/>
      <c r="J11" s="1645"/>
      <c r="K11" s="1645"/>
      <c r="L11" s="1645"/>
      <c r="M11" s="1645"/>
      <c r="N11" s="1645"/>
    </row>
    <row r="12" spans="1:14" ht="13.5" customHeight="1">
      <c r="A12" s="1992"/>
      <c r="B12" s="1992"/>
      <c r="C12" s="1992"/>
      <c r="D12" s="1992"/>
      <c r="E12" s="1992"/>
      <c r="F12" s="1992"/>
      <c r="G12" s="1992"/>
      <c r="H12" s="652"/>
      <c r="I12" s="1645"/>
      <c r="J12" s="1645"/>
      <c r="K12" s="649" t="s">
        <v>2418</v>
      </c>
      <c r="L12" s="649" t="s">
        <v>2419</v>
      </c>
      <c r="M12" s="649" t="s">
        <v>2418</v>
      </c>
      <c r="N12" s="649" t="s">
        <v>2419</v>
      </c>
    </row>
    <row r="13" spans="1:14" ht="12.9" customHeight="1">
      <c r="A13" s="654"/>
      <c r="B13" s="655"/>
      <c r="C13" s="655"/>
      <c r="D13" s="2233"/>
      <c r="E13" s="2234"/>
      <c r="F13" s="2233"/>
      <c r="G13" s="2234"/>
      <c r="H13" s="652"/>
      <c r="I13" s="500"/>
      <c r="J13" s="501"/>
      <c r="K13" s="588"/>
      <c r="L13" s="588"/>
      <c r="M13" s="588"/>
      <c r="N13" s="588"/>
    </row>
    <row r="14" spans="1:14" ht="12.9" customHeight="1">
      <c r="A14" s="2231" t="s">
        <v>2859</v>
      </c>
      <c r="B14" s="2232"/>
      <c r="C14" s="2232"/>
      <c r="D14" s="2233"/>
      <c r="E14" s="2234"/>
      <c r="F14" s="2233"/>
      <c r="G14" s="2234"/>
      <c r="H14" s="652"/>
      <c r="I14" s="500"/>
      <c r="J14" s="501"/>
      <c r="K14" s="588"/>
      <c r="L14" s="588"/>
      <c r="M14" s="588"/>
      <c r="N14" s="588"/>
    </row>
    <row r="15" spans="1:14" ht="12.9" customHeight="1">
      <c r="A15" s="2191"/>
      <c r="B15" s="2192"/>
      <c r="C15" s="656"/>
      <c r="D15" s="2191"/>
      <c r="E15" s="2238"/>
      <c r="F15" s="2191"/>
      <c r="G15" s="2238"/>
      <c r="H15" s="652"/>
      <c r="I15" s="500"/>
      <c r="J15" s="501"/>
      <c r="K15" s="588"/>
      <c r="L15" s="588"/>
      <c r="M15" s="588"/>
      <c r="N15" s="588"/>
    </row>
    <row r="16" spans="1:14" ht="12.9" customHeight="1">
      <c r="A16" s="657"/>
      <c r="B16" s="658"/>
      <c r="C16" s="659"/>
      <c r="D16" s="2239"/>
      <c r="E16" s="2240"/>
      <c r="F16" s="2239"/>
      <c r="G16" s="2240"/>
      <c r="H16" s="652"/>
      <c r="I16" s="500"/>
      <c r="J16" s="501"/>
      <c r="K16" s="588"/>
      <c r="L16" s="588"/>
      <c r="M16" s="588"/>
      <c r="N16" s="588"/>
    </row>
    <row r="17" spans="1:14" ht="12.9" customHeight="1">
      <c r="A17" s="2066" t="s">
        <v>2860</v>
      </c>
      <c r="B17" s="2067"/>
      <c r="C17" s="2067"/>
      <c r="D17" s="2241"/>
      <c r="E17" s="2242"/>
      <c r="F17" s="2241"/>
      <c r="G17" s="2242"/>
      <c r="H17" s="652"/>
      <c r="I17" s="500"/>
      <c r="J17" s="501"/>
      <c r="K17" s="588"/>
      <c r="L17" s="588"/>
      <c r="M17" s="588"/>
      <c r="N17" s="588"/>
    </row>
    <row r="18" spans="1:14" ht="12.9" customHeight="1">
      <c r="A18" s="660" t="s">
        <v>2861</v>
      </c>
      <c r="B18" s="661"/>
      <c r="C18" s="661"/>
      <c r="D18" s="2235"/>
      <c r="E18" s="2235"/>
      <c r="F18" s="2235"/>
      <c r="G18" s="2235"/>
      <c r="H18" s="652"/>
      <c r="I18" s="500"/>
      <c r="J18" s="501"/>
      <c r="K18" s="588"/>
      <c r="L18" s="588"/>
      <c r="M18" s="588"/>
      <c r="N18" s="588"/>
    </row>
    <row r="19" spans="1:14" ht="12.9" customHeight="1">
      <c r="A19" s="2236" t="s">
        <v>2862</v>
      </c>
      <c r="B19" s="2237"/>
      <c r="C19" s="2237"/>
      <c r="D19" s="2193"/>
      <c r="E19" s="2193"/>
      <c r="F19" s="2193"/>
      <c r="G19" s="2193"/>
      <c r="H19" s="652"/>
      <c r="I19" s="500"/>
      <c r="J19" s="501"/>
      <c r="K19" s="588"/>
      <c r="L19" s="588"/>
      <c r="M19" s="588"/>
      <c r="N19" s="588"/>
    </row>
    <row r="20" spans="1:14" ht="12.9" customHeight="1">
      <c r="A20" s="662"/>
      <c r="B20" s="663"/>
      <c r="C20" s="664"/>
      <c r="D20" s="2233"/>
      <c r="E20" s="2234"/>
      <c r="F20" s="2233"/>
      <c r="G20" s="2234"/>
      <c r="H20" s="652"/>
      <c r="I20" s="500"/>
      <c r="J20" s="501"/>
      <c r="K20" s="588"/>
      <c r="L20" s="588"/>
      <c r="M20" s="588"/>
      <c r="N20" s="588"/>
    </row>
    <row r="21" spans="1:14" ht="12.9" customHeight="1">
      <c r="A21" s="2231" t="s">
        <v>2863</v>
      </c>
      <c r="B21" s="2232"/>
      <c r="C21" s="2232"/>
      <c r="D21" s="2233"/>
      <c r="E21" s="2234"/>
      <c r="F21" s="2233"/>
      <c r="G21" s="2234"/>
      <c r="H21" s="652"/>
      <c r="I21" s="500"/>
      <c r="J21" s="501"/>
      <c r="K21" s="588"/>
      <c r="L21" s="588"/>
      <c r="M21" s="588"/>
      <c r="N21" s="588"/>
    </row>
    <row r="22" spans="1:14" ht="12.9" customHeight="1">
      <c r="A22" s="2191"/>
      <c r="B22" s="2192"/>
      <c r="C22" s="665"/>
      <c r="D22" s="2233"/>
      <c r="E22" s="2234"/>
      <c r="F22" s="2233"/>
      <c r="G22" s="2234"/>
      <c r="H22" s="652"/>
      <c r="I22" s="500"/>
      <c r="J22" s="501"/>
      <c r="K22" s="588"/>
      <c r="L22" s="588"/>
      <c r="M22" s="588"/>
      <c r="N22" s="588"/>
    </row>
    <row r="23" spans="1:14" ht="12.9" customHeight="1">
      <c r="A23" s="2223"/>
      <c r="B23" s="2224"/>
      <c r="C23" s="2224"/>
      <c r="D23" s="2193"/>
      <c r="E23" s="2193"/>
      <c r="F23" s="2193"/>
      <c r="G23" s="2193"/>
      <c r="H23" s="652"/>
      <c r="I23" s="500"/>
      <c r="J23" s="501"/>
      <c r="K23" s="588"/>
      <c r="L23" s="588"/>
      <c r="M23" s="588"/>
      <c r="N23" s="588"/>
    </row>
    <row r="24" spans="1:14" ht="12.9" customHeight="1">
      <c r="A24" s="591"/>
      <c r="B24" s="592"/>
      <c r="C24" s="592"/>
      <c r="D24" s="2193"/>
      <c r="E24" s="2193"/>
      <c r="F24" s="2193"/>
      <c r="G24" s="2193"/>
      <c r="H24" s="652"/>
      <c r="I24" s="500"/>
      <c r="J24" s="501"/>
      <c r="K24" s="588"/>
      <c r="L24" s="588"/>
      <c r="M24" s="588"/>
      <c r="N24" s="588"/>
    </row>
    <row r="25" spans="1:14" ht="12.9" customHeight="1">
      <c r="A25" s="591"/>
      <c r="B25" s="592"/>
      <c r="C25" s="592"/>
      <c r="D25" s="2193"/>
      <c r="E25" s="2193"/>
      <c r="F25" s="2193"/>
      <c r="G25" s="2193"/>
      <c r="H25" s="652"/>
      <c r="I25" s="500"/>
      <c r="J25" s="501"/>
      <c r="K25" s="588"/>
      <c r="L25" s="588"/>
      <c r="M25" s="588"/>
      <c r="N25" s="588"/>
    </row>
    <row r="26" spans="1:14" ht="12.9" customHeight="1">
      <c r="A26" s="591"/>
      <c r="B26" s="592"/>
      <c r="C26" s="592"/>
      <c r="D26" s="2193"/>
      <c r="E26" s="2193"/>
      <c r="F26" s="2193"/>
      <c r="G26" s="2193"/>
      <c r="H26" s="652"/>
      <c r="I26" s="500"/>
      <c r="J26" s="501"/>
      <c r="K26" s="588"/>
      <c r="L26" s="588"/>
      <c r="M26" s="588"/>
      <c r="N26" s="588"/>
    </row>
    <row r="27" spans="1:14" ht="12.9" customHeight="1">
      <c r="A27" s="591"/>
      <c r="B27" s="592"/>
      <c r="C27" s="592"/>
      <c r="D27" s="2193"/>
      <c r="E27" s="2193"/>
      <c r="F27" s="2193"/>
      <c r="G27" s="2193"/>
      <c r="H27" s="652"/>
      <c r="I27" s="500"/>
      <c r="J27" s="501"/>
      <c r="K27" s="588"/>
      <c r="L27" s="588"/>
      <c r="M27" s="588"/>
      <c r="N27" s="588"/>
    </row>
    <row r="28" spans="1:14" ht="12.9" customHeight="1">
      <c r="A28" s="591"/>
      <c r="B28" s="592"/>
      <c r="C28" s="592"/>
      <c r="D28" s="2193"/>
      <c r="E28" s="2193"/>
      <c r="F28" s="2193"/>
      <c r="G28" s="2193"/>
      <c r="H28" s="652"/>
      <c r="I28" s="500"/>
      <c r="J28" s="501"/>
      <c r="K28" s="588"/>
      <c r="L28" s="588"/>
      <c r="M28" s="588"/>
      <c r="N28" s="588"/>
    </row>
    <row r="29" spans="1:14" ht="12.9" customHeight="1">
      <c r="A29" s="591"/>
      <c r="B29" s="592"/>
      <c r="C29" s="592"/>
      <c r="D29" s="2193"/>
      <c r="E29" s="2193"/>
      <c r="F29" s="2193"/>
      <c r="G29" s="2193"/>
      <c r="H29" s="652"/>
      <c r="I29" s="500"/>
      <c r="J29" s="501"/>
      <c r="K29" s="588"/>
      <c r="L29" s="588"/>
      <c r="M29" s="588"/>
      <c r="N29" s="588"/>
    </row>
    <row r="30" spans="1:14" ht="12.9" customHeight="1">
      <c r="A30" s="591"/>
      <c r="B30" s="592"/>
      <c r="C30" s="592"/>
      <c r="D30" s="2193"/>
      <c r="E30" s="2193"/>
      <c r="F30" s="2193"/>
      <c r="G30" s="2193"/>
      <c r="H30" s="652"/>
      <c r="I30" s="500"/>
      <c r="J30" s="501"/>
      <c r="K30" s="588"/>
      <c r="L30" s="588"/>
      <c r="M30" s="588"/>
      <c r="N30" s="588"/>
    </row>
    <row r="31" spans="1:14" ht="12.9" customHeight="1">
      <c r="A31" s="591"/>
      <c r="B31" s="592"/>
      <c r="C31" s="592"/>
      <c r="D31" s="2193"/>
      <c r="E31" s="2193"/>
      <c r="F31" s="2193"/>
      <c r="G31" s="2193"/>
      <c r="H31" s="652"/>
      <c r="I31" s="500"/>
      <c r="J31" s="501"/>
      <c r="K31" s="588"/>
      <c r="L31" s="588"/>
      <c r="M31" s="588"/>
      <c r="N31" s="588"/>
    </row>
    <row r="32" spans="1:14" ht="12.9" customHeight="1">
      <c r="A32" s="591"/>
      <c r="B32" s="592"/>
      <c r="C32" s="592"/>
      <c r="D32" s="2193"/>
      <c r="E32" s="2193"/>
      <c r="F32" s="2193"/>
      <c r="G32" s="2193"/>
      <c r="H32" s="652"/>
      <c r="I32" s="500"/>
      <c r="J32" s="501"/>
      <c r="K32" s="588"/>
      <c r="L32" s="588"/>
      <c r="M32" s="588"/>
      <c r="N32" s="588"/>
    </row>
    <row r="33" spans="1:14" ht="12.9" customHeight="1">
      <c r="A33" s="591"/>
      <c r="B33" s="592"/>
      <c r="C33" s="592"/>
      <c r="D33" s="2193"/>
      <c r="E33" s="2193"/>
      <c r="F33" s="2193"/>
      <c r="G33" s="2193"/>
      <c r="H33" s="652"/>
      <c r="I33" s="500"/>
      <c r="J33" s="501"/>
      <c r="K33" s="588"/>
      <c r="L33" s="588"/>
      <c r="M33" s="588"/>
      <c r="N33" s="588"/>
    </row>
    <row r="34" spans="1:14" ht="12.9" customHeight="1">
      <c r="A34" s="591"/>
      <c r="B34" s="592"/>
      <c r="C34" s="592"/>
      <c r="D34" s="2193"/>
      <c r="E34" s="2193"/>
      <c r="F34" s="2193"/>
      <c r="G34" s="2193"/>
      <c r="H34" s="652"/>
      <c r="I34" s="500"/>
      <c r="J34" s="501"/>
      <c r="K34" s="588"/>
      <c r="L34" s="588"/>
      <c r="M34" s="588"/>
      <c r="N34" s="588"/>
    </row>
    <row r="35" spans="1:14" ht="12.9" customHeight="1">
      <c r="A35" s="591"/>
      <c r="B35" s="592"/>
      <c r="C35" s="592"/>
      <c r="D35" s="2193"/>
      <c r="E35" s="2193"/>
      <c r="F35" s="2193"/>
      <c r="G35" s="2193"/>
      <c r="H35" s="652"/>
      <c r="I35" s="500"/>
      <c r="J35" s="501"/>
      <c r="K35" s="588"/>
      <c r="L35" s="588"/>
      <c r="M35" s="588"/>
      <c r="N35" s="588"/>
    </row>
    <row r="36" spans="1:14" ht="12.9" customHeight="1">
      <c r="A36" s="591"/>
      <c r="B36" s="592"/>
      <c r="C36" s="592"/>
      <c r="D36" s="2193"/>
      <c r="E36" s="2193"/>
      <c r="F36" s="2193"/>
      <c r="G36" s="2193"/>
      <c r="H36" s="652"/>
      <c r="I36" s="500"/>
      <c r="J36" s="501"/>
      <c r="K36" s="588"/>
      <c r="L36" s="588"/>
      <c r="M36" s="588"/>
      <c r="N36" s="588"/>
    </row>
    <row r="37" spans="1:14" ht="12.9" customHeight="1">
      <c r="A37" s="591"/>
      <c r="B37" s="592"/>
      <c r="C37" s="592"/>
      <c r="D37" s="2193"/>
      <c r="E37" s="2193"/>
      <c r="F37" s="2193"/>
      <c r="G37" s="2193"/>
      <c r="H37" s="652"/>
      <c r="I37" s="500"/>
      <c r="J37" s="501"/>
      <c r="K37" s="588"/>
      <c r="L37" s="588"/>
      <c r="M37" s="588"/>
      <c r="N37" s="588"/>
    </row>
    <row r="38" spans="1:14" ht="12.9" customHeight="1">
      <c r="A38" s="591"/>
      <c r="B38" s="592"/>
      <c r="C38" s="592"/>
      <c r="D38" s="2193"/>
      <c r="E38" s="2193"/>
      <c r="F38" s="2193"/>
      <c r="G38" s="2193"/>
      <c r="H38" s="652"/>
      <c r="I38" s="500"/>
      <c r="J38" s="501"/>
      <c r="K38" s="588"/>
      <c r="L38" s="588"/>
      <c r="M38" s="588"/>
      <c r="N38" s="588"/>
    </row>
    <row r="39" spans="1:14" ht="12.9" customHeight="1">
      <c r="A39" s="591"/>
      <c r="B39" s="592"/>
      <c r="C39" s="592"/>
      <c r="D39" s="2193"/>
      <c r="E39" s="2193"/>
      <c r="F39" s="2193"/>
      <c r="G39" s="2193"/>
      <c r="H39" s="652"/>
      <c r="I39" s="500"/>
      <c r="J39" s="501"/>
      <c r="K39" s="588"/>
      <c r="L39" s="588"/>
      <c r="M39" s="588"/>
      <c r="N39" s="588"/>
    </row>
    <row r="40" spans="1:14" ht="12.9" customHeight="1">
      <c r="A40" s="591"/>
      <c r="B40" s="592"/>
      <c r="C40" s="592"/>
      <c r="D40" s="2193"/>
      <c r="E40" s="2193"/>
      <c r="F40" s="2193"/>
      <c r="G40" s="2193"/>
      <c r="H40" s="652"/>
      <c r="I40" s="500"/>
      <c r="J40" s="501"/>
      <c r="K40" s="588"/>
      <c r="L40" s="588"/>
      <c r="M40" s="588"/>
      <c r="N40" s="588"/>
    </row>
    <row r="41" spans="1:14" ht="12.9" customHeight="1">
      <c r="A41" s="591"/>
      <c r="B41" s="592"/>
      <c r="C41" s="592"/>
      <c r="D41" s="2193"/>
      <c r="E41" s="2193"/>
      <c r="F41" s="2193"/>
      <c r="G41" s="2193"/>
      <c r="H41" s="652"/>
      <c r="I41" s="500"/>
      <c r="J41" s="501"/>
      <c r="K41" s="588"/>
      <c r="L41" s="588"/>
      <c r="M41" s="588"/>
      <c r="N41" s="588"/>
    </row>
    <row r="42" spans="1:14" ht="12.9" customHeight="1">
      <c r="A42" s="591"/>
      <c r="B42" s="592"/>
      <c r="C42" s="592"/>
      <c r="D42" s="2193"/>
      <c r="E42" s="2193"/>
      <c r="F42" s="2193"/>
      <c r="G42" s="2193"/>
      <c r="H42" s="652"/>
      <c r="I42" s="500"/>
      <c r="J42" s="501"/>
      <c r="K42" s="588"/>
      <c r="L42" s="588"/>
      <c r="M42" s="588"/>
      <c r="N42" s="588"/>
    </row>
    <row r="43" spans="1:14" ht="12.9" customHeight="1">
      <c r="A43" s="591"/>
      <c r="B43" s="592"/>
      <c r="C43" s="592"/>
      <c r="D43" s="2193"/>
      <c r="E43" s="2193"/>
      <c r="F43" s="2193"/>
      <c r="G43" s="2193"/>
      <c r="H43" s="652"/>
      <c r="I43" s="500"/>
      <c r="J43" s="501"/>
      <c r="K43" s="588"/>
      <c r="L43" s="588"/>
      <c r="M43" s="588"/>
      <c r="N43" s="588"/>
    </row>
    <row r="44" spans="1:14" ht="12.9" customHeight="1">
      <c r="A44" s="591"/>
      <c r="B44" s="592"/>
      <c r="C44" s="592"/>
      <c r="D44" s="2193"/>
      <c r="E44" s="2193"/>
      <c r="F44" s="2193"/>
      <c r="G44" s="2193"/>
      <c r="H44" s="652"/>
      <c r="I44" s="500"/>
      <c r="J44" s="501"/>
      <c r="K44" s="588"/>
      <c r="L44" s="588"/>
      <c r="M44" s="588"/>
      <c r="N44" s="588"/>
    </row>
    <row r="45" spans="1:14" ht="12.9" customHeight="1">
      <c r="A45" s="591"/>
      <c r="B45" s="592"/>
      <c r="C45" s="592"/>
      <c r="D45" s="2193"/>
      <c r="E45" s="2193"/>
      <c r="F45" s="2193"/>
      <c r="G45" s="2193"/>
      <c r="H45" s="652"/>
      <c r="I45" s="500"/>
      <c r="J45" s="501"/>
      <c r="K45" s="588"/>
      <c r="L45" s="588"/>
      <c r="M45" s="588"/>
      <c r="N45" s="588"/>
    </row>
    <row r="46" spans="1:14" ht="12.9" customHeight="1">
      <c r="A46" s="591"/>
      <c r="B46" s="592"/>
      <c r="C46" s="592"/>
      <c r="D46" s="2193"/>
      <c r="E46" s="2193"/>
      <c r="F46" s="2193"/>
      <c r="G46" s="2193"/>
      <c r="H46" s="652"/>
      <c r="I46" s="500"/>
      <c r="J46" s="501"/>
      <c r="K46" s="588"/>
      <c r="L46" s="588"/>
      <c r="M46" s="588"/>
      <c r="N46" s="588"/>
    </row>
    <row r="47" spans="1:14" ht="12.9" customHeight="1">
      <c r="A47" s="591"/>
      <c r="B47" s="592"/>
      <c r="C47" s="592"/>
      <c r="D47" s="2193"/>
      <c r="E47" s="2193"/>
      <c r="F47" s="2193"/>
      <c r="G47" s="2193"/>
      <c r="H47" s="652"/>
      <c r="I47" s="500"/>
      <c r="J47" s="501"/>
      <c r="K47" s="588"/>
      <c r="L47" s="588"/>
      <c r="M47" s="588"/>
      <c r="N47" s="588"/>
    </row>
    <row r="48" spans="1:14" ht="12.9" customHeight="1">
      <c r="A48" s="591"/>
      <c r="B48" s="592"/>
      <c r="C48" s="592"/>
      <c r="D48" s="2193"/>
      <c r="E48" s="2193"/>
      <c r="F48" s="2193"/>
      <c r="G48" s="2193"/>
      <c r="H48" s="652"/>
      <c r="I48" s="500"/>
      <c r="J48" s="501"/>
      <c r="K48" s="588"/>
      <c r="L48" s="588"/>
      <c r="M48" s="588"/>
      <c r="N48" s="588"/>
    </row>
    <row r="49" spans="1:14" ht="12.9" customHeight="1">
      <c r="A49" s="591"/>
      <c r="B49" s="592"/>
      <c r="C49" s="592"/>
      <c r="D49" s="2193"/>
      <c r="E49" s="2193"/>
      <c r="F49" s="2193"/>
      <c r="G49" s="2193"/>
      <c r="H49" s="652"/>
      <c r="I49" s="500"/>
      <c r="J49" s="501"/>
      <c r="K49" s="588"/>
      <c r="L49" s="588"/>
      <c r="M49" s="588"/>
      <c r="N49" s="588"/>
    </row>
    <row r="50" spans="1:14" ht="12.9" customHeight="1">
      <c r="A50" s="591"/>
      <c r="B50" s="592"/>
      <c r="C50" s="592"/>
      <c r="D50" s="2193"/>
      <c r="E50" s="2193"/>
      <c r="F50" s="2193"/>
      <c r="G50" s="2193"/>
      <c r="H50" s="652"/>
      <c r="I50" s="500"/>
      <c r="J50" s="501"/>
      <c r="K50" s="588"/>
      <c r="L50" s="588"/>
      <c r="M50" s="588"/>
      <c r="N50" s="588"/>
    </row>
    <row r="51" spans="1:14" ht="12.9" customHeight="1">
      <c r="A51" s="591"/>
      <c r="B51" s="592"/>
      <c r="C51" s="592"/>
      <c r="D51" s="2193"/>
      <c r="E51" s="2193"/>
      <c r="F51" s="2193"/>
      <c r="G51" s="2193"/>
      <c r="H51" s="652"/>
      <c r="I51" s="500"/>
      <c r="J51" s="501"/>
      <c r="K51" s="588"/>
      <c r="L51" s="588"/>
      <c r="M51" s="588"/>
      <c r="N51" s="588"/>
    </row>
    <row r="52" spans="1:14" ht="12.9" customHeight="1">
      <c r="A52" s="591"/>
      <c r="B52" s="592"/>
      <c r="C52" s="592"/>
      <c r="D52" s="2193"/>
      <c r="E52" s="2193"/>
      <c r="F52" s="2193"/>
      <c r="G52" s="2193"/>
      <c r="H52" s="652"/>
      <c r="I52" s="500"/>
      <c r="J52" s="501"/>
      <c r="K52" s="588"/>
      <c r="L52" s="588"/>
      <c r="M52" s="588"/>
      <c r="N52" s="588"/>
    </row>
    <row r="53" spans="1:14" ht="12.9" customHeight="1">
      <c r="A53" s="591"/>
      <c r="B53" s="592"/>
      <c r="C53" s="592"/>
      <c r="D53" s="2193"/>
      <c r="E53" s="2193"/>
      <c r="F53" s="2193"/>
      <c r="G53" s="2193"/>
      <c r="H53" s="652"/>
      <c r="I53" s="500"/>
      <c r="J53" s="501"/>
      <c r="K53" s="588"/>
      <c r="L53" s="588"/>
      <c r="M53" s="588"/>
      <c r="N53" s="588"/>
    </row>
    <row r="54" spans="1:14" ht="12.9" customHeight="1">
      <c r="A54" s="591"/>
      <c r="B54" s="592"/>
      <c r="C54" s="592"/>
      <c r="D54" s="2193"/>
      <c r="E54" s="2193"/>
      <c r="F54" s="2193"/>
      <c r="G54" s="2193"/>
      <c r="H54" s="652"/>
      <c r="I54" s="500"/>
      <c r="J54" s="501"/>
      <c r="K54" s="588"/>
      <c r="L54" s="588"/>
      <c r="M54" s="588"/>
      <c r="N54" s="588"/>
    </row>
    <row r="55" spans="1:14" ht="12.9" customHeight="1">
      <c r="A55" s="2223"/>
      <c r="B55" s="2224"/>
      <c r="C55" s="2224"/>
      <c r="D55" s="2193"/>
      <c r="E55" s="2193"/>
      <c r="F55" s="2193"/>
      <c r="G55" s="2193"/>
      <c r="H55" s="652"/>
      <c r="I55" s="500"/>
      <c r="J55" s="501"/>
      <c r="K55" s="588"/>
      <c r="L55" s="588"/>
      <c r="M55" s="588"/>
      <c r="N55" s="588"/>
    </row>
    <row r="56" spans="1:14" ht="12.9" customHeight="1">
      <c r="A56" s="591"/>
      <c r="B56" s="592"/>
      <c r="C56" s="592"/>
      <c r="D56" s="2193"/>
      <c r="E56" s="2193"/>
      <c r="F56" s="2193"/>
      <c r="G56" s="2193"/>
      <c r="H56" s="652"/>
      <c r="I56" s="500"/>
      <c r="J56" s="501"/>
      <c r="K56" s="588"/>
      <c r="L56" s="588"/>
      <c r="M56" s="588"/>
      <c r="N56" s="588"/>
    </row>
    <row r="57" spans="1:14" ht="12.9" customHeight="1">
      <c r="A57" s="591"/>
      <c r="B57" s="592"/>
      <c r="C57" s="592"/>
      <c r="D57" s="2193"/>
      <c r="E57" s="2193"/>
      <c r="F57" s="2193"/>
      <c r="G57" s="2193"/>
      <c r="H57" s="652"/>
      <c r="I57" s="500"/>
      <c r="J57" s="501"/>
      <c r="K57" s="588"/>
      <c r="L57" s="588"/>
      <c r="M57" s="588"/>
      <c r="N57" s="588"/>
    </row>
    <row r="58" spans="1:14" ht="12.9" customHeight="1">
      <c r="A58" s="591"/>
      <c r="B58" s="592"/>
      <c r="C58" s="592"/>
      <c r="D58" s="2193"/>
      <c r="E58" s="2193"/>
      <c r="F58" s="2193"/>
      <c r="G58" s="2193"/>
      <c r="H58" s="652"/>
      <c r="I58" s="500"/>
      <c r="J58" s="501"/>
      <c r="K58" s="588"/>
      <c r="L58" s="588"/>
      <c r="M58" s="588"/>
      <c r="N58" s="588"/>
    </row>
    <row r="59" spans="1:14" ht="12.9" customHeight="1">
      <c r="A59" s="591"/>
      <c r="B59" s="592"/>
      <c r="C59" s="592"/>
      <c r="D59" s="2193"/>
      <c r="E59" s="2193"/>
      <c r="F59" s="2193"/>
      <c r="G59" s="2193"/>
      <c r="H59" s="652"/>
      <c r="I59" s="500"/>
      <c r="J59" s="501"/>
      <c r="K59" s="588"/>
      <c r="L59" s="588"/>
      <c r="M59" s="588"/>
      <c r="N59" s="588"/>
    </row>
    <row r="60" spans="1:14" ht="12.9" customHeight="1">
      <c r="A60" s="2223"/>
      <c r="B60" s="2224"/>
      <c r="C60" s="2224"/>
      <c r="D60" s="2193"/>
      <c r="E60" s="2193"/>
      <c r="F60" s="2193"/>
      <c r="G60" s="2193"/>
      <c r="H60" s="652"/>
      <c r="I60" s="500"/>
      <c r="J60" s="501"/>
      <c r="K60" s="588"/>
      <c r="L60" s="588"/>
      <c r="M60" s="588"/>
      <c r="N60" s="588"/>
    </row>
    <row r="61" spans="1:14" ht="12.9" customHeight="1">
      <c r="A61" s="2223"/>
      <c r="B61" s="2224"/>
      <c r="C61" s="2224"/>
      <c r="D61" s="2193"/>
      <c r="E61" s="2193"/>
      <c r="F61" s="2193"/>
      <c r="G61" s="2193"/>
      <c r="H61" s="652"/>
      <c r="I61" s="500"/>
      <c r="J61" s="501"/>
      <c r="K61" s="588"/>
      <c r="L61" s="588"/>
      <c r="M61" s="588"/>
      <c r="N61" s="588"/>
    </row>
    <row r="62" spans="1:14" ht="12.9" customHeight="1">
      <c r="A62" s="2223"/>
      <c r="B62" s="2224"/>
      <c r="C62" s="2224"/>
      <c r="D62" s="2193"/>
      <c r="E62" s="2193"/>
      <c r="F62" s="2193"/>
      <c r="G62" s="2193"/>
      <c r="H62" s="652"/>
      <c r="I62" s="500"/>
      <c r="J62" s="501"/>
      <c r="K62" s="588"/>
      <c r="L62" s="588"/>
      <c r="M62" s="588"/>
      <c r="N62" s="588"/>
    </row>
    <row r="63" spans="1:14" ht="12.9" customHeight="1">
      <c r="A63" s="2223"/>
      <c r="B63" s="2224"/>
      <c r="C63" s="2224"/>
      <c r="D63" s="2193"/>
      <c r="E63" s="2193"/>
      <c r="F63" s="2193"/>
      <c r="G63" s="2193"/>
      <c r="H63" s="652"/>
      <c r="I63" s="500"/>
      <c r="J63" s="501"/>
      <c r="K63" s="588"/>
      <c r="L63" s="588"/>
      <c r="M63" s="588"/>
      <c r="N63" s="588"/>
    </row>
    <row r="64" spans="1:14" ht="12.9" customHeight="1">
      <c r="A64" s="2223"/>
      <c r="B64" s="2224"/>
      <c r="C64" s="2224"/>
      <c r="D64" s="2193"/>
      <c r="E64" s="2193"/>
      <c r="F64" s="2193"/>
      <c r="G64" s="2193"/>
      <c r="H64" s="652"/>
      <c r="I64" s="502" t="s">
        <v>2864</v>
      </c>
      <c r="J64" s="364"/>
      <c r="K64" s="588"/>
      <c r="L64" s="588"/>
      <c r="M64" s="588"/>
      <c r="N64" s="588"/>
    </row>
    <row r="65" spans="1:14" ht="12.9" customHeight="1">
      <c r="A65" s="2223"/>
      <c r="B65" s="2224"/>
      <c r="C65" s="2225"/>
      <c r="D65" s="2209"/>
      <c r="E65" s="2209"/>
      <c r="F65" s="2193"/>
      <c r="G65" s="2193"/>
      <c r="H65" s="652"/>
      <c r="I65" s="2226" t="s">
        <v>1578</v>
      </c>
      <c r="J65" s="2227"/>
      <c r="K65" s="503">
        <f>SUM(K13:K64)</f>
        <v>0</v>
      </c>
      <c r="L65" s="503">
        <f>SUM(L13:L64)</f>
        <v>0</v>
      </c>
      <c r="M65" s="503">
        <f>SUM(M13:M64)</f>
        <v>0</v>
      </c>
      <c r="N65" s="503">
        <f>SUM(N13:N64)</f>
        <v>0</v>
      </c>
    </row>
    <row r="66" spans="1:14" ht="2.25" customHeight="1">
      <c r="A66" s="652"/>
      <c r="B66" s="652"/>
      <c r="C66" s="652"/>
      <c r="D66" s="652"/>
      <c r="E66" s="652"/>
      <c r="F66" s="2194"/>
      <c r="G66" s="2194"/>
      <c r="H66" s="652"/>
      <c r="I66" s="652"/>
      <c r="J66" s="652"/>
      <c r="K66" s="652"/>
      <c r="L66" s="652"/>
      <c r="M66" s="652"/>
      <c r="N66" s="652"/>
    </row>
    <row r="67" spans="1:14" ht="13.5" customHeight="1">
      <c r="A67" s="666" t="s">
        <v>2865</v>
      </c>
      <c r="B67" s="2228" t="s">
        <v>2866</v>
      </c>
      <c r="C67" s="2229"/>
      <c r="D67" s="2229"/>
      <c r="E67" s="2229"/>
      <c r="F67" s="2229"/>
      <c r="G67" s="2230"/>
      <c r="H67" s="652"/>
      <c r="I67" s="1990" t="s">
        <v>2867</v>
      </c>
      <c r="J67" s="1990"/>
      <c r="K67" s="1990"/>
      <c r="L67" s="1990"/>
      <c r="M67" s="2218" t="s">
        <v>2623</v>
      </c>
      <c r="N67" s="2218"/>
    </row>
    <row r="68" spans="1:14" ht="22.5" customHeight="1">
      <c r="A68" s="1990" t="s">
        <v>2868</v>
      </c>
      <c r="B68" s="1990" t="s">
        <v>2247</v>
      </c>
      <c r="C68" s="1990"/>
      <c r="D68" s="1990" t="s">
        <v>2248</v>
      </c>
      <c r="E68" s="1990"/>
      <c r="F68" s="1990"/>
      <c r="G68" s="1990"/>
      <c r="H68" s="652"/>
      <c r="I68" s="2210" t="s">
        <v>2869</v>
      </c>
      <c r="J68" s="2211"/>
      <c r="K68" s="2211"/>
      <c r="L68" s="2212"/>
      <c r="M68" s="2213"/>
      <c r="N68" s="2214"/>
    </row>
    <row r="69" spans="1:14" ht="12" customHeight="1">
      <c r="A69" s="1990"/>
      <c r="B69" s="667" t="s">
        <v>2255</v>
      </c>
      <c r="C69" s="667" t="s">
        <v>1410</v>
      </c>
      <c r="D69" s="1990" t="s">
        <v>2255</v>
      </c>
      <c r="E69" s="1990"/>
      <c r="F69" s="1990" t="s">
        <v>1410</v>
      </c>
      <c r="G69" s="1990"/>
      <c r="H69" s="652"/>
      <c r="I69" s="2066" t="s">
        <v>2870</v>
      </c>
      <c r="J69" s="2067"/>
      <c r="K69" s="2067"/>
      <c r="L69" s="2068"/>
      <c r="M69" s="2219"/>
      <c r="N69" s="2220"/>
    </row>
    <row r="70" spans="1:14" ht="12.9" customHeight="1">
      <c r="A70" s="668" t="s">
        <v>2871</v>
      </c>
      <c r="B70" s="504"/>
      <c r="C70" s="504"/>
      <c r="D70" s="2193"/>
      <c r="E70" s="2193"/>
      <c r="F70" s="2193"/>
      <c r="G70" s="2193"/>
      <c r="H70" s="652"/>
      <c r="I70" s="660" t="s">
        <v>2872</v>
      </c>
      <c r="J70" s="661"/>
      <c r="K70" s="661"/>
      <c r="L70" s="669"/>
      <c r="M70" s="2221"/>
      <c r="N70" s="2222"/>
    </row>
    <row r="71" spans="1:14" ht="24.75" customHeight="1">
      <c r="A71" s="668" t="s">
        <v>2873</v>
      </c>
      <c r="B71" s="505"/>
      <c r="C71" s="505"/>
      <c r="D71" s="2209"/>
      <c r="E71" s="2209"/>
      <c r="F71" s="2209"/>
      <c r="G71" s="2209"/>
      <c r="H71" s="652"/>
      <c r="I71" s="2215" t="s">
        <v>1264</v>
      </c>
      <c r="J71" s="2216"/>
      <c r="K71" s="2216"/>
      <c r="L71" s="2217"/>
      <c r="M71" s="2201">
        <f>SUM(M68:N70)</f>
        <v>0</v>
      </c>
      <c r="N71" s="2202"/>
    </row>
    <row r="72" spans="1:14" ht="24.75" customHeight="1">
      <c r="A72" s="668" t="s">
        <v>2874</v>
      </c>
      <c r="B72" s="505"/>
      <c r="C72" s="505"/>
      <c r="D72" s="2209"/>
      <c r="E72" s="2209"/>
      <c r="F72" s="2209"/>
      <c r="G72" s="2209"/>
      <c r="H72" s="652"/>
      <c r="I72" s="2210" t="s">
        <v>2875</v>
      </c>
      <c r="J72" s="2211"/>
      <c r="K72" s="2211"/>
      <c r="L72" s="2212"/>
      <c r="M72" s="2213"/>
      <c r="N72" s="2214"/>
    </row>
    <row r="73" spans="1:14" ht="24.75" customHeight="1">
      <c r="A73" s="668" t="s">
        <v>2876</v>
      </c>
      <c r="B73" s="505"/>
      <c r="C73" s="505"/>
      <c r="D73" s="2209"/>
      <c r="E73" s="2209"/>
      <c r="F73" s="2209"/>
      <c r="G73" s="2209"/>
      <c r="H73" s="652"/>
      <c r="I73" s="2066" t="s">
        <v>2877</v>
      </c>
      <c r="J73" s="2067"/>
      <c r="K73" s="2067"/>
      <c r="L73" s="2068"/>
      <c r="M73" s="2213"/>
      <c r="N73" s="2214"/>
    </row>
    <row r="74" spans="1:14" s="593" customFormat="1" ht="12.9" customHeight="1">
      <c r="A74" s="670" t="s">
        <v>1578</v>
      </c>
      <c r="B74" s="506">
        <f>SUM(B70:B73)</f>
        <v>0</v>
      </c>
      <c r="C74" s="506">
        <f>SUM(C70:C73)</f>
        <v>0</v>
      </c>
      <c r="D74" s="2201">
        <f>SUM(D70:E73)</f>
        <v>0</v>
      </c>
      <c r="E74" s="2202"/>
      <c r="F74" s="2201">
        <f>SUM(F70:G73)</f>
        <v>0</v>
      </c>
      <c r="G74" s="2202"/>
      <c r="H74" s="652"/>
      <c r="I74" s="2203"/>
      <c r="J74" s="2204"/>
      <c r="K74" s="2204"/>
      <c r="L74" s="2205"/>
      <c r="M74" s="2203"/>
      <c r="N74" s="2205"/>
    </row>
    <row r="75" spans="1:14" s="593" customFormat="1" ht="12.9" customHeight="1">
      <c r="A75" s="671" t="s">
        <v>2878</v>
      </c>
      <c r="B75" s="504"/>
      <c r="C75" s="504"/>
      <c r="D75" s="2206"/>
      <c r="E75" s="2206"/>
      <c r="F75" s="2193"/>
      <c r="G75" s="2193"/>
      <c r="H75" s="652"/>
      <c r="I75" s="589"/>
      <c r="J75" s="672"/>
      <c r="K75" s="672"/>
      <c r="L75" s="590"/>
      <c r="M75" s="2207"/>
      <c r="N75" s="2208"/>
    </row>
    <row r="76" spans="1:14" s="593" customFormat="1" ht="12.9" customHeight="1">
      <c r="A76" s="673" t="s">
        <v>2879</v>
      </c>
      <c r="B76" s="507">
        <f>B74-B75</f>
        <v>0</v>
      </c>
      <c r="C76" s="507">
        <f>C74-C75</f>
        <v>0</v>
      </c>
      <c r="D76" s="2195">
        <f>D74-D75</f>
        <v>0</v>
      </c>
      <c r="E76" s="2196"/>
      <c r="F76" s="2195">
        <f>F74-F75</f>
        <v>0</v>
      </c>
      <c r="G76" s="2196"/>
      <c r="H76" s="674"/>
      <c r="I76" s="2197" t="s">
        <v>2880</v>
      </c>
      <c r="J76" s="2198"/>
      <c r="K76" s="2198"/>
      <c r="L76" s="2198"/>
      <c r="M76" s="2199">
        <f>SUM(M72:N75)</f>
        <v>0</v>
      </c>
      <c r="N76" s="2200"/>
    </row>
  </sheetData>
  <sheetProtection algorithmName="SHA-512" hashValue="9RjXDalQOGgEHf+C4uQT64V/H2a1fo7N/gz3K1/baY8i7/VrbajONi89wUnysXo+Z+B4wwUfAF4dEaRf+yJaCQ==" saltValue="fRBLKO2pCtRpotPvirt2zQ==" spinCount="100000" sheet="1" objects="1" scenarios="1" selectLockedCells="1"/>
  <mergeCells count="177">
    <mergeCell ref="B6:N6"/>
    <mergeCell ref="A1:N1"/>
    <mergeCell ref="L2:N2"/>
    <mergeCell ref="B3:N3"/>
    <mergeCell ref="B4:K4"/>
    <mergeCell ref="M4:N4"/>
    <mergeCell ref="B5:G5"/>
    <mergeCell ref="J5:K5"/>
    <mergeCell ref="M9:N11"/>
    <mergeCell ref="A14:C14"/>
    <mergeCell ref="D14:E14"/>
    <mergeCell ref="F14:G14"/>
    <mergeCell ref="A7:N7"/>
    <mergeCell ref="A8:G8"/>
    <mergeCell ref="I8:N8"/>
    <mergeCell ref="A9:C12"/>
    <mergeCell ref="D9:E12"/>
    <mergeCell ref="F9:G12"/>
    <mergeCell ref="I9:I12"/>
    <mergeCell ref="J9:J12"/>
    <mergeCell ref="K9:L11"/>
    <mergeCell ref="D13:E13"/>
    <mergeCell ref="F13:G13"/>
    <mergeCell ref="D18:E18"/>
    <mergeCell ref="F18:G18"/>
    <mergeCell ref="A19:C19"/>
    <mergeCell ref="D19:E19"/>
    <mergeCell ref="F19:G19"/>
    <mergeCell ref="D20:E20"/>
    <mergeCell ref="F20:G20"/>
    <mergeCell ref="D15:E15"/>
    <mergeCell ref="F15:G15"/>
    <mergeCell ref="D16:E16"/>
    <mergeCell ref="F16:G16"/>
    <mergeCell ref="A17:C17"/>
    <mergeCell ref="D17:E17"/>
    <mergeCell ref="F17:G17"/>
    <mergeCell ref="A23:C23"/>
    <mergeCell ref="D23:E23"/>
    <mergeCell ref="F23:G23"/>
    <mergeCell ref="A55:C55"/>
    <mergeCell ref="D55:E55"/>
    <mergeCell ref="F55:G55"/>
    <mergeCell ref="A21:C21"/>
    <mergeCell ref="D21:E21"/>
    <mergeCell ref="F21:G21"/>
    <mergeCell ref="D22:E22"/>
    <mergeCell ref="F22:G22"/>
    <mergeCell ref="D24:E24"/>
    <mergeCell ref="D25:E25"/>
    <mergeCell ref="D26:E26"/>
    <mergeCell ref="D27:E27"/>
    <mergeCell ref="D45:E45"/>
    <mergeCell ref="F24:G24"/>
    <mergeCell ref="F25:G25"/>
    <mergeCell ref="F26:G26"/>
    <mergeCell ref="F27:G27"/>
    <mergeCell ref="F45:G45"/>
    <mergeCell ref="D28:E28"/>
    <mergeCell ref="D29:E29"/>
    <mergeCell ref="F37:G37"/>
    <mergeCell ref="A61:C61"/>
    <mergeCell ref="D61:E61"/>
    <mergeCell ref="F61:G61"/>
    <mergeCell ref="A62:C62"/>
    <mergeCell ref="D62:E62"/>
    <mergeCell ref="F62:G62"/>
    <mergeCell ref="A60:C60"/>
    <mergeCell ref="D60:E60"/>
    <mergeCell ref="F60:G60"/>
    <mergeCell ref="A65:C65"/>
    <mergeCell ref="D65:E65"/>
    <mergeCell ref="F65:G65"/>
    <mergeCell ref="I65:J65"/>
    <mergeCell ref="B67:G67"/>
    <mergeCell ref="I67:L67"/>
    <mergeCell ref="A63:C63"/>
    <mergeCell ref="D63:E63"/>
    <mergeCell ref="F63:G63"/>
    <mergeCell ref="A64:C64"/>
    <mergeCell ref="D64:E64"/>
    <mergeCell ref="F64:G64"/>
    <mergeCell ref="M67:N67"/>
    <mergeCell ref="A68:A69"/>
    <mergeCell ref="B68:C68"/>
    <mergeCell ref="D68:G68"/>
    <mergeCell ref="I68:L68"/>
    <mergeCell ref="M68:N68"/>
    <mergeCell ref="D69:E69"/>
    <mergeCell ref="F69:G69"/>
    <mergeCell ref="I69:L69"/>
    <mergeCell ref="M69:N70"/>
    <mergeCell ref="D72:E72"/>
    <mergeCell ref="F72:G72"/>
    <mergeCell ref="I72:L72"/>
    <mergeCell ref="M72:N72"/>
    <mergeCell ref="D73:E73"/>
    <mergeCell ref="F73:G73"/>
    <mergeCell ref="I73:L73"/>
    <mergeCell ref="M73:N73"/>
    <mergeCell ref="D70:E70"/>
    <mergeCell ref="F70:G70"/>
    <mergeCell ref="D71:E71"/>
    <mergeCell ref="F71:G71"/>
    <mergeCell ref="I71:L71"/>
    <mergeCell ref="M71:N71"/>
    <mergeCell ref="D76:E76"/>
    <mergeCell ref="F76:G76"/>
    <mergeCell ref="I76:L76"/>
    <mergeCell ref="M76:N76"/>
    <mergeCell ref="D74:E74"/>
    <mergeCell ref="F74:G74"/>
    <mergeCell ref="I74:L74"/>
    <mergeCell ref="M74:N74"/>
    <mergeCell ref="D75:E75"/>
    <mergeCell ref="F75:G75"/>
    <mergeCell ref="M75:N75"/>
    <mergeCell ref="F38:G38"/>
    <mergeCell ref="F39:G39"/>
    <mergeCell ref="F40:G40"/>
    <mergeCell ref="F41:G41"/>
    <mergeCell ref="F42:G42"/>
    <mergeCell ref="F43:G43"/>
    <mergeCell ref="F44:G44"/>
    <mergeCell ref="D30:E30"/>
    <mergeCell ref="D31:E31"/>
    <mergeCell ref="D32:E32"/>
    <mergeCell ref="D33:E33"/>
    <mergeCell ref="D34:E34"/>
    <mergeCell ref="D35:E35"/>
    <mergeCell ref="D37:E37"/>
    <mergeCell ref="D38:E38"/>
    <mergeCell ref="D39:E39"/>
    <mergeCell ref="D36:E36"/>
    <mergeCell ref="F28:G28"/>
    <mergeCell ref="F29:G29"/>
    <mergeCell ref="F30:G30"/>
    <mergeCell ref="F31:G31"/>
    <mergeCell ref="F32:G32"/>
    <mergeCell ref="F33:G33"/>
    <mergeCell ref="F34:G34"/>
    <mergeCell ref="F35:G35"/>
    <mergeCell ref="F36:G36"/>
    <mergeCell ref="D50:E50"/>
    <mergeCell ref="D51:E51"/>
    <mergeCell ref="D52:E52"/>
    <mergeCell ref="D53:E53"/>
    <mergeCell ref="D54:E54"/>
    <mergeCell ref="D40:E40"/>
    <mergeCell ref="D41:E41"/>
    <mergeCell ref="D42:E42"/>
    <mergeCell ref="D43:E43"/>
    <mergeCell ref="D44:E44"/>
    <mergeCell ref="A22:B22"/>
    <mergeCell ref="A15:B15"/>
    <mergeCell ref="F59:G59"/>
    <mergeCell ref="F66:G66"/>
    <mergeCell ref="D59:E59"/>
    <mergeCell ref="D56:E56"/>
    <mergeCell ref="D57:E57"/>
    <mergeCell ref="D58:E58"/>
    <mergeCell ref="F46:G46"/>
    <mergeCell ref="F47:G47"/>
    <mergeCell ref="F48:G48"/>
    <mergeCell ref="F49:G49"/>
    <mergeCell ref="F50:G50"/>
    <mergeCell ref="F51:G51"/>
    <mergeCell ref="F52:G52"/>
    <mergeCell ref="F53:G53"/>
    <mergeCell ref="F54:G54"/>
    <mergeCell ref="F56:G56"/>
    <mergeCell ref="F57:G57"/>
    <mergeCell ref="F58:G58"/>
    <mergeCell ref="D46:E46"/>
    <mergeCell ref="D47:E47"/>
    <mergeCell ref="D48:E48"/>
    <mergeCell ref="D49:E49"/>
  </mergeCells>
  <conditionalFormatting sqref="K65:N65">
    <cfRule type="cellIs" dxfId="122" priority="3" operator="equal">
      <formula>0</formula>
    </cfRule>
  </conditionalFormatting>
  <conditionalFormatting sqref="B76:G76 B74:G74">
    <cfRule type="cellIs" dxfId="121" priority="2" operator="equal">
      <formula>0</formula>
    </cfRule>
  </conditionalFormatting>
  <conditionalFormatting sqref="M71:N71 M76:N76">
    <cfRule type="cellIs" dxfId="120" priority="1" operator="equal">
      <formula>0</formula>
    </cfRule>
  </conditionalFormatting>
  <dataValidations count="1">
    <dataValidation type="whole" allowBlank="1" showInputMessage="1" showErrorMessage="1" errorTitle="Attention!" error="Valeur numérique attendue" sqref="J64 K13:N64 D23:G65 B70:G73 B75:G76 D19:G19 M68:N70 M72:N73" xr:uid="{667776B8-0920-4E2D-8649-28C73D87FCD5}">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56" orientation="portrait" r:id="rId1"/>
  <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51C6-522C-4155-9125-8AEEB57D9E0C}">
  <sheetPr codeName="Feuil73">
    <tabColor rgb="FFC00000"/>
    <pageSetUpPr fitToPage="1"/>
  </sheetPr>
  <dimension ref="A1:J10"/>
  <sheetViews>
    <sheetView showGridLines="0" showRowColHeaders="0" tabSelected="1" zoomScaleNormal="100" workbookViewId="0">
      <selection activeCell="A9" sqref="A9:B9"/>
    </sheetView>
  </sheetViews>
  <sheetFormatPr baseColWidth="10" defaultColWidth="11.5234375" defaultRowHeight="14.4"/>
  <cols>
    <col min="1" max="1" width="11.5234375" style="103"/>
    <col min="2" max="2" width="18.41796875" style="103" customWidth="1"/>
    <col min="3" max="4" width="11.5234375" style="103"/>
    <col min="5" max="5" width="13.68359375" style="103" customWidth="1"/>
    <col min="6" max="6" width="17.3125" style="103" customWidth="1"/>
    <col min="7" max="10" width="15.68359375" style="103" customWidth="1"/>
    <col min="11" max="16384" width="11.5234375" style="103"/>
  </cols>
  <sheetData>
    <row r="1" spans="1:10">
      <c r="A1" s="1276" t="str">
        <f>"- "&amp;Code!K72&amp;" -"</f>
        <v>- 44 -</v>
      </c>
      <c r="B1" s="1276"/>
      <c r="C1" s="1276"/>
      <c r="D1" s="1276"/>
      <c r="E1" s="1276"/>
      <c r="F1" s="1276"/>
      <c r="G1" s="1276"/>
      <c r="H1" s="1276"/>
      <c r="I1" s="1276"/>
      <c r="J1" s="1276"/>
    </row>
    <row r="2" spans="1:10" ht="18" customHeight="1">
      <c r="A2" s="624"/>
      <c r="B2" s="624"/>
      <c r="C2" s="576"/>
      <c r="D2" s="576"/>
      <c r="E2" s="576"/>
      <c r="F2" s="576"/>
      <c r="G2" s="576"/>
      <c r="I2" s="1278" t="s">
        <v>2881</v>
      </c>
      <c r="J2" s="1279"/>
    </row>
    <row r="3" spans="1:10" s="626" customFormat="1" ht="21.9" customHeight="1">
      <c r="A3" s="317" t="s">
        <v>50</v>
      </c>
      <c r="B3" s="641"/>
      <c r="C3" s="1280" t="str">
        <f>'NOTES DGI - INS'!C3</f>
        <v>OHADA</v>
      </c>
      <c r="D3" s="1280"/>
      <c r="E3" s="1280"/>
      <c r="F3" s="1280"/>
      <c r="G3" s="1280"/>
      <c r="H3" s="1280"/>
      <c r="I3" s="1280"/>
      <c r="J3" s="1280"/>
    </row>
    <row r="4" spans="1:10" s="626" customFormat="1" ht="15" customHeight="1">
      <c r="A4" s="317" t="s">
        <v>51</v>
      </c>
      <c r="B4" s="1281" t="str">
        <f>'NOTES DGI - INS'!B4</f>
        <v/>
      </c>
      <c r="C4" s="1281"/>
      <c r="D4" s="1281"/>
      <c r="E4" s="1281"/>
      <c r="F4" s="1281"/>
      <c r="G4" s="1281"/>
      <c r="H4" s="1281"/>
      <c r="I4" s="627" t="s">
        <v>1021</v>
      </c>
      <c r="J4" s="628" t="str">
        <f>'NOTES DGI - INS'!I4</f>
        <v/>
      </c>
    </row>
    <row r="5" spans="1:10" s="626" customFormat="1" ht="15" customHeight="1">
      <c r="A5" s="317" t="s">
        <v>53</v>
      </c>
      <c r="C5" s="1281" t="str">
        <f>'NOTES DGI - INS'!C5</f>
        <v/>
      </c>
      <c r="D5" s="1281"/>
      <c r="E5" s="1281"/>
      <c r="F5" s="1281"/>
      <c r="G5" s="646" t="s">
        <v>54</v>
      </c>
      <c r="H5" s="647">
        <f>'NOTES DGI - INS'!F5</f>
        <v>0</v>
      </c>
      <c r="I5" s="627" t="s">
        <v>55</v>
      </c>
      <c r="J5" s="628">
        <f>'NOTES DGI - INS'!I5</f>
        <v>1</v>
      </c>
    </row>
    <row r="6" spans="1:10" s="626" customFormat="1" ht="15" customHeight="1">
      <c r="A6" s="317" t="s">
        <v>1533</v>
      </c>
      <c r="C6" s="1275" t="str">
        <f>'NOTES DGI - INS'!C6</f>
        <v/>
      </c>
      <c r="D6" s="1275"/>
      <c r="E6" s="1275"/>
      <c r="F6" s="1275"/>
      <c r="G6" s="638"/>
      <c r="H6" s="648"/>
      <c r="I6" s="629"/>
      <c r="J6" s="630"/>
    </row>
    <row r="7" spans="1:10" ht="30" customHeight="1">
      <c r="A7" s="1273" t="s">
        <v>2594</v>
      </c>
      <c r="B7" s="1273"/>
      <c r="C7" s="1273"/>
      <c r="D7" s="1273"/>
      <c r="E7" s="1273"/>
      <c r="F7" s="1273"/>
      <c r="G7" s="1273"/>
      <c r="H7" s="1273"/>
      <c r="I7" s="1273"/>
      <c r="J7" s="1273"/>
    </row>
    <row r="8" spans="1:10" ht="78" customHeight="1">
      <c r="A8" s="1645" t="s">
        <v>2882</v>
      </c>
      <c r="B8" s="1645"/>
      <c r="C8" s="1645" t="s">
        <v>2883</v>
      </c>
      <c r="D8" s="1645"/>
      <c r="E8" s="1645"/>
      <c r="F8" s="649" t="s">
        <v>2884</v>
      </c>
      <c r="G8" s="649" t="s">
        <v>2885</v>
      </c>
      <c r="H8" s="649" t="s">
        <v>2886</v>
      </c>
      <c r="I8" s="649" t="s">
        <v>2887</v>
      </c>
      <c r="J8" s="649" t="s">
        <v>2888</v>
      </c>
    </row>
    <row r="9" spans="1:10" s="593" customFormat="1">
      <c r="A9" s="2252"/>
      <c r="B9" s="2253"/>
      <c r="C9" s="2252"/>
      <c r="D9" s="2253"/>
      <c r="E9" s="2254"/>
      <c r="F9" s="508"/>
      <c r="G9" s="509"/>
      <c r="H9" s="509"/>
      <c r="I9" s="509"/>
      <c r="J9" s="509"/>
    </row>
    <row r="10" spans="1:10" s="593" customFormat="1">
      <c r="A10" s="2249" t="s">
        <v>1578</v>
      </c>
      <c r="B10" s="2250"/>
      <c r="C10" s="2250"/>
      <c r="D10" s="2250"/>
      <c r="E10" s="2250"/>
      <c r="F10" s="2251"/>
      <c r="G10" s="510">
        <f ca="1">SUM(INDIRECT(SUBSTITUTE(ADDRESS(1,COLUMN(G9)),1,"")&amp;ROW(G9)):INDIRECT(SUBSTITUTE(ADDRESS(1,COLUMN()),1,"")&amp;ROW()-1))</f>
        <v>0</v>
      </c>
      <c r="H10" s="510">
        <f ca="1">SUM(INDIRECT(SUBSTITUTE(ADDRESS(1,COLUMN(H9)),1,"")&amp;ROW(H9)):INDIRECT(SUBSTITUTE(ADDRESS(1,COLUMN()),1,"")&amp;ROW()-1))</f>
        <v>0</v>
      </c>
      <c r="I10" s="510">
        <f ca="1">SUM(INDIRECT(SUBSTITUTE(ADDRESS(1,COLUMN(I9)),1,"")&amp;ROW(I9)):INDIRECT(SUBSTITUTE(ADDRESS(1,COLUMN()),1,"")&amp;ROW()-1))</f>
        <v>0</v>
      </c>
      <c r="J10" s="364"/>
    </row>
  </sheetData>
  <sheetProtection algorithmName="SHA-512" hashValue="Fr+mSL4UWjQW3UdiN9lACuSvd4W3wGjLORU9swgmSwOpgvVMpLDKS52gXfcnemIsCOiuGjz+WZ7cXCRW3w7xVQ==" saltValue="soAumvpAWph7Ca8JEahXtw==" spinCount="100000" sheet="1" objects="1" scenarios="1" selectLockedCells="1"/>
  <mergeCells count="13">
    <mergeCell ref="A10:F10"/>
    <mergeCell ref="A1:J1"/>
    <mergeCell ref="I2:J2"/>
    <mergeCell ref="C3:J3"/>
    <mergeCell ref="B4:H4"/>
    <mergeCell ref="C5:F5"/>
    <mergeCell ref="A7:J7"/>
    <mergeCell ref="A8:B8"/>
    <mergeCell ref="C8:E8"/>
    <mergeCell ref="A9:B9"/>
    <mergeCell ref="C9:E9"/>
    <mergeCell ref="C6:D6"/>
    <mergeCell ref="E6:F6"/>
  </mergeCells>
  <conditionalFormatting sqref="G10:I10">
    <cfRule type="cellIs" dxfId="119" priority="1" operator="equal">
      <formula>0</formula>
    </cfRule>
  </conditionalFormatting>
  <dataValidations count="1">
    <dataValidation type="whole" allowBlank="1" showInputMessage="1" showErrorMessage="1" errorTitle="Attention!" error="Valeur numérique attendue" sqref="J10" xr:uid="{921BF632-E63F-4E0F-A90E-497FF95EC56B}">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6"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80577" r:id="rId4" name="AjoutSUPPL2">
              <controlPr defaultSize="0" print="0" autoFill="0" autoPict="0" macro="[0]!AjoutSUPPL2_Cliquer">
                <anchor moveWithCells="1">
                  <from>
                    <xdr:col>10</xdr:col>
                    <xdr:colOff>228600</xdr:colOff>
                    <xdr:row>7</xdr:row>
                    <xdr:rowOff>617220</xdr:rowOff>
                  </from>
                  <to>
                    <xdr:col>11</xdr:col>
                    <xdr:colOff>670560</xdr:colOff>
                    <xdr:row>7</xdr:row>
                    <xdr:rowOff>914400</xdr:rowOff>
                  </to>
                </anchor>
              </controlPr>
            </control>
          </mc:Choice>
        </mc:AlternateContent>
      </controls>
    </mc:Choice>
  </mc:AlternateConten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C822-0F2C-49DB-A4A5-6E2C134AA66A}">
  <sheetPr codeName="Feuil74">
    <tabColor rgb="FFC00000"/>
    <pageSetUpPr fitToPage="1"/>
  </sheetPr>
  <dimension ref="A1:N12"/>
  <sheetViews>
    <sheetView showGridLines="0" showRowColHeaders="0" zoomScaleNormal="100" workbookViewId="0">
      <selection activeCell="I10" sqref="I10:J10"/>
    </sheetView>
  </sheetViews>
  <sheetFormatPr baseColWidth="10" defaultColWidth="11.5234375" defaultRowHeight="14.4"/>
  <cols>
    <col min="1" max="1" width="11.5234375" style="103"/>
    <col min="2" max="2" width="17.3125" style="103" customWidth="1"/>
    <col min="3" max="6" width="11.5234375" style="103"/>
    <col min="7" max="7" width="14.68359375" style="103" customWidth="1"/>
    <col min="8" max="8" width="11.3125" style="103" customWidth="1"/>
    <col min="9" max="9" width="14.3125" style="103" customWidth="1"/>
    <col min="10" max="10" width="16.89453125" style="103" customWidth="1"/>
    <col min="11" max="11" width="15" style="103" customWidth="1"/>
    <col min="12" max="16384" width="11.5234375" style="103"/>
  </cols>
  <sheetData>
    <row r="1" spans="1:14">
      <c r="A1" s="1276" t="str">
        <f>"- "&amp;Code!K73&amp;" -"</f>
        <v>- 44 -</v>
      </c>
      <c r="B1" s="1276"/>
      <c r="C1" s="1276"/>
      <c r="D1" s="1276"/>
      <c r="E1" s="1276"/>
      <c r="F1" s="1276"/>
      <c r="G1" s="1276"/>
      <c r="H1" s="1276"/>
      <c r="I1" s="1276"/>
      <c r="J1" s="1276"/>
      <c r="K1" s="1277"/>
    </row>
    <row r="2" spans="1:14" ht="18" customHeight="1">
      <c r="A2" s="624"/>
      <c r="B2" s="624"/>
      <c r="C2" s="576"/>
      <c r="D2" s="576"/>
      <c r="E2" s="576"/>
      <c r="F2" s="576"/>
      <c r="G2" s="576"/>
      <c r="J2" s="1278" t="s">
        <v>2889</v>
      </c>
      <c r="K2" s="1279"/>
    </row>
    <row r="3" spans="1:14" s="626" customFormat="1" ht="21.9" customHeight="1">
      <c r="A3" s="317" t="s">
        <v>50</v>
      </c>
      <c r="B3" s="641"/>
      <c r="C3" s="1280" t="str">
        <f>'NOTES DGI - INS'!C3</f>
        <v>OHADA</v>
      </c>
      <c r="D3" s="1280"/>
      <c r="E3" s="1280"/>
      <c r="F3" s="1280"/>
      <c r="G3" s="1280"/>
      <c r="H3" s="1280"/>
      <c r="I3" s="1280"/>
      <c r="J3" s="1280"/>
      <c r="K3" s="1280"/>
    </row>
    <row r="4" spans="1:14" s="626" customFormat="1" ht="15" customHeight="1">
      <c r="A4" s="317" t="s">
        <v>51</v>
      </c>
      <c r="B4" s="1281" t="str">
        <f>'NOTES DGI - INS'!B4</f>
        <v/>
      </c>
      <c r="C4" s="1280"/>
      <c r="D4" s="1280"/>
      <c r="E4" s="1280"/>
      <c r="F4" s="1280"/>
      <c r="G4" s="1280"/>
      <c r="H4" s="1280"/>
      <c r="I4" s="1280"/>
      <c r="J4" s="627" t="s">
        <v>1021</v>
      </c>
      <c r="K4" s="628" t="str">
        <f>'NOTES DGI - INS'!I4</f>
        <v/>
      </c>
    </row>
    <row r="5" spans="1:14" s="626" customFormat="1" ht="15" customHeight="1">
      <c r="A5" s="317" t="s">
        <v>53</v>
      </c>
      <c r="C5" s="1280" t="str">
        <f>'NOTES DGI - INS'!C5</f>
        <v/>
      </c>
      <c r="D5" s="1280"/>
      <c r="E5" s="1280"/>
      <c r="F5" s="1280"/>
      <c r="G5" s="642" t="s">
        <v>54</v>
      </c>
      <c r="H5" s="1282">
        <f>'NOTES DGI - INS'!F5</f>
        <v>0</v>
      </c>
      <c r="I5" s="1282"/>
      <c r="J5" s="627" t="s">
        <v>55</v>
      </c>
      <c r="K5" s="628">
        <f>'NOTES DGI - INS'!I5</f>
        <v>1</v>
      </c>
    </row>
    <row r="6" spans="1:14" s="626" customFormat="1" ht="15" customHeight="1">
      <c r="A6" s="317" t="s">
        <v>1533</v>
      </c>
      <c r="C6" s="1275" t="str">
        <f>'NOTES DGI - INS'!C6</f>
        <v/>
      </c>
      <c r="D6" s="1275"/>
      <c r="E6" s="1275"/>
      <c r="F6" s="1275"/>
      <c r="G6" s="638"/>
      <c r="H6" s="630"/>
      <c r="I6" s="630"/>
      <c r="J6" s="629"/>
      <c r="K6" s="630"/>
    </row>
    <row r="7" spans="1:14" ht="30" customHeight="1">
      <c r="A7" s="1273" t="s">
        <v>2596</v>
      </c>
      <c r="B7" s="1273"/>
      <c r="C7" s="1273"/>
      <c r="D7" s="1273"/>
      <c r="E7" s="1273"/>
      <c r="F7" s="1273"/>
      <c r="G7" s="1273"/>
      <c r="H7" s="1273"/>
      <c r="I7" s="1273"/>
      <c r="J7" s="1273"/>
      <c r="K7" s="1273"/>
    </row>
    <row r="8" spans="1:14" ht="52.5" customHeight="1">
      <c r="A8" s="643"/>
      <c r="B8" s="644"/>
      <c r="C8" s="644"/>
      <c r="D8" s="644"/>
      <c r="E8" s="1274" t="s">
        <v>2890</v>
      </c>
      <c r="F8" s="1274"/>
      <c r="G8" s="1274"/>
      <c r="H8" s="644"/>
      <c r="I8" s="644"/>
      <c r="J8" s="645"/>
      <c r="K8" s="379" t="s">
        <v>2891</v>
      </c>
      <c r="L8" s="299"/>
      <c r="M8" s="299"/>
      <c r="N8" s="299"/>
    </row>
    <row r="9" spans="1:14" ht="30" customHeight="1">
      <c r="A9" s="1268" t="s">
        <v>2892</v>
      </c>
      <c r="B9" s="1269"/>
      <c r="C9" s="1269"/>
      <c r="D9" s="1269"/>
      <c r="E9" s="1269"/>
      <c r="F9" s="1269"/>
      <c r="G9" s="1269"/>
      <c r="H9" s="1270"/>
      <c r="I9" s="1271"/>
      <c r="J9" s="1272"/>
      <c r="K9" s="511"/>
      <c r="L9" s="299"/>
      <c r="M9" s="299"/>
      <c r="N9" s="299"/>
    </row>
    <row r="10" spans="1:14" ht="30" customHeight="1">
      <c r="A10" s="1268" t="s">
        <v>2893</v>
      </c>
      <c r="B10" s="1269"/>
      <c r="C10" s="1269"/>
      <c r="D10" s="1269"/>
      <c r="E10" s="1269"/>
      <c r="F10" s="1269"/>
      <c r="G10" s="1269"/>
      <c r="H10" s="1270"/>
      <c r="I10" s="1271"/>
      <c r="J10" s="1272"/>
      <c r="K10" s="511"/>
      <c r="L10" s="299"/>
      <c r="M10" s="299"/>
      <c r="N10" s="299"/>
    </row>
    <row r="11" spans="1:14" ht="30" customHeight="1">
      <c r="A11" s="1268" t="s">
        <v>2894</v>
      </c>
      <c r="B11" s="1269"/>
      <c r="C11" s="1269"/>
      <c r="D11" s="1269"/>
      <c r="E11" s="1269"/>
      <c r="F11" s="1269"/>
      <c r="G11" s="1269"/>
      <c r="H11" s="1270"/>
      <c r="I11" s="1271"/>
      <c r="J11" s="1272"/>
      <c r="K11" s="511"/>
      <c r="L11" s="299"/>
      <c r="M11" s="299"/>
      <c r="N11" s="299"/>
    </row>
    <row r="12" spans="1:14" ht="30" customHeight="1">
      <c r="A12" s="1268" t="s">
        <v>2895</v>
      </c>
      <c r="B12" s="1269"/>
      <c r="C12" s="1269"/>
      <c r="D12" s="1269"/>
      <c r="E12" s="1269"/>
      <c r="F12" s="1269"/>
      <c r="G12" s="1269"/>
      <c r="H12" s="1270"/>
      <c r="I12" s="1271"/>
      <c r="J12" s="1272"/>
      <c r="K12" s="511"/>
      <c r="L12" s="299"/>
      <c r="M12" s="299"/>
      <c r="N12" s="299"/>
    </row>
  </sheetData>
  <sheetProtection algorithmName="SHA-512" hashValue="hkguWg691kgEGA8e7yDwKNXDQqOzaq1JXWOrzfJ3C26Q8N+3ABWe6FKhPCNNKDUMmJvtw55PxWx19oj/yb4CBw==" saltValue="n2qH4a6jTHjN7iEvj0DO+w==" spinCount="100000" sheet="1" objects="1" scenarios="1" selectLockedCells="1"/>
  <mergeCells count="18">
    <mergeCell ref="C6:D6"/>
    <mergeCell ref="E6:F6"/>
    <mergeCell ref="A1:K1"/>
    <mergeCell ref="J2:K2"/>
    <mergeCell ref="C3:K3"/>
    <mergeCell ref="B4:I4"/>
    <mergeCell ref="C5:F5"/>
    <mergeCell ref="H5:I5"/>
    <mergeCell ref="A11:H11"/>
    <mergeCell ref="I11:J11"/>
    <mergeCell ref="A12:H12"/>
    <mergeCell ref="I12:J12"/>
    <mergeCell ref="A7:K7"/>
    <mergeCell ref="E8:G8"/>
    <mergeCell ref="A9:H9"/>
    <mergeCell ref="I9:J9"/>
    <mergeCell ref="A10:H10"/>
    <mergeCell ref="I10:J10"/>
  </mergeCells>
  <dataValidations count="1">
    <dataValidation type="whole" allowBlank="1" showInputMessage="1" showErrorMessage="1" errorTitle="Attention!" error="Valeur numérique attendue" sqref="I9:J12" xr:uid="{E6679385-61BB-43C9-B73E-FA6CD4F35391}">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landscape" r:id="rId1"/>
  <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A9A9-4F7F-4CED-95D6-AAD96399D904}">
  <sheetPr codeName="Feuil75">
    <tabColor rgb="FFC00000"/>
    <pageSetUpPr fitToPage="1"/>
  </sheetPr>
  <dimension ref="A1:N11"/>
  <sheetViews>
    <sheetView showGridLines="0" showRowColHeaders="0" zoomScaleNormal="100" workbookViewId="0">
      <selection activeCell="A10" sqref="A10"/>
    </sheetView>
  </sheetViews>
  <sheetFormatPr baseColWidth="10" defaultColWidth="11.5234375" defaultRowHeight="14.4"/>
  <cols>
    <col min="1" max="1" width="15.3125" style="103" customWidth="1"/>
    <col min="2" max="2" width="13.41796875" style="103" customWidth="1"/>
    <col min="3" max="3" width="11.5234375" style="103"/>
    <col min="4" max="4" width="11.41796875" style="103" customWidth="1"/>
    <col min="5" max="5" width="7.68359375" style="103" customWidth="1"/>
    <col min="6" max="6" width="9.89453125" style="122" customWidth="1"/>
    <col min="7" max="14" width="13.68359375" style="103" customWidth="1"/>
    <col min="15" max="16384" width="11.5234375" style="103"/>
  </cols>
  <sheetData>
    <row r="1" spans="1:14">
      <c r="A1" s="1276" t="str">
        <f>"- "&amp;Code!K74&amp;" -"</f>
        <v>- 45 -</v>
      </c>
      <c r="B1" s="1276"/>
      <c r="C1" s="1276"/>
      <c r="D1" s="1276"/>
      <c r="E1" s="1276"/>
      <c r="F1" s="1276"/>
      <c r="G1" s="1276"/>
      <c r="H1" s="1276"/>
      <c r="I1" s="1276"/>
      <c r="J1" s="1276"/>
      <c r="K1" s="1277"/>
      <c r="L1" s="1277"/>
      <c r="M1" s="1277"/>
      <c r="N1" s="1277"/>
    </row>
    <row r="2" spans="1:14" ht="18" customHeight="1">
      <c r="A2" s="624"/>
      <c r="B2" s="624"/>
      <c r="C2" s="576"/>
      <c r="D2" s="576"/>
      <c r="E2" s="576"/>
      <c r="F2" s="576"/>
      <c r="G2" s="576"/>
      <c r="M2" s="1278" t="s">
        <v>2896</v>
      </c>
      <c r="N2" s="1279"/>
    </row>
    <row r="3" spans="1:14" s="626" customFormat="1" ht="21.9" customHeight="1">
      <c r="A3" s="317" t="s">
        <v>50</v>
      </c>
      <c r="B3" s="641"/>
      <c r="C3" s="1280" t="str">
        <f>'NOTES DGI - INS'!C3</f>
        <v>OHADA</v>
      </c>
      <c r="D3" s="1280"/>
      <c r="E3" s="1280"/>
      <c r="F3" s="1280"/>
      <c r="G3" s="1280"/>
      <c r="H3" s="1280"/>
      <c r="I3" s="1280"/>
      <c r="J3" s="1280"/>
      <c r="K3" s="1280"/>
      <c r="L3" s="1280"/>
      <c r="M3" s="1280"/>
      <c r="N3" s="1280"/>
    </row>
    <row r="4" spans="1:14" s="626" customFormat="1" ht="15" customHeight="1">
      <c r="A4" s="317" t="s">
        <v>51</v>
      </c>
      <c r="B4" s="1280" t="str">
        <f>'NOTES DGI - INS'!B4</f>
        <v/>
      </c>
      <c r="C4" s="1280"/>
      <c r="D4" s="1280"/>
      <c r="E4" s="1280"/>
      <c r="F4" s="1280"/>
      <c r="G4" s="1280"/>
      <c r="H4" s="1280"/>
      <c r="I4" s="1280"/>
      <c r="J4" s="1280"/>
      <c r="K4" s="1280"/>
      <c r="L4" s="627" t="s">
        <v>1021</v>
      </c>
      <c r="M4" s="1489" t="str">
        <f>'NOTES DGI - INS'!I4</f>
        <v/>
      </c>
      <c r="N4" s="1489"/>
    </row>
    <row r="5" spans="1:14" s="626" customFormat="1" ht="15" customHeight="1">
      <c r="A5" s="317" t="s">
        <v>53</v>
      </c>
      <c r="C5" s="1280" t="str">
        <f>'NOTES DGI - INS'!C5</f>
        <v/>
      </c>
      <c r="D5" s="1280"/>
      <c r="E5" s="1280"/>
      <c r="F5" s="1280"/>
      <c r="G5" s="1677" t="s">
        <v>54</v>
      </c>
      <c r="H5" s="1677"/>
      <c r="I5" s="1282">
        <f>'NOTES DGI - INS'!F5</f>
        <v>0</v>
      </c>
      <c r="J5" s="1282"/>
      <c r="L5" s="627" t="s">
        <v>55</v>
      </c>
      <c r="M5" s="1489">
        <f>'NOTES DGI - INS'!I5</f>
        <v>1</v>
      </c>
      <c r="N5" s="1489"/>
    </row>
    <row r="6" spans="1:14" s="626" customFormat="1" ht="15" customHeight="1">
      <c r="A6" s="317" t="s">
        <v>1533</v>
      </c>
      <c r="C6" s="1275" t="str">
        <f>'NOTES DGI - INS'!C6</f>
        <v/>
      </c>
      <c r="D6" s="1275"/>
      <c r="E6" s="1275"/>
      <c r="F6" s="1275"/>
      <c r="G6" s="638"/>
      <c r="H6" s="638"/>
      <c r="I6" s="630"/>
      <c r="J6" s="630"/>
      <c r="K6" s="639"/>
      <c r="L6" s="629"/>
      <c r="M6" s="630"/>
      <c r="N6" s="630"/>
    </row>
    <row r="7" spans="1:14" ht="30" customHeight="1">
      <c r="A7" s="1788" t="s">
        <v>2598</v>
      </c>
      <c r="B7" s="1788"/>
      <c r="C7" s="1788"/>
      <c r="D7" s="1788"/>
      <c r="E7" s="1788"/>
      <c r="F7" s="1788"/>
      <c r="G7" s="1788"/>
      <c r="H7" s="1788"/>
      <c r="I7" s="1788"/>
      <c r="J7" s="1788"/>
      <c r="K7" s="1788"/>
      <c r="L7" s="1788"/>
      <c r="M7" s="1788"/>
      <c r="N7" s="1788"/>
    </row>
    <row r="8" spans="1:14">
      <c r="A8" s="1645" t="s">
        <v>2897</v>
      </c>
      <c r="B8" s="1644" t="s">
        <v>2898</v>
      </c>
      <c r="C8" s="1644"/>
      <c r="D8" s="1644"/>
      <c r="E8" s="1645" t="s">
        <v>2899</v>
      </c>
      <c r="F8" s="1645" t="s">
        <v>11594</v>
      </c>
      <c r="G8" s="1645" t="s">
        <v>2901</v>
      </c>
      <c r="H8" s="2262" t="s">
        <v>2902</v>
      </c>
      <c r="I8" s="2262"/>
      <c r="J8" s="2262"/>
      <c r="K8" s="1645" t="s">
        <v>2903</v>
      </c>
      <c r="L8" s="1645" t="s">
        <v>2904</v>
      </c>
      <c r="M8" s="1645" t="s">
        <v>2905</v>
      </c>
      <c r="N8" s="1645" t="s">
        <v>2906</v>
      </c>
    </row>
    <row r="9" spans="1:14" ht="25.5" customHeight="1" thickBot="1">
      <c r="A9" s="1993"/>
      <c r="B9" s="2261"/>
      <c r="C9" s="2261"/>
      <c r="D9" s="2261"/>
      <c r="E9" s="1993"/>
      <c r="F9" s="1993"/>
      <c r="G9" s="1993"/>
      <c r="H9" s="1095" t="s">
        <v>2907</v>
      </c>
      <c r="I9" s="1095" t="s">
        <v>2908</v>
      </c>
      <c r="J9" s="1095" t="s">
        <v>1578</v>
      </c>
      <c r="K9" s="1993"/>
      <c r="L9" s="1993"/>
      <c r="M9" s="1993"/>
      <c r="N9" s="1993"/>
    </row>
    <row r="10" spans="1:14" s="593" customFormat="1" ht="14.25" customHeight="1" thickBot="1">
      <c r="A10" s="1096"/>
      <c r="B10" s="2258"/>
      <c r="C10" s="2259"/>
      <c r="D10" s="2260"/>
      <c r="E10" s="512"/>
      <c r="F10" s="513"/>
      <c r="G10" s="514"/>
      <c r="H10" s="514"/>
      <c r="I10" s="514"/>
      <c r="J10" s="515">
        <f>H10+I10</f>
        <v>0</v>
      </c>
      <c r="K10" s="516">
        <f>G10-J10</f>
        <v>0</v>
      </c>
      <c r="L10" s="514"/>
      <c r="M10" s="516" t="str">
        <f>IF(L10&gt;K10,-K10+L10,"")</f>
        <v/>
      </c>
      <c r="N10" s="516" t="str">
        <f>IF(AND(L10&lt;&gt;"",L10&lt;K10),K10-L10,"")</f>
        <v/>
      </c>
    </row>
    <row r="11" spans="1:14" s="593" customFormat="1" ht="14.25" customHeight="1">
      <c r="A11" s="2255" t="s">
        <v>1578</v>
      </c>
      <c r="B11" s="2256"/>
      <c r="C11" s="2256"/>
      <c r="D11" s="2256"/>
      <c r="E11" s="2256"/>
      <c r="F11" s="2257"/>
      <c r="G11" s="517">
        <f ca="1">SUM(INDIRECT(SUBSTITUTE(ADDRESS(1,COLUMN(G10)),1,"")&amp;ROW(G10)):INDIRECT(SUBSTITUTE(ADDRESS(1,COLUMN()),1,"")&amp;ROW()-1))</f>
        <v>0</v>
      </c>
      <c r="H11" s="517">
        <f ca="1">SUM(INDIRECT(SUBSTITUTE(ADDRESS(1,COLUMN(H10)),1,"")&amp;ROW(H10)):INDIRECT(SUBSTITUTE(ADDRESS(1,COLUMN()),1,"")&amp;ROW()-1))</f>
        <v>0</v>
      </c>
      <c r="I11" s="517">
        <f ca="1">SUM(INDIRECT(SUBSTITUTE(ADDRESS(1,COLUMN(I10)),1,"")&amp;ROW(I10)):INDIRECT(SUBSTITUTE(ADDRESS(1,COLUMN()),1,"")&amp;ROW()-1))</f>
        <v>0</v>
      </c>
      <c r="J11" s="517">
        <f ca="1">SUM(INDIRECT(SUBSTITUTE(ADDRESS(1,COLUMN(J10)),1,"")&amp;ROW(J10)):INDIRECT(SUBSTITUTE(ADDRESS(1,COLUMN()),1,"")&amp;ROW()-1))</f>
        <v>0</v>
      </c>
      <c r="K11" s="517">
        <f ca="1">SUM(INDIRECT(SUBSTITUTE(ADDRESS(1,COLUMN(K10)),1,"")&amp;ROW(K10)):INDIRECT(SUBSTITUTE(ADDRESS(1,COLUMN()),1,"")&amp;ROW()-1))</f>
        <v>0</v>
      </c>
      <c r="L11" s="517">
        <f ca="1">SUM(INDIRECT(SUBSTITUTE(ADDRESS(1,COLUMN(L10)),1,"")&amp;ROW(L10)):INDIRECT(SUBSTITUTE(ADDRESS(1,COLUMN()),1,"")&amp;ROW()-1))</f>
        <v>0</v>
      </c>
      <c r="M11" s="517">
        <f ca="1">SUM(INDIRECT(SUBSTITUTE(ADDRESS(1,COLUMN(M10)),1,"")&amp;ROW(M10)):INDIRECT(SUBSTITUTE(ADDRESS(1,COLUMN()),1,"")&amp;ROW()-1))</f>
        <v>0</v>
      </c>
      <c r="N11" s="517">
        <f ca="1">SUM(INDIRECT(SUBSTITUTE(ADDRESS(1,COLUMN(N10)),1,"")&amp;ROW(N10)):INDIRECT(SUBSTITUTE(ADDRESS(1,COLUMN()),1,"")&amp;ROW()-1))</f>
        <v>0</v>
      </c>
    </row>
  </sheetData>
  <sheetProtection algorithmName="SHA-512" hashValue="y8wich8oXbMjSHxWFeaUQOiRWuUvwDJvi7o5rZh9QJinz3kV0SUmp4OyQjQNBQuBWwkGvVY9D5SydMCymnKcdw==" saltValue="CuFhi2PnGaZaW+HJM+jh3w==" spinCount="100000" sheet="1" objects="1" scenarios="1" selectLockedCells="1"/>
  <mergeCells count="24">
    <mergeCell ref="M5:N5"/>
    <mergeCell ref="A1:N1"/>
    <mergeCell ref="M2:N2"/>
    <mergeCell ref="C3:N3"/>
    <mergeCell ref="B4:K4"/>
    <mergeCell ref="M4:N4"/>
    <mergeCell ref="C6:D6"/>
    <mergeCell ref="E6:F6"/>
    <mergeCell ref="C5:F5"/>
    <mergeCell ref="G5:H5"/>
    <mergeCell ref="I5:J5"/>
    <mergeCell ref="A11:F11"/>
    <mergeCell ref="M8:M9"/>
    <mergeCell ref="N8:N9"/>
    <mergeCell ref="B10:D10"/>
    <mergeCell ref="A7:N7"/>
    <mergeCell ref="A8:A9"/>
    <mergeCell ref="B8:D9"/>
    <mergeCell ref="E8:E9"/>
    <mergeCell ref="F8:F9"/>
    <mergeCell ref="G8:G9"/>
    <mergeCell ref="H8:J8"/>
    <mergeCell ref="K8:K9"/>
    <mergeCell ref="L8:L9"/>
  </mergeCells>
  <conditionalFormatting sqref="J10 G11:N11">
    <cfRule type="cellIs" dxfId="118" priority="3" operator="equal">
      <formula>0</formula>
    </cfRule>
  </conditionalFormatting>
  <conditionalFormatting sqref="N10">
    <cfRule type="cellIs" dxfId="117" priority="2" operator="equal">
      <formula>0</formula>
    </cfRule>
  </conditionalFormatting>
  <conditionalFormatting sqref="K10">
    <cfRule type="cellIs" dxfId="116" priority="1" operator="equal">
      <formula>0</formula>
    </cfRule>
  </conditionalFormatting>
  <dataValidations count="3">
    <dataValidation type="whole" allowBlank="1" showInputMessage="1" showErrorMessage="1" errorTitle="Attention!" error="Valeur numérique attendue" sqref="G10:I10 K10:L10" xr:uid="{B8D3CBC1-F611-4168-A28C-049803E89A68}">
      <formula1>-9999999999999</formula1>
      <formula2>9999999999999</formula2>
    </dataValidation>
    <dataValidation type="date" allowBlank="1" showInputMessage="1" showErrorMessage="1" sqref="F10" xr:uid="{F9FC6F3A-5DCE-4A49-ADA3-96448EBE15BB}">
      <formula1>29221</formula1>
      <formula2>109575</formula2>
    </dataValidation>
    <dataValidation allowBlank="1" showInputMessage="1" showErrorMessage="1" errorTitle="Attention!" error="Valeur numérique attendue" sqref="M10:N10" xr:uid="{2E2902E5-9E56-4F9D-A2AB-B43D68FA6FC3}"/>
  </dataValidations>
  <printOptions horizontalCentered="1"/>
  <pageMargins left="0.31496062992125984" right="0.31496062992125984" top="0.35433070866141736" bottom="0.35433070866141736" header="0.31496062992125984" footer="0.31496062992125984"/>
  <pageSetup paperSize="9" scale="7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82625" r:id="rId4" name="AjoutSUPPL4">
              <controlPr defaultSize="0" print="0" autoFill="0" autoPict="0" macro="[0]!AjoutSUPPL4_Cliquer">
                <anchor moveWithCells="1">
                  <from>
                    <xdr:col>14</xdr:col>
                    <xdr:colOff>259080</xdr:colOff>
                    <xdr:row>8</xdr:row>
                    <xdr:rowOff>22860</xdr:rowOff>
                  </from>
                  <to>
                    <xdr:col>15</xdr:col>
                    <xdr:colOff>708660</xdr:colOff>
                    <xdr:row>9</xdr:row>
                    <xdr:rowOff>0</xdr:rowOff>
                  </to>
                </anchor>
              </controlPr>
            </control>
          </mc:Choice>
        </mc:AlternateContent>
      </controls>
    </mc:Choice>
  </mc:AlternateConten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7B591-0D3E-4F51-8A26-A33EF44F63A1}">
  <sheetPr codeName="Feuil76">
    <tabColor rgb="FFC00000"/>
    <pageSetUpPr fitToPage="1"/>
  </sheetPr>
  <dimension ref="A1:Q15"/>
  <sheetViews>
    <sheetView showGridLines="0" showRowColHeaders="0" zoomScaleNormal="100" workbookViewId="0">
      <selection activeCell="D11" sqref="D11:E11"/>
    </sheetView>
  </sheetViews>
  <sheetFormatPr baseColWidth="10" defaultColWidth="11.5234375" defaultRowHeight="14.4"/>
  <cols>
    <col min="1" max="1" width="10.3125" style="103" customWidth="1"/>
    <col min="2" max="2" width="18.89453125" style="103" customWidth="1"/>
    <col min="3" max="3" width="6" style="103" customWidth="1"/>
    <col min="4" max="17" width="8.41796875" style="103" customWidth="1"/>
    <col min="18" max="16384" width="11.5234375" style="103"/>
  </cols>
  <sheetData>
    <row r="1" spans="1:17">
      <c r="A1" s="1276" t="str">
        <f>"- "&amp;Code!K75&amp;" -"</f>
        <v>- 45 -</v>
      </c>
      <c r="B1" s="1276"/>
      <c r="C1" s="1276"/>
      <c r="D1" s="1276"/>
      <c r="E1" s="1276"/>
      <c r="F1" s="1276"/>
      <c r="G1" s="1276"/>
      <c r="H1" s="1276"/>
      <c r="I1" s="1276"/>
      <c r="J1" s="1276"/>
      <c r="K1" s="1276"/>
      <c r="L1" s="1276"/>
      <c r="M1" s="1276"/>
      <c r="N1" s="1276"/>
      <c r="O1" s="1276"/>
      <c r="P1" s="1276"/>
      <c r="Q1" s="1276"/>
    </row>
    <row r="2" spans="1:17" ht="18" customHeight="1">
      <c r="A2" s="624"/>
      <c r="B2" s="624"/>
      <c r="C2" s="576"/>
      <c r="D2" s="576"/>
      <c r="E2" s="576"/>
      <c r="F2" s="576"/>
      <c r="G2" s="576"/>
      <c r="N2" s="303"/>
      <c r="O2" s="1671" t="s">
        <v>2909</v>
      </c>
      <c r="P2" s="1672"/>
      <c r="Q2" s="1673"/>
    </row>
    <row r="3" spans="1:17" s="626" customFormat="1" ht="15" customHeight="1">
      <c r="A3" s="317" t="s">
        <v>50</v>
      </c>
      <c r="B3" s="625"/>
      <c r="C3" s="1699" t="str">
        <f>'NOTES DGI - INS'!C3</f>
        <v>OHADA</v>
      </c>
      <c r="D3" s="1699"/>
      <c r="E3" s="1699"/>
      <c r="F3" s="1699"/>
      <c r="G3" s="1699"/>
      <c r="H3" s="1699"/>
      <c r="I3" s="1699"/>
      <c r="J3" s="1699"/>
      <c r="K3" s="1699"/>
      <c r="L3" s="1699"/>
      <c r="M3" s="1699"/>
      <c r="N3" s="1699"/>
      <c r="O3" s="1699"/>
      <c r="P3" s="1699"/>
      <c r="Q3" s="1699"/>
    </row>
    <row r="4" spans="1:17" s="626" customFormat="1" ht="15" customHeight="1">
      <c r="A4" s="317" t="s">
        <v>51</v>
      </c>
      <c r="B4" s="1699" t="str">
        <f>'NOTES DGI - INS'!B4</f>
        <v/>
      </c>
      <c r="C4" s="1699"/>
      <c r="D4" s="1699"/>
      <c r="E4" s="1699"/>
      <c r="F4" s="1699"/>
      <c r="G4" s="1699"/>
      <c r="H4" s="1699"/>
      <c r="I4" s="1699"/>
      <c r="J4" s="1699"/>
      <c r="K4" s="1699"/>
      <c r="L4" s="1699"/>
      <c r="M4" s="1699"/>
      <c r="N4" s="1677" t="s">
        <v>1021</v>
      </c>
      <c r="O4" s="1677"/>
      <c r="P4" s="1870" t="str">
        <f>'NOTES DGI - INS'!I4</f>
        <v/>
      </c>
      <c r="Q4" s="1870"/>
    </row>
    <row r="5" spans="1:17" s="626" customFormat="1" ht="15" customHeight="1">
      <c r="A5" s="317" t="s">
        <v>53</v>
      </c>
      <c r="C5" s="1699" t="str">
        <f>'NOTES DGI - INS'!C5</f>
        <v/>
      </c>
      <c r="D5" s="1699"/>
      <c r="E5" s="1699"/>
      <c r="F5" s="1699"/>
      <c r="G5" s="1699"/>
      <c r="H5" s="1699"/>
      <c r="I5" s="1677" t="s">
        <v>54</v>
      </c>
      <c r="J5" s="1677"/>
      <c r="K5" s="1875">
        <f>'NOTES DGI - INS'!F5</f>
        <v>0</v>
      </c>
      <c r="L5" s="1875"/>
      <c r="M5" s="1875"/>
      <c r="N5" s="1677" t="s">
        <v>55</v>
      </c>
      <c r="O5" s="1677"/>
      <c r="P5" s="1870">
        <f>'NOTES DGI - INS'!I5</f>
        <v>1</v>
      </c>
      <c r="Q5" s="1870"/>
    </row>
    <row r="6" spans="1:17" s="626" customFormat="1" ht="15" customHeight="1">
      <c r="A6" s="317" t="s">
        <v>1533</v>
      </c>
      <c r="C6" s="1275" t="str">
        <f>'NOTES DGI - INS'!C6</f>
        <v/>
      </c>
      <c r="D6" s="1275"/>
      <c r="E6" s="1275"/>
      <c r="F6" s="1275"/>
      <c r="G6" s="638"/>
      <c r="H6" s="638"/>
      <c r="I6" s="630"/>
      <c r="J6" s="630"/>
      <c r="K6" s="639"/>
      <c r="L6" s="629"/>
      <c r="M6" s="630"/>
      <c r="N6" s="630"/>
      <c r="O6" s="630"/>
      <c r="P6" s="629"/>
      <c r="Q6" s="629"/>
    </row>
    <row r="7" spans="1:17" ht="30" customHeight="1">
      <c r="A7" s="1788" t="s">
        <v>2600</v>
      </c>
      <c r="B7" s="1788"/>
      <c r="C7" s="1788"/>
      <c r="D7" s="1788"/>
      <c r="E7" s="1788"/>
      <c r="F7" s="1788"/>
      <c r="G7" s="1788"/>
      <c r="H7" s="1788"/>
      <c r="I7" s="1788"/>
      <c r="J7" s="1788"/>
      <c r="K7" s="1788"/>
      <c r="L7" s="1788"/>
      <c r="M7" s="1788"/>
      <c r="N7" s="1788"/>
      <c r="O7" s="1788"/>
      <c r="P7" s="1788"/>
      <c r="Q7" s="1788"/>
    </row>
    <row r="8" spans="1:17" s="640" customFormat="1" ht="56.25" customHeight="1">
      <c r="A8" s="1838"/>
      <c r="B8" s="1838"/>
      <c r="C8" s="1838"/>
      <c r="D8" s="1838" t="s">
        <v>1264</v>
      </c>
      <c r="E8" s="1838"/>
      <c r="F8" s="1838" t="s">
        <v>2910</v>
      </c>
      <c r="G8" s="1838"/>
      <c r="H8" s="1838" t="s">
        <v>2911</v>
      </c>
      <c r="I8" s="1838"/>
      <c r="J8" s="1838" t="s">
        <v>2912</v>
      </c>
      <c r="K8" s="1838"/>
      <c r="L8" s="1838" t="s">
        <v>1297</v>
      </c>
      <c r="M8" s="1838"/>
      <c r="N8" s="1838" t="s">
        <v>2913</v>
      </c>
      <c r="O8" s="1838"/>
      <c r="P8" s="1838" t="s">
        <v>2914</v>
      </c>
      <c r="Q8" s="1838"/>
    </row>
    <row r="9" spans="1:17" s="518" customFormat="1" ht="21" customHeight="1">
      <c r="A9" s="1929" t="s">
        <v>2915</v>
      </c>
      <c r="B9" s="1929"/>
      <c r="C9" s="1929"/>
      <c r="D9" s="2266"/>
      <c r="E9" s="2266"/>
      <c r="F9" s="2266"/>
      <c r="G9" s="2266"/>
      <c r="H9" s="2266"/>
      <c r="I9" s="2266"/>
      <c r="J9" s="2266"/>
      <c r="K9" s="2266"/>
      <c r="L9" s="2266"/>
      <c r="M9" s="2266"/>
      <c r="N9" s="2265">
        <f t="shared" ref="N9:N14" si="0">SUM(D9:M9)</f>
        <v>0</v>
      </c>
      <c r="O9" s="2265"/>
      <c r="P9" s="2266"/>
      <c r="Q9" s="2266"/>
    </row>
    <row r="10" spans="1:17" s="518" customFormat="1" ht="21" customHeight="1">
      <c r="A10" s="1929" t="s">
        <v>2916</v>
      </c>
      <c r="B10" s="1929"/>
      <c r="C10" s="1929"/>
      <c r="D10" s="2266"/>
      <c r="E10" s="2266"/>
      <c r="F10" s="2266"/>
      <c r="G10" s="2266"/>
      <c r="H10" s="2266"/>
      <c r="I10" s="2266"/>
      <c r="J10" s="2266"/>
      <c r="K10" s="2266"/>
      <c r="L10" s="2266"/>
      <c r="M10" s="2266"/>
      <c r="N10" s="2265">
        <f t="shared" si="0"/>
        <v>0</v>
      </c>
      <c r="O10" s="2265"/>
      <c r="P10" s="2266"/>
      <c r="Q10" s="2266"/>
    </row>
    <row r="11" spans="1:17" s="518" customFormat="1" ht="21" customHeight="1">
      <c r="A11" s="1929" t="s">
        <v>2917</v>
      </c>
      <c r="B11" s="1929"/>
      <c r="C11" s="1929"/>
      <c r="D11" s="2266"/>
      <c r="E11" s="2266"/>
      <c r="F11" s="2266"/>
      <c r="G11" s="2266"/>
      <c r="H11" s="2266"/>
      <c r="I11" s="2266"/>
      <c r="J11" s="2266"/>
      <c r="K11" s="2266"/>
      <c r="L11" s="2266"/>
      <c r="M11" s="2266"/>
      <c r="N11" s="2265">
        <f t="shared" si="0"/>
        <v>0</v>
      </c>
      <c r="O11" s="2265"/>
      <c r="P11" s="2266"/>
      <c r="Q11" s="2266"/>
    </row>
    <row r="12" spans="1:17" s="518" customFormat="1" ht="21" customHeight="1">
      <c r="A12" s="1929" t="s">
        <v>2918</v>
      </c>
      <c r="B12" s="1929"/>
      <c r="C12" s="1929"/>
      <c r="D12" s="2266"/>
      <c r="E12" s="2266"/>
      <c r="F12" s="2266"/>
      <c r="G12" s="2266"/>
      <c r="H12" s="2266"/>
      <c r="I12" s="2266"/>
      <c r="J12" s="2266"/>
      <c r="K12" s="2266"/>
      <c r="L12" s="2266"/>
      <c r="M12" s="2266"/>
      <c r="N12" s="2265">
        <f t="shared" si="0"/>
        <v>0</v>
      </c>
      <c r="O12" s="2265"/>
      <c r="P12" s="2266"/>
      <c r="Q12" s="2266"/>
    </row>
    <row r="13" spans="1:17" s="518" customFormat="1" ht="21" customHeight="1">
      <c r="A13" s="1929" t="s">
        <v>2919</v>
      </c>
      <c r="B13" s="1929"/>
      <c r="C13" s="1929"/>
      <c r="D13" s="2266"/>
      <c r="E13" s="2266"/>
      <c r="F13" s="2266"/>
      <c r="G13" s="2266"/>
      <c r="H13" s="2266"/>
      <c r="I13" s="2266"/>
      <c r="J13" s="2266"/>
      <c r="K13" s="2266"/>
      <c r="L13" s="2266"/>
      <c r="M13" s="2266"/>
      <c r="N13" s="2265">
        <f t="shared" si="0"/>
        <v>0</v>
      </c>
      <c r="O13" s="2265"/>
      <c r="P13" s="2266"/>
      <c r="Q13" s="2266"/>
    </row>
    <row r="14" spans="1:17" s="518" customFormat="1" ht="21" customHeight="1">
      <c r="A14" s="1929" t="s">
        <v>2920</v>
      </c>
      <c r="B14" s="1929"/>
      <c r="C14" s="1929"/>
      <c r="D14" s="2266"/>
      <c r="E14" s="2266"/>
      <c r="F14" s="2266"/>
      <c r="G14" s="2266"/>
      <c r="H14" s="2266"/>
      <c r="I14" s="2266"/>
      <c r="J14" s="2266"/>
      <c r="K14" s="2266"/>
      <c r="L14" s="2266"/>
      <c r="M14" s="2266"/>
      <c r="N14" s="2265">
        <f t="shared" si="0"/>
        <v>0</v>
      </c>
      <c r="O14" s="2265"/>
      <c r="P14" s="2266"/>
      <c r="Q14" s="2266"/>
    </row>
    <row r="15" spans="1:17" s="518" customFormat="1" ht="21" customHeight="1">
      <c r="A15" s="2264" t="s">
        <v>2921</v>
      </c>
      <c r="B15" s="2264"/>
      <c r="C15" s="2264"/>
      <c r="D15" s="2263">
        <f>SUM(D9:E14)</f>
        <v>0</v>
      </c>
      <c r="E15" s="2263"/>
      <c r="F15" s="2263">
        <f>SUM(F9:G14)</f>
        <v>0</v>
      </c>
      <c r="G15" s="2263"/>
      <c r="H15" s="2263">
        <f>SUM(H9:I14)</f>
        <v>0</v>
      </c>
      <c r="I15" s="2263"/>
      <c r="J15" s="2263">
        <f>SUM(J9:K14)</f>
        <v>0</v>
      </c>
      <c r="K15" s="2263"/>
      <c r="L15" s="2263">
        <f>SUM(L9:M14)</f>
        <v>0</v>
      </c>
      <c r="M15" s="2263"/>
      <c r="N15" s="2263">
        <f>SUM(N9:O14)</f>
        <v>0</v>
      </c>
      <c r="O15" s="2263"/>
      <c r="P15" s="2263">
        <f>SUM(P9:Q14)</f>
        <v>0</v>
      </c>
      <c r="Q15" s="2263"/>
    </row>
  </sheetData>
  <sheetProtection algorithmName="SHA-512" hashValue="swPvJ7RP2jf6ZKTJAuyF1W3u3YtACoK3D5dyd5Mh5g0SdBlsMq3VTFlu6nQI+lYEIdJDVEQyx/0INENkAr7swg==" saltValue="BpsOobcCCzF1esMCP/sxFA==" spinCount="100000" sheet="1" objects="1" scenarios="1" selectLockedCells="1"/>
  <mergeCells count="78">
    <mergeCell ref="C6:D6"/>
    <mergeCell ref="E6:F6"/>
    <mergeCell ref="C5:H5"/>
    <mergeCell ref="I5:J5"/>
    <mergeCell ref="K5:M5"/>
    <mergeCell ref="N5:O5"/>
    <mergeCell ref="P5:Q5"/>
    <mergeCell ref="A1:Q1"/>
    <mergeCell ref="O2:Q2"/>
    <mergeCell ref="C3:Q3"/>
    <mergeCell ref="B4:M4"/>
    <mergeCell ref="N4:O4"/>
    <mergeCell ref="P4:Q4"/>
    <mergeCell ref="A7:Q7"/>
    <mergeCell ref="A8:C8"/>
    <mergeCell ref="D8:E8"/>
    <mergeCell ref="F8:G8"/>
    <mergeCell ref="H8:I8"/>
    <mergeCell ref="J8:K8"/>
    <mergeCell ref="L8:M8"/>
    <mergeCell ref="N8:O8"/>
    <mergeCell ref="P8:Q8"/>
    <mergeCell ref="N9:O9"/>
    <mergeCell ref="P9:Q9"/>
    <mergeCell ref="A10:C10"/>
    <mergeCell ref="D10:E10"/>
    <mergeCell ref="F10:G10"/>
    <mergeCell ref="H10:I10"/>
    <mergeCell ref="J10:K10"/>
    <mergeCell ref="L10:M10"/>
    <mergeCell ref="N10:O10"/>
    <mergeCell ref="P10:Q10"/>
    <mergeCell ref="A9:C9"/>
    <mergeCell ref="D9:E9"/>
    <mergeCell ref="F9:G9"/>
    <mergeCell ref="H9:I9"/>
    <mergeCell ref="J9:K9"/>
    <mergeCell ref="L9:M9"/>
    <mergeCell ref="N11:O11"/>
    <mergeCell ref="P11:Q11"/>
    <mergeCell ref="A12:C12"/>
    <mergeCell ref="D12:E12"/>
    <mergeCell ref="F12:G12"/>
    <mergeCell ref="H12:I12"/>
    <mergeCell ref="J12:K12"/>
    <mergeCell ref="L12:M12"/>
    <mergeCell ref="N12:O12"/>
    <mergeCell ref="P12:Q12"/>
    <mergeCell ref="A11:C11"/>
    <mergeCell ref="D11:E11"/>
    <mergeCell ref="F11:G11"/>
    <mergeCell ref="H11:I11"/>
    <mergeCell ref="J11:K11"/>
    <mergeCell ref="L11:M11"/>
    <mergeCell ref="N13:O13"/>
    <mergeCell ref="P13:Q13"/>
    <mergeCell ref="A14:C14"/>
    <mergeCell ref="D14:E14"/>
    <mergeCell ref="F14:G14"/>
    <mergeCell ref="H14:I14"/>
    <mergeCell ref="J14:K14"/>
    <mergeCell ref="L14:M14"/>
    <mergeCell ref="N14:O14"/>
    <mergeCell ref="P14:Q14"/>
    <mergeCell ref="A13:C13"/>
    <mergeCell ref="D13:E13"/>
    <mergeCell ref="F13:G13"/>
    <mergeCell ref="H13:I13"/>
    <mergeCell ref="J13:K13"/>
    <mergeCell ref="L13:M13"/>
    <mergeCell ref="N15:O15"/>
    <mergeCell ref="P15:Q15"/>
    <mergeCell ref="A15:C15"/>
    <mergeCell ref="D15:E15"/>
    <mergeCell ref="F15:G15"/>
    <mergeCell ref="H15:I15"/>
    <mergeCell ref="J15:K15"/>
    <mergeCell ref="L15:M15"/>
  </mergeCells>
  <conditionalFormatting sqref="D15:M15 N9:O15 P15:Q15">
    <cfRule type="cellIs" dxfId="115" priority="1" operator="equal">
      <formula>0</formula>
    </cfRule>
  </conditionalFormatting>
  <dataValidations count="1">
    <dataValidation type="whole" allowBlank="1" showInputMessage="1" showErrorMessage="1" errorTitle="Attention!" error="Valeur numérique attendue" sqref="D9:M14 P9:Q14" xr:uid="{BB158311-7662-42D7-8D31-CE0C168633F9}">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landscape"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ACDF-474D-4AF7-B53B-756FFEA2AEF5}">
  <sheetPr codeName="Feuil77">
    <tabColor rgb="FFC00000"/>
    <pageSetUpPr fitToPage="1"/>
  </sheetPr>
  <dimension ref="A1:H29"/>
  <sheetViews>
    <sheetView showGridLines="0" showRowColHeaders="0" zoomScaleNormal="100" workbookViewId="0">
      <selection activeCell="G9" sqref="G9"/>
    </sheetView>
  </sheetViews>
  <sheetFormatPr baseColWidth="10" defaultColWidth="11.5234375" defaultRowHeight="14.4"/>
  <cols>
    <col min="1" max="1" width="11.5234375" style="103"/>
    <col min="2" max="2" width="17.68359375" style="103" customWidth="1"/>
    <col min="3" max="3" width="11.5234375" style="103"/>
    <col min="4" max="4" width="4.68359375" style="103" customWidth="1"/>
    <col min="5" max="5" width="13.68359375" style="103" customWidth="1"/>
    <col min="6" max="6" width="11.5234375" style="103"/>
    <col min="7" max="8" width="18.1015625" style="103" customWidth="1"/>
    <col min="9" max="16384" width="11.5234375" style="103"/>
  </cols>
  <sheetData>
    <row r="1" spans="1:8">
      <c r="A1" s="1276" t="str">
        <f>"- "&amp;Code!K76&amp;" -"</f>
        <v>- 45 -</v>
      </c>
      <c r="B1" s="1276"/>
      <c r="C1" s="1276"/>
      <c r="D1" s="1276"/>
      <c r="E1" s="1276"/>
      <c r="F1" s="1276"/>
      <c r="G1" s="1276"/>
      <c r="H1" s="1276"/>
    </row>
    <row r="2" spans="1:8" ht="18" customHeight="1">
      <c r="A2" s="2273"/>
      <c r="B2" s="2273"/>
      <c r="C2" s="576"/>
      <c r="D2" s="576"/>
      <c r="E2" s="576"/>
      <c r="F2" s="576"/>
      <c r="G2" s="1278" t="s">
        <v>2922</v>
      </c>
      <c r="H2" s="1279"/>
    </row>
    <row r="3" spans="1:8" s="626" customFormat="1" ht="21.9" customHeight="1">
      <c r="A3" s="317" t="s">
        <v>50</v>
      </c>
      <c r="B3" s="625"/>
      <c r="C3" s="1280" t="str">
        <f>'NOTES DGI - INS'!C3</f>
        <v>OHADA</v>
      </c>
      <c r="D3" s="1280"/>
      <c r="E3" s="1280"/>
      <c r="F3" s="1280"/>
      <c r="G3" s="1280"/>
      <c r="H3" s="1280"/>
    </row>
    <row r="4" spans="1:8" s="626" customFormat="1" ht="15" customHeight="1">
      <c r="A4" s="317" t="s">
        <v>51</v>
      </c>
      <c r="B4" s="1280" t="str">
        <f>'NOTES DGI - INS'!B4</f>
        <v/>
      </c>
      <c r="C4" s="1280"/>
      <c r="D4" s="1280"/>
      <c r="E4" s="1280"/>
      <c r="F4" s="1280"/>
      <c r="G4" s="627" t="s">
        <v>1021</v>
      </c>
      <c r="H4" s="628" t="str">
        <f>'NOTES DGI - INS'!I4</f>
        <v/>
      </c>
    </row>
    <row r="5" spans="1:8" s="626" customFormat="1" ht="15" customHeight="1">
      <c r="A5" s="317" t="s">
        <v>53</v>
      </c>
      <c r="C5" s="1281" t="str">
        <f>'NOTES DGI - INS'!C5</f>
        <v/>
      </c>
      <c r="D5" s="1281"/>
      <c r="E5" s="627" t="s">
        <v>54</v>
      </c>
      <c r="F5" s="633">
        <f>'NOTES DGI - INS'!F5</f>
        <v>0</v>
      </c>
      <c r="G5" s="627" t="s">
        <v>55</v>
      </c>
      <c r="H5" s="628">
        <f>'NOTES DGI - INS'!I5</f>
        <v>1</v>
      </c>
    </row>
    <row r="6" spans="1:8" s="626" customFormat="1" ht="15" customHeight="1">
      <c r="A6" s="317" t="s">
        <v>1533</v>
      </c>
      <c r="C6" s="1275" t="str">
        <f>'NOTES DGI - INS'!C6</f>
        <v/>
      </c>
      <c r="D6" s="1275"/>
      <c r="E6" s="629"/>
      <c r="F6" s="630"/>
      <c r="G6" s="629"/>
      <c r="H6" s="630"/>
    </row>
    <row r="7" spans="1:8" ht="42" customHeight="1">
      <c r="A7" s="1481" t="s">
        <v>2923</v>
      </c>
      <c r="B7" s="1273"/>
      <c r="C7" s="1273"/>
      <c r="D7" s="1273"/>
      <c r="E7" s="1273"/>
      <c r="F7" s="1273"/>
      <c r="G7" s="1273"/>
      <c r="H7" s="1273"/>
    </row>
    <row r="8" spans="1:8" ht="36" customHeight="1">
      <c r="A8" s="2272"/>
      <c r="B8" s="2272"/>
      <c r="C8" s="2272"/>
      <c r="D8" s="2272"/>
      <c r="E8" s="2272"/>
      <c r="F8" s="2272"/>
      <c r="G8" s="634" t="s">
        <v>2924</v>
      </c>
      <c r="H8" s="634" t="s">
        <v>2925</v>
      </c>
    </row>
    <row r="9" spans="1:8" ht="20.25" customHeight="1">
      <c r="A9" s="2267" t="s">
        <v>2926</v>
      </c>
      <c r="B9" s="2267"/>
      <c r="C9" s="2267"/>
      <c r="D9" s="2267"/>
      <c r="E9" s="2267"/>
      <c r="F9" s="2267"/>
      <c r="G9" s="519"/>
      <c r="H9" s="519"/>
    </row>
    <row r="10" spans="1:8" ht="20.25" customHeight="1">
      <c r="A10" s="2267" t="s">
        <v>2927</v>
      </c>
      <c r="B10" s="2267"/>
      <c r="C10" s="2267"/>
      <c r="D10" s="2267"/>
      <c r="E10" s="2267"/>
      <c r="F10" s="2267"/>
      <c r="G10" s="519"/>
      <c r="H10" s="519"/>
    </row>
    <row r="11" spans="1:8" ht="20.25" customHeight="1">
      <c r="A11" s="2267" t="s">
        <v>2928</v>
      </c>
      <c r="B11" s="2267"/>
      <c r="C11" s="2267"/>
      <c r="D11" s="2267"/>
      <c r="E11" s="2267"/>
      <c r="F11" s="2267"/>
      <c r="G11" s="519"/>
      <c r="H11" s="519"/>
    </row>
    <row r="12" spans="1:8" ht="20.25" customHeight="1">
      <c r="A12" s="2267" t="s">
        <v>2929</v>
      </c>
      <c r="B12" s="2267"/>
      <c r="C12" s="2267"/>
      <c r="D12" s="2267"/>
      <c r="E12" s="2267"/>
      <c r="F12" s="2267"/>
      <c r="G12" s="519"/>
      <c r="H12" s="519"/>
    </row>
    <row r="13" spans="1:8" ht="20.25" customHeight="1">
      <c r="A13" s="2267" t="s">
        <v>2930</v>
      </c>
      <c r="B13" s="2267"/>
      <c r="C13" s="2267"/>
      <c r="D13" s="2267"/>
      <c r="E13" s="2267"/>
      <c r="F13" s="2267"/>
      <c r="G13" s="519"/>
      <c r="H13" s="519"/>
    </row>
    <row r="14" spans="1:8" ht="20.25" customHeight="1">
      <c r="A14" s="2267" t="s">
        <v>2931</v>
      </c>
      <c r="B14" s="2267"/>
      <c r="C14" s="2267"/>
      <c r="D14" s="2267"/>
      <c r="E14" s="2267"/>
      <c r="F14" s="2267"/>
      <c r="G14" s="519"/>
      <c r="H14" s="519"/>
    </row>
    <row r="15" spans="1:8" ht="20.25" customHeight="1">
      <c r="A15" s="2267" t="s">
        <v>2932</v>
      </c>
      <c r="B15" s="2267"/>
      <c r="C15" s="2267"/>
      <c r="D15" s="2267"/>
      <c r="E15" s="2267"/>
      <c r="F15" s="2267"/>
      <c r="G15" s="519"/>
      <c r="H15" s="519"/>
    </row>
    <row r="16" spans="1:8" ht="20.25" customHeight="1">
      <c r="A16" s="2267" t="s">
        <v>2933</v>
      </c>
      <c r="B16" s="2267"/>
      <c r="C16" s="2267"/>
      <c r="D16" s="2267"/>
      <c r="E16" s="2267"/>
      <c r="F16" s="2267"/>
      <c r="G16" s="519"/>
      <c r="H16" s="519"/>
    </row>
    <row r="17" spans="1:8" ht="20.25" customHeight="1">
      <c r="A17" s="2267" t="s">
        <v>2934</v>
      </c>
      <c r="B17" s="2267"/>
      <c r="C17" s="2267"/>
      <c r="D17" s="2267"/>
      <c r="E17" s="2267"/>
      <c r="F17" s="2267"/>
      <c r="G17" s="519"/>
      <c r="H17" s="519"/>
    </row>
    <row r="18" spans="1:8" ht="20.25" customHeight="1">
      <c r="A18" s="2267" t="s">
        <v>2935</v>
      </c>
      <c r="B18" s="2267"/>
      <c r="C18" s="2267"/>
      <c r="D18" s="2267"/>
      <c r="E18" s="2267"/>
      <c r="F18" s="2267"/>
      <c r="G18" s="519"/>
      <c r="H18" s="519"/>
    </row>
    <row r="19" spans="1:8" ht="20.25" customHeight="1">
      <c r="A19" s="2267" t="s">
        <v>2936</v>
      </c>
      <c r="B19" s="2267"/>
      <c r="C19" s="2267"/>
      <c r="D19" s="2267"/>
      <c r="E19" s="2267"/>
      <c r="F19" s="2267"/>
      <c r="G19" s="519"/>
      <c r="H19" s="519"/>
    </row>
    <row r="20" spans="1:8" ht="20.25" customHeight="1">
      <c r="A20" s="2267" t="s">
        <v>2937</v>
      </c>
      <c r="B20" s="2267"/>
      <c r="C20" s="2267"/>
      <c r="D20" s="2267"/>
      <c r="E20" s="2267"/>
      <c r="F20" s="2267"/>
      <c r="G20" s="519"/>
      <c r="H20" s="519"/>
    </row>
    <row r="21" spans="1:8" ht="20.25" customHeight="1">
      <c r="A21" s="2267" t="s">
        <v>2938</v>
      </c>
      <c r="B21" s="2267"/>
      <c r="C21" s="2267"/>
      <c r="D21" s="2267"/>
      <c r="E21" s="2267"/>
      <c r="F21" s="2267"/>
      <c r="G21" s="519"/>
      <c r="H21" s="519"/>
    </row>
    <row r="22" spans="1:8" ht="20.25" customHeight="1">
      <c r="A22" s="2267" t="s">
        <v>2939</v>
      </c>
      <c r="B22" s="2267"/>
      <c r="C22" s="2267"/>
      <c r="D22" s="2267"/>
      <c r="E22" s="2267"/>
      <c r="F22" s="2267"/>
      <c r="G22" s="519"/>
      <c r="H22" s="519"/>
    </row>
    <row r="23" spans="1:8" ht="20.25" customHeight="1">
      <c r="A23" s="2267" t="s">
        <v>2940</v>
      </c>
      <c r="B23" s="2267"/>
      <c r="C23" s="2267"/>
      <c r="D23" s="2267"/>
      <c r="E23" s="2267"/>
      <c r="F23" s="2267"/>
      <c r="G23" s="519"/>
      <c r="H23" s="519"/>
    </row>
    <row r="24" spans="1:8" ht="20.25" customHeight="1">
      <c r="A24" s="2267" t="s">
        <v>2941</v>
      </c>
      <c r="B24" s="2267"/>
      <c r="C24" s="2267"/>
      <c r="D24" s="2267"/>
      <c r="E24" s="2267"/>
      <c r="F24" s="2267"/>
      <c r="G24" s="519"/>
      <c r="H24" s="519"/>
    </row>
    <row r="25" spans="1:8" ht="20.25" customHeight="1">
      <c r="A25" s="2267" t="s">
        <v>2942</v>
      </c>
      <c r="B25" s="2267"/>
      <c r="C25" s="2267"/>
      <c r="D25" s="2267"/>
      <c r="E25" s="2267"/>
      <c r="F25" s="2267"/>
      <c r="G25" s="519"/>
      <c r="H25" s="519"/>
    </row>
    <row r="26" spans="1:8" ht="20.25" customHeight="1">
      <c r="A26" s="2268" t="s">
        <v>9224</v>
      </c>
      <c r="B26" s="2268"/>
      <c r="C26" s="2268"/>
      <c r="D26" s="2269"/>
      <c r="E26" s="2270"/>
      <c r="F26" s="2271"/>
      <c r="G26" s="520">
        <f>SUM(G9:G25)</f>
        <v>0</v>
      </c>
      <c r="H26" s="520">
        <f>SUM(H9:H25)</f>
        <v>0</v>
      </c>
    </row>
    <row r="27" spans="1:8" ht="3" customHeight="1">
      <c r="A27" s="635"/>
      <c r="B27" s="635"/>
      <c r="C27" s="635"/>
      <c r="D27" s="635"/>
      <c r="E27" s="635"/>
      <c r="F27" s="635"/>
      <c r="G27" s="636"/>
      <c r="H27" s="636"/>
    </row>
    <row r="28" spans="1:8">
      <c r="A28" s="637" t="s">
        <v>2944</v>
      </c>
      <c r="B28" s="635"/>
      <c r="C28" s="635"/>
      <c r="D28" s="635"/>
      <c r="E28" s="635"/>
      <c r="F28" s="635"/>
      <c r="G28" s="636"/>
      <c r="H28" s="636"/>
    </row>
    <row r="29" spans="1:8">
      <c r="A29" s="635"/>
      <c r="B29" s="635"/>
      <c r="C29" s="635"/>
      <c r="D29" s="635"/>
      <c r="E29" s="635"/>
      <c r="F29" s="635"/>
      <c r="G29" s="636"/>
      <c r="H29" s="636"/>
    </row>
  </sheetData>
  <sheetProtection algorithmName="SHA-512" hashValue="28/4/IBrJlp1RvBDwmyGj1+hVofO/P6RdvhMAcVOE74AUo50+x5/9csD5peKBferPj4KsH+xzrI5qlSX3S32VQ==" saltValue="LFAvt+GFMGKipVGd9EPXtQ==" spinCount="100000" sheet="1" objects="1" scenarios="1" selectLockedCells="1"/>
  <mergeCells count="28">
    <mergeCell ref="C5:D5"/>
    <mergeCell ref="A1:H1"/>
    <mergeCell ref="A2:B2"/>
    <mergeCell ref="G2:H2"/>
    <mergeCell ref="C3:H3"/>
    <mergeCell ref="B4:F4"/>
    <mergeCell ref="A17:F17"/>
    <mergeCell ref="C6:D6"/>
    <mergeCell ref="A7:H7"/>
    <mergeCell ref="A8:F8"/>
    <mergeCell ref="A9:F9"/>
    <mergeCell ref="A10:F10"/>
    <mergeCell ref="A11:F11"/>
    <mergeCell ref="A12:F12"/>
    <mergeCell ref="A13:F13"/>
    <mergeCell ref="A14:F14"/>
    <mergeCell ref="A15:F15"/>
    <mergeCell ref="A16:F16"/>
    <mergeCell ref="A24:F24"/>
    <mergeCell ref="A25:F25"/>
    <mergeCell ref="A26:D26"/>
    <mergeCell ref="E26:F26"/>
    <mergeCell ref="A18:F18"/>
    <mergeCell ref="A19:F19"/>
    <mergeCell ref="A20:F20"/>
    <mergeCell ref="A21:F21"/>
    <mergeCell ref="A22:F22"/>
    <mergeCell ref="A23:F23"/>
  </mergeCells>
  <conditionalFormatting sqref="G26:H26">
    <cfRule type="cellIs" dxfId="114" priority="1" operator="equal">
      <formula>0</formula>
    </cfRule>
  </conditionalFormatting>
  <dataValidations count="1">
    <dataValidation type="whole" allowBlank="1" showInputMessage="1" showErrorMessage="1" errorTitle="Attention!" error="Valeur numérique attendue" sqref="G9:H25" xr:uid="{9FDD32D6-95E9-4A05-82FA-A3976FFCDAA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16AEE-B9FE-46E8-B453-978731687C2B}">
  <sheetPr codeName="Feuil78">
    <tabColor rgb="FFC00000"/>
    <pageSetUpPr fitToPage="1"/>
  </sheetPr>
  <dimension ref="A1:I11"/>
  <sheetViews>
    <sheetView showGridLines="0" showRowColHeaders="0" topLeftCell="G14" zoomScaleNormal="100" workbookViewId="0">
      <selection activeCell="A9" sqref="A9:G9"/>
    </sheetView>
  </sheetViews>
  <sheetFormatPr baseColWidth="10" defaultColWidth="11.41796875" defaultRowHeight="14.4"/>
  <cols>
    <col min="1" max="1" width="11.41796875" style="103"/>
    <col min="2" max="2" width="17" style="103" customWidth="1"/>
    <col min="3" max="4" width="11.41796875" style="103"/>
    <col min="5" max="5" width="14.1015625" style="103" customWidth="1"/>
    <col min="6" max="6" width="11.41796875" style="103"/>
    <col min="7" max="7" width="7.41796875" style="103" customWidth="1"/>
    <col min="8" max="9" width="15.3125" style="103" customWidth="1"/>
    <col min="10" max="16384" width="11.41796875" style="103"/>
  </cols>
  <sheetData>
    <row r="1" spans="1:9">
      <c r="A1" s="1276" t="str">
        <f>"- "&amp;Code!K77&amp;" -"</f>
        <v>- 46 -</v>
      </c>
      <c r="B1" s="1276"/>
      <c r="C1" s="1276"/>
      <c r="D1" s="1276"/>
      <c r="E1" s="1276"/>
      <c r="F1" s="1276"/>
      <c r="G1" s="1276"/>
      <c r="H1" s="1276"/>
      <c r="I1" s="1276"/>
    </row>
    <row r="2" spans="1:9" ht="18" customHeight="1">
      <c r="A2" s="624"/>
      <c r="B2" s="624"/>
      <c r="C2" s="576"/>
      <c r="D2" s="576"/>
      <c r="E2" s="576"/>
      <c r="F2" s="576"/>
      <c r="H2" s="1278" t="s">
        <v>2945</v>
      </c>
      <c r="I2" s="1279"/>
    </row>
    <row r="3" spans="1:9" s="626" customFormat="1" ht="15" customHeight="1">
      <c r="A3" s="317" t="s">
        <v>50</v>
      </c>
      <c r="B3" s="625"/>
      <c r="C3" s="1699" t="str">
        <f>'NOTES DGI - INS'!C3</f>
        <v>OHADA</v>
      </c>
      <c r="D3" s="1699"/>
      <c r="E3" s="1699"/>
      <c r="F3" s="1699"/>
      <c r="G3" s="1699"/>
      <c r="H3" s="1699"/>
      <c r="I3" s="1699"/>
    </row>
    <row r="4" spans="1:9" s="626" customFormat="1" ht="15" customHeight="1">
      <c r="A4" s="317" t="s">
        <v>51</v>
      </c>
      <c r="B4" s="1699" t="str">
        <f>'NOTES DGI - INS'!B4</f>
        <v/>
      </c>
      <c r="C4" s="1699"/>
      <c r="D4" s="1699"/>
      <c r="E4" s="1699"/>
      <c r="F4" s="1699"/>
      <c r="G4" s="1699"/>
      <c r="H4" s="627" t="s">
        <v>1021</v>
      </c>
      <c r="I4" s="628" t="str">
        <f>'NOTES DGI - INS'!I4</f>
        <v/>
      </c>
    </row>
    <row r="5" spans="1:9" s="626" customFormat="1" ht="15" customHeight="1">
      <c r="A5" s="317" t="s">
        <v>53</v>
      </c>
      <c r="C5" s="1280" t="str">
        <f>'NOTES DGI - INS'!C5</f>
        <v/>
      </c>
      <c r="D5" s="1280"/>
      <c r="E5" s="627" t="s">
        <v>54</v>
      </c>
      <c r="F5" s="1724">
        <f>'NOTES DGI - INS'!F5</f>
        <v>0</v>
      </c>
      <c r="G5" s="1724"/>
      <c r="H5" s="627" t="s">
        <v>55</v>
      </c>
      <c r="I5" s="628">
        <f>'NOTES DGI - INS'!I5</f>
        <v>1</v>
      </c>
    </row>
    <row r="6" spans="1:9" s="626" customFormat="1" ht="15" customHeight="1">
      <c r="A6" s="317" t="s">
        <v>1533</v>
      </c>
      <c r="C6" s="1275" t="str">
        <f>'NOTES DGI - INS'!C6</f>
        <v/>
      </c>
      <c r="D6" s="1275"/>
      <c r="E6" s="629"/>
      <c r="F6" s="630"/>
      <c r="G6" s="630"/>
      <c r="H6" s="629"/>
      <c r="I6" s="630"/>
    </row>
    <row r="7" spans="1:9" ht="42" customHeight="1">
      <c r="A7" s="1481" t="s">
        <v>2946</v>
      </c>
      <c r="B7" s="1481"/>
      <c r="C7" s="1481"/>
      <c r="D7" s="1481"/>
      <c r="E7" s="1481"/>
      <c r="F7" s="1481"/>
      <c r="G7" s="1481"/>
      <c r="H7" s="1481"/>
      <c r="I7" s="1481"/>
    </row>
    <row r="8" spans="1:9" ht="28.95" customHeight="1">
      <c r="A8" s="2276" t="s">
        <v>2947</v>
      </c>
      <c r="B8" s="2276"/>
      <c r="C8" s="2276"/>
      <c r="D8" s="2276"/>
      <c r="E8" s="2276"/>
      <c r="F8" s="2276"/>
      <c r="G8" s="2276"/>
      <c r="H8" s="631" t="s">
        <v>2948</v>
      </c>
      <c r="I8" s="631" t="s">
        <v>2949</v>
      </c>
    </row>
    <row r="9" spans="1:9">
      <c r="A9" s="2275"/>
      <c r="B9" s="2275"/>
      <c r="C9" s="2275"/>
      <c r="D9" s="2275"/>
      <c r="E9" s="2275"/>
      <c r="F9" s="2275"/>
      <c r="G9" s="2275"/>
      <c r="H9" s="521"/>
      <c r="I9" s="521"/>
    </row>
    <row r="10" spans="1:9" ht="28.95" customHeight="1">
      <c r="A10" s="2274" t="s">
        <v>2950</v>
      </c>
      <c r="B10" s="2274"/>
      <c r="C10" s="2274"/>
      <c r="D10" s="2274"/>
      <c r="E10" s="2274"/>
      <c r="F10" s="2274"/>
      <c r="G10" s="2274"/>
      <c r="H10" s="632" t="s">
        <v>2948</v>
      </c>
      <c r="I10" s="632" t="s">
        <v>2949</v>
      </c>
    </row>
    <row r="11" spans="1:9">
      <c r="A11" s="2275"/>
      <c r="B11" s="2275"/>
      <c r="C11" s="2275"/>
      <c r="D11" s="2275"/>
      <c r="E11" s="2275"/>
      <c r="F11" s="2275"/>
      <c r="G11" s="2275"/>
      <c r="H11" s="521"/>
      <c r="I11" s="521"/>
    </row>
  </sheetData>
  <sheetProtection algorithmName="SHA-512" hashValue="kzNXsrkMOGItWqRv+mVdeMO7etKdZj9mbIlcsKb+6Qw1GdZiaH+7I10r/a9r1p1Pz1d5n+J/OCyhpZEJTzEmfQ==" saltValue="zTz5YtE2GK3j3gtg3UKtqw==" spinCount="100000" sheet="1" objects="1" scenarios="1" selectLockedCells="1"/>
  <mergeCells count="12">
    <mergeCell ref="A1:I1"/>
    <mergeCell ref="H2:I2"/>
    <mergeCell ref="C3:I3"/>
    <mergeCell ref="B4:G4"/>
    <mergeCell ref="C5:D5"/>
    <mergeCell ref="F5:G5"/>
    <mergeCell ref="A10:G10"/>
    <mergeCell ref="A11:G11"/>
    <mergeCell ref="C6:D6"/>
    <mergeCell ref="A7:I7"/>
    <mergeCell ref="A8:G8"/>
    <mergeCell ref="A9:G9"/>
  </mergeCells>
  <dataValidations count="1">
    <dataValidation type="whole" allowBlank="1" showInputMessage="1" showErrorMessage="1" errorTitle="Attention!" error="Valeur numérique attendue" sqref="H11:I11 H9:I9" xr:uid="{B9A852D3-B744-42F5-A2C1-7961315D1CCC}">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85697" r:id="rId4" name="AjoutSUPPL7A">
              <controlPr defaultSize="0" print="0" autoFill="0" autoPict="0" macro="[0]!AjoutSUPPL7A_Cliquer">
                <anchor moveWithCells="1">
                  <from>
                    <xdr:col>9</xdr:col>
                    <xdr:colOff>251460</xdr:colOff>
                    <xdr:row>7</xdr:row>
                    <xdr:rowOff>30480</xdr:rowOff>
                  </from>
                  <to>
                    <xdr:col>10</xdr:col>
                    <xdr:colOff>708660</xdr:colOff>
                    <xdr:row>7</xdr:row>
                    <xdr:rowOff>327660</xdr:rowOff>
                  </to>
                </anchor>
              </controlPr>
            </control>
          </mc:Choice>
        </mc:AlternateContent>
        <mc:AlternateContent xmlns:mc="http://schemas.openxmlformats.org/markup-compatibility/2006">
          <mc:Choice Requires="x14">
            <control shapeId="285698" r:id="rId5" name="AjoutSUPPL7B">
              <controlPr defaultSize="0" print="0" autoFill="0" autoPict="0" macro="[0]!AjoutSUPPL7B_Cliquer">
                <anchor moveWithCells="1">
                  <from>
                    <xdr:col>9</xdr:col>
                    <xdr:colOff>228600</xdr:colOff>
                    <xdr:row>9</xdr:row>
                    <xdr:rowOff>45720</xdr:rowOff>
                  </from>
                  <to>
                    <xdr:col>10</xdr:col>
                    <xdr:colOff>685800</xdr:colOff>
                    <xdr:row>9</xdr:row>
                    <xdr:rowOff>342900</xdr:rowOff>
                  </to>
                </anchor>
              </controlPr>
            </control>
          </mc:Choice>
        </mc:AlternateContent>
      </controls>
    </mc:Choice>
  </mc:AlternateConten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052E-7CAC-4C6A-B82F-E9B8C1AB8A57}">
  <sheetPr codeName="Feuil85"/>
  <dimension ref="A1:H200"/>
  <sheetViews>
    <sheetView showGridLines="0" showRowColHeaders="0" zoomScaleNormal="100" workbookViewId="0">
      <selection activeCell="A7" sqref="A7:H7"/>
    </sheetView>
  </sheetViews>
  <sheetFormatPr baseColWidth="10" defaultColWidth="11.41796875" defaultRowHeight="10.199999999999999"/>
  <cols>
    <col min="1" max="1" width="11.1015625" style="299" customWidth="1"/>
    <col min="2" max="2" width="14.89453125" style="299" customWidth="1"/>
    <col min="3" max="3" width="11.41796875" style="299"/>
    <col min="4" max="4" width="19.89453125" style="299" customWidth="1"/>
    <col min="5" max="5" width="14.41796875" style="299" customWidth="1"/>
    <col min="6" max="6" width="10.3125" style="299" customWidth="1"/>
    <col min="7" max="7" width="13.41796875" style="299" customWidth="1"/>
    <col min="8" max="8" width="6.3125" style="299" customWidth="1"/>
    <col min="9" max="16384" width="11.41796875" style="299"/>
  </cols>
  <sheetData>
    <row r="1" spans="1:8" ht="26.25" customHeight="1">
      <c r="A1" s="2281" t="s">
        <v>2951</v>
      </c>
      <c r="B1" s="2282"/>
      <c r="C1" s="2282"/>
      <c r="D1" s="2282"/>
      <c r="E1" s="2282"/>
      <c r="F1" s="2283"/>
      <c r="G1" s="2284" t="s">
        <v>2952</v>
      </c>
      <c r="H1" s="2285"/>
    </row>
    <row r="2" spans="1:8" ht="15" customHeight="1">
      <c r="A2" s="594" t="s">
        <v>50</v>
      </c>
      <c r="B2" s="595"/>
      <c r="C2" s="2286" t="str">
        <f>SUPPL7!C3</f>
        <v>OHADA</v>
      </c>
      <c r="D2" s="2286"/>
      <c r="E2" s="2286"/>
      <c r="F2" s="2286"/>
      <c r="G2" s="2286"/>
      <c r="H2" s="2287"/>
    </row>
    <row r="3" spans="1:8" ht="15" customHeight="1">
      <c r="A3" s="596" t="s">
        <v>51</v>
      </c>
      <c r="B3" s="2107" t="str">
        <f>SUPPL7!B4</f>
        <v/>
      </c>
      <c r="C3" s="2107"/>
      <c r="D3" s="2107"/>
      <c r="E3" s="2107"/>
      <c r="F3" s="597" t="s">
        <v>1021</v>
      </c>
      <c r="G3" s="2288" t="str">
        <f>SUPPL7!I4</f>
        <v/>
      </c>
      <c r="H3" s="2289"/>
    </row>
    <row r="4" spans="1:8" ht="15" customHeight="1">
      <c r="A4" s="596" t="s">
        <v>53</v>
      </c>
      <c r="B4" s="312"/>
      <c r="C4" s="2308" t="str">
        <f>SUPPL7!C5</f>
        <v/>
      </c>
      <c r="D4" s="2308"/>
      <c r="E4" s="574" t="s">
        <v>54</v>
      </c>
      <c r="F4" s="598">
        <f>SUPPL7!F5</f>
        <v>0</v>
      </c>
      <c r="G4" s="597" t="s">
        <v>55</v>
      </c>
      <c r="H4" s="599">
        <f>SUPPL7!I5</f>
        <v>1</v>
      </c>
    </row>
    <row r="5" spans="1:8" s="312" customFormat="1" ht="17.25" customHeight="1">
      <c r="A5" s="600" t="s">
        <v>1022</v>
      </c>
      <c r="B5" s="601"/>
      <c r="C5" s="1275" t="str">
        <f>SUPPL7!C6</f>
        <v/>
      </c>
      <c r="D5" s="1275"/>
      <c r="E5" s="601"/>
      <c r="F5" s="601"/>
      <c r="G5" s="601"/>
      <c r="H5" s="602"/>
    </row>
    <row r="6" spans="1:8" s="312" customFormat="1" ht="15.9" customHeight="1">
      <c r="A6" s="603" t="s">
        <v>1426</v>
      </c>
      <c r="B6" s="2307" t="s">
        <v>9624</v>
      </c>
      <c r="C6" s="2307"/>
      <c r="D6" s="2307"/>
      <c r="E6" s="2307"/>
      <c r="F6" s="2307"/>
      <c r="G6" s="2307"/>
      <c r="H6" s="2307"/>
    </row>
    <row r="7" spans="1:8" ht="124.95" customHeight="1">
      <c r="A7" s="2279"/>
      <c r="B7" s="2279"/>
      <c r="C7" s="2279"/>
      <c r="D7" s="2279"/>
      <c r="E7" s="2279"/>
      <c r="F7" s="2279"/>
      <c r="G7" s="2279"/>
      <c r="H7" s="2279"/>
    </row>
    <row r="8" spans="1:8" s="312" customFormat="1" ht="15.9" customHeight="1">
      <c r="A8" s="603" t="s">
        <v>1430</v>
      </c>
      <c r="B8" s="2307" t="s">
        <v>9625</v>
      </c>
      <c r="C8" s="2307"/>
      <c r="D8" s="2307"/>
      <c r="E8" s="2307"/>
      <c r="F8" s="2307"/>
      <c r="G8" s="2307"/>
      <c r="H8" s="2307"/>
    </row>
    <row r="9" spans="1:8" ht="125.25" customHeight="1">
      <c r="A9" s="2279"/>
      <c r="B9" s="2279"/>
      <c r="C9" s="2279"/>
      <c r="D9" s="2279"/>
      <c r="E9" s="2279"/>
      <c r="F9" s="2279"/>
      <c r="G9" s="2279"/>
      <c r="H9" s="2279"/>
    </row>
    <row r="10" spans="1:8" s="312" customFormat="1" ht="15.9" customHeight="1">
      <c r="A10" s="603" t="s">
        <v>1432</v>
      </c>
      <c r="B10" s="2307" t="s">
        <v>9626</v>
      </c>
      <c r="C10" s="2307"/>
      <c r="D10" s="2307"/>
      <c r="E10" s="2307"/>
      <c r="F10" s="2307"/>
      <c r="G10" s="2307"/>
      <c r="H10" s="2307"/>
    </row>
    <row r="11" spans="1:8" ht="125.25" customHeight="1">
      <c r="A11" s="2279"/>
      <c r="B11" s="2279"/>
      <c r="C11" s="2279"/>
      <c r="D11" s="2279"/>
      <c r="E11" s="2279"/>
      <c r="F11" s="2279"/>
      <c r="G11" s="2279"/>
      <c r="H11" s="2279"/>
    </row>
    <row r="12" spans="1:8" s="312" customFormat="1" ht="15.9" customHeight="1">
      <c r="A12" s="603" t="s">
        <v>1434</v>
      </c>
      <c r="B12" s="2307" t="s">
        <v>9627</v>
      </c>
      <c r="C12" s="2307"/>
      <c r="D12" s="2307"/>
      <c r="E12" s="2307"/>
      <c r="F12" s="2307"/>
      <c r="G12" s="2307"/>
      <c r="H12" s="2307"/>
    </row>
    <row r="13" spans="1:8" ht="125.25" customHeight="1">
      <c r="A13" s="2279"/>
      <c r="B13" s="2279"/>
      <c r="C13" s="2279"/>
      <c r="D13" s="2279"/>
      <c r="E13" s="2279"/>
      <c r="F13" s="2279"/>
      <c r="G13" s="2279"/>
      <c r="H13" s="2279"/>
    </row>
    <row r="14" spans="1:8" ht="15.9" customHeight="1">
      <c r="A14" s="603" t="s">
        <v>1436</v>
      </c>
      <c r="B14" s="2307" t="s">
        <v>9628</v>
      </c>
      <c r="C14" s="2307"/>
      <c r="D14" s="2307"/>
      <c r="E14" s="2307"/>
      <c r="F14" s="2307"/>
      <c r="G14" s="2307"/>
      <c r="H14" s="2307"/>
    </row>
    <row r="15" spans="1:8" ht="125.25" customHeight="1">
      <c r="A15" s="2279"/>
      <c r="B15" s="2279"/>
      <c r="C15" s="2279"/>
      <c r="D15" s="2279"/>
      <c r="E15" s="2279"/>
      <c r="F15" s="2279"/>
      <c r="G15" s="2279"/>
      <c r="H15" s="2279"/>
    </row>
    <row r="16" spans="1:8" ht="26.25" customHeight="1">
      <c r="A16" s="2281" t="s">
        <v>2951</v>
      </c>
      <c r="B16" s="2282"/>
      <c r="C16" s="2282"/>
      <c r="D16" s="2282"/>
      <c r="E16" s="2282"/>
      <c r="F16" s="2283"/>
      <c r="G16" s="2284" t="s">
        <v>2953</v>
      </c>
      <c r="H16" s="2285"/>
    </row>
    <row r="17" spans="1:8" ht="15" customHeight="1">
      <c r="A17" s="594" t="s">
        <v>50</v>
      </c>
      <c r="B17" s="595"/>
      <c r="C17" s="2300" t="str">
        <f>C2</f>
        <v>OHADA</v>
      </c>
      <c r="D17" s="2300"/>
      <c r="E17" s="2300"/>
      <c r="F17" s="2300"/>
      <c r="G17" s="2300"/>
      <c r="H17" s="2301"/>
    </row>
    <row r="18" spans="1:8" ht="15" customHeight="1">
      <c r="A18" s="596" t="s">
        <v>51</v>
      </c>
      <c r="B18" s="2302" t="str">
        <f>B3</f>
        <v/>
      </c>
      <c r="C18" s="2302"/>
      <c r="D18" s="2302"/>
      <c r="E18" s="2302"/>
      <c r="F18" s="597" t="s">
        <v>1021</v>
      </c>
      <c r="G18" s="2303" t="str">
        <f>G3</f>
        <v/>
      </c>
      <c r="H18" s="2304"/>
    </row>
    <row r="19" spans="1:8" ht="15" customHeight="1">
      <c r="A19" s="596" t="s">
        <v>53</v>
      </c>
      <c r="B19" s="312"/>
      <c r="C19" s="2302" t="str">
        <f>C4</f>
        <v/>
      </c>
      <c r="D19" s="2302"/>
      <c r="E19" s="574" t="s">
        <v>54</v>
      </c>
      <c r="F19" s="604">
        <f>F4</f>
        <v>0</v>
      </c>
      <c r="G19" s="597" t="s">
        <v>55</v>
      </c>
      <c r="H19" s="605">
        <f>H4</f>
        <v>1</v>
      </c>
    </row>
    <row r="20" spans="1:8" s="312" customFormat="1" ht="17.25" customHeight="1">
      <c r="A20" s="600" t="s">
        <v>1022</v>
      </c>
      <c r="B20" s="601"/>
      <c r="C20" s="2305" t="str">
        <f>C5</f>
        <v/>
      </c>
      <c r="D20" s="2305"/>
      <c r="E20" s="601"/>
      <c r="F20" s="601"/>
      <c r="G20" s="601"/>
      <c r="H20" s="602"/>
    </row>
    <row r="21" spans="1:8" ht="15.9" customHeight="1">
      <c r="A21" s="603" t="s">
        <v>1438</v>
      </c>
      <c r="B21" s="2295" t="s">
        <v>9629</v>
      </c>
      <c r="C21" s="2295"/>
      <c r="D21" s="2295"/>
      <c r="E21" s="2295"/>
      <c r="F21" s="2295"/>
      <c r="G21" s="2295"/>
      <c r="H21" s="2296"/>
    </row>
    <row r="22" spans="1:8" ht="125.25" customHeight="1">
      <c r="A22" s="2279"/>
      <c r="B22" s="2279"/>
      <c r="C22" s="2279"/>
      <c r="D22" s="2279"/>
      <c r="E22" s="2279"/>
      <c r="F22" s="2279"/>
      <c r="G22" s="2279"/>
      <c r="H22" s="2279"/>
    </row>
    <row r="23" spans="1:8" ht="15.9" customHeight="1">
      <c r="A23" s="603" t="s">
        <v>1442</v>
      </c>
      <c r="B23" s="2295" t="s">
        <v>9630</v>
      </c>
      <c r="C23" s="2295"/>
      <c r="D23" s="2295"/>
      <c r="E23" s="2295"/>
      <c r="F23" s="2295"/>
      <c r="G23" s="2295"/>
      <c r="H23" s="2296"/>
    </row>
    <row r="24" spans="1:8" ht="124.95" customHeight="1">
      <c r="A24" s="2279"/>
      <c r="B24" s="2279"/>
      <c r="C24" s="2279"/>
      <c r="D24" s="2279"/>
      <c r="E24" s="2279"/>
      <c r="F24" s="2279"/>
      <c r="G24" s="2279"/>
      <c r="H24" s="2279"/>
    </row>
    <row r="25" spans="1:8" ht="15.6" customHeight="1">
      <c r="A25" s="603" t="s">
        <v>1443</v>
      </c>
      <c r="B25" s="2306" t="s">
        <v>2954</v>
      </c>
      <c r="C25" s="2277"/>
      <c r="D25" s="2277"/>
      <c r="E25" s="2277"/>
      <c r="F25" s="2277"/>
      <c r="G25" s="2277"/>
      <c r="H25" s="2278"/>
    </row>
    <row r="26" spans="1:8" ht="12.9" customHeight="1">
      <c r="A26" s="2297" t="s">
        <v>9631</v>
      </c>
      <c r="B26" s="2298"/>
      <c r="C26" s="2298"/>
      <c r="D26" s="2298"/>
      <c r="E26" s="2298"/>
      <c r="F26" s="2298"/>
      <c r="G26" s="2298"/>
      <c r="H26" s="2299"/>
    </row>
    <row r="27" spans="1:8" ht="118.95" customHeight="1">
      <c r="A27" s="2279"/>
      <c r="B27" s="2279"/>
      <c r="C27" s="2279"/>
      <c r="D27" s="2279"/>
      <c r="E27" s="2279"/>
      <c r="F27" s="2279"/>
      <c r="G27" s="2279"/>
      <c r="H27" s="2279"/>
    </row>
    <row r="28" spans="1:8" ht="15.9" customHeight="1">
      <c r="A28" s="2292" t="s">
        <v>9632</v>
      </c>
      <c r="B28" s="2293"/>
      <c r="C28" s="2293"/>
      <c r="D28" s="2293"/>
      <c r="E28" s="2293"/>
      <c r="F28" s="2293"/>
      <c r="G28" s="2293"/>
      <c r="H28" s="2294"/>
    </row>
    <row r="29" spans="1:8" ht="118.95" customHeight="1">
      <c r="A29" s="2279"/>
      <c r="B29" s="2279"/>
      <c r="C29" s="2279"/>
      <c r="D29" s="2279"/>
      <c r="E29" s="2279"/>
      <c r="F29" s="2279"/>
      <c r="G29" s="2279"/>
      <c r="H29" s="2279"/>
    </row>
    <row r="30" spans="1:8" ht="15.9" customHeight="1">
      <c r="A30" s="603" t="s">
        <v>1445</v>
      </c>
      <c r="B30" s="2277" t="s">
        <v>9633</v>
      </c>
      <c r="C30" s="2277"/>
      <c r="D30" s="2277"/>
      <c r="E30" s="2277"/>
      <c r="F30" s="2277"/>
      <c r="G30" s="2277"/>
      <c r="H30" s="2278"/>
    </row>
    <row r="31" spans="1:8" ht="125.25" customHeight="1">
      <c r="A31" s="2279"/>
      <c r="B31" s="2279"/>
      <c r="C31" s="2279"/>
      <c r="D31" s="2279"/>
      <c r="E31" s="2279"/>
      <c r="F31" s="2279"/>
      <c r="G31" s="2279"/>
      <c r="H31" s="2279"/>
    </row>
    <row r="32" spans="1:8" ht="26.25" customHeight="1">
      <c r="A32" s="2281" t="s">
        <v>2951</v>
      </c>
      <c r="B32" s="2282"/>
      <c r="C32" s="2282"/>
      <c r="D32" s="2282"/>
      <c r="E32" s="2282"/>
      <c r="F32" s="2283"/>
      <c r="G32" s="2284" t="s">
        <v>2955</v>
      </c>
      <c r="H32" s="2285"/>
    </row>
    <row r="33" spans="1:8" ht="15" customHeight="1">
      <c r="A33" s="594" t="s">
        <v>50</v>
      </c>
      <c r="B33" s="595"/>
      <c r="C33" s="2286" t="str">
        <f>C17</f>
        <v>OHADA</v>
      </c>
      <c r="D33" s="2286"/>
      <c r="E33" s="2286"/>
      <c r="F33" s="2286"/>
      <c r="G33" s="2286"/>
      <c r="H33" s="2287"/>
    </row>
    <row r="34" spans="1:8" ht="15" customHeight="1">
      <c r="A34" s="596" t="s">
        <v>51</v>
      </c>
      <c r="B34" s="2107" t="str">
        <f>B18</f>
        <v/>
      </c>
      <c r="C34" s="2107"/>
      <c r="D34" s="2107"/>
      <c r="E34" s="2107"/>
      <c r="F34" s="597" t="s">
        <v>1021</v>
      </c>
      <c r="G34" s="2288" t="str">
        <f>G18</f>
        <v/>
      </c>
      <c r="H34" s="2289"/>
    </row>
    <row r="35" spans="1:8" ht="15" customHeight="1">
      <c r="A35" s="596" t="s">
        <v>53</v>
      </c>
      <c r="B35" s="312"/>
      <c r="C35" s="2107" t="str">
        <f>C19</f>
        <v/>
      </c>
      <c r="D35" s="2107"/>
      <c r="E35" s="574" t="s">
        <v>54</v>
      </c>
      <c r="F35" s="606">
        <f>F19</f>
        <v>0</v>
      </c>
      <c r="G35" s="597" t="s">
        <v>55</v>
      </c>
      <c r="H35" s="599">
        <f>H19</f>
        <v>1</v>
      </c>
    </row>
    <row r="36" spans="1:8" ht="17.25" customHeight="1">
      <c r="A36" s="596" t="s">
        <v>1022</v>
      </c>
      <c r="B36" s="312"/>
      <c r="C36" s="2280" t="str">
        <f>C20</f>
        <v/>
      </c>
      <c r="D36" s="2280"/>
      <c r="E36" s="312"/>
      <c r="F36" s="312"/>
      <c r="G36" s="312"/>
      <c r="H36" s="607"/>
    </row>
    <row r="37" spans="1:8" ht="15.9" customHeight="1">
      <c r="A37" s="603" t="s">
        <v>1446</v>
      </c>
      <c r="B37" s="2277" t="s">
        <v>9634</v>
      </c>
      <c r="C37" s="2277"/>
      <c r="D37" s="2277"/>
      <c r="E37" s="2277"/>
      <c r="F37" s="2277"/>
      <c r="G37" s="2277"/>
      <c r="H37" s="2278"/>
    </row>
    <row r="38" spans="1:8" ht="136.5" customHeight="1">
      <c r="A38" s="2279"/>
      <c r="B38" s="2279"/>
      <c r="C38" s="2279"/>
      <c r="D38" s="2279"/>
      <c r="E38" s="2279"/>
      <c r="F38" s="2279"/>
      <c r="G38" s="2279"/>
      <c r="H38" s="2279"/>
    </row>
    <row r="39" spans="1:8" ht="15.9" customHeight="1">
      <c r="A39" s="603" t="s">
        <v>1448</v>
      </c>
      <c r="B39" s="2277" t="s">
        <v>9635</v>
      </c>
      <c r="C39" s="2277"/>
      <c r="D39" s="2277"/>
      <c r="E39" s="2277"/>
      <c r="F39" s="2277"/>
      <c r="G39" s="2277"/>
      <c r="H39" s="2278"/>
    </row>
    <row r="40" spans="1:8" ht="136.5" customHeight="1">
      <c r="A40" s="2279"/>
      <c r="B40" s="2279"/>
      <c r="C40" s="2279"/>
      <c r="D40" s="2279"/>
      <c r="E40" s="2279"/>
      <c r="F40" s="2279"/>
      <c r="G40" s="2279"/>
      <c r="H40" s="2279"/>
    </row>
    <row r="41" spans="1:8" ht="15.9" customHeight="1">
      <c r="A41" s="603" t="s">
        <v>1456</v>
      </c>
      <c r="B41" s="2277" t="s">
        <v>9636</v>
      </c>
      <c r="C41" s="2277"/>
      <c r="D41" s="2277"/>
      <c r="E41" s="2277"/>
      <c r="F41" s="2277"/>
      <c r="G41" s="2277"/>
      <c r="H41" s="2278"/>
    </row>
    <row r="42" spans="1:8" ht="136.5" customHeight="1">
      <c r="A42" s="2279"/>
      <c r="B42" s="2279"/>
      <c r="C42" s="2279"/>
      <c r="D42" s="2279"/>
      <c r="E42" s="2279"/>
      <c r="F42" s="2279"/>
      <c r="G42" s="2279"/>
      <c r="H42" s="2279"/>
    </row>
    <row r="43" spans="1:8" ht="15.9" customHeight="1">
      <c r="A43" s="603" t="s">
        <v>1458</v>
      </c>
      <c r="B43" s="2277" t="s">
        <v>9637</v>
      </c>
      <c r="C43" s="2277"/>
      <c r="D43" s="2277"/>
      <c r="E43" s="2277"/>
      <c r="F43" s="2277"/>
      <c r="G43" s="2277"/>
      <c r="H43" s="2278"/>
    </row>
    <row r="44" spans="1:8" ht="136.5" customHeight="1">
      <c r="A44" s="2279"/>
      <c r="B44" s="2279"/>
      <c r="C44" s="2279"/>
      <c r="D44" s="2279"/>
      <c r="E44" s="2279"/>
      <c r="F44" s="2279"/>
      <c r="G44" s="2279"/>
      <c r="H44" s="2279"/>
    </row>
    <row r="45" spans="1:8" ht="26.25" customHeight="1">
      <c r="A45" s="2281" t="s">
        <v>2951</v>
      </c>
      <c r="B45" s="2282"/>
      <c r="C45" s="2282"/>
      <c r="D45" s="2282"/>
      <c r="E45" s="2282"/>
      <c r="F45" s="2283"/>
      <c r="G45" s="2284" t="s">
        <v>2956</v>
      </c>
      <c r="H45" s="2285"/>
    </row>
    <row r="46" spans="1:8" ht="15" customHeight="1">
      <c r="A46" s="594" t="s">
        <v>50</v>
      </c>
      <c r="B46" s="595"/>
      <c r="C46" s="2286" t="str">
        <f>C33</f>
        <v>OHADA</v>
      </c>
      <c r="D46" s="2286"/>
      <c r="E46" s="2286"/>
      <c r="F46" s="2286"/>
      <c r="G46" s="2286"/>
      <c r="H46" s="2287"/>
    </row>
    <row r="47" spans="1:8" ht="15" customHeight="1">
      <c r="A47" s="596" t="s">
        <v>51</v>
      </c>
      <c r="B47" s="2107" t="str">
        <f>B34</f>
        <v/>
      </c>
      <c r="C47" s="2107"/>
      <c r="D47" s="2107"/>
      <c r="E47" s="2107"/>
      <c r="F47" s="597" t="s">
        <v>1021</v>
      </c>
      <c r="G47" s="2288" t="str">
        <f>G34</f>
        <v/>
      </c>
      <c r="H47" s="2289"/>
    </row>
    <row r="48" spans="1:8" ht="15" customHeight="1">
      <c r="A48" s="596" t="s">
        <v>53</v>
      </c>
      <c r="B48" s="312"/>
      <c r="C48" s="2107" t="str">
        <f>C35</f>
        <v/>
      </c>
      <c r="D48" s="2107"/>
      <c r="E48" s="574" t="s">
        <v>54</v>
      </c>
      <c r="F48" s="608">
        <f>F35</f>
        <v>0</v>
      </c>
      <c r="G48" s="597" t="s">
        <v>55</v>
      </c>
      <c r="H48" s="599">
        <f>H35</f>
        <v>1</v>
      </c>
    </row>
    <row r="49" spans="1:8" ht="17.25" customHeight="1">
      <c r="A49" s="596" t="s">
        <v>1022</v>
      </c>
      <c r="B49" s="312"/>
      <c r="C49" s="2280" t="str">
        <f>C36</f>
        <v/>
      </c>
      <c r="D49" s="2280"/>
      <c r="E49" s="312"/>
      <c r="F49" s="312"/>
      <c r="G49" s="312"/>
      <c r="H49" s="607"/>
    </row>
    <row r="50" spans="1:8" ht="15.9" customHeight="1">
      <c r="A50" s="603" t="s">
        <v>1460</v>
      </c>
      <c r="B50" s="2277" t="s">
        <v>9638</v>
      </c>
      <c r="C50" s="2277"/>
      <c r="D50" s="2277"/>
      <c r="E50" s="2277"/>
      <c r="F50" s="2277"/>
      <c r="G50" s="2277"/>
      <c r="H50" s="2278"/>
    </row>
    <row r="51" spans="1:8" ht="124.95" customHeight="1">
      <c r="A51" s="2279"/>
      <c r="B51" s="2279"/>
      <c r="C51" s="2279"/>
      <c r="D51" s="2279"/>
      <c r="E51" s="2279"/>
      <c r="F51" s="2279"/>
      <c r="G51" s="2279"/>
      <c r="H51" s="2279"/>
    </row>
    <row r="52" spans="1:8" ht="15.6" customHeight="1">
      <c r="A52" s="603" t="s">
        <v>1462</v>
      </c>
      <c r="B52" s="2277" t="s">
        <v>2957</v>
      </c>
      <c r="C52" s="2277"/>
      <c r="D52" s="2277"/>
      <c r="E52" s="2277"/>
      <c r="F52" s="2277"/>
      <c r="G52" s="2277"/>
      <c r="H52" s="2278"/>
    </row>
    <row r="53" spans="1:8" ht="12.75" customHeight="1">
      <c r="A53" s="609" t="s">
        <v>9639</v>
      </c>
      <c r="B53" s="610"/>
      <c r="C53" s="610"/>
      <c r="D53" s="610"/>
      <c r="E53" s="610"/>
      <c r="F53" s="610"/>
      <c r="G53" s="610"/>
      <c r="H53" s="611"/>
    </row>
    <row r="54" spans="1:8" ht="118.95" customHeight="1">
      <c r="A54" s="2279"/>
      <c r="B54" s="2279"/>
      <c r="C54" s="2279"/>
      <c r="D54" s="2279"/>
      <c r="E54" s="2279"/>
      <c r="F54" s="2279"/>
      <c r="G54" s="2279"/>
      <c r="H54" s="2279"/>
    </row>
    <row r="55" spans="1:8" ht="15.9" customHeight="1">
      <c r="A55" s="609" t="s">
        <v>9640</v>
      </c>
      <c r="B55" s="612"/>
      <c r="C55" s="612"/>
      <c r="D55" s="612"/>
      <c r="E55" s="612"/>
      <c r="F55" s="612"/>
      <c r="G55" s="612"/>
      <c r="H55" s="613"/>
    </row>
    <row r="56" spans="1:8" ht="118.95" customHeight="1">
      <c r="A56" s="2279"/>
      <c r="B56" s="2279"/>
      <c r="C56" s="2279"/>
      <c r="D56" s="2279"/>
      <c r="E56" s="2279"/>
      <c r="F56" s="2279"/>
      <c r="G56" s="2279"/>
      <c r="H56" s="2279"/>
    </row>
    <row r="57" spans="1:8" ht="15.9" customHeight="1">
      <c r="A57" s="603" t="s">
        <v>1464</v>
      </c>
      <c r="B57" s="2277" t="s">
        <v>9641</v>
      </c>
      <c r="C57" s="2277"/>
      <c r="D57" s="2277"/>
      <c r="E57" s="2277"/>
      <c r="F57" s="2277"/>
      <c r="G57" s="2277"/>
      <c r="H57" s="2278"/>
    </row>
    <row r="58" spans="1:8" ht="125.25" customHeight="1">
      <c r="A58" s="2279"/>
      <c r="B58" s="2279"/>
      <c r="C58" s="2279"/>
      <c r="D58" s="2279"/>
      <c r="E58" s="2279"/>
      <c r="F58" s="2279"/>
      <c r="G58" s="2279"/>
      <c r="H58" s="2279"/>
    </row>
    <row r="59" spans="1:8" ht="15.9" customHeight="1">
      <c r="A59" s="603" t="s">
        <v>1466</v>
      </c>
      <c r="B59" s="2277" t="s">
        <v>9642</v>
      </c>
      <c r="C59" s="2277"/>
      <c r="D59" s="2277"/>
      <c r="E59" s="2277"/>
      <c r="F59" s="2277"/>
      <c r="G59" s="2277"/>
      <c r="H59" s="2278"/>
    </row>
    <row r="60" spans="1:8" ht="125.25" customHeight="1">
      <c r="A60" s="2279"/>
      <c r="B60" s="2279"/>
      <c r="C60" s="2279"/>
      <c r="D60" s="2279"/>
      <c r="E60" s="2279"/>
      <c r="F60" s="2279"/>
      <c r="G60" s="2279"/>
      <c r="H60" s="2279"/>
    </row>
    <row r="61" spans="1:8" ht="26.25" customHeight="1">
      <c r="A61" s="2281" t="s">
        <v>2951</v>
      </c>
      <c r="B61" s="2282"/>
      <c r="C61" s="2282"/>
      <c r="D61" s="2282"/>
      <c r="E61" s="2282"/>
      <c r="F61" s="2283"/>
      <c r="G61" s="2284" t="s">
        <v>2958</v>
      </c>
      <c r="H61" s="2285"/>
    </row>
    <row r="62" spans="1:8" ht="15" customHeight="1">
      <c r="A62" s="594" t="s">
        <v>50</v>
      </c>
      <c r="B62" s="595"/>
      <c r="C62" s="2286" t="str">
        <f>C46</f>
        <v>OHADA</v>
      </c>
      <c r="D62" s="2286"/>
      <c r="E62" s="2286"/>
      <c r="F62" s="2286"/>
      <c r="G62" s="2286"/>
      <c r="H62" s="2287"/>
    </row>
    <row r="63" spans="1:8" ht="15" customHeight="1">
      <c r="A63" s="596" t="s">
        <v>51</v>
      </c>
      <c r="B63" s="2107" t="str">
        <f>B47</f>
        <v/>
      </c>
      <c r="C63" s="2107"/>
      <c r="D63" s="2107"/>
      <c r="E63" s="2107"/>
      <c r="F63" s="597" t="s">
        <v>1021</v>
      </c>
      <c r="G63" s="2288" t="str">
        <f>G47</f>
        <v/>
      </c>
      <c r="H63" s="2289"/>
    </row>
    <row r="64" spans="1:8" ht="15" customHeight="1">
      <c r="A64" s="596" t="s">
        <v>53</v>
      </c>
      <c r="B64" s="312"/>
      <c r="C64" s="2107" t="str">
        <f>C48</f>
        <v/>
      </c>
      <c r="D64" s="2107"/>
      <c r="E64" s="574" t="s">
        <v>54</v>
      </c>
      <c r="F64" s="608">
        <f>F48</f>
        <v>0</v>
      </c>
      <c r="G64" s="597" t="s">
        <v>55</v>
      </c>
      <c r="H64" s="599">
        <f>H48</f>
        <v>1</v>
      </c>
    </row>
    <row r="65" spans="1:8" s="618" customFormat="1" ht="17.25" customHeight="1">
      <c r="A65" s="614" t="s">
        <v>1022</v>
      </c>
      <c r="B65" s="615"/>
      <c r="C65" s="2280" t="str">
        <f>C49</f>
        <v/>
      </c>
      <c r="D65" s="2280"/>
      <c r="E65" s="615"/>
      <c r="F65" s="616"/>
      <c r="G65" s="615"/>
      <c r="H65" s="617"/>
    </row>
    <row r="66" spans="1:8" ht="15" customHeight="1">
      <c r="A66" s="603" t="s">
        <v>1468</v>
      </c>
      <c r="B66" s="2277" t="s">
        <v>9643</v>
      </c>
      <c r="C66" s="2277"/>
      <c r="D66" s="2277"/>
      <c r="E66" s="2277"/>
      <c r="F66" s="2277"/>
      <c r="G66" s="2277"/>
      <c r="H66" s="2278"/>
    </row>
    <row r="67" spans="1:8" ht="120" customHeight="1">
      <c r="A67" s="2279"/>
      <c r="B67" s="2279"/>
      <c r="C67" s="2279"/>
      <c r="D67" s="2279"/>
      <c r="E67" s="2279"/>
      <c r="F67" s="2279"/>
      <c r="G67" s="2279"/>
      <c r="H67" s="2279"/>
    </row>
    <row r="68" spans="1:8" ht="15.9" customHeight="1">
      <c r="A68" s="603" t="s">
        <v>1470</v>
      </c>
      <c r="B68" s="2277" t="s">
        <v>9644</v>
      </c>
      <c r="C68" s="2277"/>
      <c r="D68" s="2277"/>
      <c r="E68" s="2277"/>
      <c r="F68" s="2277"/>
      <c r="G68" s="2277"/>
      <c r="H68" s="2278"/>
    </row>
    <row r="69" spans="1:8" ht="119.25" customHeight="1">
      <c r="A69" s="2279"/>
      <c r="B69" s="2279"/>
      <c r="C69" s="2279"/>
      <c r="D69" s="2279"/>
      <c r="E69" s="2279"/>
      <c r="F69" s="2279"/>
      <c r="G69" s="2279"/>
      <c r="H69" s="2279"/>
    </row>
    <row r="70" spans="1:8" ht="15.9" customHeight="1">
      <c r="A70" s="603" t="s">
        <v>1472</v>
      </c>
      <c r="B70" s="2277" t="s">
        <v>9645</v>
      </c>
      <c r="C70" s="2277"/>
      <c r="D70" s="2277"/>
      <c r="E70" s="2277"/>
      <c r="F70" s="2277"/>
      <c r="G70" s="2277"/>
      <c r="H70" s="2278"/>
    </row>
    <row r="71" spans="1:8" ht="124.95" customHeight="1">
      <c r="A71" s="2279"/>
      <c r="B71" s="2279"/>
      <c r="C71" s="2279"/>
      <c r="D71" s="2279"/>
      <c r="E71" s="2279"/>
      <c r="F71" s="2279"/>
      <c r="G71" s="2279"/>
      <c r="H71" s="2279"/>
    </row>
    <row r="72" spans="1:8" ht="15.6" customHeight="1">
      <c r="A72" s="603" t="s">
        <v>1474</v>
      </c>
      <c r="B72" s="2277" t="s">
        <v>2959</v>
      </c>
      <c r="C72" s="2277"/>
      <c r="D72" s="2277"/>
      <c r="E72" s="2277"/>
      <c r="F72" s="2277"/>
      <c r="G72" s="2277"/>
      <c r="H72" s="2278"/>
    </row>
    <row r="73" spans="1:8" ht="12.9" customHeight="1">
      <c r="A73" s="609" t="s">
        <v>9646</v>
      </c>
      <c r="B73" s="312"/>
      <c r="C73" s="312"/>
      <c r="D73" s="312"/>
      <c r="E73" s="312"/>
      <c r="F73" s="312"/>
      <c r="G73" s="312"/>
      <c r="H73" s="607"/>
    </row>
    <row r="74" spans="1:8" ht="119.25" customHeight="1">
      <c r="A74" s="2279"/>
      <c r="B74" s="2279"/>
      <c r="C74" s="2279"/>
      <c r="D74" s="2279"/>
      <c r="E74" s="2279"/>
      <c r="F74" s="2279"/>
      <c r="G74" s="2279"/>
      <c r="H74" s="2279"/>
    </row>
    <row r="75" spans="1:8" ht="12.9" customHeight="1">
      <c r="A75" s="609" t="s">
        <v>9647</v>
      </c>
      <c r="B75" s="312"/>
      <c r="C75" s="312"/>
      <c r="D75" s="312"/>
      <c r="E75" s="312"/>
      <c r="F75" s="312"/>
      <c r="G75" s="312"/>
      <c r="H75" s="607"/>
    </row>
    <row r="76" spans="1:8" ht="118.95" customHeight="1">
      <c r="A76" s="2279"/>
      <c r="B76" s="2279"/>
      <c r="C76" s="2279"/>
      <c r="D76" s="2279"/>
      <c r="E76" s="2279"/>
      <c r="F76" s="2279"/>
      <c r="G76" s="2279"/>
      <c r="H76" s="2279"/>
    </row>
    <row r="77" spans="1:8" ht="26.25" customHeight="1">
      <c r="A77" s="2281" t="s">
        <v>2951</v>
      </c>
      <c r="B77" s="2282"/>
      <c r="C77" s="2282"/>
      <c r="D77" s="2282"/>
      <c r="E77" s="2282"/>
      <c r="F77" s="2283"/>
      <c r="G77" s="2079" t="s">
        <v>2960</v>
      </c>
      <c r="H77" s="2291"/>
    </row>
    <row r="78" spans="1:8" ht="15" customHeight="1">
      <c r="A78" s="594" t="s">
        <v>50</v>
      </c>
      <c r="B78" s="595"/>
      <c r="C78" s="2286" t="str">
        <f>C62</f>
        <v>OHADA</v>
      </c>
      <c r="D78" s="2286"/>
      <c r="E78" s="2286"/>
      <c r="F78" s="2286"/>
      <c r="G78" s="2286"/>
      <c r="H78" s="2287"/>
    </row>
    <row r="79" spans="1:8" ht="15" customHeight="1">
      <c r="A79" s="596" t="s">
        <v>51</v>
      </c>
      <c r="B79" s="2107" t="str">
        <f>B63</f>
        <v/>
      </c>
      <c r="C79" s="2107"/>
      <c r="D79" s="2107"/>
      <c r="E79" s="2107"/>
      <c r="F79" s="597" t="s">
        <v>1021</v>
      </c>
      <c r="G79" s="2288" t="str">
        <f>G63</f>
        <v/>
      </c>
      <c r="H79" s="2289"/>
    </row>
    <row r="80" spans="1:8" ht="15" customHeight="1">
      <c r="A80" s="596" t="s">
        <v>53</v>
      </c>
      <c r="B80" s="312"/>
      <c r="C80" s="2107" t="str">
        <f>C64</f>
        <v/>
      </c>
      <c r="D80" s="2107"/>
      <c r="E80" s="574" t="s">
        <v>54</v>
      </c>
      <c r="F80" s="608">
        <f>F64</f>
        <v>0</v>
      </c>
      <c r="G80" s="597" t="s">
        <v>55</v>
      </c>
      <c r="H80" s="599">
        <f>H64</f>
        <v>1</v>
      </c>
    </row>
    <row r="81" spans="1:8" s="312" customFormat="1" ht="17.25" customHeight="1">
      <c r="A81" s="615" t="s">
        <v>1022</v>
      </c>
      <c r="B81" s="615"/>
      <c r="C81" s="2290" t="str">
        <f>C65</f>
        <v/>
      </c>
      <c r="D81" s="2290"/>
      <c r="E81" s="615"/>
      <c r="F81" s="615"/>
      <c r="G81" s="615"/>
      <c r="H81" s="615"/>
    </row>
    <row r="82" spans="1:8" ht="15.9" customHeight="1">
      <c r="A82" s="619" t="s">
        <v>9648</v>
      </c>
      <c r="B82" s="620"/>
      <c r="C82" s="620"/>
      <c r="D82" s="620"/>
      <c r="E82" s="620"/>
      <c r="F82" s="620"/>
      <c r="G82" s="620"/>
      <c r="H82" s="621"/>
    </row>
    <row r="83" spans="1:8" ht="118.95" customHeight="1">
      <c r="A83" s="2279"/>
      <c r="B83" s="2279"/>
      <c r="C83" s="2279"/>
      <c r="D83" s="2279"/>
      <c r="E83" s="2279"/>
      <c r="F83" s="2279"/>
      <c r="G83" s="2279"/>
      <c r="H83" s="2279"/>
    </row>
    <row r="84" spans="1:8" ht="15.6" customHeight="1">
      <c r="A84" s="603" t="s">
        <v>1476</v>
      </c>
      <c r="B84" s="2277" t="s">
        <v>2961</v>
      </c>
      <c r="C84" s="2277"/>
      <c r="D84" s="2277"/>
      <c r="E84" s="2277"/>
      <c r="F84" s="2277"/>
      <c r="G84" s="2277"/>
      <c r="H84" s="2278"/>
    </row>
    <row r="85" spans="1:8" ht="12.9" customHeight="1">
      <c r="A85" s="619" t="s">
        <v>9649</v>
      </c>
      <c r="B85" s="312"/>
      <c r="C85" s="312"/>
      <c r="D85" s="312"/>
      <c r="E85" s="312"/>
      <c r="F85" s="312"/>
      <c r="G85" s="312"/>
      <c r="H85" s="607"/>
    </row>
    <row r="86" spans="1:8" ht="118.95" customHeight="1">
      <c r="A86" s="2279"/>
      <c r="B86" s="2279"/>
      <c r="C86" s="2279"/>
      <c r="D86" s="2279"/>
      <c r="E86" s="2279"/>
      <c r="F86" s="2279"/>
      <c r="G86" s="2279"/>
      <c r="H86" s="2279"/>
    </row>
    <row r="87" spans="1:8" ht="12.6" customHeight="1">
      <c r="A87" s="609" t="s">
        <v>9650</v>
      </c>
      <c r="B87" s="612"/>
      <c r="C87" s="612"/>
      <c r="D87" s="612"/>
      <c r="E87" s="612"/>
      <c r="F87" s="612"/>
      <c r="G87" s="612"/>
      <c r="H87" s="607"/>
    </row>
    <row r="88" spans="1:8" ht="118.95" customHeight="1">
      <c r="A88" s="2279"/>
      <c r="B88" s="2279"/>
      <c r="C88" s="2279"/>
      <c r="D88" s="2279"/>
      <c r="E88" s="2279"/>
      <c r="F88" s="2279"/>
      <c r="G88" s="2279"/>
      <c r="H88" s="2279"/>
    </row>
    <row r="89" spans="1:8" ht="15.9" customHeight="1">
      <c r="A89" s="603" t="s">
        <v>1478</v>
      </c>
      <c r="B89" s="2277" t="s">
        <v>9651</v>
      </c>
      <c r="C89" s="2277"/>
      <c r="D89" s="2277"/>
      <c r="E89" s="2277"/>
      <c r="F89" s="2277"/>
      <c r="G89" s="2277"/>
      <c r="H89" s="2278"/>
    </row>
    <row r="90" spans="1:8" ht="125.25" customHeight="1">
      <c r="A90" s="2279"/>
      <c r="B90" s="2279"/>
      <c r="C90" s="2279"/>
      <c r="D90" s="2279"/>
      <c r="E90" s="2279"/>
      <c r="F90" s="2279"/>
      <c r="G90" s="2279"/>
      <c r="H90" s="2279"/>
    </row>
    <row r="91" spans="1:8" ht="15.9" customHeight="1">
      <c r="A91" s="603" t="s">
        <v>1480</v>
      </c>
      <c r="B91" s="2277" t="s">
        <v>9652</v>
      </c>
      <c r="C91" s="2277"/>
      <c r="D91" s="2277"/>
      <c r="E91" s="2277"/>
      <c r="F91" s="2277"/>
      <c r="G91" s="2277"/>
      <c r="H91" s="2278"/>
    </row>
    <row r="92" spans="1:8" ht="125.25" customHeight="1">
      <c r="A92" s="2279"/>
      <c r="B92" s="2279"/>
      <c r="C92" s="2279"/>
      <c r="D92" s="2279"/>
      <c r="E92" s="2279"/>
      <c r="F92" s="2279"/>
      <c r="G92" s="2279"/>
      <c r="H92" s="2279"/>
    </row>
    <row r="93" spans="1:8" ht="26.25" customHeight="1">
      <c r="A93" s="2281" t="s">
        <v>2951</v>
      </c>
      <c r="B93" s="2282"/>
      <c r="C93" s="2282"/>
      <c r="D93" s="2282"/>
      <c r="E93" s="2282"/>
      <c r="F93" s="2283"/>
      <c r="G93" s="2284" t="s">
        <v>2962</v>
      </c>
      <c r="H93" s="2285"/>
    </row>
    <row r="94" spans="1:8" ht="15" customHeight="1">
      <c r="A94" s="594" t="s">
        <v>50</v>
      </c>
      <c r="B94" s="595"/>
      <c r="C94" s="2286" t="str">
        <f>C78</f>
        <v>OHADA</v>
      </c>
      <c r="D94" s="2286"/>
      <c r="E94" s="2286"/>
      <c r="F94" s="2286"/>
      <c r="G94" s="2286"/>
      <c r="H94" s="2287"/>
    </row>
    <row r="95" spans="1:8" ht="15" customHeight="1">
      <c r="A95" s="596" t="s">
        <v>51</v>
      </c>
      <c r="B95" s="2107" t="str">
        <f>B79</f>
        <v/>
      </c>
      <c r="C95" s="2107"/>
      <c r="D95" s="2107"/>
      <c r="E95" s="2107"/>
      <c r="F95" s="597" t="s">
        <v>1021</v>
      </c>
      <c r="G95" s="2288" t="str">
        <f>G79</f>
        <v/>
      </c>
      <c r="H95" s="2289"/>
    </row>
    <row r="96" spans="1:8" ht="14.25" customHeight="1">
      <c r="A96" s="596" t="s">
        <v>53</v>
      </c>
      <c r="B96" s="312"/>
      <c r="C96" s="2107" t="str">
        <f>C80</f>
        <v/>
      </c>
      <c r="D96" s="2107"/>
      <c r="E96" s="574" t="s">
        <v>54</v>
      </c>
      <c r="F96" s="608">
        <f>F80</f>
        <v>0</v>
      </c>
      <c r="G96" s="597" t="s">
        <v>55</v>
      </c>
      <c r="H96" s="599">
        <f>H80</f>
        <v>1</v>
      </c>
    </row>
    <row r="97" spans="1:8" s="312" customFormat="1" ht="17.25" customHeight="1">
      <c r="A97" s="622" t="s">
        <v>1022</v>
      </c>
      <c r="B97" s="615"/>
      <c r="C97" s="2280" t="str">
        <f>C81</f>
        <v/>
      </c>
      <c r="D97" s="2280"/>
      <c r="E97" s="615"/>
      <c r="F97" s="615"/>
      <c r="G97" s="615"/>
      <c r="H97" s="615"/>
    </row>
    <row r="98" spans="1:8" ht="15.9" customHeight="1">
      <c r="A98" s="603" t="s">
        <v>1482</v>
      </c>
      <c r="B98" s="2277" t="s">
        <v>9653</v>
      </c>
      <c r="C98" s="2277"/>
      <c r="D98" s="2277"/>
      <c r="E98" s="2277"/>
      <c r="F98" s="2277"/>
      <c r="G98" s="2277"/>
      <c r="H98" s="2278"/>
    </row>
    <row r="99" spans="1:8" ht="125.25" customHeight="1">
      <c r="A99" s="2279"/>
      <c r="B99" s="2279"/>
      <c r="C99" s="2279"/>
      <c r="D99" s="2279"/>
      <c r="E99" s="2279"/>
      <c r="F99" s="2279"/>
      <c r="G99" s="2279"/>
      <c r="H99" s="2279"/>
    </row>
    <row r="100" spans="1:8" ht="15.9" customHeight="1">
      <c r="A100" s="603" t="s">
        <v>1484</v>
      </c>
      <c r="B100" s="2277" t="s">
        <v>9654</v>
      </c>
      <c r="C100" s="2277"/>
      <c r="D100" s="2277"/>
      <c r="E100" s="2277"/>
      <c r="F100" s="2277"/>
      <c r="G100" s="2277"/>
      <c r="H100" s="2278"/>
    </row>
    <row r="101" spans="1:8" ht="125.25" customHeight="1">
      <c r="A101" s="2279"/>
      <c r="B101" s="2279"/>
      <c r="C101" s="2279"/>
      <c r="D101" s="2279"/>
      <c r="E101" s="2279"/>
      <c r="F101" s="2279"/>
      <c r="G101" s="2279"/>
      <c r="H101" s="2279"/>
    </row>
    <row r="102" spans="1:8" ht="15.9" customHeight="1">
      <c r="A102" s="603" t="s">
        <v>1486</v>
      </c>
      <c r="B102" s="2277" t="s">
        <v>9655</v>
      </c>
      <c r="C102" s="2277"/>
      <c r="D102" s="2277"/>
      <c r="E102" s="2277"/>
      <c r="F102" s="2277"/>
      <c r="G102" s="2277"/>
      <c r="H102" s="2278"/>
    </row>
    <row r="103" spans="1:8" ht="125.25" customHeight="1">
      <c r="A103" s="2279"/>
      <c r="B103" s="2279"/>
      <c r="C103" s="2279"/>
      <c r="D103" s="2279"/>
      <c r="E103" s="2279"/>
      <c r="F103" s="2279"/>
      <c r="G103" s="2279"/>
      <c r="H103" s="2279"/>
    </row>
    <row r="104" spans="1:8" ht="15.9" customHeight="1">
      <c r="A104" s="603" t="s">
        <v>1488</v>
      </c>
      <c r="B104" s="2277" t="s">
        <v>9656</v>
      </c>
      <c r="C104" s="2277"/>
      <c r="D104" s="2277"/>
      <c r="E104" s="2277"/>
      <c r="F104" s="2277"/>
      <c r="G104" s="2277"/>
      <c r="H104" s="2278"/>
    </row>
    <row r="105" spans="1:8" ht="125.25" customHeight="1">
      <c r="A105" s="2279"/>
      <c r="B105" s="2279"/>
      <c r="C105" s="2279"/>
      <c r="D105" s="2279"/>
      <c r="E105" s="2279"/>
      <c r="F105" s="2279"/>
      <c r="G105" s="2279"/>
      <c r="H105" s="2279"/>
    </row>
    <row r="106" spans="1:8" ht="15.9" customHeight="1">
      <c r="A106" s="603" t="s">
        <v>1490</v>
      </c>
      <c r="B106" s="2277" t="s">
        <v>9657</v>
      </c>
      <c r="C106" s="2277"/>
      <c r="D106" s="2277"/>
      <c r="E106" s="2277"/>
      <c r="F106" s="2277"/>
      <c r="G106" s="2277"/>
      <c r="H106" s="2278"/>
    </row>
    <row r="107" spans="1:8" ht="125.25" customHeight="1">
      <c r="A107" s="2279"/>
      <c r="B107" s="2279"/>
      <c r="C107" s="2279"/>
      <c r="D107" s="2279"/>
      <c r="E107" s="2279"/>
      <c r="F107" s="2279"/>
      <c r="G107" s="2279"/>
      <c r="H107" s="2279"/>
    </row>
    <row r="108" spans="1:8" ht="26.25" customHeight="1">
      <c r="A108" s="2281" t="s">
        <v>2951</v>
      </c>
      <c r="B108" s="2282"/>
      <c r="C108" s="2282"/>
      <c r="D108" s="2282"/>
      <c r="E108" s="2282"/>
      <c r="F108" s="2283"/>
      <c r="G108" s="2284" t="s">
        <v>2963</v>
      </c>
      <c r="H108" s="2285"/>
    </row>
    <row r="109" spans="1:8" ht="15" customHeight="1">
      <c r="A109" s="594" t="s">
        <v>50</v>
      </c>
      <c r="B109" s="595"/>
      <c r="C109" s="2286" t="str">
        <f>C94</f>
        <v>OHADA</v>
      </c>
      <c r="D109" s="2286"/>
      <c r="E109" s="2286"/>
      <c r="F109" s="2286"/>
      <c r="G109" s="2286"/>
      <c r="H109" s="2287"/>
    </row>
    <row r="110" spans="1:8" ht="15" customHeight="1">
      <c r="A110" s="596" t="s">
        <v>51</v>
      </c>
      <c r="B110" s="2107" t="str">
        <f>B95</f>
        <v/>
      </c>
      <c r="C110" s="2107"/>
      <c r="D110" s="2107"/>
      <c r="E110" s="2107"/>
      <c r="F110" s="597" t="s">
        <v>1021</v>
      </c>
      <c r="G110" s="2288" t="str">
        <f>G95</f>
        <v/>
      </c>
      <c r="H110" s="2289"/>
    </row>
    <row r="111" spans="1:8" ht="15" customHeight="1">
      <c r="A111" s="596" t="s">
        <v>53</v>
      </c>
      <c r="B111" s="312"/>
      <c r="C111" s="2107" t="str">
        <f>C96</f>
        <v/>
      </c>
      <c r="D111" s="2107"/>
      <c r="E111" s="574" t="s">
        <v>54</v>
      </c>
      <c r="F111" s="608">
        <f>F96</f>
        <v>0</v>
      </c>
      <c r="G111" s="597" t="s">
        <v>55</v>
      </c>
      <c r="H111" s="599">
        <f>H96</f>
        <v>1</v>
      </c>
    </row>
    <row r="112" spans="1:8" ht="17.25" customHeight="1">
      <c r="A112" s="596" t="s">
        <v>1022</v>
      </c>
      <c r="B112" s="312"/>
      <c r="C112" s="2280" t="str">
        <f>C97</f>
        <v/>
      </c>
      <c r="D112" s="2280"/>
      <c r="E112" s="574"/>
      <c r="F112" s="606"/>
      <c r="G112" s="597"/>
      <c r="H112" s="623"/>
    </row>
    <row r="113" spans="1:8" ht="15" customHeight="1">
      <c r="A113" s="603" t="s">
        <v>1492</v>
      </c>
      <c r="B113" s="2277" t="s">
        <v>9658</v>
      </c>
      <c r="C113" s="2277"/>
      <c r="D113" s="2277"/>
      <c r="E113" s="2277"/>
      <c r="F113" s="2277"/>
      <c r="G113" s="2277"/>
      <c r="H113" s="2278"/>
    </row>
    <row r="114" spans="1:8" ht="125.25" customHeight="1">
      <c r="A114" s="2279"/>
      <c r="B114" s="2279"/>
      <c r="C114" s="2279"/>
      <c r="D114" s="2279"/>
      <c r="E114" s="2279"/>
      <c r="F114" s="2279"/>
      <c r="G114" s="2279"/>
      <c r="H114" s="2279"/>
    </row>
    <row r="115" spans="1:8" ht="15.9" customHeight="1">
      <c r="A115" s="603" t="s">
        <v>1494</v>
      </c>
      <c r="B115" s="2277" t="s">
        <v>9659</v>
      </c>
      <c r="C115" s="2277"/>
      <c r="D115" s="2277"/>
      <c r="E115" s="2277"/>
      <c r="F115" s="2277"/>
      <c r="G115" s="2277"/>
      <c r="H115" s="2278"/>
    </row>
    <row r="116" spans="1:8" ht="125.25" customHeight="1">
      <c r="A116" s="2279"/>
      <c r="B116" s="2279"/>
      <c r="C116" s="2279"/>
      <c r="D116" s="2279"/>
      <c r="E116" s="2279"/>
      <c r="F116" s="2279"/>
      <c r="G116" s="2279"/>
      <c r="H116" s="2279"/>
    </row>
    <row r="117" spans="1:8" ht="15.9" customHeight="1">
      <c r="A117" s="603" t="s">
        <v>1496</v>
      </c>
      <c r="B117" s="2277" t="s">
        <v>9660</v>
      </c>
      <c r="C117" s="2277"/>
      <c r="D117" s="2277"/>
      <c r="E117" s="2277"/>
      <c r="F117" s="2277"/>
      <c r="G117" s="2277"/>
      <c r="H117" s="2278"/>
    </row>
    <row r="118" spans="1:8" ht="125.25" customHeight="1">
      <c r="A118" s="2279"/>
      <c r="B118" s="2279"/>
      <c r="C118" s="2279"/>
      <c r="D118" s="2279"/>
      <c r="E118" s="2279"/>
      <c r="F118" s="2279"/>
      <c r="G118" s="2279"/>
      <c r="H118" s="2279"/>
    </row>
    <row r="119" spans="1:8" ht="15.9" customHeight="1">
      <c r="A119" s="603" t="s">
        <v>1498</v>
      </c>
      <c r="B119" s="2277" t="s">
        <v>9661</v>
      </c>
      <c r="C119" s="2277"/>
      <c r="D119" s="2277"/>
      <c r="E119" s="2277"/>
      <c r="F119" s="2277"/>
      <c r="G119" s="2277"/>
      <c r="H119" s="2278"/>
    </row>
    <row r="120" spans="1:8" ht="125.25" customHeight="1">
      <c r="A120" s="2279"/>
      <c r="B120" s="2279"/>
      <c r="C120" s="2279"/>
      <c r="D120" s="2279"/>
      <c r="E120" s="2279"/>
      <c r="F120" s="2279"/>
      <c r="G120" s="2279"/>
      <c r="H120" s="2279"/>
    </row>
    <row r="121" spans="1:8" ht="15.9" customHeight="1">
      <c r="A121" s="603" t="s">
        <v>1500</v>
      </c>
      <c r="B121" s="2277" t="s">
        <v>9662</v>
      </c>
      <c r="C121" s="2277"/>
      <c r="D121" s="2277"/>
      <c r="E121" s="2277"/>
      <c r="F121" s="2277"/>
      <c r="G121" s="2277"/>
      <c r="H121" s="2278"/>
    </row>
    <row r="122" spans="1:8" ht="123.75" customHeight="1">
      <c r="A122" s="2279"/>
      <c r="B122" s="2279"/>
      <c r="C122" s="2279"/>
      <c r="D122" s="2279"/>
      <c r="E122" s="2279"/>
      <c r="F122" s="2279"/>
      <c r="G122" s="2279"/>
      <c r="H122" s="2279"/>
    </row>
    <row r="123" spans="1:8" ht="26.25" customHeight="1">
      <c r="A123" s="2281" t="s">
        <v>2951</v>
      </c>
      <c r="B123" s="2282"/>
      <c r="C123" s="2282"/>
      <c r="D123" s="2282"/>
      <c r="E123" s="2282"/>
      <c r="F123" s="2283"/>
      <c r="G123" s="2284" t="s">
        <v>2964</v>
      </c>
      <c r="H123" s="2285"/>
    </row>
    <row r="124" spans="1:8" ht="15" customHeight="1">
      <c r="A124" s="594" t="s">
        <v>50</v>
      </c>
      <c r="B124" s="595"/>
      <c r="C124" s="2286" t="str">
        <f>C109</f>
        <v>OHADA</v>
      </c>
      <c r="D124" s="2286"/>
      <c r="E124" s="2286"/>
      <c r="F124" s="2286"/>
      <c r="G124" s="2286"/>
      <c r="H124" s="2287"/>
    </row>
    <row r="125" spans="1:8" ht="15" customHeight="1">
      <c r="A125" s="596" t="s">
        <v>51</v>
      </c>
      <c r="B125" s="2107" t="str">
        <f>B110</f>
        <v/>
      </c>
      <c r="C125" s="2107"/>
      <c r="D125" s="2107"/>
      <c r="E125" s="2107"/>
      <c r="F125" s="597" t="s">
        <v>1021</v>
      </c>
      <c r="G125" s="2288" t="str">
        <f>G110</f>
        <v/>
      </c>
      <c r="H125" s="2289"/>
    </row>
    <row r="126" spans="1:8" ht="15" customHeight="1">
      <c r="A126" s="596" t="s">
        <v>53</v>
      </c>
      <c r="B126" s="312"/>
      <c r="C126" s="2107" t="str">
        <f>C111</f>
        <v/>
      </c>
      <c r="D126" s="2107"/>
      <c r="E126" s="574" t="s">
        <v>54</v>
      </c>
      <c r="F126" s="608">
        <f>F111</f>
        <v>0</v>
      </c>
      <c r="G126" s="597" t="s">
        <v>55</v>
      </c>
      <c r="H126" s="599">
        <f>H111</f>
        <v>1</v>
      </c>
    </row>
    <row r="127" spans="1:8" ht="17.25" customHeight="1">
      <c r="A127" s="596" t="s">
        <v>1022</v>
      </c>
      <c r="B127" s="312"/>
      <c r="C127" s="2280" t="str">
        <f>C112</f>
        <v/>
      </c>
      <c r="D127" s="2280"/>
      <c r="E127" s="574"/>
      <c r="F127" s="606"/>
      <c r="G127" s="597"/>
      <c r="H127" s="623"/>
    </row>
    <row r="128" spans="1:8" ht="15" customHeight="1">
      <c r="A128" s="603" t="s">
        <v>1502</v>
      </c>
      <c r="B128" s="2277" t="s">
        <v>9663</v>
      </c>
      <c r="C128" s="2277"/>
      <c r="D128" s="2277"/>
      <c r="E128" s="2277"/>
      <c r="F128" s="2277"/>
      <c r="G128" s="2277"/>
      <c r="H128" s="2278"/>
    </row>
    <row r="129" spans="1:8" ht="129.9" customHeight="1">
      <c r="A129" s="2279"/>
      <c r="B129" s="2279"/>
      <c r="C129" s="2279"/>
      <c r="D129" s="2279"/>
      <c r="E129" s="2279"/>
      <c r="F129" s="2279"/>
      <c r="G129" s="2279"/>
      <c r="H129" s="2279"/>
    </row>
    <row r="130" spans="1:8" ht="15" customHeight="1">
      <c r="A130" s="603" t="s">
        <v>1504</v>
      </c>
      <c r="B130" s="2277" t="s">
        <v>9664</v>
      </c>
      <c r="C130" s="2277"/>
      <c r="D130" s="2277"/>
      <c r="E130" s="2277"/>
      <c r="F130" s="2277"/>
      <c r="G130" s="2277"/>
      <c r="H130" s="2278"/>
    </row>
    <row r="131" spans="1:8" ht="129.9" customHeight="1">
      <c r="A131" s="2279"/>
      <c r="B131" s="2279"/>
      <c r="C131" s="2279"/>
      <c r="D131" s="2279"/>
      <c r="E131" s="2279"/>
      <c r="F131" s="2279"/>
      <c r="G131" s="2279"/>
      <c r="H131" s="2279"/>
    </row>
    <row r="132" spans="1:8" ht="15" customHeight="1">
      <c r="A132" s="603" t="s">
        <v>1506</v>
      </c>
      <c r="B132" s="2277" t="s">
        <v>9665</v>
      </c>
      <c r="C132" s="2277"/>
      <c r="D132" s="2277"/>
      <c r="E132" s="2277"/>
      <c r="F132" s="2277"/>
      <c r="G132" s="2277"/>
      <c r="H132" s="2278"/>
    </row>
    <row r="133" spans="1:8" ht="129.9" customHeight="1">
      <c r="A133" s="2279"/>
      <c r="B133" s="2279"/>
      <c r="C133" s="2279"/>
      <c r="D133" s="2279"/>
      <c r="E133" s="2279"/>
      <c r="F133" s="2279"/>
      <c r="G133" s="2279"/>
      <c r="H133" s="2279"/>
    </row>
    <row r="134" spans="1:8" ht="15" customHeight="1">
      <c r="A134" s="603" t="s">
        <v>1508</v>
      </c>
      <c r="B134" s="2277" t="s">
        <v>9666</v>
      </c>
      <c r="C134" s="2277"/>
      <c r="D134" s="2277"/>
      <c r="E134" s="2277"/>
      <c r="F134" s="2277"/>
      <c r="G134" s="2277"/>
      <c r="H134" s="2278"/>
    </row>
    <row r="135" spans="1:8" ht="129.6" customHeight="1">
      <c r="A135" s="2279"/>
      <c r="B135" s="2279"/>
      <c r="C135" s="2279"/>
      <c r="D135" s="2279"/>
      <c r="E135" s="2279"/>
      <c r="F135" s="2279"/>
      <c r="G135" s="2279"/>
      <c r="H135" s="2279"/>
    </row>
    <row r="136" spans="1:8" ht="15" customHeight="1">
      <c r="A136" s="603" t="s">
        <v>3675</v>
      </c>
      <c r="B136" s="2277" t="s">
        <v>9667</v>
      </c>
      <c r="C136" s="2277"/>
      <c r="D136" s="2277"/>
      <c r="E136" s="2277"/>
      <c r="F136" s="2277"/>
      <c r="G136" s="2277"/>
      <c r="H136" s="2278"/>
    </row>
    <row r="137" spans="1:8" ht="129.6" customHeight="1">
      <c r="A137" s="2279"/>
      <c r="B137" s="2279"/>
      <c r="C137" s="2279"/>
      <c r="D137" s="2279"/>
      <c r="E137" s="2279"/>
      <c r="F137" s="2279"/>
      <c r="G137" s="2279"/>
      <c r="H137" s="2279"/>
    </row>
    <row r="138" spans="1:8" ht="12.9" customHeight="1">
      <c r="C138" s="312"/>
      <c r="D138" s="312"/>
      <c r="E138" s="312"/>
      <c r="F138" s="312"/>
      <c r="G138" s="312"/>
      <c r="H138" s="312"/>
    </row>
    <row r="139" spans="1:8" ht="12.9" customHeight="1">
      <c r="C139" s="312"/>
      <c r="D139" s="312"/>
      <c r="E139" s="312"/>
      <c r="F139" s="312"/>
      <c r="G139" s="312"/>
      <c r="H139" s="312"/>
    </row>
    <row r="140" spans="1:8" ht="12.9" customHeight="1">
      <c r="C140" s="312"/>
      <c r="D140" s="312"/>
      <c r="E140" s="312"/>
      <c r="F140" s="312"/>
      <c r="G140" s="312"/>
      <c r="H140" s="312"/>
    </row>
    <row r="141" spans="1:8" ht="12.9" customHeight="1"/>
    <row r="142" spans="1:8" ht="12.9" customHeight="1"/>
    <row r="143" spans="1:8" ht="12.9" customHeight="1"/>
    <row r="144" spans="1:8" ht="12.9" customHeight="1"/>
    <row r="145" ht="12.9" customHeight="1"/>
    <row r="146" ht="12.9" customHeight="1"/>
    <row r="147" ht="12.9" customHeight="1"/>
    <row r="148" ht="12.9" customHeight="1"/>
    <row r="149" ht="12.9" customHeight="1"/>
    <row r="150" ht="12.9" customHeight="1"/>
    <row r="151" ht="12.9" customHeight="1"/>
    <row r="152" ht="12.9" customHeight="1"/>
    <row r="153" ht="12.9" customHeight="1"/>
    <row r="154" ht="12.9" customHeight="1"/>
    <row r="155" ht="12.9" customHeight="1"/>
    <row r="156" ht="12.9" customHeight="1"/>
    <row r="157" ht="12.9" customHeight="1"/>
    <row r="158" ht="12.9" customHeight="1"/>
    <row r="159" ht="12.9" customHeight="1"/>
    <row r="160" ht="12.9" customHeight="1"/>
    <row r="161" ht="12.9" customHeight="1"/>
    <row r="162" ht="12.9" customHeight="1"/>
    <row r="163" ht="12.9" customHeight="1"/>
    <row r="164" ht="12.9" customHeight="1"/>
    <row r="165" ht="12.9" customHeight="1"/>
    <row r="166" ht="12.9" customHeight="1"/>
    <row r="167" ht="12.9" customHeight="1"/>
    <row r="168" ht="12.9" customHeight="1"/>
    <row r="169" ht="12.9" customHeight="1"/>
    <row r="170" ht="12.9" customHeight="1"/>
    <row r="171" ht="12.9" customHeight="1"/>
    <row r="172" ht="12.9" customHeight="1"/>
    <row r="173" ht="12.9" customHeight="1"/>
    <row r="174" ht="12.9" customHeight="1"/>
    <row r="175" ht="12.9" customHeight="1"/>
    <row r="176" ht="12.9" customHeight="1"/>
    <row r="177" ht="12.9" customHeight="1"/>
    <row r="178" ht="12.9" customHeight="1"/>
    <row r="179" ht="12.9" customHeight="1"/>
    <row r="180" ht="12.9" customHeight="1"/>
    <row r="181" ht="12.9" customHeight="1"/>
    <row r="182" ht="12.9" customHeight="1"/>
    <row r="183" ht="12.9" customHeight="1"/>
    <row r="184" ht="12.9" customHeight="1"/>
    <row r="185" ht="12.9" customHeight="1"/>
    <row r="186" ht="12.9" customHeight="1"/>
    <row r="187" ht="12.9" customHeight="1"/>
    <row r="188" ht="12.9" customHeight="1"/>
    <row r="189" ht="12.9" customHeight="1"/>
    <row r="190" ht="12.9" customHeight="1"/>
    <row r="191" ht="12.9" customHeight="1"/>
    <row r="192" ht="12.9" customHeight="1"/>
    <row r="193" ht="12.9" customHeight="1"/>
    <row r="194" ht="12.9" customHeight="1"/>
    <row r="195" ht="12.9" customHeight="1"/>
    <row r="196" ht="12.9" customHeight="1"/>
    <row r="197" ht="12.9" customHeight="1"/>
    <row r="198" ht="12.9" customHeight="1"/>
    <row r="199" ht="12.9" customHeight="1"/>
    <row r="200" ht="12.9" customHeight="1"/>
  </sheetData>
  <sheetProtection algorithmName="SHA-512" hashValue="EE+/kzMi2w1RllypojF4ldDzxkUyDGi3fLchWDWaG6Wc/BPSs86T6lYH/vsiSwdt+1L8xtgU0kiSq+eyiyZvTg==" saltValue="RFCCL1IgMNJ1gb+aM/I5KA==" spinCount="100000" sheet="1" objects="1" scenarios="1" selectLockedCells="1"/>
  <mergeCells count="148">
    <mergeCell ref="A1:F1"/>
    <mergeCell ref="G1:H1"/>
    <mergeCell ref="C2:H2"/>
    <mergeCell ref="B3:E3"/>
    <mergeCell ref="G3:H3"/>
    <mergeCell ref="C4:D4"/>
    <mergeCell ref="A11:H11"/>
    <mergeCell ref="B12:H12"/>
    <mergeCell ref="A13:H13"/>
    <mergeCell ref="B14:H14"/>
    <mergeCell ref="A15:H15"/>
    <mergeCell ref="A16:F16"/>
    <mergeCell ref="G16:H16"/>
    <mergeCell ref="C5:D5"/>
    <mergeCell ref="B6:H6"/>
    <mergeCell ref="A7:H7"/>
    <mergeCell ref="B8:H8"/>
    <mergeCell ref="A9:H9"/>
    <mergeCell ref="B10:H10"/>
    <mergeCell ref="A28:H28"/>
    <mergeCell ref="A22:H22"/>
    <mergeCell ref="B23:H23"/>
    <mergeCell ref="A24:H24"/>
    <mergeCell ref="A26:H26"/>
    <mergeCell ref="A27:H27"/>
    <mergeCell ref="C17:H17"/>
    <mergeCell ref="B18:E18"/>
    <mergeCell ref="G18:H18"/>
    <mergeCell ref="C19:D19"/>
    <mergeCell ref="C20:D20"/>
    <mergeCell ref="B21:H21"/>
    <mergeCell ref="B25:H25"/>
    <mergeCell ref="C33:H33"/>
    <mergeCell ref="B34:E34"/>
    <mergeCell ref="G34:H34"/>
    <mergeCell ref="C35:D35"/>
    <mergeCell ref="C36:D36"/>
    <mergeCell ref="B37:H37"/>
    <mergeCell ref="A29:H29"/>
    <mergeCell ref="B30:H30"/>
    <mergeCell ref="A31:H31"/>
    <mergeCell ref="A32:F32"/>
    <mergeCell ref="G32:H32"/>
    <mergeCell ref="A44:H44"/>
    <mergeCell ref="A45:F45"/>
    <mergeCell ref="G45:H45"/>
    <mergeCell ref="C46:H46"/>
    <mergeCell ref="B47:E47"/>
    <mergeCell ref="G47:H47"/>
    <mergeCell ref="A38:H38"/>
    <mergeCell ref="B39:H39"/>
    <mergeCell ref="A40:H40"/>
    <mergeCell ref="B41:H41"/>
    <mergeCell ref="A42:H42"/>
    <mergeCell ref="B43:H43"/>
    <mergeCell ref="A56:H56"/>
    <mergeCell ref="B57:H57"/>
    <mergeCell ref="A58:H58"/>
    <mergeCell ref="B59:H59"/>
    <mergeCell ref="A60:H60"/>
    <mergeCell ref="A61:F61"/>
    <mergeCell ref="G61:H61"/>
    <mergeCell ref="C48:D48"/>
    <mergeCell ref="C49:D49"/>
    <mergeCell ref="B50:H50"/>
    <mergeCell ref="A54:H54"/>
    <mergeCell ref="A51:H51"/>
    <mergeCell ref="A67:H67"/>
    <mergeCell ref="B68:H68"/>
    <mergeCell ref="A69:H69"/>
    <mergeCell ref="B70:H70"/>
    <mergeCell ref="A74:H74"/>
    <mergeCell ref="C62:H62"/>
    <mergeCell ref="B63:E63"/>
    <mergeCell ref="G63:H63"/>
    <mergeCell ref="C64:D64"/>
    <mergeCell ref="C65:D65"/>
    <mergeCell ref="B66:H66"/>
    <mergeCell ref="C80:D80"/>
    <mergeCell ref="C81:D81"/>
    <mergeCell ref="A86:H86"/>
    <mergeCell ref="A76:H76"/>
    <mergeCell ref="A77:F77"/>
    <mergeCell ref="G77:H77"/>
    <mergeCell ref="C78:H78"/>
    <mergeCell ref="B79:E79"/>
    <mergeCell ref="G79:H79"/>
    <mergeCell ref="C94:H94"/>
    <mergeCell ref="B95:E95"/>
    <mergeCell ref="G95:H95"/>
    <mergeCell ref="C96:D96"/>
    <mergeCell ref="C97:D97"/>
    <mergeCell ref="B98:H98"/>
    <mergeCell ref="A88:H88"/>
    <mergeCell ref="B89:H89"/>
    <mergeCell ref="A90:H90"/>
    <mergeCell ref="B91:H91"/>
    <mergeCell ref="A92:H92"/>
    <mergeCell ref="A93:F93"/>
    <mergeCell ref="G93:H93"/>
    <mergeCell ref="A105:H105"/>
    <mergeCell ref="B106:H106"/>
    <mergeCell ref="A107:H107"/>
    <mergeCell ref="A108:F108"/>
    <mergeCell ref="G108:H108"/>
    <mergeCell ref="C109:H109"/>
    <mergeCell ref="A99:H99"/>
    <mergeCell ref="B100:H100"/>
    <mergeCell ref="A101:H101"/>
    <mergeCell ref="B102:H102"/>
    <mergeCell ref="A103:H103"/>
    <mergeCell ref="B104:H104"/>
    <mergeCell ref="B115:H115"/>
    <mergeCell ref="A116:H116"/>
    <mergeCell ref="B117:H117"/>
    <mergeCell ref="A118:H118"/>
    <mergeCell ref="B119:H119"/>
    <mergeCell ref="A120:H120"/>
    <mergeCell ref="B110:E110"/>
    <mergeCell ref="G110:H110"/>
    <mergeCell ref="C111:D111"/>
    <mergeCell ref="C112:D112"/>
    <mergeCell ref="B113:H113"/>
    <mergeCell ref="A114:H114"/>
    <mergeCell ref="B134:H134"/>
    <mergeCell ref="A135:H135"/>
    <mergeCell ref="B136:H136"/>
    <mergeCell ref="A137:H137"/>
    <mergeCell ref="B84:H84"/>
    <mergeCell ref="A83:H83"/>
    <mergeCell ref="B72:H72"/>
    <mergeCell ref="A71:H71"/>
    <mergeCell ref="B52:H52"/>
    <mergeCell ref="B130:H130"/>
    <mergeCell ref="A131:H131"/>
    <mergeCell ref="B132:H132"/>
    <mergeCell ref="A133:H133"/>
    <mergeCell ref="C126:D126"/>
    <mergeCell ref="C127:D127"/>
    <mergeCell ref="B128:H128"/>
    <mergeCell ref="A129:H129"/>
    <mergeCell ref="B121:H121"/>
    <mergeCell ref="A122:H122"/>
    <mergeCell ref="A123:F123"/>
    <mergeCell ref="G123:H123"/>
    <mergeCell ref="C124:H124"/>
    <mergeCell ref="B125:E125"/>
    <mergeCell ref="G125:H125"/>
  </mergeCells>
  <dataValidations count="1">
    <dataValidation type="textLength" operator="lessThan" allowBlank="1" showInputMessage="1" showErrorMessage="1" sqref="A7:H7 A9:H9 A11:H11 A15:H15 A13:H13 A22:H22 A24:H24 A27:H27 A29:H29 A31:H31 A38:H38 A40:H40 A42:H42 A44:H44 A51:H51 A54:H54 A56:H56 A58:H58 A60:H60 A67:H67 A69:H69 A71:H71 A74:H74 A76:H76 A83:H83 A86:H86 A88:H88 A90:H90 A92:H92 A99:H99 A101:H101 A103:H103 A105:H105 A107:H107 A114:H114 A116:H116 A118:H118 A120:H120 A122:H122 A129:H129 A131:H131 A133:H133 A135:H135 A137:H137" xr:uid="{3D019EAE-B5A5-4182-A27A-B63B6FC141BC}">
      <formula1>2000</formula1>
    </dataValidation>
  </dataValidations>
  <printOptions horizontalCentered="1"/>
  <pageMargins left="0.31496062992125984" right="0.31496062992125984" top="0.35433070866141736" bottom="0.35433070866141736" header="0.31496062992125984" footer="0.31496062992125984"/>
  <pageSetup paperSize="9" scale="95" orientation="portrait" r:id="rId1"/>
  <rowBreaks count="8" manualBreakCount="8">
    <brk id="15" max="16383" man="1"/>
    <brk id="31" max="16383" man="1"/>
    <brk id="44" max="16383" man="1"/>
    <brk id="60" max="16383" man="1"/>
    <brk id="76" max="16383" man="1"/>
    <brk id="92" max="16383" man="1"/>
    <brk id="107" max="16383" man="1"/>
    <brk id="122" max="16383" man="1"/>
  </rowBreaks>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05008-E44C-427C-8B44-0DD19F94F942}">
  <sheetPr codeName="Feuil90">
    <tabColor theme="3" tint="-0.499984740745262"/>
    <outlinePr showOutlineSymbols="0"/>
    <pageSetUpPr autoPageBreaks="0"/>
  </sheetPr>
  <dimension ref="A1:U78"/>
  <sheetViews>
    <sheetView showGridLines="0" showOutlineSymbols="0" zoomScaleNormal="100" zoomScaleSheetLayoutView="100" zoomScalePageLayoutView="75" workbookViewId="0">
      <selection activeCell="E2" sqref="E2:E11"/>
    </sheetView>
  </sheetViews>
  <sheetFormatPr baseColWidth="10" defaultColWidth="13.1015625" defaultRowHeight="11.7"/>
  <cols>
    <col min="1" max="1" width="28" style="133" bestFit="1" customWidth="1"/>
    <col min="2" max="3" width="4.41796875" style="133" bestFit="1" customWidth="1"/>
    <col min="4" max="4" width="5.20703125" style="133" bestFit="1" customWidth="1"/>
    <col min="5" max="5" width="17.1015625" style="133" bestFit="1" customWidth="1"/>
    <col min="6" max="6" width="5.5234375" style="133" bestFit="1" customWidth="1"/>
    <col min="7" max="7" width="6.89453125" style="133" customWidth="1"/>
    <col min="8" max="8" width="33.89453125" style="133" customWidth="1"/>
    <col min="9" max="9" width="22.41796875" style="133" bestFit="1" customWidth="1"/>
    <col min="10" max="12" width="5.5234375" style="133" customWidth="1"/>
    <col min="13" max="13" width="16.20703125" style="134" customWidth="1"/>
    <col min="14" max="14" width="4.5234375" style="134" customWidth="1"/>
    <col min="15" max="15" width="12.5234375" style="134" customWidth="1"/>
    <col min="16" max="17" width="13.1015625" style="133"/>
    <col min="18" max="19" width="48.5234375" style="133" customWidth="1"/>
    <col min="20" max="20" width="13.20703125" style="133" bestFit="1" customWidth="1"/>
    <col min="21" max="16384" width="13.1015625" style="133"/>
  </cols>
  <sheetData>
    <row r="1" spans="1:21" ht="18.600000000000001" thickBot="1">
      <c r="A1" s="130" t="s">
        <v>9943</v>
      </c>
      <c r="B1" s="130" t="s">
        <v>64</v>
      </c>
      <c r="C1" s="130" t="s">
        <v>67</v>
      </c>
      <c r="D1" s="131"/>
      <c r="E1" s="130" t="s">
        <v>9944</v>
      </c>
      <c r="F1" s="130" t="s">
        <v>9046</v>
      </c>
      <c r="G1" s="132"/>
      <c r="I1" s="133" t="s">
        <v>9945</v>
      </c>
      <c r="J1" s="133">
        <f>IF(Sommaire!D5=TRUE,1,0)</f>
        <v>1</v>
      </c>
      <c r="K1" s="133">
        <v>0</v>
      </c>
      <c r="R1" s="2309" t="s">
        <v>9946</v>
      </c>
      <c r="S1" s="2309"/>
      <c r="T1" s="2309"/>
    </row>
    <row r="2" spans="1:21" ht="15.6">
      <c r="A2" s="130" t="s">
        <v>9750</v>
      </c>
      <c r="B2" s="130" t="s">
        <v>61</v>
      </c>
      <c r="C2" s="130" t="s">
        <v>64</v>
      </c>
      <c r="D2" s="131"/>
      <c r="E2" s="130" t="s">
        <v>9947</v>
      </c>
      <c r="F2" s="130" t="s">
        <v>61</v>
      </c>
      <c r="G2" s="135"/>
      <c r="I2" s="133" t="s">
        <v>9948</v>
      </c>
      <c r="J2" s="133">
        <f>IF(Sommaire!D6=TRUE,1,0)</f>
        <v>1</v>
      </c>
      <c r="K2" s="133">
        <f>K1+J2</f>
        <v>1</v>
      </c>
      <c r="R2" s="136" t="s">
        <v>9950</v>
      </c>
      <c r="S2" s="136"/>
      <c r="T2" s="136"/>
      <c r="U2" s="136"/>
    </row>
    <row r="3" spans="1:21" ht="15.6">
      <c r="A3" s="130" t="s">
        <v>9951</v>
      </c>
      <c r="B3" s="130" t="s">
        <v>61</v>
      </c>
      <c r="C3" s="130" t="s">
        <v>67</v>
      </c>
      <c r="D3" s="131"/>
      <c r="E3" s="130" t="s">
        <v>9952</v>
      </c>
      <c r="F3" s="130" t="s">
        <v>64</v>
      </c>
      <c r="G3" s="137"/>
      <c r="I3" s="133" t="s">
        <v>9953</v>
      </c>
      <c r="J3" s="133">
        <f>IF(Sommaire!D7=TRUE,1,0)</f>
        <v>1</v>
      </c>
      <c r="K3" s="133">
        <f>K2+J3</f>
        <v>2</v>
      </c>
      <c r="R3" s="138" t="s">
        <v>11762</v>
      </c>
      <c r="S3" s="138"/>
      <c r="T3" s="138"/>
      <c r="U3" s="136"/>
    </row>
    <row r="4" spans="1:21" ht="18.3">
      <c r="A4" s="130" t="s">
        <v>9728</v>
      </c>
      <c r="B4" s="130" t="s">
        <v>61</v>
      </c>
      <c r="C4" s="130" t="s">
        <v>82</v>
      </c>
      <c r="D4" s="131"/>
      <c r="E4" s="130" t="s">
        <v>9954</v>
      </c>
      <c r="F4" s="130" t="s">
        <v>67</v>
      </c>
      <c r="G4" s="139"/>
      <c r="I4" s="133" t="s">
        <v>9955</v>
      </c>
      <c r="J4" s="133">
        <f>IF(Sommaire!D8=TRUE,1,0)</f>
        <v>1</v>
      </c>
      <c r="K4" s="133">
        <f>K3+J4</f>
        <v>3</v>
      </c>
      <c r="M4" s="140"/>
      <c r="R4" s="138" t="s">
        <v>11763</v>
      </c>
      <c r="S4" s="138"/>
      <c r="T4" s="138"/>
      <c r="U4" s="136"/>
    </row>
    <row r="5" spans="1:21" ht="15.6">
      <c r="A5" s="130" t="s">
        <v>9956</v>
      </c>
      <c r="B5" s="130" t="s">
        <v>64</v>
      </c>
      <c r="C5" s="130" t="s">
        <v>61</v>
      </c>
      <c r="D5" s="131"/>
      <c r="E5" s="130" t="s">
        <v>9957</v>
      </c>
      <c r="F5" s="130" t="s">
        <v>70</v>
      </c>
      <c r="G5" s="141"/>
      <c r="I5" s="133" t="s">
        <v>9958</v>
      </c>
      <c r="J5" s="133">
        <f>IF(Sommaire!D9=TRUE,1,0)</f>
        <v>1</v>
      </c>
      <c r="K5" s="133">
        <f>K4+J5</f>
        <v>4</v>
      </c>
      <c r="M5" s="140"/>
      <c r="R5" s="138" t="str">
        <f>R3&amp;R4&amp;R2</f>
        <v>BARNARD N'DIA828390FTAFIROHA SN</v>
      </c>
      <c r="S5" s="138"/>
      <c r="T5" s="138"/>
      <c r="U5" s="136"/>
    </row>
    <row r="6" spans="1:21" ht="15.6">
      <c r="A6" s="130" t="s">
        <v>9740</v>
      </c>
      <c r="B6" s="130" t="s">
        <v>64</v>
      </c>
      <c r="C6" s="130" t="s">
        <v>77</v>
      </c>
      <c r="D6" s="131"/>
      <c r="E6" s="130" t="s">
        <v>9959</v>
      </c>
      <c r="F6" s="130" t="s">
        <v>74</v>
      </c>
      <c r="I6" s="133" t="s">
        <v>1020</v>
      </c>
      <c r="J6" s="133">
        <f>IF(Sommaire!D10=TRUE,1,0)</f>
        <v>1</v>
      </c>
      <c r="K6" s="133">
        <f>K5+J6+3</f>
        <v>8</v>
      </c>
      <c r="M6" s="140"/>
      <c r="R6" s="138" t="str">
        <f>creerLicence(R5)</f>
        <v>D757CC22BD235C6827F584BE8FF33EA7</v>
      </c>
      <c r="S6" s="138" t="s">
        <v>9960</v>
      </c>
      <c r="T6" s="138">
        <v>-999961</v>
      </c>
      <c r="U6" s="136" t="str">
        <f>IF(T6&lt;=100000000000,"vert","rouge")</f>
        <v>vert</v>
      </c>
    </row>
    <row r="7" spans="1:21" ht="15.6">
      <c r="A7" s="130" t="s">
        <v>9961</v>
      </c>
      <c r="B7" s="130" t="s">
        <v>64</v>
      </c>
      <c r="C7" s="130" t="s">
        <v>64</v>
      </c>
      <c r="D7" s="131"/>
      <c r="E7" s="130" t="s">
        <v>9962</v>
      </c>
      <c r="F7" s="130" t="s">
        <v>77</v>
      </c>
      <c r="I7" s="133" t="s">
        <v>1080</v>
      </c>
      <c r="J7" s="133">
        <f>IF(Sommaire!D11=TRUE,1,0)</f>
        <v>1</v>
      </c>
      <c r="K7" s="133">
        <f t="shared" ref="K7:K62" si="0">K6+J7</f>
        <v>9</v>
      </c>
      <c r="M7" s="140"/>
      <c r="R7" s="142">
        <v>46193</v>
      </c>
      <c r="S7" s="142">
        <v>43895</v>
      </c>
      <c r="T7" s="138"/>
      <c r="U7" s="136"/>
    </row>
    <row r="8" spans="1:21" ht="15.6">
      <c r="A8" s="130" t="s">
        <v>9795</v>
      </c>
      <c r="B8" s="130" t="s">
        <v>61</v>
      </c>
      <c r="C8" s="130" t="s">
        <v>70</v>
      </c>
      <c r="D8" s="131"/>
      <c r="E8" s="130" t="s">
        <v>9963</v>
      </c>
      <c r="F8" s="130" t="s">
        <v>80</v>
      </c>
      <c r="I8" s="133" t="s">
        <v>1095</v>
      </c>
      <c r="J8" s="133">
        <f>IF(Sommaire!D12=TRUE,1,0)</f>
        <v>1</v>
      </c>
      <c r="K8" s="133">
        <f t="shared" si="0"/>
        <v>10</v>
      </c>
      <c r="M8" s="140"/>
    </row>
    <row r="9" spans="1:21" ht="15.6">
      <c r="A9" s="130" t="s">
        <v>9771</v>
      </c>
      <c r="B9" s="130" t="s">
        <v>64</v>
      </c>
      <c r="C9" s="130" t="s">
        <v>67</v>
      </c>
      <c r="D9" s="143"/>
      <c r="E9" s="130" t="s">
        <v>9964</v>
      </c>
      <c r="F9" s="130" t="s">
        <v>84</v>
      </c>
      <c r="I9" s="133" t="s">
        <v>1110</v>
      </c>
      <c r="J9" s="133">
        <f>IF(Sommaire!D13=TRUE,1,0)</f>
        <v>1</v>
      </c>
      <c r="K9" s="133">
        <f t="shared" si="0"/>
        <v>11</v>
      </c>
      <c r="M9" s="140"/>
    </row>
    <row r="10" spans="1:21" ht="15.6">
      <c r="A10" s="130" t="s">
        <v>9965</v>
      </c>
      <c r="B10" s="130" t="s">
        <v>61</v>
      </c>
      <c r="C10" s="130" t="s">
        <v>74</v>
      </c>
      <c r="D10" s="131"/>
      <c r="E10" s="130" t="s">
        <v>9966</v>
      </c>
      <c r="F10" s="130" t="s">
        <v>87</v>
      </c>
      <c r="I10" s="133" t="s">
        <v>1112</v>
      </c>
      <c r="J10" s="133">
        <f>IF(Sommaire!D14=TRUE,1,0)</f>
        <v>1</v>
      </c>
      <c r="K10" s="133">
        <f t="shared" si="0"/>
        <v>12</v>
      </c>
      <c r="M10" s="140"/>
    </row>
    <row r="11" spans="1:21" ht="15.6">
      <c r="A11" s="130" t="s">
        <v>9967</v>
      </c>
      <c r="B11" s="130" t="s">
        <v>64</v>
      </c>
      <c r="C11" s="130" t="s">
        <v>80</v>
      </c>
      <c r="D11" s="143"/>
      <c r="E11" s="130" t="s">
        <v>9968</v>
      </c>
      <c r="F11" s="130" t="s">
        <v>82</v>
      </c>
      <c r="I11" s="133" t="s">
        <v>1116</v>
      </c>
      <c r="J11" s="133">
        <f>IF(Sommaire!D15=TRUE,1,0)</f>
        <v>1</v>
      </c>
      <c r="K11" s="133">
        <f t="shared" si="0"/>
        <v>13</v>
      </c>
      <c r="M11" s="140"/>
    </row>
    <row r="12" spans="1:21" ht="15.6">
      <c r="A12" s="130" t="s">
        <v>9969</v>
      </c>
      <c r="B12" s="130" t="s">
        <v>64</v>
      </c>
      <c r="C12" s="130" t="s">
        <v>70</v>
      </c>
      <c r="D12" s="131"/>
      <c r="E12" s="131"/>
      <c r="F12" s="131"/>
      <c r="I12" s="133" t="s">
        <v>2965</v>
      </c>
      <c r="J12" s="133">
        <f>IF(Sommaire!D16=TRUE,1,0)</f>
        <v>1</v>
      </c>
      <c r="K12" s="133">
        <f t="shared" si="0"/>
        <v>14</v>
      </c>
      <c r="M12" s="140"/>
    </row>
    <row r="13" spans="1:21" ht="12.9">
      <c r="A13" s="130" t="s">
        <v>9811</v>
      </c>
      <c r="B13" s="130" t="s">
        <v>61</v>
      </c>
      <c r="C13" s="130" t="s">
        <v>77</v>
      </c>
      <c r="E13" s="130" t="s">
        <v>9970</v>
      </c>
      <c r="F13" s="130" t="s">
        <v>64</v>
      </c>
      <c r="I13" s="133" t="s">
        <v>3540</v>
      </c>
      <c r="J13" s="133">
        <f>IF(Sommaire!D17=TRUE,1,0)</f>
        <v>1</v>
      </c>
      <c r="K13" s="133">
        <f t="shared" si="0"/>
        <v>15</v>
      </c>
      <c r="M13" s="140"/>
    </row>
    <row r="14" spans="1:21" ht="12.9">
      <c r="A14" s="130" t="s">
        <v>9831</v>
      </c>
      <c r="B14" s="130" t="s">
        <v>61</v>
      </c>
      <c r="C14" s="130" t="s">
        <v>80</v>
      </c>
      <c r="E14" s="130" t="s">
        <v>94</v>
      </c>
      <c r="F14" s="130" t="s">
        <v>64</v>
      </c>
      <c r="I14" s="133" t="s">
        <v>1421</v>
      </c>
      <c r="J14" s="133">
        <f>IF(Sommaire!D18=TRUE,1,0)</f>
        <v>1</v>
      </c>
      <c r="K14" s="133">
        <f t="shared" si="0"/>
        <v>16</v>
      </c>
      <c r="M14" s="140"/>
    </row>
    <row r="15" spans="1:21" ht="12.9">
      <c r="A15" s="130" t="s">
        <v>9864</v>
      </c>
      <c r="B15" s="130" t="s">
        <v>61</v>
      </c>
      <c r="C15" s="130" t="s">
        <v>84</v>
      </c>
      <c r="E15" s="130" t="s">
        <v>97</v>
      </c>
      <c r="F15" s="130" t="s">
        <v>67</v>
      </c>
      <c r="I15" s="133" t="s">
        <v>1426</v>
      </c>
      <c r="J15" s="133">
        <f>IF(Sommaire!D19=TRUE,1,0)</f>
        <v>0</v>
      </c>
      <c r="K15" s="133">
        <f t="shared" si="0"/>
        <v>16</v>
      </c>
      <c r="M15" s="140"/>
    </row>
    <row r="16" spans="1:21" ht="12.9">
      <c r="A16" s="130" t="s">
        <v>9734</v>
      </c>
      <c r="B16" s="130" t="s">
        <v>64</v>
      </c>
      <c r="C16" s="130" t="s">
        <v>74</v>
      </c>
      <c r="E16" s="130" t="s">
        <v>100</v>
      </c>
      <c r="F16" s="130" t="s">
        <v>70</v>
      </c>
      <c r="I16" s="133" t="s">
        <v>1428</v>
      </c>
      <c r="J16" s="133">
        <f>IF(Sommaire!D20=TRUE,1,0)</f>
        <v>0</v>
      </c>
      <c r="K16" s="133">
        <f t="shared" si="0"/>
        <v>16</v>
      </c>
      <c r="M16" s="140"/>
    </row>
    <row r="17" spans="1:13" ht="12.9">
      <c r="A17" s="130" t="s">
        <v>9885</v>
      </c>
      <c r="B17" s="130" t="s">
        <v>61</v>
      </c>
      <c r="C17" s="130" t="s">
        <v>87</v>
      </c>
      <c r="E17" s="130" t="s">
        <v>102</v>
      </c>
      <c r="F17" s="130" t="s">
        <v>74</v>
      </c>
      <c r="I17" s="133" t="s">
        <v>1430</v>
      </c>
      <c r="J17" s="133">
        <f>IF(Sommaire!D21=TRUE,1,0)</f>
        <v>1</v>
      </c>
      <c r="K17" s="133">
        <f t="shared" si="0"/>
        <v>17</v>
      </c>
      <c r="M17" s="140"/>
    </row>
    <row r="18" spans="1:13" ht="12.9">
      <c r="A18" s="130" t="s">
        <v>71</v>
      </c>
      <c r="B18" s="130" t="s">
        <v>67</v>
      </c>
      <c r="C18" s="130" t="s">
        <v>61</v>
      </c>
      <c r="I18" s="133" t="s">
        <v>1432</v>
      </c>
      <c r="J18" s="133">
        <f>IF(Sommaire!D22=TRUE,1,0)</f>
        <v>0</v>
      </c>
      <c r="K18" s="133">
        <f t="shared" si="0"/>
        <v>17</v>
      </c>
      <c r="M18" s="140"/>
    </row>
    <row r="19" spans="1:13" ht="12.9">
      <c r="A19" s="130" t="s">
        <v>72</v>
      </c>
      <c r="B19" s="130" t="s">
        <v>67</v>
      </c>
      <c r="C19" s="130" t="s">
        <v>64</v>
      </c>
      <c r="I19" s="133" t="s">
        <v>1434</v>
      </c>
      <c r="J19" s="133">
        <f>IF(Sommaire!D23=TRUE,1,0)</f>
        <v>1</v>
      </c>
      <c r="K19" s="133">
        <f t="shared" si="0"/>
        <v>18</v>
      </c>
      <c r="M19" s="140"/>
    </row>
    <row r="20" spans="1:13" ht="12.9">
      <c r="A20" s="130" t="s">
        <v>75</v>
      </c>
      <c r="B20" s="130" t="s">
        <v>67</v>
      </c>
      <c r="C20" s="130" t="s">
        <v>67</v>
      </c>
      <c r="I20" s="133" t="s">
        <v>3684</v>
      </c>
      <c r="J20" s="133">
        <f>IF(Sommaire!D24=TRUE,1,0)</f>
        <v>0</v>
      </c>
      <c r="K20" s="133">
        <f t="shared" si="0"/>
        <v>18</v>
      </c>
      <c r="M20" s="140"/>
    </row>
    <row r="21" spans="1:13" ht="12.9">
      <c r="A21" s="130" t="s">
        <v>78</v>
      </c>
      <c r="B21" s="130" t="s">
        <v>67</v>
      </c>
      <c r="C21" s="130" t="s">
        <v>70</v>
      </c>
      <c r="I21" s="133" t="s">
        <v>1438</v>
      </c>
      <c r="J21" s="133">
        <f>IF(Sommaire!D25=TRUE,1,0)</f>
        <v>0</v>
      </c>
      <c r="K21" s="133">
        <f t="shared" si="0"/>
        <v>18</v>
      </c>
      <c r="M21" s="140"/>
    </row>
    <row r="22" spans="1:13" ht="12.9">
      <c r="A22" s="130" t="s">
        <v>81</v>
      </c>
      <c r="B22" s="130" t="s">
        <v>70</v>
      </c>
      <c r="C22" s="130" t="s">
        <v>82</v>
      </c>
      <c r="I22" s="133" t="s">
        <v>1440</v>
      </c>
      <c r="J22" s="133">
        <f>IF(Sommaire!I4=TRUE,1,0)</f>
        <v>0</v>
      </c>
      <c r="K22" s="133">
        <f t="shared" si="0"/>
        <v>18</v>
      </c>
      <c r="M22" s="140"/>
    </row>
    <row r="23" spans="1:13" ht="12.9">
      <c r="A23" s="130" t="s">
        <v>85</v>
      </c>
      <c r="B23" s="130" t="s">
        <v>74</v>
      </c>
      <c r="C23" s="130" t="s">
        <v>61</v>
      </c>
      <c r="I23" s="133" t="s">
        <v>1442</v>
      </c>
      <c r="J23" s="133">
        <f>IF(Sommaire!I5=TRUE,1,0)</f>
        <v>0</v>
      </c>
      <c r="K23" s="133">
        <f t="shared" si="0"/>
        <v>18</v>
      </c>
      <c r="M23" s="140"/>
    </row>
    <row r="24" spans="1:13" ht="12.9">
      <c r="A24" s="130" t="s">
        <v>88</v>
      </c>
      <c r="B24" s="130" t="s">
        <v>74</v>
      </c>
      <c r="C24" s="130" t="s">
        <v>64</v>
      </c>
      <c r="I24" s="133" t="s">
        <v>1443</v>
      </c>
      <c r="J24" s="133">
        <f>IF(Sommaire!I6=TRUE,1,0)</f>
        <v>0</v>
      </c>
      <c r="K24" s="133">
        <f t="shared" si="0"/>
        <v>18</v>
      </c>
      <c r="M24" s="140"/>
    </row>
    <row r="25" spans="1:13" ht="12.9">
      <c r="A25" s="130" t="s">
        <v>90</v>
      </c>
      <c r="B25" s="130" t="s">
        <v>74</v>
      </c>
      <c r="C25" s="130" t="s">
        <v>70</v>
      </c>
      <c r="I25" s="133" t="s">
        <v>1445</v>
      </c>
      <c r="J25" s="133">
        <f>IF(Sommaire!I7=TRUE,1,0)</f>
        <v>0</v>
      </c>
      <c r="K25" s="133">
        <f t="shared" si="0"/>
        <v>18</v>
      </c>
      <c r="M25" s="140"/>
    </row>
    <row r="26" spans="1:13" ht="12.9">
      <c r="A26" s="130" t="s">
        <v>91</v>
      </c>
      <c r="B26" s="130" t="s">
        <v>74</v>
      </c>
      <c r="C26" s="130" t="s">
        <v>82</v>
      </c>
      <c r="I26" s="133" t="s">
        <v>1446</v>
      </c>
      <c r="J26" s="133">
        <f>IF(Sommaire!I8=TRUE,1,0)</f>
        <v>0</v>
      </c>
      <c r="K26" s="133">
        <f t="shared" si="0"/>
        <v>18</v>
      </c>
      <c r="M26" s="133"/>
    </row>
    <row r="27" spans="1:13" ht="12.9">
      <c r="A27" s="130" t="s">
        <v>93</v>
      </c>
      <c r="B27" s="130" t="s">
        <v>77</v>
      </c>
      <c r="C27" s="130" t="s">
        <v>61</v>
      </c>
      <c r="I27" s="133" t="s">
        <v>1448</v>
      </c>
      <c r="J27" s="133">
        <f>IF(Sommaire!I9=TRUE,1,0)</f>
        <v>0</v>
      </c>
      <c r="K27" s="133">
        <f t="shared" si="0"/>
        <v>18</v>
      </c>
      <c r="M27" s="133"/>
    </row>
    <row r="28" spans="1:13" ht="12.9">
      <c r="A28" s="130" t="s">
        <v>95</v>
      </c>
      <c r="B28" s="130" t="s">
        <v>77</v>
      </c>
      <c r="C28" s="130" t="s">
        <v>67</v>
      </c>
      <c r="I28" s="133" t="s">
        <v>1450</v>
      </c>
      <c r="J28" s="133">
        <f>IF(Sommaire!I10=TRUE,1,0)</f>
        <v>0</v>
      </c>
      <c r="K28" s="133">
        <f t="shared" si="0"/>
        <v>18</v>
      </c>
      <c r="M28" s="133"/>
    </row>
    <row r="29" spans="1:13" ht="12.9">
      <c r="A29" s="130" t="s">
        <v>96</v>
      </c>
      <c r="B29" s="130" t="s">
        <v>77</v>
      </c>
      <c r="C29" s="130" t="s">
        <v>70</v>
      </c>
      <c r="I29" s="133" t="s">
        <v>1452</v>
      </c>
      <c r="J29" s="133">
        <f>IF(Sommaire!I11=TRUE,1,0)</f>
        <v>0</v>
      </c>
      <c r="K29" s="133">
        <f t="shared" si="0"/>
        <v>18</v>
      </c>
      <c r="M29" s="133"/>
    </row>
    <row r="30" spans="1:13" ht="12.9">
      <c r="A30" s="130" t="s">
        <v>98</v>
      </c>
      <c r="B30" s="130" t="s">
        <v>77</v>
      </c>
      <c r="C30" s="130" t="s">
        <v>82</v>
      </c>
      <c r="I30" s="133" t="s">
        <v>1454</v>
      </c>
      <c r="J30" s="133">
        <f>IF(Sommaire!I12=TRUE,1,0)</f>
        <v>0</v>
      </c>
      <c r="K30" s="133">
        <f t="shared" si="0"/>
        <v>18</v>
      </c>
      <c r="M30" s="133"/>
    </row>
    <row r="31" spans="1:13" ht="12.9">
      <c r="A31" s="130" t="s">
        <v>99</v>
      </c>
      <c r="B31" s="130" t="s">
        <v>80</v>
      </c>
      <c r="C31" s="130" t="s">
        <v>61</v>
      </c>
      <c r="I31" s="133" t="s">
        <v>1456</v>
      </c>
      <c r="J31" s="133">
        <f>IF(Sommaire!I13=TRUE,1,0)</f>
        <v>0</v>
      </c>
      <c r="K31" s="133">
        <f t="shared" si="0"/>
        <v>18</v>
      </c>
      <c r="M31" s="133"/>
    </row>
    <row r="32" spans="1:13" ht="12.9">
      <c r="A32" s="130" t="s">
        <v>101</v>
      </c>
      <c r="B32" s="130" t="s">
        <v>82</v>
      </c>
      <c r="C32" s="130" t="s">
        <v>82</v>
      </c>
      <c r="I32" s="133" t="s">
        <v>1458</v>
      </c>
      <c r="J32" s="133">
        <f>IF(Sommaire!I14=TRUE,1,0)</f>
        <v>0</v>
      </c>
      <c r="K32" s="133">
        <f t="shared" si="0"/>
        <v>18</v>
      </c>
      <c r="M32" s="133"/>
    </row>
    <row r="33" spans="9:13">
      <c r="I33" s="133" t="s">
        <v>1460</v>
      </c>
      <c r="J33" s="133">
        <f>IF(Sommaire!I15=TRUE,1,0)</f>
        <v>1</v>
      </c>
      <c r="K33" s="133">
        <f t="shared" si="0"/>
        <v>19</v>
      </c>
      <c r="M33" s="133"/>
    </row>
    <row r="34" spans="9:13">
      <c r="I34" s="133" t="s">
        <v>1462</v>
      </c>
      <c r="J34" s="133">
        <f>IF(Sommaire!I16=TRUE,1,0)</f>
        <v>0</v>
      </c>
      <c r="K34" s="133">
        <f t="shared" si="0"/>
        <v>19</v>
      </c>
      <c r="M34" s="133"/>
    </row>
    <row r="35" spans="9:13">
      <c r="I35" s="133" t="s">
        <v>1464</v>
      </c>
      <c r="J35" s="133">
        <f>IF(Sommaire!I17=TRUE,1,0)</f>
        <v>1</v>
      </c>
      <c r="K35" s="133">
        <f t="shared" si="0"/>
        <v>20</v>
      </c>
      <c r="M35" s="133"/>
    </row>
    <row r="36" spans="9:13">
      <c r="I36" s="133" t="s">
        <v>1466</v>
      </c>
      <c r="J36" s="133">
        <f>IF(Sommaire!I18=TRUE,1,0)</f>
        <v>1</v>
      </c>
      <c r="K36" s="133">
        <f t="shared" si="0"/>
        <v>21</v>
      </c>
      <c r="M36" s="133"/>
    </row>
    <row r="37" spans="9:13">
      <c r="I37" s="133" t="s">
        <v>1468</v>
      </c>
      <c r="J37" s="133">
        <f>IF(Sommaire!I19=TRUE,1,0)</f>
        <v>0</v>
      </c>
      <c r="K37" s="133">
        <f t="shared" si="0"/>
        <v>21</v>
      </c>
      <c r="M37" s="133"/>
    </row>
    <row r="38" spans="9:13">
      <c r="I38" s="133" t="s">
        <v>1470</v>
      </c>
      <c r="J38" s="133">
        <f>IF(Sommaire!I20=TRUE,1,0)</f>
        <v>0</v>
      </c>
      <c r="K38" s="133">
        <f t="shared" si="0"/>
        <v>21</v>
      </c>
      <c r="M38" s="133"/>
    </row>
    <row r="39" spans="9:13">
      <c r="I39" s="133" t="s">
        <v>1472</v>
      </c>
      <c r="J39" s="133">
        <f>IF(Sommaire!I21=TRUE,1,0)</f>
        <v>1</v>
      </c>
      <c r="K39" s="133">
        <f t="shared" si="0"/>
        <v>22</v>
      </c>
      <c r="M39" s="133"/>
    </row>
    <row r="40" spans="9:13">
      <c r="I40" s="133" t="s">
        <v>1474</v>
      </c>
      <c r="J40" s="133">
        <f>IF(Sommaire!I22=TRUE,1,0)</f>
        <v>0</v>
      </c>
      <c r="K40" s="133">
        <f t="shared" si="0"/>
        <v>22</v>
      </c>
      <c r="M40" s="133"/>
    </row>
    <row r="41" spans="9:13">
      <c r="I41" s="133" t="s">
        <v>3685</v>
      </c>
      <c r="J41" s="133">
        <f>IF(Sommaire!I23=TRUE,1,0)</f>
        <v>0</v>
      </c>
      <c r="K41" s="133">
        <f t="shared" si="0"/>
        <v>22</v>
      </c>
      <c r="M41" s="133"/>
    </row>
    <row r="42" spans="9:13">
      <c r="I42" s="133" t="s">
        <v>1478</v>
      </c>
      <c r="J42" s="133">
        <f>IF(Sommaire!I24=TRUE,1,0)</f>
        <v>0</v>
      </c>
      <c r="K42" s="133">
        <f t="shared" si="0"/>
        <v>22</v>
      </c>
      <c r="M42" s="133"/>
    </row>
    <row r="43" spans="9:13">
      <c r="I43" s="133" t="s">
        <v>1480</v>
      </c>
      <c r="J43" s="133">
        <f>IF(Sommaire!I25=TRUE,1,0)</f>
        <v>1</v>
      </c>
      <c r="K43" s="133">
        <f t="shared" si="0"/>
        <v>23</v>
      </c>
      <c r="M43" s="133"/>
    </row>
    <row r="44" spans="9:13">
      <c r="I44" s="133" t="s">
        <v>1482</v>
      </c>
      <c r="J44" s="133">
        <f>IF(Sommaire!M4=TRUE,1,0)</f>
        <v>1</v>
      </c>
      <c r="K44" s="133">
        <f t="shared" si="0"/>
        <v>24</v>
      </c>
      <c r="M44" s="133"/>
    </row>
    <row r="45" spans="9:13">
      <c r="I45" s="133" t="s">
        <v>1484</v>
      </c>
      <c r="J45" s="133">
        <f>IF(Sommaire!M5=TRUE,1,0)</f>
        <v>0</v>
      </c>
      <c r="K45" s="133">
        <f t="shared" si="0"/>
        <v>24</v>
      </c>
      <c r="M45" s="133"/>
    </row>
    <row r="46" spans="9:13">
      <c r="I46" s="133" t="s">
        <v>1486</v>
      </c>
      <c r="J46" s="133">
        <f>IF(Sommaire!M6=TRUE,1,0)</f>
        <v>1</v>
      </c>
      <c r="K46" s="133">
        <f t="shared" si="0"/>
        <v>25</v>
      </c>
      <c r="M46" s="133"/>
    </row>
    <row r="47" spans="9:13">
      <c r="I47" s="133" t="s">
        <v>1488</v>
      </c>
      <c r="J47" s="133">
        <f>IF(Sommaire!M7=TRUE,1,0)</f>
        <v>1</v>
      </c>
      <c r="K47" s="133">
        <f t="shared" si="0"/>
        <v>26</v>
      </c>
      <c r="M47" s="133"/>
    </row>
    <row r="48" spans="9:13">
      <c r="I48" s="133" t="s">
        <v>1490</v>
      </c>
      <c r="J48" s="133">
        <f>IF(Sommaire!M8=TRUE,1,0)</f>
        <v>1</v>
      </c>
      <c r="K48" s="133">
        <f t="shared" si="0"/>
        <v>27</v>
      </c>
      <c r="M48" s="133"/>
    </row>
    <row r="49" spans="9:13">
      <c r="I49" s="133" t="s">
        <v>1492</v>
      </c>
      <c r="J49" s="133">
        <f>IF(Sommaire!M9=TRUE,1,0)</f>
        <v>1</v>
      </c>
      <c r="K49" s="133">
        <f t="shared" si="0"/>
        <v>28</v>
      </c>
      <c r="M49" s="133"/>
    </row>
    <row r="50" spans="9:13">
      <c r="I50" s="133" t="s">
        <v>1494</v>
      </c>
      <c r="J50" s="133">
        <f>IF(Sommaire!M10=TRUE,1,0)</f>
        <v>1</v>
      </c>
      <c r="K50" s="133">
        <f t="shared" si="0"/>
        <v>29</v>
      </c>
      <c r="M50" s="133"/>
    </row>
    <row r="51" spans="9:13">
      <c r="I51" s="133" t="s">
        <v>1496</v>
      </c>
      <c r="J51" s="133">
        <f>IF(Sommaire!M11=TRUE,1,0)</f>
        <v>1</v>
      </c>
      <c r="K51" s="133">
        <f t="shared" si="0"/>
        <v>30</v>
      </c>
    </row>
    <row r="52" spans="9:13">
      <c r="I52" s="133" t="s">
        <v>1498</v>
      </c>
      <c r="J52" s="133">
        <f>IF(Sommaire!M12=TRUE,1,0)</f>
        <v>0</v>
      </c>
      <c r="K52" s="133">
        <f t="shared" si="0"/>
        <v>30</v>
      </c>
    </row>
    <row r="53" spans="9:13">
      <c r="I53" s="133" t="s">
        <v>1500</v>
      </c>
      <c r="J53" s="133">
        <f>IF(Sommaire!M13=TRUE,1,0)</f>
        <v>1</v>
      </c>
      <c r="K53" s="133">
        <f t="shared" si="0"/>
        <v>31</v>
      </c>
    </row>
    <row r="54" spans="9:13">
      <c r="I54" s="133" t="s">
        <v>1502</v>
      </c>
      <c r="J54" s="133">
        <f>IF(Sommaire!M14=TRUE,1,0)</f>
        <v>1</v>
      </c>
      <c r="K54" s="133">
        <f t="shared" si="0"/>
        <v>32</v>
      </c>
    </row>
    <row r="55" spans="9:13">
      <c r="I55" s="133" t="s">
        <v>1504</v>
      </c>
      <c r="J55" s="133">
        <f>IF(Sommaire!M15=TRUE,1,0)</f>
        <v>1</v>
      </c>
      <c r="K55" s="133">
        <f t="shared" si="0"/>
        <v>33</v>
      </c>
    </row>
    <row r="56" spans="9:13">
      <c r="I56" s="133" t="s">
        <v>1506</v>
      </c>
      <c r="J56" s="133">
        <f>IF(Sommaire!M16=TRUE,1,0)</f>
        <v>0</v>
      </c>
      <c r="K56" s="133">
        <f t="shared" si="0"/>
        <v>33</v>
      </c>
    </row>
    <row r="57" spans="9:13">
      <c r="I57" s="133" t="s">
        <v>1508</v>
      </c>
      <c r="J57" s="133">
        <f>IF(Sommaire!M17=TRUE,1,0)</f>
        <v>0</v>
      </c>
      <c r="K57" s="133">
        <f t="shared" si="0"/>
        <v>33</v>
      </c>
    </row>
    <row r="58" spans="9:13">
      <c r="I58" s="133" t="s">
        <v>1510</v>
      </c>
      <c r="J58" s="133">
        <f>IF(Sommaire!M18=TRUE,1,0)</f>
        <v>1</v>
      </c>
      <c r="K58" s="133">
        <f t="shared" si="0"/>
        <v>34</v>
      </c>
    </row>
    <row r="59" spans="9:13">
      <c r="I59" s="133" t="s">
        <v>1512</v>
      </c>
      <c r="J59" s="133">
        <f>IF(Sommaire!M19=TRUE,1,0)</f>
        <v>0</v>
      </c>
      <c r="K59" s="133">
        <f t="shared" si="0"/>
        <v>34</v>
      </c>
    </row>
    <row r="60" spans="9:13">
      <c r="I60" s="133" t="s">
        <v>1514</v>
      </c>
      <c r="J60" s="133">
        <f>IF(Sommaire!M20=TRUE,1,0)</f>
        <v>0</v>
      </c>
      <c r="K60" s="133">
        <f t="shared" si="0"/>
        <v>34</v>
      </c>
    </row>
    <row r="61" spans="9:13">
      <c r="I61" s="133" t="s">
        <v>1516</v>
      </c>
      <c r="J61" s="133">
        <f>IF(Sommaire!M21=TRUE,1,0)</f>
        <v>1</v>
      </c>
      <c r="K61" s="133">
        <f t="shared" si="0"/>
        <v>35</v>
      </c>
    </row>
    <row r="62" spans="9:13">
      <c r="I62" s="133" t="s">
        <v>1518</v>
      </c>
      <c r="J62" s="133">
        <f>IF(Sommaire!M22=TRUE,1,0)</f>
        <v>0</v>
      </c>
      <c r="K62" s="133">
        <f t="shared" si="0"/>
        <v>35</v>
      </c>
    </row>
    <row r="63" spans="9:13">
      <c r="I63" s="133" t="s">
        <v>1522</v>
      </c>
      <c r="J63" s="133">
        <f>IF(Sommaire!M23=TRUE,1,0)</f>
        <v>1</v>
      </c>
      <c r="K63" s="133">
        <f>IF(J62=0,K62+J63,K62+J63+2)</f>
        <v>36</v>
      </c>
    </row>
    <row r="64" spans="9:13">
      <c r="I64" s="133" t="s">
        <v>1524</v>
      </c>
      <c r="J64" s="133">
        <f>IF(Sommaire!M24=TRUE,1,0)</f>
        <v>0</v>
      </c>
      <c r="K64" s="133">
        <f>K63+J64</f>
        <v>36</v>
      </c>
    </row>
    <row r="65" spans="9:11">
      <c r="I65" s="133" t="s">
        <v>1526</v>
      </c>
      <c r="J65" s="133">
        <f>IF(Sommaire!M25=TRUE,1,0)</f>
        <v>0</v>
      </c>
      <c r="K65" s="133">
        <f>K64+J65</f>
        <v>36</v>
      </c>
    </row>
    <row r="66" spans="9:11">
      <c r="I66" s="133" t="s">
        <v>9971</v>
      </c>
      <c r="J66" s="133">
        <f>IF(Sommaire!R4=TRUE,1,0)</f>
        <v>1</v>
      </c>
      <c r="K66" s="133">
        <f>K65+J66</f>
        <v>37</v>
      </c>
    </row>
    <row r="67" spans="9:11">
      <c r="I67" s="133" t="s">
        <v>9972</v>
      </c>
      <c r="J67" s="133">
        <f>IF(Sommaire!R4=TRUE,1,0)</f>
        <v>1</v>
      </c>
      <c r="K67" s="133">
        <f>K66+J67</f>
        <v>38</v>
      </c>
    </row>
    <row r="68" spans="9:11">
      <c r="I68" s="133" t="s">
        <v>3686</v>
      </c>
      <c r="J68" s="133">
        <f>IF(Sommaire!R5=TRUE,1,0)</f>
        <v>1</v>
      </c>
      <c r="K68" s="133">
        <f>K67+J68</f>
        <v>39</v>
      </c>
    </row>
    <row r="69" spans="9:11">
      <c r="I69" s="133" t="s">
        <v>3687</v>
      </c>
      <c r="J69" s="133">
        <f>IF(Sommaire!R6=TRUE,1,0)</f>
        <v>1</v>
      </c>
      <c r="K69" s="133">
        <f>K68+J69+3</f>
        <v>43</v>
      </c>
    </row>
    <row r="70" spans="9:11">
      <c r="I70" s="133" t="s">
        <v>3688</v>
      </c>
      <c r="J70" s="133">
        <f>IF(Sommaire!R7=TRUE,1,0)</f>
        <v>1</v>
      </c>
      <c r="K70" s="133">
        <f t="shared" ref="K70:K77" si="1">K69+J70</f>
        <v>44</v>
      </c>
    </row>
    <row r="71" spans="9:11">
      <c r="I71" s="133" t="s">
        <v>3660</v>
      </c>
      <c r="J71" s="133">
        <f>IF(Sommaire!R8=TRUE,1,0)</f>
        <v>0</v>
      </c>
      <c r="K71" s="133">
        <f t="shared" si="1"/>
        <v>44</v>
      </c>
    </row>
    <row r="72" spans="9:11">
      <c r="I72" s="133" t="s">
        <v>3668</v>
      </c>
      <c r="J72" s="133">
        <f>IF(Sommaire!R9=TRUE,1,0)</f>
        <v>0</v>
      </c>
      <c r="K72" s="133">
        <f t="shared" si="1"/>
        <v>44</v>
      </c>
    </row>
    <row r="73" spans="9:11">
      <c r="I73" s="133" t="s">
        <v>3669</v>
      </c>
      <c r="J73" s="133">
        <f>IF(Sommaire!R10=TRUE,1,0)</f>
        <v>0</v>
      </c>
      <c r="K73" s="133">
        <f t="shared" si="1"/>
        <v>44</v>
      </c>
    </row>
    <row r="74" spans="9:11">
      <c r="I74" s="133" t="s">
        <v>3671</v>
      </c>
      <c r="J74" s="133">
        <f>IF(Sommaire!R11=TRUE,1,0)</f>
        <v>1</v>
      </c>
      <c r="K74" s="133">
        <f t="shared" si="1"/>
        <v>45</v>
      </c>
    </row>
    <row r="75" spans="9:11">
      <c r="I75" s="133" t="s">
        <v>3673</v>
      </c>
      <c r="J75" s="133">
        <f>IF(Sommaire!R12=TRUE,1,0)</f>
        <v>0</v>
      </c>
      <c r="K75" s="133">
        <f t="shared" si="1"/>
        <v>45</v>
      </c>
    </row>
    <row r="76" spans="9:11">
      <c r="I76" s="133" t="s">
        <v>3675</v>
      </c>
      <c r="J76" s="133">
        <f>IF(Sommaire!R13=TRUE,1,0)</f>
        <v>0</v>
      </c>
      <c r="K76" s="133">
        <f t="shared" si="1"/>
        <v>45</v>
      </c>
    </row>
    <row r="77" spans="9:11">
      <c r="I77" s="133" t="s">
        <v>3679</v>
      </c>
      <c r="J77" s="133">
        <f>IF(Sommaire!R14=TRUE,1,0)</f>
        <v>1</v>
      </c>
      <c r="K77" s="133">
        <f t="shared" si="1"/>
        <v>46</v>
      </c>
    </row>
    <row r="78" spans="9:11">
      <c r="I78" s="133" t="s">
        <v>3689</v>
      </c>
      <c r="J78" s="133">
        <f>IF(Sommaire!R15=TRUE,1,0)</f>
        <v>1</v>
      </c>
      <c r="K78" s="133">
        <f>K77+J78+8</f>
        <v>55</v>
      </c>
    </row>
  </sheetData>
  <sheetProtection algorithmName="SHA-512" hashValue="WowIrK2qwHngb2OeKP1MTME4Vc7+fw0fIEhILLEHscM0PBsdQdAVUpBRjyufAzZgYRr2AzNUt1Jr/JyMCkr5RA==" saltValue="E4MhicVeygyqkAJFrXltDg==" spinCount="100000" sheet="1" objects="1" scenarios="1" formatCells="0" selectLockedCells="1"/>
  <mergeCells count="1">
    <mergeCell ref="R1:T1"/>
  </mergeCells>
  <printOptions horizontalCentered="1"/>
  <pageMargins left="0.39370078740157483" right="0.39370078740157483" top="0.39370078740157483" bottom="0.39370078740157483" header="0" footer="0.23622047244094491"/>
  <pageSetup paperSize="9" scale="87" orientation="portrait" r:id="rId1"/>
  <headerFooter>
    <oddFooter>&amp;C&amp;"-,Gras"&amp;P &amp;"-,Normal"sur &amp;N</oddFooter>
  </headerFooter>
  <tableParts count="3">
    <tablePart r:id="rId2"/>
    <tablePart r:id="rId3"/>
    <tablePart r:id="rId4"/>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DB4CF-2545-42AE-BD42-31B32B7DF19D}">
  <sheetPr codeName="Feuil92">
    <tabColor theme="3" tint="-0.499984740745262"/>
  </sheetPr>
  <dimension ref="A1:CP15"/>
  <sheetViews>
    <sheetView showGridLines="0" workbookViewId="0">
      <selection activeCell="C21" sqref="C21"/>
    </sheetView>
  </sheetViews>
  <sheetFormatPr baseColWidth="10" defaultColWidth="11.5234375" defaultRowHeight="14.4"/>
  <cols>
    <col min="1" max="1" width="11.5234375" style="145"/>
    <col min="2" max="2" width="19.20703125" style="145" bestFit="1" customWidth="1"/>
    <col min="3" max="3" width="19.20703125" style="145" customWidth="1"/>
    <col min="4" max="5" width="5.5234375" style="145" customWidth="1"/>
    <col min="6" max="6" width="5.5234375" style="17" customWidth="1"/>
    <col min="7" max="89" width="5.5234375" style="145" customWidth="1"/>
    <col min="90" max="90" width="3.5234375" style="145" customWidth="1"/>
    <col min="91" max="94" width="11.5234375" style="17"/>
    <col min="95" max="16384" width="11.5234375" style="145"/>
  </cols>
  <sheetData>
    <row r="1" spans="1:94" ht="15" customHeight="1">
      <c r="A1" s="144" t="s">
        <v>9973</v>
      </c>
      <c r="B1" s="144" t="s">
        <v>9974</v>
      </c>
      <c r="C1" s="144" t="s">
        <v>9975</v>
      </c>
      <c r="D1" s="144" t="s">
        <v>9976</v>
      </c>
      <c r="E1" s="144" t="s">
        <v>1050</v>
      </c>
      <c r="F1" s="144" t="s">
        <v>9977</v>
      </c>
      <c r="G1" s="144" t="s">
        <v>9978</v>
      </c>
      <c r="H1" s="144" t="s">
        <v>9979</v>
      </c>
      <c r="I1" s="144" t="s">
        <v>9980</v>
      </c>
      <c r="J1" s="144" t="s">
        <v>9945</v>
      </c>
      <c r="K1" s="144" t="s">
        <v>9948</v>
      </c>
      <c r="L1" s="144" t="s">
        <v>9953</v>
      </c>
      <c r="M1" s="144" t="s">
        <v>9955</v>
      </c>
      <c r="N1" s="144" t="s">
        <v>9958</v>
      </c>
      <c r="O1" s="144" t="s">
        <v>1020</v>
      </c>
      <c r="P1" s="144" t="s">
        <v>1080</v>
      </c>
      <c r="Q1" s="144" t="s">
        <v>1095</v>
      </c>
      <c r="R1" s="144" t="s">
        <v>1110</v>
      </c>
      <c r="S1" s="144" t="s">
        <v>1112</v>
      </c>
      <c r="T1" s="144" t="s">
        <v>1116</v>
      </c>
      <c r="U1" s="144" t="s">
        <v>2965</v>
      </c>
      <c r="V1" s="144" t="s">
        <v>3540</v>
      </c>
      <c r="W1" s="144" t="s">
        <v>1421</v>
      </c>
      <c r="X1" s="144" t="s">
        <v>1426</v>
      </c>
      <c r="Y1" s="144" t="s">
        <v>1428</v>
      </c>
      <c r="Z1" s="144" t="s">
        <v>1430</v>
      </c>
      <c r="AA1" s="144" t="s">
        <v>1432</v>
      </c>
      <c r="AB1" s="144" t="s">
        <v>1434</v>
      </c>
      <c r="AC1" s="144" t="s">
        <v>3684</v>
      </c>
      <c r="AD1" s="144" t="s">
        <v>1438</v>
      </c>
      <c r="AE1" s="144" t="s">
        <v>1440</v>
      </c>
      <c r="AF1" s="144" t="s">
        <v>1442</v>
      </c>
      <c r="AG1" s="144" t="s">
        <v>1443</v>
      </c>
      <c r="AH1" s="144" t="s">
        <v>1445</v>
      </c>
      <c r="AI1" s="144" t="s">
        <v>1446</v>
      </c>
      <c r="AJ1" s="144" t="s">
        <v>1448</v>
      </c>
      <c r="AK1" s="144" t="s">
        <v>1450</v>
      </c>
      <c r="AL1" s="144" t="s">
        <v>1452</v>
      </c>
      <c r="AM1" s="144" t="s">
        <v>1454</v>
      </c>
      <c r="AN1" s="144" t="s">
        <v>1456</v>
      </c>
      <c r="AO1" s="144" t="s">
        <v>1458</v>
      </c>
      <c r="AP1" s="144" t="s">
        <v>1460</v>
      </c>
      <c r="AQ1" s="144" t="s">
        <v>1462</v>
      </c>
      <c r="AR1" s="144" t="s">
        <v>1464</v>
      </c>
      <c r="AS1" s="144" t="s">
        <v>1466</v>
      </c>
      <c r="AT1" s="144" t="s">
        <v>1468</v>
      </c>
      <c r="AU1" s="144" t="s">
        <v>1470</v>
      </c>
      <c r="AV1" s="144" t="s">
        <v>1472</v>
      </c>
      <c r="AW1" s="144" t="s">
        <v>1474</v>
      </c>
      <c r="AX1" s="144" t="s">
        <v>3685</v>
      </c>
      <c r="AY1" s="144" t="s">
        <v>1478</v>
      </c>
      <c r="AZ1" s="144" t="s">
        <v>1480</v>
      </c>
      <c r="BA1" s="144" t="s">
        <v>1482</v>
      </c>
      <c r="BB1" s="144" t="s">
        <v>1484</v>
      </c>
      <c r="BC1" s="144" t="s">
        <v>1486</v>
      </c>
      <c r="BD1" s="144" t="s">
        <v>1488</v>
      </c>
      <c r="BE1" s="144" t="s">
        <v>1490</v>
      </c>
      <c r="BF1" s="144" t="s">
        <v>1492</v>
      </c>
      <c r="BG1" s="144" t="s">
        <v>1494</v>
      </c>
      <c r="BH1" s="144" t="s">
        <v>1496</v>
      </c>
      <c r="BI1" s="144" t="s">
        <v>1498</v>
      </c>
      <c r="BJ1" s="144" t="s">
        <v>1500</v>
      </c>
      <c r="BK1" s="144" t="s">
        <v>1502</v>
      </c>
      <c r="BL1" s="144" t="s">
        <v>1504</v>
      </c>
      <c r="BM1" s="144" t="s">
        <v>1506</v>
      </c>
      <c r="BN1" s="144" t="s">
        <v>1508</v>
      </c>
      <c r="BO1" s="144" t="s">
        <v>1510</v>
      </c>
      <c r="BP1" s="144" t="s">
        <v>1512</v>
      </c>
      <c r="BQ1" s="144" t="s">
        <v>1514</v>
      </c>
      <c r="BR1" s="144" t="s">
        <v>1516</v>
      </c>
      <c r="BS1" s="144" t="s">
        <v>1518</v>
      </c>
      <c r="BT1" s="144" t="s">
        <v>1522</v>
      </c>
      <c r="BU1" s="144" t="s">
        <v>1524</v>
      </c>
      <c r="BV1" s="144" t="s">
        <v>1526</v>
      </c>
      <c r="BW1" s="144" t="s">
        <v>9971</v>
      </c>
      <c r="BX1" s="144" t="s">
        <v>9972</v>
      </c>
      <c r="BY1" s="144" t="s">
        <v>3686</v>
      </c>
      <c r="BZ1" s="144" t="s">
        <v>3687</v>
      </c>
      <c r="CA1" s="144" t="s">
        <v>3688</v>
      </c>
      <c r="CB1" s="144" t="s">
        <v>3660</v>
      </c>
      <c r="CC1" s="144" t="s">
        <v>3668</v>
      </c>
      <c r="CD1" s="144" t="s">
        <v>3669</v>
      </c>
      <c r="CE1" s="144" t="s">
        <v>3671</v>
      </c>
      <c r="CF1" s="144" t="s">
        <v>3673</v>
      </c>
      <c r="CG1" s="144" t="s">
        <v>3675</v>
      </c>
      <c r="CH1" s="144" t="s">
        <v>3679</v>
      </c>
      <c r="CI1" s="144" t="s">
        <v>11732</v>
      </c>
      <c r="CJ1" s="144" t="s">
        <v>11733</v>
      </c>
      <c r="CK1" s="144" t="s">
        <v>3689</v>
      </c>
      <c r="CL1" s="1259" t="s">
        <v>11761</v>
      </c>
      <c r="CM1" s="145"/>
      <c r="CN1" s="145"/>
      <c r="CO1" s="145"/>
      <c r="CP1" s="145"/>
    </row>
    <row r="2" spans="1:94" ht="15" customHeight="1">
      <c r="A2" s="146" t="s">
        <v>9949</v>
      </c>
      <c r="B2" s="145" t="s">
        <v>9981</v>
      </c>
      <c r="C2" s="147" t="s">
        <v>11595</v>
      </c>
      <c r="D2" s="148" t="str">
        <f>IF(Tableau8[[#This Row],[NOM]]="Admin","x","")</f>
        <v>x</v>
      </c>
      <c r="E2" s="148" t="str">
        <f>IF(Tableau8[[#This Row],[NOM]]="Admin","x","")</f>
        <v>x</v>
      </c>
      <c r="F2" s="148" t="str">
        <f>IF(Tableau8[[#This Row],[NOM]]="Admin","x","")</f>
        <v>x</v>
      </c>
      <c r="G2" s="148" t="str">
        <f>IF(Tableau8[[#This Row],[NOM]]="Admin","x","")</f>
        <v>x</v>
      </c>
      <c r="H2" s="148" t="str">
        <f>IF(Tableau8[[#This Row],[NOM]]="","","x")</f>
        <v>x</v>
      </c>
      <c r="I2" s="148" t="str">
        <f>IF(Tableau8[[#This Row],[NOM]]="","","x")</f>
        <v>x</v>
      </c>
      <c r="J2" s="148" t="str">
        <f>IF(Tableau8[[#This Row],[NOM]]="","","x")</f>
        <v>x</v>
      </c>
      <c r="K2" s="148" t="str">
        <f>IF(Tableau8[[#This Row],[NOM]]="","","x")</f>
        <v>x</v>
      </c>
      <c r="L2" s="148" t="str">
        <f>IF(Tableau8[[#This Row],[NOM]]="","","x")</f>
        <v>x</v>
      </c>
      <c r="M2" s="148" t="str">
        <f>IF(Tableau8[[#This Row],[NOM]]="","","x")</f>
        <v>x</v>
      </c>
      <c r="N2" s="148" t="str">
        <f>IF(Tableau8[[#This Row],[NOM]]="","","x")</f>
        <v>x</v>
      </c>
      <c r="O2" s="148" t="str">
        <f>IF(Tableau8[[#This Row],[NOM]]="","","x")</f>
        <v>x</v>
      </c>
      <c r="P2" s="148" t="str">
        <f>IF(Tableau8[[#This Row],[NOM]]="","","x")</f>
        <v>x</v>
      </c>
      <c r="Q2" s="148" t="str">
        <f>IF(Tableau8[[#This Row],[NOM]]="","","x")</f>
        <v>x</v>
      </c>
      <c r="R2" s="148" t="str">
        <f>IF(Tableau8[[#This Row],[NOM]]="","","x")</f>
        <v>x</v>
      </c>
      <c r="S2" s="148" t="str">
        <f>IF(Tableau8[[#This Row],[NOM]]="","","x")</f>
        <v>x</v>
      </c>
      <c r="T2" s="148" t="str">
        <f>IF(Tableau8[[#This Row],[NOM]]="","","x")</f>
        <v>x</v>
      </c>
      <c r="U2" s="148" t="str">
        <f>IF(Tableau8[[#This Row],[NOM]]="","","x")</f>
        <v>x</v>
      </c>
      <c r="V2" s="148" t="str">
        <f>IF(Tableau8[[#This Row],[NOM]]="","","x")</f>
        <v>x</v>
      </c>
      <c r="W2" s="148" t="str">
        <f>IF(Tableau8[[#This Row],[NOM]]="","","x")</f>
        <v>x</v>
      </c>
      <c r="X2" s="148" t="str">
        <f>IF(Tableau8[[#This Row],[NOM]]="","","x")</f>
        <v>x</v>
      </c>
      <c r="Y2" s="148" t="str">
        <f>IF(Tableau8[[#This Row],[NOM]]="","","x")</f>
        <v>x</v>
      </c>
      <c r="Z2" s="148" t="str">
        <f>IF(Tableau8[[#This Row],[NOM]]="","","x")</f>
        <v>x</v>
      </c>
      <c r="AA2" s="148" t="str">
        <f>IF(Tableau8[[#This Row],[NOM]]="","","x")</f>
        <v>x</v>
      </c>
      <c r="AB2" s="148" t="str">
        <f>IF(Tableau8[[#This Row],[NOM]]="","","x")</f>
        <v>x</v>
      </c>
      <c r="AC2" s="148" t="str">
        <f>IF(Tableau8[[#This Row],[NOM]]="","","x")</f>
        <v>x</v>
      </c>
      <c r="AD2" s="148" t="str">
        <f>IF(Tableau8[[#This Row],[NOM]]="","","x")</f>
        <v>x</v>
      </c>
      <c r="AE2" s="148" t="str">
        <f>IF(Tableau8[[#This Row],[NOM]]="","","x")</f>
        <v>x</v>
      </c>
      <c r="AF2" s="148" t="str">
        <f>IF(Tableau8[[#This Row],[NOM]]="","","x")</f>
        <v>x</v>
      </c>
      <c r="AG2" s="148" t="str">
        <f>IF(Tableau8[[#This Row],[NOM]]="","","x")</f>
        <v>x</v>
      </c>
      <c r="AH2" s="148" t="str">
        <f>IF(Tableau8[[#This Row],[NOM]]="","","x")</f>
        <v>x</v>
      </c>
      <c r="AI2" s="148" t="str">
        <f>IF(Tableau8[[#This Row],[NOM]]="","","x")</f>
        <v>x</v>
      </c>
      <c r="AJ2" s="148" t="str">
        <f>IF(Tableau8[[#This Row],[NOM]]="","","x")</f>
        <v>x</v>
      </c>
      <c r="AK2" s="148" t="str">
        <f>IF(Tableau8[[#This Row],[NOM]]="","","x")</f>
        <v>x</v>
      </c>
      <c r="AL2" s="148" t="str">
        <f>IF(Tableau8[[#This Row],[NOM]]="","","x")</f>
        <v>x</v>
      </c>
      <c r="AM2" s="148" t="str">
        <f>IF(Tableau8[[#This Row],[NOM]]="","","x")</f>
        <v>x</v>
      </c>
      <c r="AN2" s="148" t="str">
        <f>IF(Tableau8[[#This Row],[NOM]]="","","x")</f>
        <v>x</v>
      </c>
      <c r="AO2" s="148" t="str">
        <f>IF(Tableau8[[#This Row],[NOM]]="","","x")</f>
        <v>x</v>
      </c>
      <c r="AP2" s="148" t="str">
        <f>IF(Tableau8[[#This Row],[NOM]]="","","x")</f>
        <v>x</v>
      </c>
      <c r="AQ2" s="148" t="str">
        <f>IF(Tableau8[[#This Row],[NOM]]="","","x")</f>
        <v>x</v>
      </c>
      <c r="AR2" s="148" t="str">
        <f>IF(Tableau8[[#This Row],[NOM]]="","","x")</f>
        <v>x</v>
      </c>
      <c r="AS2" s="148" t="str">
        <f>IF(Tableau8[[#This Row],[NOM]]="","","x")</f>
        <v>x</v>
      </c>
      <c r="AT2" s="148" t="str">
        <f>IF(Tableau8[[#This Row],[NOM]]="","","x")</f>
        <v>x</v>
      </c>
      <c r="AU2" s="148" t="str">
        <f>IF(Tableau8[[#This Row],[NOM]]="","","x")</f>
        <v>x</v>
      </c>
      <c r="AV2" s="148" t="str">
        <f>IF(Tableau8[[#This Row],[NOM]]="","","x")</f>
        <v>x</v>
      </c>
      <c r="AW2" s="148" t="str">
        <f>IF(Tableau8[[#This Row],[NOM]]="","","x")</f>
        <v>x</v>
      </c>
      <c r="AX2" s="148" t="str">
        <f>IF(Tableau8[[#This Row],[NOM]]="","","x")</f>
        <v>x</v>
      </c>
      <c r="AY2" s="148" t="str">
        <f>IF(Tableau8[[#This Row],[NOM]]="","","x")</f>
        <v>x</v>
      </c>
      <c r="AZ2" s="148" t="str">
        <f>IF(Tableau8[[#This Row],[NOM]]="","","x")</f>
        <v>x</v>
      </c>
      <c r="BA2" s="148" t="str">
        <f>IF(Tableau8[[#This Row],[NOM]]="","","x")</f>
        <v>x</v>
      </c>
      <c r="BB2" s="148" t="str">
        <f>IF(Tableau8[[#This Row],[NOM]]="","","x")</f>
        <v>x</v>
      </c>
      <c r="BC2" s="148" t="str">
        <f>IF(Tableau8[[#This Row],[NOM]]="","","x")</f>
        <v>x</v>
      </c>
      <c r="BD2" s="148" t="str">
        <f>IF(Tableau8[[#This Row],[NOM]]="","","x")</f>
        <v>x</v>
      </c>
      <c r="BE2" s="148" t="str">
        <f>IF(Tableau8[[#This Row],[NOM]]="","","x")</f>
        <v>x</v>
      </c>
      <c r="BF2" s="148" t="str">
        <f>IF(Tableau8[[#This Row],[NOM]]="","","x")</f>
        <v>x</v>
      </c>
      <c r="BG2" s="148" t="str">
        <f>IF(Tableau8[[#This Row],[NOM]]="","","x")</f>
        <v>x</v>
      </c>
      <c r="BH2" s="148" t="str">
        <f>IF(Tableau8[[#This Row],[NOM]]="","","x")</f>
        <v>x</v>
      </c>
      <c r="BI2" s="148" t="str">
        <f>IF(Tableau8[[#This Row],[NOM]]="","","x")</f>
        <v>x</v>
      </c>
      <c r="BJ2" s="148" t="str">
        <f>IF(Tableau8[[#This Row],[NOM]]="","","x")</f>
        <v>x</v>
      </c>
      <c r="BK2" s="148" t="str">
        <f>IF(Tableau8[[#This Row],[NOM]]="","","x")</f>
        <v>x</v>
      </c>
      <c r="BL2" s="148" t="str">
        <f>IF(Tableau8[[#This Row],[NOM]]="","","x")</f>
        <v>x</v>
      </c>
      <c r="BM2" s="148" t="str">
        <f>IF(Tableau8[[#This Row],[NOM]]="","","x")</f>
        <v>x</v>
      </c>
      <c r="BN2" s="148" t="str">
        <f>IF(Tableau8[[#This Row],[NOM]]="","","x")</f>
        <v>x</v>
      </c>
      <c r="BO2" s="148" t="str">
        <f>IF(Tableau8[[#This Row],[NOM]]="","","x")</f>
        <v>x</v>
      </c>
      <c r="BP2" s="148" t="str">
        <f>IF(Tableau8[[#This Row],[NOM]]="","","x")</f>
        <v>x</v>
      </c>
      <c r="BQ2" s="148" t="str">
        <f>IF(Tableau8[[#This Row],[NOM]]="","","x")</f>
        <v>x</v>
      </c>
      <c r="BR2" s="148" t="str">
        <f>IF(Tableau8[[#This Row],[NOM]]="","","x")</f>
        <v>x</v>
      </c>
      <c r="BS2" s="148" t="str">
        <f>IF(Tableau8[[#This Row],[NOM]]="","","x")</f>
        <v>x</v>
      </c>
      <c r="BT2" s="148" t="str">
        <f>IF(Tableau8[[#This Row],[NOM]]="","","x")</f>
        <v>x</v>
      </c>
      <c r="BU2" s="148" t="str">
        <f>IF(Tableau8[[#This Row],[NOM]]="","","x")</f>
        <v>x</v>
      </c>
      <c r="BV2" s="148" t="str">
        <f>IF(Tableau8[[#This Row],[NOM]]="","","x")</f>
        <v>x</v>
      </c>
      <c r="BW2" s="148" t="str">
        <f>IF(Tableau8[[#This Row],[NOM]]="","","x")</f>
        <v>x</v>
      </c>
      <c r="BX2" s="148" t="str">
        <f>IF(Tableau8[[#This Row],[NOM]]="","","x")</f>
        <v>x</v>
      </c>
      <c r="BY2" s="148" t="str">
        <f>IF(Tableau8[[#This Row],[NOM]]="","","x")</f>
        <v>x</v>
      </c>
      <c r="BZ2" s="148" t="str">
        <f>IF(Tableau8[[#This Row],[NOM]]="","","x")</f>
        <v>x</v>
      </c>
      <c r="CA2" s="148" t="str">
        <f>IF(Tableau8[[#This Row],[NOM]]="","","x")</f>
        <v>x</v>
      </c>
      <c r="CB2" s="148" t="str">
        <f>IF(Tableau8[[#This Row],[NOM]]="","","x")</f>
        <v>x</v>
      </c>
      <c r="CC2" s="148" t="str">
        <f>IF(Tableau8[[#This Row],[NOM]]="","","x")</f>
        <v>x</v>
      </c>
      <c r="CD2" s="148" t="str">
        <f>IF(Tableau8[[#This Row],[NOM]]="","","x")</f>
        <v>x</v>
      </c>
      <c r="CE2" s="148" t="str">
        <f>IF(Tableau8[[#This Row],[NOM]]="","","x")</f>
        <v>x</v>
      </c>
      <c r="CF2" s="148" t="str">
        <f>IF(Tableau8[[#This Row],[NOM]]="","","x")</f>
        <v>x</v>
      </c>
      <c r="CG2" s="148" t="str">
        <f>IF(Tableau8[[#This Row],[NOM]]="","","x")</f>
        <v>x</v>
      </c>
      <c r="CH2" s="148" t="str">
        <f>IF(Tableau8[[#This Row],[NOM]]="","","x")</f>
        <v>x</v>
      </c>
      <c r="CI2" s="148" t="str">
        <f>IF(Tableau8[[#This Row],[NOM]]="","","x")</f>
        <v>x</v>
      </c>
      <c r="CJ2" s="148" t="str">
        <f>IF(Tableau8[[#This Row],[NOM]]="","","x")</f>
        <v>x</v>
      </c>
      <c r="CK2" s="148" t="str">
        <f>IF(Tableau8[[#This Row],[NOM]]="","","x")</f>
        <v>x</v>
      </c>
      <c r="CL2" s="148" t="str">
        <f>IF(Tableau8[[#This Row],[NOM]]="","","x")</f>
        <v>x</v>
      </c>
      <c r="CM2" s="145"/>
      <c r="CN2" s="145"/>
      <c r="CO2" s="145"/>
      <c r="CP2" s="145"/>
    </row>
    <row r="3" spans="1:94" ht="15" customHeight="1">
      <c r="A3" s="146" t="s">
        <v>11595</v>
      </c>
      <c r="B3" s="145" t="s">
        <v>11595</v>
      </c>
      <c r="C3" s="147" t="s">
        <v>11595</v>
      </c>
      <c r="D3" s="148" t="str">
        <f>IF(Tableau8[[#This Row],[NOM]]="Admin","x","")</f>
        <v/>
      </c>
      <c r="E3" s="148" t="str">
        <f>IF(Tableau8[[#This Row],[NOM]]="Admin","x","")</f>
        <v/>
      </c>
      <c r="F3" s="148" t="str">
        <f>IF(Tableau8[[#This Row],[NOM]]="Admin","x","")</f>
        <v/>
      </c>
      <c r="G3" s="148" t="str">
        <f>IF(Tableau8[[#This Row],[NOM]]="Admin","x","")</f>
        <v/>
      </c>
      <c r="H3" s="148" t="str">
        <f>IF(Tableau8[[#This Row],[NOM]]="","","x")</f>
        <v>x</v>
      </c>
      <c r="I3" s="148" t="str">
        <f>IF(Tableau8[[#This Row],[NOM]]="","","x")</f>
        <v>x</v>
      </c>
      <c r="J3" s="148" t="str">
        <f>IF(Tableau8[[#This Row],[NOM]]="","","x")</f>
        <v>x</v>
      </c>
      <c r="K3" s="148" t="str">
        <f>IF(Tableau8[[#This Row],[NOM]]="","","x")</f>
        <v>x</v>
      </c>
      <c r="L3" s="148" t="str">
        <f>IF(Tableau8[[#This Row],[NOM]]="","","x")</f>
        <v>x</v>
      </c>
      <c r="M3" s="148" t="str">
        <f>IF(Tableau8[[#This Row],[NOM]]="","","x")</f>
        <v>x</v>
      </c>
      <c r="N3" s="148" t="str">
        <f>IF(Tableau8[[#This Row],[NOM]]="","","x")</f>
        <v>x</v>
      </c>
      <c r="O3" s="148" t="str">
        <f>IF(Tableau8[[#This Row],[NOM]]="","","x")</f>
        <v>x</v>
      </c>
      <c r="P3" s="148" t="str">
        <f>IF(Tableau8[[#This Row],[NOM]]="","","x")</f>
        <v>x</v>
      </c>
      <c r="Q3" s="148" t="str">
        <f>IF(Tableau8[[#This Row],[NOM]]="","","x")</f>
        <v>x</v>
      </c>
      <c r="R3" s="148" t="str">
        <f>IF(Tableau8[[#This Row],[NOM]]="","","x")</f>
        <v>x</v>
      </c>
      <c r="S3" s="148" t="str">
        <f>IF(Tableau8[[#This Row],[NOM]]="","","x")</f>
        <v>x</v>
      </c>
      <c r="T3" s="148" t="str">
        <f>IF(Tableau8[[#This Row],[NOM]]="","","x")</f>
        <v>x</v>
      </c>
      <c r="U3" s="148" t="str">
        <f>IF(Tableau8[[#This Row],[NOM]]="","","x")</f>
        <v>x</v>
      </c>
      <c r="V3" s="148" t="str">
        <f>IF(Tableau8[[#This Row],[NOM]]="","","x")</f>
        <v>x</v>
      </c>
      <c r="W3" s="148" t="str">
        <f>IF(Tableau8[[#This Row],[NOM]]="","","x")</f>
        <v>x</v>
      </c>
      <c r="X3" s="148" t="str">
        <f>IF(Tableau8[[#This Row],[NOM]]="","","x")</f>
        <v>x</v>
      </c>
      <c r="Y3" s="148" t="str">
        <f>IF(Tableau8[[#This Row],[NOM]]="","","x")</f>
        <v>x</v>
      </c>
      <c r="Z3" s="148" t="str">
        <f>IF(Tableau8[[#This Row],[NOM]]="","","x")</f>
        <v>x</v>
      </c>
      <c r="AA3" s="148" t="str">
        <f>IF(Tableau8[[#This Row],[NOM]]="","","x")</f>
        <v>x</v>
      </c>
      <c r="AB3" s="148" t="str">
        <f>IF(Tableau8[[#This Row],[NOM]]="","","x")</f>
        <v>x</v>
      </c>
      <c r="AC3" s="148" t="str">
        <f>IF(Tableau8[[#This Row],[NOM]]="","","x")</f>
        <v>x</v>
      </c>
      <c r="AD3" s="148" t="str">
        <f>IF(Tableau8[[#This Row],[NOM]]="","","x")</f>
        <v>x</v>
      </c>
      <c r="AE3" s="148" t="str">
        <f>IF(Tableau8[[#This Row],[NOM]]="","","x")</f>
        <v>x</v>
      </c>
      <c r="AF3" s="148" t="str">
        <f>IF(Tableau8[[#This Row],[NOM]]="","","x")</f>
        <v>x</v>
      </c>
      <c r="AG3" s="148" t="str">
        <f>IF(Tableau8[[#This Row],[NOM]]="","","x")</f>
        <v>x</v>
      </c>
      <c r="AH3" s="148" t="str">
        <f>IF(Tableau8[[#This Row],[NOM]]="","","x")</f>
        <v>x</v>
      </c>
      <c r="AI3" s="148" t="str">
        <f>IF(Tableau8[[#This Row],[NOM]]="","","x")</f>
        <v>x</v>
      </c>
      <c r="AJ3" s="148" t="str">
        <f>IF(Tableau8[[#This Row],[NOM]]="","","x")</f>
        <v>x</v>
      </c>
      <c r="AK3" s="148" t="str">
        <f>IF(Tableau8[[#This Row],[NOM]]="","","x")</f>
        <v>x</v>
      </c>
      <c r="AL3" s="148" t="str">
        <f>IF(Tableau8[[#This Row],[NOM]]="","","x")</f>
        <v>x</v>
      </c>
      <c r="AM3" s="148" t="str">
        <f>IF(Tableau8[[#This Row],[NOM]]="","","x")</f>
        <v>x</v>
      </c>
      <c r="AN3" s="148" t="str">
        <f>IF(Tableau8[[#This Row],[NOM]]="","","x")</f>
        <v>x</v>
      </c>
      <c r="AO3" s="148" t="str">
        <f>IF(Tableau8[[#This Row],[NOM]]="","","x")</f>
        <v>x</v>
      </c>
      <c r="AP3" s="148" t="str">
        <f>IF(Tableau8[[#This Row],[NOM]]="","","x")</f>
        <v>x</v>
      </c>
      <c r="AQ3" s="148" t="str">
        <f>IF(Tableau8[[#This Row],[NOM]]="","","x")</f>
        <v>x</v>
      </c>
      <c r="AR3" s="148" t="str">
        <f>IF(Tableau8[[#This Row],[NOM]]="","","x")</f>
        <v>x</v>
      </c>
      <c r="AS3" s="148" t="str">
        <f>IF(Tableau8[[#This Row],[NOM]]="","","x")</f>
        <v>x</v>
      </c>
      <c r="AT3" s="148" t="str">
        <f>IF(Tableau8[[#This Row],[NOM]]="","","x")</f>
        <v>x</v>
      </c>
      <c r="AU3" s="148" t="str">
        <f>IF(Tableau8[[#This Row],[NOM]]="","","x")</f>
        <v>x</v>
      </c>
      <c r="AV3" s="148" t="str">
        <f>IF(Tableau8[[#This Row],[NOM]]="","","x")</f>
        <v>x</v>
      </c>
      <c r="AW3" s="148" t="str">
        <f>IF(Tableau8[[#This Row],[NOM]]="","","x")</f>
        <v>x</v>
      </c>
      <c r="AX3" s="148" t="str">
        <f>IF(Tableau8[[#This Row],[NOM]]="","","x")</f>
        <v>x</v>
      </c>
      <c r="AY3" s="148" t="str">
        <f>IF(Tableau8[[#This Row],[NOM]]="","","x")</f>
        <v>x</v>
      </c>
      <c r="AZ3" s="148" t="str">
        <f>IF(Tableau8[[#This Row],[NOM]]="","","x")</f>
        <v>x</v>
      </c>
      <c r="BA3" s="148" t="str">
        <f>IF(Tableau8[[#This Row],[NOM]]="","","x")</f>
        <v>x</v>
      </c>
      <c r="BB3" s="148" t="str">
        <f>IF(Tableau8[[#This Row],[NOM]]="","","x")</f>
        <v>x</v>
      </c>
      <c r="BC3" s="148" t="str">
        <f>IF(Tableau8[[#This Row],[NOM]]="","","x")</f>
        <v>x</v>
      </c>
      <c r="BD3" s="148" t="str">
        <f>IF(Tableau8[[#This Row],[NOM]]="","","x")</f>
        <v>x</v>
      </c>
      <c r="BE3" s="148" t="str">
        <f>IF(Tableau8[[#This Row],[NOM]]="","","x")</f>
        <v>x</v>
      </c>
      <c r="BF3" s="148" t="str">
        <f>IF(Tableau8[[#This Row],[NOM]]="","","x")</f>
        <v>x</v>
      </c>
      <c r="BG3" s="148" t="str">
        <f>IF(Tableau8[[#This Row],[NOM]]="","","x")</f>
        <v>x</v>
      </c>
      <c r="BH3" s="148" t="str">
        <f>IF(Tableau8[[#This Row],[NOM]]="","","x")</f>
        <v>x</v>
      </c>
      <c r="BI3" s="148" t="str">
        <f>IF(Tableau8[[#This Row],[NOM]]="","","x")</f>
        <v>x</v>
      </c>
      <c r="BJ3" s="148" t="str">
        <f>IF(Tableau8[[#This Row],[NOM]]="","","x")</f>
        <v>x</v>
      </c>
      <c r="BK3" s="148" t="str">
        <f>IF(Tableau8[[#This Row],[NOM]]="","","x")</f>
        <v>x</v>
      </c>
      <c r="BL3" s="148" t="str">
        <f>IF(Tableau8[[#This Row],[NOM]]="","","x")</f>
        <v>x</v>
      </c>
      <c r="BM3" s="148" t="str">
        <f>IF(Tableau8[[#This Row],[NOM]]="","","x")</f>
        <v>x</v>
      </c>
      <c r="BN3" s="148" t="str">
        <f>IF(Tableau8[[#This Row],[NOM]]="","","x")</f>
        <v>x</v>
      </c>
      <c r="BO3" s="148" t="str">
        <f>IF(Tableau8[[#This Row],[NOM]]="","","x")</f>
        <v>x</v>
      </c>
      <c r="BP3" s="148" t="str">
        <f>IF(Tableau8[[#This Row],[NOM]]="","","x")</f>
        <v>x</v>
      </c>
      <c r="BQ3" s="148" t="str">
        <f>IF(Tableau8[[#This Row],[NOM]]="","","x")</f>
        <v>x</v>
      </c>
      <c r="BR3" s="148" t="str">
        <f>IF(Tableau8[[#This Row],[NOM]]="","","x")</f>
        <v>x</v>
      </c>
      <c r="BS3" s="148" t="str">
        <f>IF(Tableau8[[#This Row],[NOM]]="","","x")</f>
        <v>x</v>
      </c>
      <c r="BT3" s="148" t="str">
        <f>IF(Tableau8[[#This Row],[NOM]]="","","x")</f>
        <v>x</v>
      </c>
      <c r="BU3" s="148" t="str">
        <f>IF(Tableau8[[#This Row],[NOM]]="","","x")</f>
        <v>x</v>
      </c>
      <c r="BV3" s="148" t="str">
        <f>IF(Tableau8[[#This Row],[NOM]]="","","x")</f>
        <v>x</v>
      </c>
      <c r="BW3" s="148" t="str">
        <f>IF(Tableau8[[#This Row],[NOM]]="","","x")</f>
        <v>x</v>
      </c>
      <c r="BX3" s="148" t="str">
        <f>IF(Tableau8[[#This Row],[NOM]]="","","x")</f>
        <v>x</v>
      </c>
      <c r="BY3" s="148" t="str">
        <f>IF(Tableau8[[#This Row],[NOM]]="","","x")</f>
        <v>x</v>
      </c>
      <c r="BZ3" s="148" t="str">
        <f>IF(Tableau8[[#This Row],[NOM]]="","","x")</f>
        <v>x</v>
      </c>
      <c r="CA3" s="148" t="str">
        <f>IF(Tableau8[[#This Row],[NOM]]="","","x")</f>
        <v>x</v>
      </c>
      <c r="CB3" s="148" t="str">
        <f>IF(Tableau8[[#This Row],[NOM]]="","","x")</f>
        <v>x</v>
      </c>
      <c r="CC3" s="148" t="str">
        <f>IF(Tableau8[[#This Row],[NOM]]="","","x")</f>
        <v>x</v>
      </c>
      <c r="CD3" s="148" t="str">
        <f>IF(Tableau8[[#This Row],[NOM]]="","","x")</f>
        <v>x</v>
      </c>
      <c r="CE3" s="148" t="str">
        <f>IF(Tableau8[[#This Row],[NOM]]="","","x")</f>
        <v>x</v>
      </c>
      <c r="CF3" s="148" t="str">
        <f>IF(Tableau8[[#This Row],[NOM]]="","","x")</f>
        <v>x</v>
      </c>
      <c r="CG3" s="148" t="str">
        <f>IF(Tableau8[[#This Row],[NOM]]="","","x")</f>
        <v>x</v>
      </c>
      <c r="CH3" s="148" t="str">
        <f>IF(Tableau8[[#This Row],[NOM]]="","","x")</f>
        <v>x</v>
      </c>
      <c r="CI3" s="148" t="str">
        <f>IF(Tableau8[[#This Row],[NOM]]="","","x")</f>
        <v>x</v>
      </c>
      <c r="CJ3" s="148" t="str">
        <f>IF(Tableau8[[#This Row],[NOM]]="","","x")</f>
        <v>x</v>
      </c>
      <c r="CK3" s="148" t="str">
        <f>IF(Tableau8[[#This Row],[NOM]]="","","x")</f>
        <v>x</v>
      </c>
      <c r="CL3" s="148" t="str">
        <f>IF(Tableau8[[#This Row],[NOM]]="","","x")</f>
        <v>x</v>
      </c>
      <c r="CM3" s="145"/>
      <c r="CN3" s="145"/>
      <c r="CO3" s="145"/>
      <c r="CP3" s="145"/>
    </row>
    <row r="4" spans="1:94" ht="15" customHeight="1">
      <c r="A4" s="146"/>
      <c r="C4" s="147"/>
      <c r="D4" s="148" t="str">
        <f>IF(Tableau8[[#This Row],[NOM]]="Admin","x","")</f>
        <v/>
      </c>
      <c r="E4" s="148" t="str">
        <f>IF(Tableau8[[#This Row],[NOM]]="Admin","x","")</f>
        <v/>
      </c>
      <c r="F4" s="148" t="str">
        <f>IF(Tableau8[[#This Row],[NOM]]="Admin","x","")</f>
        <v/>
      </c>
      <c r="G4" s="148" t="str">
        <f>IF(Tableau8[[#This Row],[NOM]]="Admin","x","")</f>
        <v/>
      </c>
      <c r="H4" s="148" t="str">
        <f>IF(Tableau8[[#This Row],[NOM]]="","","x")</f>
        <v/>
      </c>
      <c r="I4" s="148" t="str">
        <f>IF(Tableau8[[#This Row],[NOM]]="","","x")</f>
        <v/>
      </c>
      <c r="J4" s="148" t="str">
        <f>IF(Tableau8[[#This Row],[NOM]]="","","x")</f>
        <v/>
      </c>
      <c r="K4" s="148" t="str">
        <f>IF(Tableau8[[#This Row],[NOM]]="","","x")</f>
        <v/>
      </c>
      <c r="L4" s="148" t="str">
        <f>IF(Tableau8[[#This Row],[NOM]]="","","x")</f>
        <v/>
      </c>
      <c r="M4" s="148" t="str">
        <f>IF(Tableau8[[#This Row],[NOM]]="","","x")</f>
        <v/>
      </c>
      <c r="N4" s="148" t="str">
        <f>IF(Tableau8[[#This Row],[NOM]]="","","x")</f>
        <v/>
      </c>
      <c r="O4" s="148" t="str">
        <f>IF(Tableau8[[#This Row],[NOM]]="","","x")</f>
        <v/>
      </c>
      <c r="P4" s="148" t="str">
        <f>IF(Tableau8[[#This Row],[NOM]]="","","x")</f>
        <v/>
      </c>
      <c r="Q4" s="148" t="str">
        <f>IF(Tableau8[[#This Row],[NOM]]="","","x")</f>
        <v/>
      </c>
      <c r="R4" s="148" t="str">
        <f>IF(Tableau8[[#This Row],[NOM]]="","","x")</f>
        <v/>
      </c>
      <c r="S4" s="148" t="str">
        <f>IF(Tableau8[[#This Row],[NOM]]="","","x")</f>
        <v/>
      </c>
      <c r="T4" s="148" t="str">
        <f>IF(Tableau8[[#This Row],[NOM]]="","","x")</f>
        <v/>
      </c>
      <c r="U4" s="148" t="str">
        <f>IF(Tableau8[[#This Row],[NOM]]="","","x")</f>
        <v/>
      </c>
      <c r="V4" s="148" t="str">
        <f>IF(Tableau8[[#This Row],[NOM]]="","","x")</f>
        <v/>
      </c>
      <c r="W4" s="148" t="str">
        <f>IF(Tableau8[[#This Row],[NOM]]="","","x")</f>
        <v/>
      </c>
      <c r="X4" s="148" t="str">
        <f>IF(Tableau8[[#This Row],[NOM]]="","","x")</f>
        <v/>
      </c>
      <c r="Y4" s="148" t="str">
        <f>IF(Tableau8[[#This Row],[NOM]]="","","x")</f>
        <v/>
      </c>
      <c r="Z4" s="148" t="str">
        <f>IF(Tableau8[[#This Row],[NOM]]="","","x")</f>
        <v/>
      </c>
      <c r="AA4" s="148" t="str">
        <f>IF(Tableau8[[#This Row],[NOM]]="","","x")</f>
        <v/>
      </c>
      <c r="AB4" s="148" t="str">
        <f>IF(Tableau8[[#This Row],[NOM]]="","","x")</f>
        <v/>
      </c>
      <c r="AC4" s="148" t="str">
        <f>IF(Tableau8[[#This Row],[NOM]]="","","x")</f>
        <v/>
      </c>
      <c r="AD4" s="148" t="str">
        <f>IF(Tableau8[[#This Row],[NOM]]="","","x")</f>
        <v/>
      </c>
      <c r="AE4" s="148" t="str">
        <f>IF(Tableau8[[#This Row],[NOM]]="","","x")</f>
        <v/>
      </c>
      <c r="AF4" s="148" t="str">
        <f>IF(Tableau8[[#This Row],[NOM]]="","","x")</f>
        <v/>
      </c>
      <c r="AG4" s="148" t="str">
        <f>IF(Tableau8[[#This Row],[NOM]]="","","x")</f>
        <v/>
      </c>
      <c r="AH4" s="148" t="str">
        <f>IF(Tableau8[[#This Row],[NOM]]="","","x")</f>
        <v/>
      </c>
      <c r="AI4" s="148" t="str">
        <f>IF(Tableau8[[#This Row],[NOM]]="","","x")</f>
        <v/>
      </c>
      <c r="AJ4" s="148" t="str">
        <f>IF(Tableau8[[#This Row],[NOM]]="","","x")</f>
        <v/>
      </c>
      <c r="AK4" s="148" t="str">
        <f>IF(Tableau8[[#This Row],[NOM]]="","","x")</f>
        <v/>
      </c>
      <c r="AL4" s="148" t="str">
        <f>IF(Tableau8[[#This Row],[NOM]]="","","x")</f>
        <v/>
      </c>
      <c r="AM4" s="148" t="str">
        <f>IF(Tableau8[[#This Row],[NOM]]="","","x")</f>
        <v/>
      </c>
      <c r="AN4" s="148" t="str">
        <f>IF(Tableau8[[#This Row],[NOM]]="","","x")</f>
        <v/>
      </c>
      <c r="AO4" s="148" t="str">
        <f>IF(Tableau8[[#This Row],[NOM]]="","","x")</f>
        <v/>
      </c>
      <c r="AP4" s="148" t="str">
        <f>IF(Tableau8[[#This Row],[NOM]]="","","x")</f>
        <v/>
      </c>
      <c r="AQ4" s="148" t="str">
        <f>IF(Tableau8[[#This Row],[NOM]]="","","x")</f>
        <v/>
      </c>
      <c r="AR4" s="148" t="str">
        <f>IF(Tableau8[[#This Row],[NOM]]="","","x")</f>
        <v/>
      </c>
      <c r="AS4" s="148" t="str">
        <f>IF(Tableau8[[#This Row],[NOM]]="","","x")</f>
        <v/>
      </c>
      <c r="AT4" s="148" t="str">
        <f>IF(Tableau8[[#This Row],[NOM]]="","","x")</f>
        <v/>
      </c>
      <c r="AU4" s="148" t="str">
        <f>IF(Tableau8[[#This Row],[NOM]]="","","x")</f>
        <v/>
      </c>
      <c r="AV4" s="148" t="str">
        <f>IF(Tableau8[[#This Row],[NOM]]="","","x")</f>
        <v/>
      </c>
      <c r="AW4" s="148" t="str">
        <f>IF(Tableau8[[#This Row],[NOM]]="","","x")</f>
        <v/>
      </c>
      <c r="AX4" s="148" t="str">
        <f>IF(Tableau8[[#This Row],[NOM]]="","","x")</f>
        <v/>
      </c>
      <c r="AY4" s="148" t="str">
        <f>IF(Tableau8[[#This Row],[NOM]]="","","x")</f>
        <v/>
      </c>
      <c r="AZ4" s="148" t="str">
        <f>IF(Tableau8[[#This Row],[NOM]]="","","x")</f>
        <v/>
      </c>
      <c r="BA4" s="148" t="str">
        <f>IF(Tableau8[[#This Row],[NOM]]="","","x")</f>
        <v/>
      </c>
      <c r="BB4" s="148" t="str">
        <f>IF(Tableau8[[#This Row],[NOM]]="","","x")</f>
        <v/>
      </c>
      <c r="BC4" s="148" t="str">
        <f>IF(Tableau8[[#This Row],[NOM]]="","","x")</f>
        <v/>
      </c>
      <c r="BD4" s="148" t="str">
        <f>IF(Tableau8[[#This Row],[NOM]]="","","x")</f>
        <v/>
      </c>
      <c r="BE4" s="148" t="str">
        <f>IF(Tableau8[[#This Row],[NOM]]="","","x")</f>
        <v/>
      </c>
      <c r="BF4" s="148" t="str">
        <f>IF(Tableau8[[#This Row],[NOM]]="","","x")</f>
        <v/>
      </c>
      <c r="BG4" s="148" t="str">
        <f>IF(Tableau8[[#This Row],[NOM]]="","","x")</f>
        <v/>
      </c>
      <c r="BH4" s="148" t="str">
        <f>IF(Tableau8[[#This Row],[NOM]]="","","x")</f>
        <v/>
      </c>
      <c r="BI4" s="148" t="str">
        <f>IF(Tableau8[[#This Row],[NOM]]="","","x")</f>
        <v/>
      </c>
      <c r="BJ4" s="148" t="str">
        <f>IF(Tableau8[[#This Row],[NOM]]="","","x")</f>
        <v/>
      </c>
      <c r="BK4" s="148" t="str">
        <f>IF(Tableau8[[#This Row],[NOM]]="","","x")</f>
        <v/>
      </c>
      <c r="BL4" s="148" t="str">
        <f>IF(Tableau8[[#This Row],[NOM]]="","","x")</f>
        <v/>
      </c>
      <c r="BM4" s="148" t="str">
        <f>IF(Tableau8[[#This Row],[NOM]]="","","x")</f>
        <v/>
      </c>
      <c r="BN4" s="148" t="str">
        <f>IF(Tableau8[[#This Row],[NOM]]="","","x")</f>
        <v/>
      </c>
      <c r="BO4" s="148" t="str">
        <f>IF(Tableau8[[#This Row],[NOM]]="","","x")</f>
        <v/>
      </c>
      <c r="BP4" s="148" t="str">
        <f>IF(Tableau8[[#This Row],[NOM]]="","","x")</f>
        <v/>
      </c>
      <c r="BQ4" s="148" t="str">
        <f>IF(Tableau8[[#This Row],[NOM]]="","","x")</f>
        <v/>
      </c>
      <c r="BR4" s="148" t="str">
        <f>IF(Tableau8[[#This Row],[NOM]]="","","x")</f>
        <v/>
      </c>
      <c r="BS4" s="148" t="str">
        <f>IF(Tableau8[[#This Row],[NOM]]="","","x")</f>
        <v/>
      </c>
      <c r="BT4" s="148" t="str">
        <f>IF(Tableau8[[#This Row],[NOM]]="","","x")</f>
        <v/>
      </c>
      <c r="BU4" s="148" t="str">
        <f>IF(Tableau8[[#This Row],[NOM]]="","","x")</f>
        <v/>
      </c>
      <c r="BV4" s="148" t="str">
        <f>IF(Tableau8[[#This Row],[NOM]]="","","x")</f>
        <v/>
      </c>
      <c r="BW4" s="148" t="str">
        <f>IF(Tableau8[[#This Row],[NOM]]="","","x")</f>
        <v/>
      </c>
      <c r="BX4" s="148" t="str">
        <f>IF(Tableau8[[#This Row],[NOM]]="","","x")</f>
        <v/>
      </c>
      <c r="BY4" s="148" t="str">
        <f>IF(Tableau8[[#This Row],[NOM]]="","","x")</f>
        <v/>
      </c>
      <c r="BZ4" s="148" t="str">
        <f>IF(Tableau8[[#This Row],[NOM]]="","","x")</f>
        <v/>
      </c>
      <c r="CA4" s="148" t="str">
        <f>IF(Tableau8[[#This Row],[NOM]]="","","x")</f>
        <v/>
      </c>
      <c r="CB4" s="148" t="str">
        <f>IF(Tableau8[[#This Row],[NOM]]="","","x")</f>
        <v/>
      </c>
      <c r="CC4" s="148" t="str">
        <f>IF(Tableau8[[#This Row],[NOM]]="","","x")</f>
        <v/>
      </c>
      <c r="CD4" s="148" t="str">
        <f>IF(Tableau8[[#This Row],[NOM]]="","","x")</f>
        <v/>
      </c>
      <c r="CE4" s="148" t="str">
        <f>IF(Tableau8[[#This Row],[NOM]]="","","x")</f>
        <v/>
      </c>
      <c r="CF4" s="148" t="str">
        <f>IF(Tableau8[[#This Row],[NOM]]="","","x")</f>
        <v/>
      </c>
      <c r="CG4" s="148" t="str">
        <f>IF(Tableau8[[#This Row],[NOM]]="","","x")</f>
        <v/>
      </c>
      <c r="CH4" s="148" t="str">
        <f>IF(Tableau8[[#This Row],[NOM]]="","","x")</f>
        <v/>
      </c>
      <c r="CI4" s="148" t="str">
        <f>IF(Tableau8[[#This Row],[NOM]]="","","x")</f>
        <v/>
      </c>
      <c r="CJ4" s="148" t="str">
        <f>IF(Tableau8[[#This Row],[NOM]]="","","x")</f>
        <v/>
      </c>
      <c r="CK4" s="148" t="str">
        <f>IF(Tableau8[[#This Row],[NOM]]="","","x")</f>
        <v/>
      </c>
      <c r="CL4" s="148" t="str">
        <f>IF(Tableau8[[#This Row],[NOM]]="","","x")</f>
        <v/>
      </c>
      <c r="CM4" s="145"/>
      <c r="CN4" s="145"/>
      <c r="CO4" s="145"/>
      <c r="CP4" s="145"/>
    </row>
    <row r="5" spans="1:94" ht="15" customHeight="1">
      <c r="A5" s="146"/>
      <c r="C5" s="147"/>
      <c r="D5" s="148" t="str">
        <f>IF(Tableau8[[#This Row],[NOM]]="Admin","x","")</f>
        <v/>
      </c>
      <c r="E5" s="148" t="str">
        <f>IF(Tableau8[[#This Row],[NOM]]="Admin","x","")</f>
        <v/>
      </c>
      <c r="F5" s="148" t="str">
        <f>IF(Tableau8[[#This Row],[NOM]]="Admin","x","")</f>
        <v/>
      </c>
      <c r="G5" s="148" t="str">
        <f>IF(Tableau8[[#This Row],[NOM]]="Admin","x","")</f>
        <v/>
      </c>
      <c r="H5" s="148" t="str">
        <f>IF(Tableau8[[#This Row],[NOM]]="","","x")</f>
        <v/>
      </c>
      <c r="I5" s="148" t="str">
        <f>IF(Tableau8[[#This Row],[NOM]]="","","x")</f>
        <v/>
      </c>
      <c r="J5" s="148" t="str">
        <f>IF(Tableau8[[#This Row],[NOM]]="","","x")</f>
        <v/>
      </c>
      <c r="K5" s="148" t="str">
        <f>IF(Tableau8[[#This Row],[NOM]]="","","x")</f>
        <v/>
      </c>
      <c r="L5" s="148" t="str">
        <f>IF(Tableau8[[#This Row],[NOM]]="","","x")</f>
        <v/>
      </c>
      <c r="M5" s="148" t="str">
        <f>IF(Tableau8[[#This Row],[NOM]]="","","x")</f>
        <v/>
      </c>
      <c r="N5" s="148" t="str">
        <f>IF(Tableau8[[#This Row],[NOM]]="","","x")</f>
        <v/>
      </c>
      <c r="O5" s="148" t="str">
        <f>IF(Tableau8[[#This Row],[NOM]]="","","x")</f>
        <v/>
      </c>
      <c r="P5" s="148" t="str">
        <f>IF(Tableau8[[#This Row],[NOM]]="","","x")</f>
        <v/>
      </c>
      <c r="Q5" s="148" t="str">
        <f>IF(Tableau8[[#This Row],[NOM]]="","","x")</f>
        <v/>
      </c>
      <c r="R5" s="148" t="str">
        <f>IF(Tableau8[[#This Row],[NOM]]="","","x")</f>
        <v/>
      </c>
      <c r="S5" s="148" t="str">
        <f>IF(Tableau8[[#This Row],[NOM]]="","","x")</f>
        <v/>
      </c>
      <c r="T5" s="148" t="str">
        <f>IF(Tableau8[[#This Row],[NOM]]="","","x")</f>
        <v/>
      </c>
      <c r="U5" s="148" t="str">
        <f>IF(Tableau8[[#This Row],[NOM]]="","","x")</f>
        <v/>
      </c>
      <c r="V5" s="148" t="str">
        <f>IF(Tableau8[[#This Row],[NOM]]="","","x")</f>
        <v/>
      </c>
      <c r="W5" s="148" t="str">
        <f>IF(Tableau8[[#This Row],[NOM]]="","","x")</f>
        <v/>
      </c>
      <c r="X5" s="148" t="str">
        <f>IF(Tableau8[[#This Row],[NOM]]="","","x")</f>
        <v/>
      </c>
      <c r="Y5" s="148" t="str">
        <f>IF(Tableau8[[#This Row],[NOM]]="","","x")</f>
        <v/>
      </c>
      <c r="Z5" s="148" t="str">
        <f>IF(Tableau8[[#This Row],[NOM]]="","","x")</f>
        <v/>
      </c>
      <c r="AA5" s="148" t="str">
        <f>IF(Tableau8[[#This Row],[NOM]]="","","x")</f>
        <v/>
      </c>
      <c r="AB5" s="148" t="str">
        <f>IF(Tableau8[[#This Row],[NOM]]="","","x")</f>
        <v/>
      </c>
      <c r="AC5" s="148" t="str">
        <f>IF(Tableau8[[#This Row],[NOM]]="","","x")</f>
        <v/>
      </c>
      <c r="AD5" s="148" t="str">
        <f>IF(Tableau8[[#This Row],[NOM]]="","","x")</f>
        <v/>
      </c>
      <c r="AE5" s="148" t="str">
        <f>IF(Tableau8[[#This Row],[NOM]]="","","x")</f>
        <v/>
      </c>
      <c r="AF5" s="148" t="str">
        <f>IF(Tableau8[[#This Row],[NOM]]="","","x")</f>
        <v/>
      </c>
      <c r="AG5" s="148" t="str">
        <f>IF(Tableau8[[#This Row],[NOM]]="","","x")</f>
        <v/>
      </c>
      <c r="AH5" s="148" t="str">
        <f>IF(Tableau8[[#This Row],[NOM]]="","","x")</f>
        <v/>
      </c>
      <c r="AI5" s="148" t="str">
        <f>IF(Tableau8[[#This Row],[NOM]]="","","x")</f>
        <v/>
      </c>
      <c r="AJ5" s="148" t="str">
        <f>IF(Tableau8[[#This Row],[NOM]]="","","x")</f>
        <v/>
      </c>
      <c r="AK5" s="148" t="str">
        <f>IF(Tableau8[[#This Row],[NOM]]="","","x")</f>
        <v/>
      </c>
      <c r="AL5" s="148" t="str">
        <f>IF(Tableau8[[#This Row],[NOM]]="","","x")</f>
        <v/>
      </c>
      <c r="AM5" s="148" t="str">
        <f>IF(Tableau8[[#This Row],[NOM]]="","","x")</f>
        <v/>
      </c>
      <c r="AN5" s="148" t="str">
        <f>IF(Tableau8[[#This Row],[NOM]]="","","x")</f>
        <v/>
      </c>
      <c r="AO5" s="148" t="str">
        <f>IF(Tableau8[[#This Row],[NOM]]="","","x")</f>
        <v/>
      </c>
      <c r="AP5" s="148" t="str">
        <f>IF(Tableau8[[#This Row],[NOM]]="","","x")</f>
        <v/>
      </c>
      <c r="AQ5" s="148" t="str">
        <f>IF(Tableau8[[#This Row],[NOM]]="","","x")</f>
        <v/>
      </c>
      <c r="AR5" s="148" t="str">
        <f>IF(Tableau8[[#This Row],[NOM]]="","","x")</f>
        <v/>
      </c>
      <c r="AS5" s="148" t="str">
        <f>IF(Tableau8[[#This Row],[NOM]]="","","x")</f>
        <v/>
      </c>
      <c r="AT5" s="148" t="str">
        <f>IF(Tableau8[[#This Row],[NOM]]="","","x")</f>
        <v/>
      </c>
      <c r="AU5" s="148" t="str">
        <f>IF(Tableau8[[#This Row],[NOM]]="","","x")</f>
        <v/>
      </c>
      <c r="AV5" s="148" t="str">
        <f>IF(Tableau8[[#This Row],[NOM]]="","","x")</f>
        <v/>
      </c>
      <c r="AW5" s="148" t="str">
        <f>IF(Tableau8[[#This Row],[NOM]]="","","x")</f>
        <v/>
      </c>
      <c r="AX5" s="148" t="str">
        <f>IF(Tableau8[[#This Row],[NOM]]="","","x")</f>
        <v/>
      </c>
      <c r="AY5" s="148" t="str">
        <f>IF(Tableau8[[#This Row],[NOM]]="","","x")</f>
        <v/>
      </c>
      <c r="AZ5" s="148" t="str">
        <f>IF(Tableau8[[#This Row],[NOM]]="","","x")</f>
        <v/>
      </c>
      <c r="BA5" s="148" t="str">
        <f>IF(Tableau8[[#This Row],[NOM]]="","","x")</f>
        <v/>
      </c>
      <c r="BB5" s="148" t="str">
        <f>IF(Tableau8[[#This Row],[NOM]]="","","x")</f>
        <v/>
      </c>
      <c r="BC5" s="148" t="str">
        <f>IF(Tableau8[[#This Row],[NOM]]="","","x")</f>
        <v/>
      </c>
      <c r="BD5" s="148" t="str">
        <f>IF(Tableau8[[#This Row],[NOM]]="","","x")</f>
        <v/>
      </c>
      <c r="BE5" s="148" t="str">
        <f>IF(Tableau8[[#This Row],[NOM]]="","","x")</f>
        <v/>
      </c>
      <c r="BF5" s="148" t="str">
        <f>IF(Tableau8[[#This Row],[NOM]]="","","x")</f>
        <v/>
      </c>
      <c r="BG5" s="148" t="str">
        <f>IF(Tableau8[[#This Row],[NOM]]="","","x")</f>
        <v/>
      </c>
      <c r="BH5" s="148" t="str">
        <f>IF(Tableau8[[#This Row],[NOM]]="","","x")</f>
        <v/>
      </c>
      <c r="BI5" s="148" t="str">
        <f>IF(Tableau8[[#This Row],[NOM]]="","","x")</f>
        <v/>
      </c>
      <c r="BJ5" s="148" t="str">
        <f>IF(Tableau8[[#This Row],[NOM]]="","","x")</f>
        <v/>
      </c>
      <c r="BK5" s="148" t="str">
        <f>IF(Tableau8[[#This Row],[NOM]]="","","x")</f>
        <v/>
      </c>
      <c r="BL5" s="148" t="str">
        <f>IF(Tableau8[[#This Row],[NOM]]="","","x")</f>
        <v/>
      </c>
      <c r="BM5" s="148" t="str">
        <f>IF(Tableau8[[#This Row],[NOM]]="","","x")</f>
        <v/>
      </c>
      <c r="BN5" s="148" t="str">
        <f>IF(Tableau8[[#This Row],[NOM]]="","","x")</f>
        <v/>
      </c>
      <c r="BO5" s="148" t="str">
        <f>IF(Tableau8[[#This Row],[NOM]]="","","x")</f>
        <v/>
      </c>
      <c r="BP5" s="148" t="str">
        <f>IF(Tableau8[[#This Row],[NOM]]="","","x")</f>
        <v/>
      </c>
      <c r="BQ5" s="148" t="str">
        <f>IF(Tableau8[[#This Row],[NOM]]="","","x")</f>
        <v/>
      </c>
      <c r="BR5" s="148" t="str">
        <f>IF(Tableau8[[#This Row],[NOM]]="","","x")</f>
        <v/>
      </c>
      <c r="BS5" s="148" t="str">
        <f>IF(Tableau8[[#This Row],[NOM]]="","","x")</f>
        <v/>
      </c>
      <c r="BT5" s="148" t="str">
        <f>IF(Tableau8[[#This Row],[NOM]]="","","x")</f>
        <v/>
      </c>
      <c r="BU5" s="148" t="str">
        <f>IF(Tableau8[[#This Row],[NOM]]="","","x")</f>
        <v/>
      </c>
      <c r="BV5" s="148" t="str">
        <f>IF(Tableau8[[#This Row],[NOM]]="","","x")</f>
        <v/>
      </c>
      <c r="BW5" s="148" t="str">
        <f>IF(Tableau8[[#This Row],[NOM]]="","","x")</f>
        <v/>
      </c>
      <c r="BX5" s="148" t="str">
        <f>IF(Tableau8[[#This Row],[NOM]]="","","x")</f>
        <v/>
      </c>
      <c r="BY5" s="148" t="str">
        <f>IF(Tableau8[[#This Row],[NOM]]="","","x")</f>
        <v/>
      </c>
      <c r="BZ5" s="148" t="str">
        <f>IF(Tableau8[[#This Row],[NOM]]="","","x")</f>
        <v/>
      </c>
      <c r="CA5" s="148" t="str">
        <f>IF(Tableau8[[#This Row],[NOM]]="","","x")</f>
        <v/>
      </c>
      <c r="CB5" s="148" t="str">
        <f>IF(Tableau8[[#This Row],[NOM]]="","","x")</f>
        <v/>
      </c>
      <c r="CC5" s="148" t="str">
        <f>IF(Tableau8[[#This Row],[NOM]]="","","x")</f>
        <v/>
      </c>
      <c r="CD5" s="148" t="str">
        <f>IF(Tableau8[[#This Row],[NOM]]="","","x")</f>
        <v/>
      </c>
      <c r="CE5" s="148" t="str">
        <f>IF(Tableau8[[#This Row],[NOM]]="","","x")</f>
        <v/>
      </c>
      <c r="CF5" s="148" t="str">
        <f>IF(Tableau8[[#This Row],[NOM]]="","","x")</f>
        <v/>
      </c>
      <c r="CG5" s="148" t="str">
        <f>IF(Tableau8[[#This Row],[NOM]]="","","x")</f>
        <v/>
      </c>
      <c r="CH5" s="148" t="str">
        <f>IF(Tableau8[[#This Row],[NOM]]="","","x")</f>
        <v/>
      </c>
      <c r="CI5" s="148" t="str">
        <f>IF(Tableau8[[#This Row],[NOM]]="","","x")</f>
        <v/>
      </c>
      <c r="CJ5" s="148" t="str">
        <f>IF(Tableau8[[#This Row],[NOM]]="","","x")</f>
        <v/>
      </c>
      <c r="CK5" s="148" t="str">
        <f>IF(Tableau8[[#This Row],[NOM]]="","","x")</f>
        <v/>
      </c>
      <c r="CL5" s="148" t="str">
        <f>IF(Tableau8[[#This Row],[NOM]]="","","x")</f>
        <v/>
      </c>
      <c r="CM5" s="145"/>
      <c r="CN5" s="145"/>
      <c r="CO5" s="145"/>
      <c r="CP5" s="145"/>
    </row>
    <row r="6" spans="1:94" ht="15" customHeight="1">
      <c r="C6" s="147"/>
      <c r="D6" s="148" t="str">
        <f>IF(Tableau8[[#This Row],[NOM]]="Admin","x","")</f>
        <v/>
      </c>
      <c r="E6" s="148" t="str">
        <f>IF(Tableau8[[#This Row],[NOM]]="Admin","x","")</f>
        <v/>
      </c>
      <c r="F6" s="148" t="str">
        <f>IF(Tableau8[[#This Row],[NOM]]="Admin","x","")</f>
        <v/>
      </c>
      <c r="G6" s="148" t="str">
        <f>IF(Tableau8[[#This Row],[NOM]]="Admin","x","")</f>
        <v/>
      </c>
      <c r="H6" s="148" t="str">
        <f>IF(Tableau8[[#This Row],[NOM]]="","","x")</f>
        <v/>
      </c>
      <c r="I6" s="148" t="str">
        <f>IF(Tableau8[[#This Row],[NOM]]="","","x")</f>
        <v/>
      </c>
      <c r="J6" s="148" t="str">
        <f>IF(Tableau8[[#This Row],[NOM]]="","","x")</f>
        <v/>
      </c>
      <c r="K6" s="148" t="str">
        <f>IF(Tableau8[[#This Row],[NOM]]="","","x")</f>
        <v/>
      </c>
      <c r="L6" s="148" t="str">
        <f>IF(Tableau8[[#This Row],[NOM]]="","","x")</f>
        <v/>
      </c>
      <c r="M6" s="148" t="str">
        <f>IF(Tableau8[[#This Row],[NOM]]="","","x")</f>
        <v/>
      </c>
      <c r="N6" s="148" t="str">
        <f>IF(Tableau8[[#This Row],[NOM]]="","","x")</f>
        <v/>
      </c>
      <c r="O6" s="148" t="str">
        <f>IF(Tableau8[[#This Row],[NOM]]="","","x")</f>
        <v/>
      </c>
      <c r="P6" s="148" t="str">
        <f>IF(Tableau8[[#This Row],[NOM]]="","","x")</f>
        <v/>
      </c>
      <c r="Q6" s="148" t="str">
        <f>IF(Tableau8[[#This Row],[NOM]]="","","x")</f>
        <v/>
      </c>
      <c r="R6" s="148" t="str">
        <f>IF(Tableau8[[#This Row],[NOM]]="","","x")</f>
        <v/>
      </c>
      <c r="S6" s="148" t="str">
        <f>IF(Tableau8[[#This Row],[NOM]]="","","x")</f>
        <v/>
      </c>
      <c r="T6" s="148" t="str">
        <f>IF(Tableau8[[#This Row],[NOM]]="","","x")</f>
        <v/>
      </c>
      <c r="U6" s="148" t="str">
        <f>IF(Tableau8[[#This Row],[NOM]]="","","x")</f>
        <v/>
      </c>
      <c r="V6" s="148" t="str">
        <f>IF(Tableau8[[#This Row],[NOM]]="","","x")</f>
        <v/>
      </c>
      <c r="W6" s="148" t="str">
        <f>IF(Tableau8[[#This Row],[NOM]]="","","x")</f>
        <v/>
      </c>
      <c r="X6" s="148" t="str">
        <f>IF(Tableau8[[#This Row],[NOM]]="","","x")</f>
        <v/>
      </c>
      <c r="Y6" s="148" t="str">
        <f>IF(Tableau8[[#This Row],[NOM]]="","","x")</f>
        <v/>
      </c>
      <c r="Z6" s="148" t="str">
        <f>IF(Tableau8[[#This Row],[NOM]]="","","x")</f>
        <v/>
      </c>
      <c r="AA6" s="148" t="str">
        <f>IF(Tableau8[[#This Row],[NOM]]="","","x")</f>
        <v/>
      </c>
      <c r="AB6" s="148" t="str">
        <f>IF(Tableau8[[#This Row],[NOM]]="","","x")</f>
        <v/>
      </c>
      <c r="AC6" s="148" t="str">
        <f>IF(Tableau8[[#This Row],[NOM]]="","","x")</f>
        <v/>
      </c>
      <c r="AD6" s="148" t="str">
        <f>IF(Tableau8[[#This Row],[NOM]]="","","x")</f>
        <v/>
      </c>
      <c r="AE6" s="148" t="str">
        <f>IF(Tableau8[[#This Row],[NOM]]="","","x")</f>
        <v/>
      </c>
      <c r="AF6" s="148" t="str">
        <f>IF(Tableau8[[#This Row],[NOM]]="","","x")</f>
        <v/>
      </c>
      <c r="AG6" s="148" t="str">
        <f>IF(Tableau8[[#This Row],[NOM]]="","","x")</f>
        <v/>
      </c>
      <c r="AH6" s="148" t="str">
        <f>IF(Tableau8[[#This Row],[NOM]]="","","x")</f>
        <v/>
      </c>
      <c r="AI6" s="148" t="str">
        <f>IF(Tableau8[[#This Row],[NOM]]="","","x")</f>
        <v/>
      </c>
      <c r="AJ6" s="148" t="str">
        <f>IF(Tableau8[[#This Row],[NOM]]="","","x")</f>
        <v/>
      </c>
      <c r="AK6" s="148" t="str">
        <f>IF(Tableau8[[#This Row],[NOM]]="","","x")</f>
        <v/>
      </c>
      <c r="AL6" s="148" t="str">
        <f>IF(Tableau8[[#This Row],[NOM]]="","","x")</f>
        <v/>
      </c>
      <c r="AM6" s="148" t="str">
        <f>IF(Tableau8[[#This Row],[NOM]]="","","x")</f>
        <v/>
      </c>
      <c r="AN6" s="148" t="str">
        <f>IF(Tableau8[[#This Row],[NOM]]="","","x")</f>
        <v/>
      </c>
      <c r="AO6" s="148" t="str">
        <f>IF(Tableau8[[#This Row],[NOM]]="","","x")</f>
        <v/>
      </c>
      <c r="AP6" s="148" t="str">
        <f>IF(Tableau8[[#This Row],[NOM]]="","","x")</f>
        <v/>
      </c>
      <c r="AQ6" s="148" t="str">
        <f>IF(Tableau8[[#This Row],[NOM]]="","","x")</f>
        <v/>
      </c>
      <c r="AR6" s="148" t="str">
        <f>IF(Tableau8[[#This Row],[NOM]]="","","x")</f>
        <v/>
      </c>
      <c r="AS6" s="148" t="str">
        <f>IF(Tableau8[[#This Row],[NOM]]="","","x")</f>
        <v/>
      </c>
      <c r="AT6" s="148" t="str">
        <f>IF(Tableau8[[#This Row],[NOM]]="","","x")</f>
        <v/>
      </c>
      <c r="AU6" s="148" t="str">
        <f>IF(Tableau8[[#This Row],[NOM]]="","","x")</f>
        <v/>
      </c>
      <c r="AV6" s="148" t="str">
        <f>IF(Tableau8[[#This Row],[NOM]]="","","x")</f>
        <v/>
      </c>
      <c r="AW6" s="148" t="str">
        <f>IF(Tableau8[[#This Row],[NOM]]="","","x")</f>
        <v/>
      </c>
      <c r="AX6" s="148" t="str">
        <f>IF(Tableau8[[#This Row],[NOM]]="","","x")</f>
        <v/>
      </c>
      <c r="AY6" s="148" t="str">
        <f>IF(Tableau8[[#This Row],[NOM]]="","","x")</f>
        <v/>
      </c>
      <c r="AZ6" s="148" t="str">
        <f>IF(Tableau8[[#This Row],[NOM]]="","","x")</f>
        <v/>
      </c>
      <c r="BA6" s="148" t="str">
        <f>IF(Tableau8[[#This Row],[NOM]]="","","x")</f>
        <v/>
      </c>
      <c r="BB6" s="148" t="str">
        <f>IF(Tableau8[[#This Row],[NOM]]="","","x")</f>
        <v/>
      </c>
      <c r="BC6" s="148" t="str">
        <f>IF(Tableau8[[#This Row],[NOM]]="","","x")</f>
        <v/>
      </c>
      <c r="BD6" s="148" t="str">
        <f>IF(Tableau8[[#This Row],[NOM]]="","","x")</f>
        <v/>
      </c>
      <c r="BE6" s="148" t="str">
        <f>IF(Tableau8[[#This Row],[NOM]]="","","x")</f>
        <v/>
      </c>
      <c r="BF6" s="148" t="str">
        <f>IF(Tableau8[[#This Row],[NOM]]="","","x")</f>
        <v/>
      </c>
      <c r="BG6" s="148" t="str">
        <f>IF(Tableau8[[#This Row],[NOM]]="","","x")</f>
        <v/>
      </c>
      <c r="BH6" s="148" t="str">
        <f>IF(Tableau8[[#This Row],[NOM]]="","","x")</f>
        <v/>
      </c>
      <c r="BI6" s="148" t="str">
        <f>IF(Tableau8[[#This Row],[NOM]]="","","x")</f>
        <v/>
      </c>
      <c r="BJ6" s="148" t="str">
        <f>IF(Tableau8[[#This Row],[NOM]]="","","x")</f>
        <v/>
      </c>
      <c r="BK6" s="148" t="str">
        <f>IF(Tableau8[[#This Row],[NOM]]="","","x")</f>
        <v/>
      </c>
      <c r="BL6" s="148" t="str">
        <f>IF(Tableau8[[#This Row],[NOM]]="","","x")</f>
        <v/>
      </c>
      <c r="BM6" s="148" t="str">
        <f>IF(Tableau8[[#This Row],[NOM]]="","","x")</f>
        <v/>
      </c>
      <c r="BN6" s="148" t="str">
        <f>IF(Tableau8[[#This Row],[NOM]]="","","x")</f>
        <v/>
      </c>
      <c r="BO6" s="148" t="str">
        <f>IF(Tableau8[[#This Row],[NOM]]="","","x")</f>
        <v/>
      </c>
      <c r="BP6" s="148" t="str">
        <f>IF(Tableau8[[#This Row],[NOM]]="","","x")</f>
        <v/>
      </c>
      <c r="BQ6" s="148" t="str">
        <f>IF(Tableau8[[#This Row],[NOM]]="","","x")</f>
        <v/>
      </c>
      <c r="BR6" s="148" t="str">
        <f>IF(Tableau8[[#This Row],[NOM]]="","","x")</f>
        <v/>
      </c>
      <c r="BS6" s="148" t="str">
        <f>IF(Tableau8[[#This Row],[NOM]]="","","x")</f>
        <v/>
      </c>
      <c r="BT6" s="148" t="str">
        <f>IF(Tableau8[[#This Row],[NOM]]="","","x")</f>
        <v/>
      </c>
      <c r="BU6" s="148" t="str">
        <f>IF(Tableau8[[#This Row],[NOM]]="","","x")</f>
        <v/>
      </c>
      <c r="BV6" s="148" t="str">
        <f>IF(Tableau8[[#This Row],[NOM]]="","","x")</f>
        <v/>
      </c>
      <c r="BW6" s="148" t="str">
        <f>IF(Tableau8[[#This Row],[NOM]]="","","x")</f>
        <v/>
      </c>
      <c r="BX6" s="148" t="str">
        <f>IF(Tableau8[[#This Row],[NOM]]="","","x")</f>
        <v/>
      </c>
      <c r="BY6" s="148" t="str">
        <f>IF(Tableau8[[#This Row],[NOM]]="","","x")</f>
        <v/>
      </c>
      <c r="BZ6" s="148" t="str">
        <f>IF(Tableau8[[#This Row],[NOM]]="","","x")</f>
        <v/>
      </c>
      <c r="CA6" s="148" t="str">
        <f>IF(Tableau8[[#This Row],[NOM]]="","","x")</f>
        <v/>
      </c>
      <c r="CB6" s="148" t="str">
        <f>IF(Tableau8[[#This Row],[NOM]]="","","x")</f>
        <v/>
      </c>
      <c r="CC6" s="148" t="str">
        <f>IF(Tableau8[[#This Row],[NOM]]="","","x")</f>
        <v/>
      </c>
      <c r="CD6" s="148" t="str">
        <f>IF(Tableau8[[#This Row],[NOM]]="","","x")</f>
        <v/>
      </c>
      <c r="CE6" s="148" t="str">
        <f>IF(Tableau8[[#This Row],[NOM]]="","","x")</f>
        <v/>
      </c>
      <c r="CF6" s="148" t="str">
        <f>IF(Tableau8[[#This Row],[NOM]]="","","x")</f>
        <v/>
      </c>
      <c r="CG6" s="148" t="str">
        <f>IF(Tableau8[[#This Row],[NOM]]="","","x")</f>
        <v/>
      </c>
      <c r="CH6" s="148" t="str">
        <f>IF(Tableau8[[#This Row],[NOM]]="","","x")</f>
        <v/>
      </c>
      <c r="CI6" s="148" t="str">
        <f>IF(Tableau8[[#This Row],[NOM]]="","","x")</f>
        <v/>
      </c>
      <c r="CJ6" s="148" t="str">
        <f>IF(Tableau8[[#This Row],[NOM]]="","","x")</f>
        <v/>
      </c>
      <c r="CK6" s="148" t="str">
        <f>IF(Tableau8[[#This Row],[NOM]]="","","x")</f>
        <v/>
      </c>
      <c r="CL6" s="148" t="str">
        <f>IF(Tableau8[[#This Row],[NOM]]="","","x")</f>
        <v/>
      </c>
      <c r="CM6" s="145"/>
      <c r="CN6" s="145"/>
      <c r="CO6" s="145"/>
      <c r="CP6" s="145"/>
    </row>
    <row r="7" spans="1:94" ht="15" customHeight="1">
      <c r="C7" s="147"/>
      <c r="D7" s="148" t="str">
        <f>IF(Tableau8[[#This Row],[NOM]]="Admin","x","")</f>
        <v/>
      </c>
      <c r="E7" s="148" t="str">
        <f>IF(Tableau8[[#This Row],[NOM]]="Admin","x","")</f>
        <v/>
      </c>
      <c r="F7" s="148" t="str">
        <f>IF(Tableau8[[#This Row],[NOM]]="Admin","x","")</f>
        <v/>
      </c>
      <c r="G7" s="148" t="str">
        <f>IF(Tableau8[[#This Row],[NOM]]="Admin","x","")</f>
        <v/>
      </c>
      <c r="H7" s="148" t="str">
        <f>IF(Tableau8[[#This Row],[NOM]]="","","x")</f>
        <v/>
      </c>
      <c r="I7" s="148" t="str">
        <f>IF(Tableau8[[#This Row],[NOM]]="","","x")</f>
        <v/>
      </c>
      <c r="J7" s="148" t="str">
        <f>IF(Tableau8[[#This Row],[NOM]]="","","x")</f>
        <v/>
      </c>
      <c r="K7" s="148" t="str">
        <f>IF(Tableau8[[#This Row],[NOM]]="","","x")</f>
        <v/>
      </c>
      <c r="L7" s="148" t="str">
        <f>IF(Tableau8[[#This Row],[NOM]]="","","x")</f>
        <v/>
      </c>
      <c r="M7" s="148" t="str">
        <f>IF(Tableau8[[#This Row],[NOM]]="","","x")</f>
        <v/>
      </c>
      <c r="N7" s="148" t="str">
        <f>IF(Tableau8[[#This Row],[NOM]]="","","x")</f>
        <v/>
      </c>
      <c r="O7" s="148" t="str">
        <f>IF(Tableau8[[#This Row],[NOM]]="","","x")</f>
        <v/>
      </c>
      <c r="P7" s="148" t="str">
        <f>IF(Tableau8[[#This Row],[NOM]]="","","x")</f>
        <v/>
      </c>
      <c r="Q7" s="148" t="str">
        <f>IF(Tableau8[[#This Row],[NOM]]="","","x")</f>
        <v/>
      </c>
      <c r="R7" s="148" t="str">
        <f>IF(Tableau8[[#This Row],[NOM]]="","","x")</f>
        <v/>
      </c>
      <c r="S7" s="148" t="str">
        <f>IF(Tableau8[[#This Row],[NOM]]="","","x")</f>
        <v/>
      </c>
      <c r="T7" s="148" t="str">
        <f>IF(Tableau8[[#This Row],[NOM]]="","","x")</f>
        <v/>
      </c>
      <c r="U7" s="148" t="str">
        <f>IF(Tableau8[[#This Row],[NOM]]="","","x")</f>
        <v/>
      </c>
      <c r="V7" s="148" t="str">
        <f>IF(Tableau8[[#This Row],[NOM]]="","","x")</f>
        <v/>
      </c>
      <c r="W7" s="148" t="str">
        <f>IF(Tableau8[[#This Row],[NOM]]="","","x")</f>
        <v/>
      </c>
      <c r="X7" s="148" t="str">
        <f>IF(Tableau8[[#This Row],[NOM]]="","","x")</f>
        <v/>
      </c>
      <c r="Y7" s="148" t="str">
        <f>IF(Tableau8[[#This Row],[NOM]]="","","x")</f>
        <v/>
      </c>
      <c r="Z7" s="148" t="str">
        <f>IF(Tableau8[[#This Row],[NOM]]="","","x")</f>
        <v/>
      </c>
      <c r="AA7" s="148" t="str">
        <f>IF(Tableau8[[#This Row],[NOM]]="","","x")</f>
        <v/>
      </c>
      <c r="AB7" s="148" t="str">
        <f>IF(Tableau8[[#This Row],[NOM]]="","","x")</f>
        <v/>
      </c>
      <c r="AC7" s="148" t="str">
        <f>IF(Tableau8[[#This Row],[NOM]]="","","x")</f>
        <v/>
      </c>
      <c r="AD7" s="148" t="str">
        <f>IF(Tableau8[[#This Row],[NOM]]="","","x")</f>
        <v/>
      </c>
      <c r="AE7" s="148" t="str">
        <f>IF(Tableau8[[#This Row],[NOM]]="","","x")</f>
        <v/>
      </c>
      <c r="AF7" s="148" t="str">
        <f>IF(Tableau8[[#This Row],[NOM]]="","","x")</f>
        <v/>
      </c>
      <c r="AG7" s="148" t="str">
        <f>IF(Tableau8[[#This Row],[NOM]]="","","x")</f>
        <v/>
      </c>
      <c r="AH7" s="148" t="str">
        <f>IF(Tableau8[[#This Row],[NOM]]="","","x")</f>
        <v/>
      </c>
      <c r="AI7" s="148" t="str">
        <f>IF(Tableau8[[#This Row],[NOM]]="","","x")</f>
        <v/>
      </c>
      <c r="AJ7" s="148" t="str">
        <f>IF(Tableau8[[#This Row],[NOM]]="","","x")</f>
        <v/>
      </c>
      <c r="AK7" s="148" t="str">
        <f>IF(Tableau8[[#This Row],[NOM]]="","","x")</f>
        <v/>
      </c>
      <c r="AL7" s="148" t="str">
        <f>IF(Tableau8[[#This Row],[NOM]]="","","x")</f>
        <v/>
      </c>
      <c r="AM7" s="148" t="str">
        <f>IF(Tableau8[[#This Row],[NOM]]="","","x")</f>
        <v/>
      </c>
      <c r="AN7" s="148" t="str">
        <f>IF(Tableau8[[#This Row],[NOM]]="","","x")</f>
        <v/>
      </c>
      <c r="AO7" s="148" t="str">
        <f>IF(Tableau8[[#This Row],[NOM]]="","","x")</f>
        <v/>
      </c>
      <c r="AP7" s="148" t="str">
        <f>IF(Tableau8[[#This Row],[NOM]]="","","x")</f>
        <v/>
      </c>
      <c r="AQ7" s="148" t="str">
        <f>IF(Tableau8[[#This Row],[NOM]]="","","x")</f>
        <v/>
      </c>
      <c r="AR7" s="148" t="str">
        <f>IF(Tableau8[[#This Row],[NOM]]="","","x")</f>
        <v/>
      </c>
      <c r="AS7" s="148" t="str">
        <f>IF(Tableau8[[#This Row],[NOM]]="","","x")</f>
        <v/>
      </c>
      <c r="AT7" s="148" t="str">
        <f>IF(Tableau8[[#This Row],[NOM]]="","","x")</f>
        <v/>
      </c>
      <c r="AU7" s="148" t="str">
        <f>IF(Tableau8[[#This Row],[NOM]]="","","x")</f>
        <v/>
      </c>
      <c r="AV7" s="148" t="str">
        <f>IF(Tableau8[[#This Row],[NOM]]="","","x")</f>
        <v/>
      </c>
      <c r="AW7" s="148" t="str">
        <f>IF(Tableau8[[#This Row],[NOM]]="","","x")</f>
        <v/>
      </c>
      <c r="AX7" s="148" t="str">
        <f>IF(Tableau8[[#This Row],[NOM]]="","","x")</f>
        <v/>
      </c>
      <c r="AY7" s="148" t="str">
        <f>IF(Tableau8[[#This Row],[NOM]]="","","x")</f>
        <v/>
      </c>
      <c r="AZ7" s="148" t="str">
        <f>IF(Tableau8[[#This Row],[NOM]]="","","x")</f>
        <v/>
      </c>
      <c r="BA7" s="148" t="str">
        <f>IF(Tableau8[[#This Row],[NOM]]="","","x")</f>
        <v/>
      </c>
      <c r="BB7" s="148" t="str">
        <f>IF(Tableau8[[#This Row],[NOM]]="","","x")</f>
        <v/>
      </c>
      <c r="BC7" s="148" t="str">
        <f>IF(Tableau8[[#This Row],[NOM]]="","","x")</f>
        <v/>
      </c>
      <c r="BD7" s="148" t="str">
        <f>IF(Tableau8[[#This Row],[NOM]]="","","x")</f>
        <v/>
      </c>
      <c r="BE7" s="148" t="str">
        <f>IF(Tableau8[[#This Row],[NOM]]="","","x")</f>
        <v/>
      </c>
      <c r="BF7" s="148" t="str">
        <f>IF(Tableau8[[#This Row],[NOM]]="","","x")</f>
        <v/>
      </c>
      <c r="BG7" s="148" t="str">
        <f>IF(Tableau8[[#This Row],[NOM]]="","","x")</f>
        <v/>
      </c>
      <c r="BH7" s="148" t="str">
        <f>IF(Tableau8[[#This Row],[NOM]]="","","x")</f>
        <v/>
      </c>
      <c r="BI7" s="148" t="str">
        <f>IF(Tableau8[[#This Row],[NOM]]="","","x")</f>
        <v/>
      </c>
      <c r="BJ7" s="148" t="str">
        <f>IF(Tableau8[[#This Row],[NOM]]="","","x")</f>
        <v/>
      </c>
      <c r="BK7" s="148" t="str">
        <f>IF(Tableau8[[#This Row],[NOM]]="","","x")</f>
        <v/>
      </c>
      <c r="BL7" s="148" t="str">
        <f>IF(Tableau8[[#This Row],[NOM]]="","","x")</f>
        <v/>
      </c>
      <c r="BM7" s="148" t="str">
        <f>IF(Tableau8[[#This Row],[NOM]]="","","x")</f>
        <v/>
      </c>
      <c r="BN7" s="148" t="str">
        <f>IF(Tableau8[[#This Row],[NOM]]="","","x")</f>
        <v/>
      </c>
      <c r="BO7" s="148" t="str">
        <f>IF(Tableau8[[#This Row],[NOM]]="","","x")</f>
        <v/>
      </c>
      <c r="BP7" s="148" t="str">
        <f>IF(Tableau8[[#This Row],[NOM]]="","","x")</f>
        <v/>
      </c>
      <c r="BQ7" s="148" t="str">
        <f>IF(Tableau8[[#This Row],[NOM]]="","","x")</f>
        <v/>
      </c>
      <c r="BR7" s="148" t="str">
        <f>IF(Tableau8[[#This Row],[NOM]]="","","x")</f>
        <v/>
      </c>
      <c r="BS7" s="148" t="str">
        <f>IF(Tableau8[[#This Row],[NOM]]="","","x")</f>
        <v/>
      </c>
      <c r="BT7" s="148" t="str">
        <f>IF(Tableau8[[#This Row],[NOM]]="","","x")</f>
        <v/>
      </c>
      <c r="BU7" s="148" t="str">
        <f>IF(Tableau8[[#This Row],[NOM]]="","","x")</f>
        <v/>
      </c>
      <c r="BV7" s="148" t="str">
        <f>IF(Tableau8[[#This Row],[NOM]]="","","x")</f>
        <v/>
      </c>
      <c r="BW7" s="148" t="str">
        <f>IF(Tableau8[[#This Row],[NOM]]="","","x")</f>
        <v/>
      </c>
      <c r="BX7" s="148" t="str">
        <f>IF(Tableau8[[#This Row],[NOM]]="","","x")</f>
        <v/>
      </c>
      <c r="BY7" s="148" t="str">
        <f>IF(Tableau8[[#This Row],[NOM]]="","","x")</f>
        <v/>
      </c>
      <c r="BZ7" s="148" t="str">
        <f>IF(Tableau8[[#This Row],[NOM]]="","","x")</f>
        <v/>
      </c>
      <c r="CA7" s="148" t="str">
        <f>IF(Tableau8[[#This Row],[NOM]]="","","x")</f>
        <v/>
      </c>
      <c r="CB7" s="148" t="str">
        <f>IF(Tableau8[[#This Row],[NOM]]="","","x")</f>
        <v/>
      </c>
      <c r="CC7" s="148" t="str">
        <f>IF(Tableau8[[#This Row],[NOM]]="","","x")</f>
        <v/>
      </c>
      <c r="CD7" s="148" t="str">
        <f>IF(Tableau8[[#This Row],[NOM]]="","","x")</f>
        <v/>
      </c>
      <c r="CE7" s="148" t="str">
        <f>IF(Tableau8[[#This Row],[NOM]]="","","x")</f>
        <v/>
      </c>
      <c r="CF7" s="148" t="str">
        <f>IF(Tableau8[[#This Row],[NOM]]="","","x")</f>
        <v/>
      </c>
      <c r="CG7" s="148" t="str">
        <f>IF(Tableau8[[#This Row],[NOM]]="","","x")</f>
        <v/>
      </c>
      <c r="CH7" s="148" t="str">
        <f>IF(Tableau8[[#This Row],[NOM]]="","","x")</f>
        <v/>
      </c>
      <c r="CI7" s="148" t="str">
        <f>IF(Tableau8[[#This Row],[NOM]]="","","x")</f>
        <v/>
      </c>
      <c r="CJ7" s="148" t="str">
        <f>IF(Tableau8[[#This Row],[NOM]]="","","x")</f>
        <v/>
      </c>
      <c r="CK7" s="148" t="str">
        <f>IF(Tableau8[[#This Row],[NOM]]="","","x")</f>
        <v/>
      </c>
      <c r="CL7" s="148" t="str">
        <f>IF(Tableau8[[#This Row],[NOM]]="","","x")</f>
        <v/>
      </c>
      <c r="CM7" s="145"/>
      <c r="CN7" s="145"/>
      <c r="CO7" s="145"/>
      <c r="CP7" s="145"/>
    </row>
    <row r="8" spans="1:94" ht="15" customHeight="1">
      <c r="C8" s="147"/>
      <c r="D8" s="148" t="str">
        <f>IF(Tableau8[[#This Row],[NOM]]="Admin","x","")</f>
        <v/>
      </c>
      <c r="E8" s="148" t="str">
        <f>IF(Tableau8[[#This Row],[NOM]]="Admin","x","")</f>
        <v/>
      </c>
      <c r="F8" s="148" t="str">
        <f>IF(Tableau8[[#This Row],[NOM]]="Admin","x","")</f>
        <v/>
      </c>
      <c r="G8" s="148" t="str">
        <f>IF(Tableau8[[#This Row],[NOM]]="Admin","x","")</f>
        <v/>
      </c>
      <c r="H8" s="148" t="str">
        <f>IF(Tableau8[[#This Row],[NOM]]="","","x")</f>
        <v/>
      </c>
      <c r="I8" s="148" t="str">
        <f>IF(Tableau8[[#This Row],[NOM]]="","","x")</f>
        <v/>
      </c>
      <c r="J8" s="148" t="str">
        <f>IF(Tableau8[[#This Row],[NOM]]="","","x")</f>
        <v/>
      </c>
      <c r="K8" s="148" t="str">
        <f>IF(Tableau8[[#This Row],[NOM]]="","","x")</f>
        <v/>
      </c>
      <c r="L8" s="148" t="str">
        <f>IF(Tableau8[[#This Row],[NOM]]="","","x")</f>
        <v/>
      </c>
      <c r="M8" s="148" t="str">
        <f>IF(Tableau8[[#This Row],[NOM]]="","","x")</f>
        <v/>
      </c>
      <c r="N8" s="148" t="str">
        <f>IF(Tableau8[[#This Row],[NOM]]="","","x")</f>
        <v/>
      </c>
      <c r="O8" s="148" t="str">
        <f>IF(Tableau8[[#This Row],[NOM]]="","","x")</f>
        <v/>
      </c>
      <c r="P8" s="148" t="str">
        <f>IF(Tableau8[[#This Row],[NOM]]="","","x")</f>
        <v/>
      </c>
      <c r="Q8" s="148" t="str">
        <f>IF(Tableau8[[#This Row],[NOM]]="","","x")</f>
        <v/>
      </c>
      <c r="R8" s="148" t="str">
        <f>IF(Tableau8[[#This Row],[NOM]]="","","x")</f>
        <v/>
      </c>
      <c r="S8" s="148" t="str">
        <f>IF(Tableau8[[#This Row],[NOM]]="","","x")</f>
        <v/>
      </c>
      <c r="T8" s="148" t="str">
        <f>IF(Tableau8[[#This Row],[NOM]]="","","x")</f>
        <v/>
      </c>
      <c r="U8" s="148" t="str">
        <f>IF(Tableau8[[#This Row],[NOM]]="","","x")</f>
        <v/>
      </c>
      <c r="V8" s="148" t="str">
        <f>IF(Tableau8[[#This Row],[NOM]]="","","x")</f>
        <v/>
      </c>
      <c r="W8" s="148" t="str">
        <f>IF(Tableau8[[#This Row],[NOM]]="","","x")</f>
        <v/>
      </c>
      <c r="X8" s="148" t="str">
        <f>IF(Tableau8[[#This Row],[NOM]]="","","x")</f>
        <v/>
      </c>
      <c r="Y8" s="148" t="str">
        <f>IF(Tableau8[[#This Row],[NOM]]="","","x")</f>
        <v/>
      </c>
      <c r="Z8" s="148" t="str">
        <f>IF(Tableau8[[#This Row],[NOM]]="","","x")</f>
        <v/>
      </c>
      <c r="AA8" s="148" t="str">
        <f>IF(Tableau8[[#This Row],[NOM]]="","","x")</f>
        <v/>
      </c>
      <c r="AB8" s="148" t="str">
        <f>IF(Tableau8[[#This Row],[NOM]]="","","x")</f>
        <v/>
      </c>
      <c r="AC8" s="148" t="str">
        <f>IF(Tableau8[[#This Row],[NOM]]="","","x")</f>
        <v/>
      </c>
      <c r="AD8" s="148" t="str">
        <f>IF(Tableau8[[#This Row],[NOM]]="","","x")</f>
        <v/>
      </c>
      <c r="AE8" s="148" t="str">
        <f>IF(Tableau8[[#This Row],[NOM]]="","","x")</f>
        <v/>
      </c>
      <c r="AF8" s="148" t="str">
        <f>IF(Tableau8[[#This Row],[NOM]]="","","x")</f>
        <v/>
      </c>
      <c r="AG8" s="148" t="str">
        <f>IF(Tableau8[[#This Row],[NOM]]="","","x")</f>
        <v/>
      </c>
      <c r="AH8" s="148" t="str">
        <f>IF(Tableau8[[#This Row],[NOM]]="","","x")</f>
        <v/>
      </c>
      <c r="AI8" s="148" t="str">
        <f>IF(Tableau8[[#This Row],[NOM]]="","","x")</f>
        <v/>
      </c>
      <c r="AJ8" s="148" t="str">
        <f>IF(Tableau8[[#This Row],[NOM]]="","","x")</f>
        <v/>
      </c>
      <c r="AK8" s="148" t="str">
        <f>IF(Tableau8[[#This Row],[NOM]]="","","x")</f>
        <v/>
      </c>
      <c r="AL8" s="148" t="str">
        <f>IF(Tableau8[[#This Row],[NOM]]="","","x")</f>
        <v/>
      </c>
      <c r="AM8" s="148" t="str">
        <f>IF(Tableau8[[#This Row],[NOM]]="","","x")</f>
        <v/>
      </c>
      <c r="AN8" s="148" t="str">
        <f>IF(Tableau8[[#This Row],[NOM]]="","","x")</f>
        <v/>
      </c>
      <c r="AO8" s="148" t="str">
        <f>IF(Tableau8[[#This Row],[NOM]]="","","x")</f>
        <v/>
      </c>
      <c r="AP8" s="148" t="str">
        <f>IF(Tableau8[[#This Row],[NOM]]="","","x")</f>
        <v/>
      </c>
      <c r="AQ8" s="148" t="str">
        <f>IF(Tableau8[[#This Row],[NOM]]="","","x")</f>
        <v/>
      </c>
      <c r="AR8" s="148" t="str">
        <f>IF(Tableau8[[#This Row],[NOM]]="","","x")</f>
        <v/>
      </c>
      <c r="AS8" s="148" t="str">
        <f>IF(Tableau8[[#This Row],[NOM]]="","","x")</f>
        <v/>
      </c>
      <c r="AT8" s="148" t="str">
        <f>IF(Tableau8[[#This Row],[NOM]]="","","x")</f>
        <v/>
      </c>
      <c r="AU8" s="148" t="str">
        <f>IF(Tableau8[[#This Row],[NOM]]="","","x")</f>
        <v/>
      </c>
      <c r="AV8" s="148" t="str">
        <f>IF(Tableau8[[#This Row],[NOM]]="","","x")</f>
        <v/>
      </c>
      <c r="AW8" s="148" t="str">
        <f>IF(Tableau8[[#This Row],[NOM]]="","","x")</f>
        <v/>
      </c>
      <c r="AX8" s="148" t="str">
        <f>IF(Tableau8[[#This Row],[NOM]]="","","x")</f>
        <v/>
      </c>
      <c r="AY8" s="148" t="str">
        <f>IF(Tableau8[[#This Row],[NOM]]="","","x")</f>
        <v/>
      </c>
      <c r="AZ8" s="148" t="str">
        <f>IF(Tableau8[[#This Row],[NOM]]="","","x")</f>
        <v/>
      </c>
      <c r="BA8" s="148" t="str">
        <f>IF(Tableau8[[#This Row],[NOM]]="","","x")</f>
        <v/>
      </c>
      <c r="BB8" s="148" t="str">
        <f>IF(Tableau8[[#This Row],[NOM]]="","","x")</f>
        <v/>
      </c>
      <c r="BC8" s="148" t="str">
        <f>IF(Tableau8[[#This Row],[NOM]]="","","x")</f>
        <v/>
      </c>
      <c r="BD8" s="148" t="str">
        <f>IF(Tableau8[[#This Row],[NOM]]="","","x")</f>
        <v/>
      </c>
      <c r="BE8" s="148" t="str">
        <f>IF(Tableau8[[#This Row],[NOM]]="","","x")</f>
        <v/>
      </c>
      <c r="BF8" s="148" t="str">
        <f>IF(Tableau8[[#This Row],[NOM]]="","","x")</f>
        <v/>
      </c>
      <c r="BG8" s="148" t="str">
        <f>IF(Tableau8[[#This Row],[NOM]]="","","x")</f>
        <v/>
      </c>
      <c r="BH8" s="148" t="str">
        <f>IF(Tableau8[[#This Row],[NOM]]="","","x")</f>
        <v/>
      </c>
      <c r="BI8" s="148" t="str">
        <f>IF(Tableau8[[#This Row],[NOM]]="","","x")</f>
        <v/>
      </c>
      <c r="BJ8" s="148" t="str">
        <f>IF(Tableau8[[#This Row],[NOM]]="","","x")</f>
        <v/>
      </c>
      <c r="BK8" s="148" t="str">
        <f>IF(Tableau8[[#This Row],[NOM]]="","","x")</f>
        <v/>
      </c>
      <c r="BL8" s="148" t="str">
        <f>IF(Tableau8[[#This Row],[NOM]]="","","x")</f>
        <v/>
      </c>
      <c r="BM8" s="148" t="str">
        <f>IF(Tableau8[[#This Row],[NOM]]="","","x")</f>
        <v/>
      </c>
      <c r="BN8" s="148" t="str">
        <f>IF(Tableau8[[#This Row],[NOM]]="","","x")</f>
        <v/>
      </c>
      <c r="BO8" s="148" t="str">
        <f>IF(Tableau8[[#This Row],[NOM]]="","","x")</f>
        <v/>
      </c>
      <c r="BP8" s="148" t="str">
        <f>IF(Tableau8[[#This Row],[NOM]]="","","x")</f>
        <v/>
      </c>
      <c r="BQ8" s="148" t="str">
        <f>IF(Tableau8[[#This Row],[NOM]]="","","x")</f>
        <v/>
      </c>
      <c r="BR8" s="148" t="str">
        <f>IF(Tableau8[[#This Row],[NOM]]="","","x")</f>
        <v/>
      </c>
      <c r="BS8" s="148" t="str">
        <f>IF(Tableau8[[#This Row],[NOM]]="","","x")</f>
        <v/>
      </c>
      <c r="BT8" s="148" t="str">
        <f>IF(Tableau8[[#This Row],[NOM]]="","","x")</f>
        <v/>
      </c>
      <c r="BU8" s="148" t="str">
        <f>IF(Tableau8[[#This Row],[NOM]]="","","x")</f>
        <v/>
      </c>
      <c r="BV8" s="148" t="str">
        <f>IF(Tableau8[[#This Row],[NOM]]="","","x")</f>
        <v/>
      </c>
      <c r="BW8" s="148" t="str">
        <f>IF(Tableau8[[#This Row],[NOM]]="","","x")</f>
        <v/>
      </c>
      <c r="BX8" s="148" t="str">
        <f>IF(Tableau8[[#This Row],[NOM]]="","","x")</f>
        <v/>
      </c>
      <c r="BY8" s="148" t="str">
        <f>IF(Tableau8[[#This Row],[NOM]]="","","x")</f>
        <v/>
      </c>
      <c r="BZ8" s="148" t="str">
        <f>IF(Tableau8[[#This Row],[NOM]]="","","x")</f>
        <v/>
      </c>
      <c r="CA8" s="148" t="str">
        <f>IF(Tableau8[[#This Row],[NOM]]="","","x")</f>
        <v/>
      </c>
      <c r="CB8" s="148" t="str">
        <f>IF(Tableau8[[#This Row],[NOM]]="","","x")</f>
        <v/>
      </c>
      <c r="CC8" s="148" t="str">
        <f>IF(Tableau8[[#This Row],[NOM]]="","","x")</f>
        <v/>
      </c>
      <c r="CD8" s="148" t="str">
        <f>IF(Tableau8[[#This Row],[NOM]]="","","x")</f>
        <v/>
      </c>
      <c r="CE8" s="148" t="str">
        <f>IF(Tableau8[[#This Row],[NOM]]="","","x")</f>
        <v/>
      </c>
      <c r="CF8" s="148" t="str">
        <f>IF(Tableau8[[#This Row],[NOM]]="","","x")</f>
        <v/>
      </c>
      <c r="CG8" s="148" t="str">
        <f>IF(Tableau8[[#This Row],[NOM]]="","","x")</f>
        <v/>
      </c>
      <c r="CH8" s="148" t="str">
        <f>IF(Tableau8[[#This Row],[NOM]]="","","x")</f>
        <v/>
      </c>
      <c r="CI8" s="148" t="str">
        <f>IF(Tableau8[[#This Row],[NOM]]="","","x")</f>
        <v/>
      </c>
      <c r="CJ8" s="148" t="str">
        <f>IF(Tableau8[[#This Row],[NOM]]="","","x")</f>
        <v/>
      </c>
      <c r="CK8" s="148" t="str">
        <f>IF(Tableau8[[#This Row],[NOM]]="","","x")</f>
        <v/>
      </c>
      <c r="CL8" s="148" t="str">
        <f>IF(Tableau8[[#This Row],[NOM]]="","","x")</f>
        <v/>
      </c>
      <c r="CM8" s="145"/>
      <c r="CN8" s="145"/>
      <c r="CO8" s="145"/>
      <c r="CP8" s="145"/>
    </row>
    <row r="9" spans="1:94" ht="15" customHeight="1">
      <c r="C9" s="147"/>
      <c r="D9" s="148" t="str">
        <f>IF(Tableau8[[#This Row],[NOM]]="Admin","x","")</f>
        <v/>
      </c>
      <c r="E9" s="148" t="str">
        <f>IF(Tableau8[[#This Row],[NOM]]="Admin","x","")</f>
        <v/>
      </c>
      <c r="F9" s="148" t="str">
        <f>IF(Tableau8[[#This Row],[NOM]]="Admin","x","")</f>
        <v/>
      </c>
      <c r="G9" s="148" t="str">
        <f>IF(Tableau8[[#This Row],[NOM]]="Admin","x","")</f>
        <v/>
      </c>
      <c r="H9" s="148" t="str">
        <f>IF(Tableau8[[#This Row],[NOM]]="","","x")</f>
        <v/>
      </c>
      <c r="I9" s="148" t="str">
        <f>IF(Tableau8[[#This Row],[NOM]]="","","x")</f>
        <v/>
      </c>
      <c r="J9" s="148" t="str">
        <f>IF(Tableau8[[#This Row],[NOM]]="","","x")</f>
        <v/>
      </c>
      <c r="K9" s="148" t="str">
        <f>IF(Tableau8[[#This Row],[NOM]]="","","x")</f>
        <v/>
      </c>
      <c r="L9" s="148" t="str">
        <f>IF(Tableau8[[#This Row],[NOM]]="","","x")</f>
        <v/>
      </c>
      <c r="M9" s="148" t="str">
        <f>IF(Tableau8[[#This Row],[NOM]]="","","x")</f>
        <v/>
      </c>
      <c r="N9" s="148" t="str">
        <f>IF(Tableau8[[#This Row],[NOM]]="","","x")</f>
        <v/>
      </c>
      <c r="O9" s="148" t="str">
        <f>IF(Tableau8[[#This Row],[NOM]]="","","x")</f>
        <v/>
      </c>
      <c r="P9" s="148" t="str">
        <f>IF(Tableau8[[#This Row],[NOM]]="","","x")</f>
        <v/>
      </c>
      <c r="Q9" s="148" t="str">
        <f>IF(Tableau8[[#This Row],[NOM]]="","","x")</f>
        <v/>
      </c>
      <c r="R9" s="148" t="str">
        <f>IF(Tableau8[[#This Row],[NOM]]="","","x")</f>
        <v/>
      </c>
      <c r="S9" s="148" t="str">
        <f>IF(Tableau8[[#This Row],[NOM]]="","","x")</f>
        <v/>
      </c>
      <c r="T9" s="148" t="str">
        <f>IF(Tableau8[[#This Row],[NOM]]="","","x")</f>
        <v/>
      </c>
      <c r="U9" s="148" t="str">
        <f>IF(Tableau8[[#This Row],[NOM]]="","","x")</f>
        <v/>
      </c>
      <c r="V9" s="148" t="str">
        <f>IF(Tableau8[[#This Row],[NOM]]="","","x")</f>
        <v/>
      </c>
      <c r="W9" s="148" t="str">
        <f>IF(Tableau8[[#This Row],[NOM]]="","","x")</f>
        <v/>
      </c>
      <c r="X9" s="148" t="str">
        <f>IF(Tableau8[[#This Row],[NOM]]="","","x")</f>
        <v/>
      </c>
      <c r="Y9" s="148" t="str">
        <f>IF(Tableau8[[#This Row],[NOM]]="","","x")</f>
        <v/>
      </c>
      <c r="Z9" s="148" t="str">
        <f>IF(Tableau8[[#This Row],[NOM]]="","","x")</f>
        <v/>
      </c>
      <c r="AA9" s="148" t="str">
        <f>IF(Tableau8[[#This Row],[NOM]]="","","x")</f>
        <v/>
      </c>
      <c r="AB9" s="148" t="str">
        <f>IF(Tableau8[[#This Row],[NOM]]="","","x")</f>
        <v/>
      </c>
      <c r="AC9" s="148" t="str">
        <f>IF(Tableau8[[#This Row],[NOM]]="","","x")</f>
        <v/>
      </c>
      <c r="AD9" s="148" t="str">
        <f>IF(Tableau8[[#This Row],[NOM]]="","","x")</f>
        <v/>
      </c>
      <c r="AE9" s="148" t="str">
        <f>IF(Tableau8[[#This Row],[NOM]]="","","x")</f>
        <v/>
      </c>
      <c r="AF9" s="148" t="str">
        <f>IF(Tableau8[[#This Row],[NOM]]="","","x")</f>
        <v/>
      </c>
      <c r="AG9" s="148" t="str">
        <f>IF(Tableau8[[#This Row],[NOM]]="","","x")</f>
        <v/>
      </c>
      <c r="AH9" s="148" t="str">
        <f>IF(Tableau8[[#This Row],[NOM]]="","","x")</f>
        <v/>
      </c>
      <c r="AI9" s="148" t="str">
        <f>IF(Tableau8[[#This Row],[NOM]]="","","x")</f>
        <v/>
      </c>
      <c r="AJ9" s="148" t="str">
        <f>IF(Tableau8[[#This Row],[NOM]]="","","x")</f>
        <v/>
      </c>
      <c r="AK9" s="148" t="str">
        <f>IF(Tableau8[[#This Row],[NOM]]="","","x")</f>
        <v/>
      </c>
      <c r="AL9" s="148" t="str">
        <f>IF(Tableau8[[#This Row],[NOM]]="","","x")</f>
        <v/>
      </c>
      <c r="AM9" s="148" t="str">
        <f>IF(Tableau8[[#This Row],[NOM]]="","","x")</f>
        <v/>
      </c>
      <c r="AN9" s="148" t="str">
        <f>IF(Tableau8[[#This Row],[NOM]]="","","x")</f>
        <v/>
      </c>
      <c r="AO9" s="148" t="str">
        <f>IF(Tableau8[[#This Row],[NOM]]="","","x")</f>
        <v/>
      </c>
      <c r="AP9" s="148" t="str">
        <f>IF(Tableau8[[#This Row],[NOM]]="","","x")</f>
        <v/>
      </c>
      <c r="AQ9" s="148" t="str">
        <f>IF(Tableau8[[#This Row],[NOM]]="","","x")</f>
        <v/>
      </c>
      <c r="AR9" s="148" t="str">
        <f>IF(Tableau8[[#This Row],[NOM]]="","","x")</f>
        <v/>
      </c>
      <c r="AS9" s="148" t="str">
        <f>IF(Tableau8[[#This Row],[NOM]]="","","x")</f>
        <v/>
      </c>
      <c r="AT9" s="148" t="str">
        <f>IF(Tableau8[[#This Row],[NOM]]="","","x")</f>
        <v/>
      </c>
      <c r="AU9" s="148" t="str">
        <f>IF(Tableau8[[#This Row],[NOM]]="","","x")</f>
        <v/>
      </c>
      <c r="AV9" s="148" t="str">
        <f>IF(Tableau8[[#This Row],[NOM]]="","","x")</f>
        <v/>
      </c>
      <c r="AW9" s="148" t="str">
        <f>IF(Tableau8[[#This Row],[NOM]]="","","x")</f>
        <v/>
      </c>
      <c r="AX9" s="148" t="str">
        <f>IF(Tableau8[[#This Row],[NOM]]="","","x")</f>
        <v/>
      </c>
      <c r="AY9" s="148" t="str">
        <f>IF(Tableau8[[#This Row],[NOM]]="","","x")</f>
        <v/>
      </c>
      <c r="AZ9" s="148" t="str">
        <f>IF(Tableau8[[#This Row],[NOM]]="","","x")</f>
        <v/>
      </c>
      <c r="BA9" s="148" t="str">
        <f>IF(Tableau8[[#This Row],[NOM]]="","","x")</f>
        <v/>
      </c>
      <c r="BB9" s="148" t="str">
        <f>IF(Tableau8[[#This Row],[NOM]]="","","x")</f>
        <v/>
      </c>
      <c r="BC9" s="148" t="str">
        <f>IF(Tableau8[[#This Row],[NOM]]="","","x")</f>
        <v/>
      </c>
      <c r="BD9" s="148" t="str">
        <f>IF(Tableau8[[#This Row],[NOM]]="","","x")</f>
        <v/>
      </c>
      <c r="BE9" s="148" t="str">
        <f>IF(Tableau8[[#This Row],[NOM]]="","","x")</f>
        <v/>
      </c>
      <c r="BF9" s="148" t="str">
        <f>IF(Tableau8[[#This Row],[NOM]]="","","x")</f>
        <v/>
      </c>
      <c r="BG9" s="148" t="str">
        <f>IF(Tableau8[[#This Row],[NOM]]="","","x")</f>
        <v/>
      </c>
      <c r="BH9" s="148" t="str">
        <f>IF(Tableau8[[#This Row],[NOM]]="","","x")</f>
        <v/>
      </c>
      <c r="BI9" s="148" t="str">
        <f>IF(Tableau8[[#This Row],[NOM]]="","","x")</f>
        <v/>
      </c>
      <c r="BJ9" s="148" t="str">
        <f>IF(Tableau8[[#This Row],[NOM]]="","","x")</f>
        <v/>
      </c>
      <c r="BK9" s="148" t="str">
        <f>IF(Tableau8[[#This Row],[NOM]]="","","x")</f>
        <v/>
      </c>
      <c r="BL9" s="148" t="str">
        <f>IF(Tableau8[[#This Row],[NOM]]="","","x")</f>
        <v/>
      </c>
      <c r="BM9" s="148" t="str">
        <f>IF(Tableau8[[#This Row],[NOM]]="","","x")</f>
        <v/>
      </c>
      <c r="BN9" s="148" t="str">
        <f>IF(Tableau8[[#This Row],[NOM]]="","","x")</f>
        <v/>
      </c>
      <c r="BO9" s="148" t="str">
        <f>IF(Tableau8[[#This Row],[NOM]]="","","x")</f>
        <v/>
      </c>
      <c r="BP9" s="148" t="str">
        <f>IF(Tableau8[[#This Row],[NOM]]="","","x")</f>
        <v/>
      </c>
      <c r="BQ9" s="148" t="str">
        <f>IF(Tableau8[[#This Row],[NOM]]="","","x")</f>
        <v/>
      </c>
      <c r="BR9" s="148" t="str">
        <f>IF(Tableau8[[#This Row],[NOM]]="","","x")</f>
        <v/>
      </c>
      <c r="BS9" s="148" t="str">
        <f>IF(Tableau8[[#This Row],[NOM]]="","","x")</f>
        <v/>
      </c>
      <c r="BT9" s="148" t="str">
        <f>IF(Tableau8[[#This Row],[NOM]]="","","x")</f>
        <v/>
      </c>
      <c r="BU9" s="148" t="str">
        <f>IF(Tableau8[[#This Row],[NOM]]="","","x")</f>
        <v/>
      </c>
      <c r="BV9" s="148" t="str">
        <f>IF(Tableau8[[#This Row],[NOM]]="","","x")</f>
        <v/>
      </c>
      <c r="BW9" s="148" t="str">
        <f>IF(Tableau8[[#This Row],[NOM]]="","","x")</f>
        <v/>
      </c>
      <c r="BX9" s="148" t="str">
        <f>IF(Tableau8[[#This Row],[NOM]]="","","x")</f>
        <v/>
      </c>
      <c r="BY9" s="148" t="str">
        <f>IF(Tableau8[[#This Row],[NOM]]="","","x")</f>
        <v/>
      </c>
      <c r="BZ9" s="148" t="str">
        <f>IF(Tableau8[[#This Row],[NOM]]="","","x")</f>
        <v/>
      </c>
      <c r="CA9" s="148" t="str">
        <f>IF(Tableau8[[#This Row],[NOM]]="","","x")</f>
        <v/>
      </c>
      <c r="CB9" s="148" t="str">
        <f>IF(Tableau8[[#This Row],[NOM]]="","","x")</f>
        <v/>
      </c>
      <c r="CC9" s="148" t="str">
        <f>IF(Tableau8[[#This Row],[NOM]]="","","x")</f>
        <v/>
      </c>
      <c r="CD9" s="148" t="str">
        <f>IF(Tableau8[[#This Row],[NOM]]="","","x")</f>
        <v/>
      </c>
      <c r="CE9" s="148" t="str">
        <f>IF(Tableau8[[#This Row],[NOM]]="","","x")</f>
        <v/>
      </c>
      <c r="CF9" s="148" t="str">
        <f>IF(Tableau8[[#This Row],[NOM]]="","","x")</f>
        <v/>
      </c>
      <c r="CG9" s="148" t="str">
        <f>IF(Tableau8[[#This Row],[NOM]]="","","x")</f>
        <v/>
      </c>
      <c r="CH9" s="148" t="str">
        <f>IF(Tableau8[[#This Row],[NOM]]="","","x")</f>
        <v/>
      </c>
      <c r="CI9" s="148" t="str">
        <f>IF(Tableau8[[#This Row],[NOM]]="","","x")</f>
        <v/>
      </c>
      <c r="CJ9" s="148" t="str">
        <f>IF(Tableau8[[#This Row],[NOM]]="","","x")</f>
        <v/>
      </c>
      <c r="CK9" s="148" t="str">
        <f>IF(Tableau8[[#This Row],[NOM]]="","","x")</f>
        <v/>
      </c>
      <c r="CL9" s="148" t="str">
        <f>IF(Tableau8[[#This Row],[NOM]]="","","x")</f>
        <v/>
      </c>
      <c r="CM9" s="145"/>
      <c r="CN9" s="145"/>
      <c r="CO9" s="145"/>
      <c r="CP9" s="145"/>
    </row>
    <row r="10" spans="1:94" ht="15" customHeight="1"/>
    <row r="11" spans="1:94" ht="15" customHeight="1"/>
    <row r="12" spans="1:94" ht="15" customHeight="1"/>
    <row r="13" spans="1:94" ht="15" customHeight="1"/>
    <row r="14" spans="1:94" ht="15" customHeight="1"/>
    <row r="15" spans="1:94" ht="15" customHeight="1"/>
  </sheetData>
  <sheetProtection algorithmName="SHA-512" hashValue="FgwGJfr0Rqzl+nGM8Rv38oz6BF1NlM5ZQ2hHEvHqI0NOMmOsZtsZuLJt9JurcSS/tc1cMdr35lmdhNpjsip7aQ==" saltValue="q/dBVmZJiFKihhLixql68A==" spinCount="100000" sheet="1" objects="1" scenarios="1" selectLockedCells="1"/>
  <hyperlinks>
    <hyperlink ref="B2" r:id="rId1" xr:uid="{D9ECF65C-9799-46B9-BC03-817BF3D41542}"/>
  </hyperlinks>
  <pageMargins left="0.7" right="0.7" top="0.75" bottom="0.75" header="0.3" footer="0.3"/>
  <pageSetup paperSize="9" orientation="portrait" r:id="rId2"/>
  <tableParts count="1">
    <tablePart r:id="rId3"/>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6797-BF74-4C27-9052-E95C4CD8ECAE}">
  <sheetPr codeName="Feuil98">
    <tabColor rgb="FFFF0000"/>
  </sheetPr>
  <dimension ref="A1:F456"/>
  <sheetViews>
    <sheetView showGridLines="0" showRowColHeaders="0" showZeros="0" zoomScaleNormal="100" zoomScaleSheetLayoutView="100" zoomScalePageLayoutView="70" workbookViewId="0">
      <selection activeCell="H23" sqref="H23:J23"/>
    </sheetView>
  </sheetViews>
  <sheetFormatPr baseColWidth="10" defaultColWidth="11.41796875" defaultRowHeight="14.4"/>
  <cols>
    <col min="1" max="1" width="13.20703125" style="150" customWidth="1"/>
    <col min="2" max="2" width="54.5234375" style="150" customWidth="1"/>
    <col min="3" max="3" width="11.41796875" style="150"/>
    <col min="4" max="4" width="25" style="150" customWidth="1"/>
    <col min="5" max="16384" width="11.41796875" style="150"/>
  </cols>
  <sheetData>
    <row r="1" spans="1:6" ht="18.75" customHeight="1">
      <c r="A1" s="149" t="s">
        <v>9982</v>
      </c>
      <c r="B1" s="149" t="s">
        <v>9983</v>
      </c>
    </row>
    <row r="2" spans="1:6" ht="13.05" customHeight="1">
      <c r="A2" s="151" t="s">
        <v>115</v>
      </c>
      <c r="B2" s="152" t="s">
        <v>116</v>
      </c>
      <c r="C2" s="153"/>
      <c r="D2" s="153"/>
      <c r="F2" s="154"/>
    </row>
    <row r="3" spans="1:6" ht="13.05" customHeight="1">
      <c r="A3" s="155" t="s">
        <v>119</v>
      </c>
      <c r="B3" s="156" t="s">
        <v>120</v>
      </c>
    </row>
    <row r="4" spans="1:6" ht="13.05" customHeight="1">
      <c r="A4" s="155" t="s">
        <v>123</v>
      </c>
      <c r="B4" s="156" t="s">
        <v>124</v>
      </c>
    </row>
    <row r="5" spans="1:6" ht="13.05" customHeight="1">
      <c r="A5" s="155" t="s">
        <v>127</v>
      </c>
      <c r="B5" s="156" t="s">
        <v>128</v>
      </c>
    </row>
    <row r="6" spans="1:6" ht="13.05" customHeight="1">
      <c r="A6" s="155" t="s">
        <v>131</v>
      </c>
      <c r="B6" s="156" t="s">
        <v>132</v>
      </c>
    </row>
    <row r="7" spans="1:6" ht="13.05" customHeight="1">
      <c r="A7" s="151" t="s">
        <v>135</v>
      </c>
      <c r="B7" s="152" t="s">
        <v>136</v>
      </c>
    </row>
    <row r="8" spans="1:6" ht="13.05" customHeight="1">
      <c r="A8" s="155" t="s">
        <v>139</v>
      </c>
      <c r="B8" s="156" t="s">
        <v>140</v>
      </c>
    </row>
    <row r="9" spans="1:6" ht="13.05" customHeight="1">
      <c r="A9" s="155" t="s">
        <v>143</v>
      </c>
      <c r="B9" s="156" t="s">
        <v>144</v>
      </c>
    </row>
    <row r="10" spans="1:6" ht="13.05" customHeight="1">
      <c r="A10" s="155" t="s">
        <v>147</v>
      </c>
      <c r="B10" s="156" t="s">
        <v>148</v>
      </c>
    </row>
    <row r="11" spans="1:6" ht="13.05" customHeight="1">
      <c r="A11" s="155" t="s">
        <v>151</v>
      </c>
      <c r="B11" s="156" t="s">
        <v>152</v>
      </c>
    </row>
    <row r="12" spans="1:6" ht="13.05" customHeight="1">
      <c r="A12" s="155" t="s">
        <v>155</v>
      </c>
      <c r="B12" s="156" t="s">
        <v>156</v>
      </c>
    </row>
    <row r="13" spans="1:6" ht="13.05" customHeight="1">
      <c r="A13" s="155" t="s">
        <v>159</v>
      </c>
      <c r="B13" s="156" t="s">
        <v>160</v>
      </c>
    </row>
    <row r="14" spans="1:6" ht="13.05" customHeight="1">
      <c r="A14" s="155" t="s">
        <v>163</v>
      </c>
      <c r="B14" s="156" t="s">
        <v>164</v>
      </c>
    </row>
    <row r="15" spans="1:6" ht="13.05" customHeight="1">
      <c r="A15" s="155" t="s">
        <v>167</v>
      </c>
      <c r="B15" s="156" t="s">
        <v>168</v>
      </c>
    </row>
    <row r="16" spans="1:6" ht="13.05" customHeight="1">
      <c r="A16" s="155" t="s">
        <v>171</v>
      </c>
      <c r="B16" s="156" t="s">
        <v>172</v>
      </c>
    </row>
    <row r="17" spans="1:2" ht="21.75" customHeight="1">
      <c r="A17" s="155" t="s">
        <v>175</v>
      </c>
      <c r="B17" s="156" t="s">
        <v>176</v>
      </c>
    </row>
    <row r="18" spans="1:2" ht="13.05" customHeight="1">
      <c r="A18" s="151" t="s">
        <v>179</v>
      </c>
      <c r="B18" s="152" t="s">
        <v>180</v>
      </c>
    </row>
    <row r="19" spans="1:2" ht="13.05" customHeight="1">
      <c r="A19" s="155" t="s">
        <v>183</v>
      </c>
      <c r="B19" s="156" t="s">
        <v>184</v>
      </c>
    </row>
    <row r="20" spans="1:2" ht="13.05" customHeight="1">
      <c r="A20" s="155" t="s">
        <v>187</v>
      </c>
      <c r="B20" s="156" t="s">
        <v>188</v>
      </c>
    </row>
    <row r="21" spans="1:2" ht="18.75" customHeight="1">
      <c r="A21" s="151" t="s">
        <v>191</v>
      </c>
      <c r="B21" s="152" t="s">
        <v>192</v>
      </c>
    </row>
    <row r="22" spans="1:2" ht="13.05" customHeight="1">
      <c r="A22" s="155" t="s">
        <v>195</v>
      </c>
      <c r="B22" s="156" t="s">
        <v>196</v>
      </c>
    </row>
    <row r="23" spans="1:2" ht="13.05" customHeight="1">
      <c r="A23" s="155" t="s">
        <v>199</v>
      </c>
      <c r="B23" s="156" t="s">
        <v>200</v>
      </c>
    </row>
    <row r="24" spans="1:2" ht="13.05" customHeight="1">
      <c r="A24" s="155" t="s">
        <v>203</v>
      </c>
      <c r="B24" s="156" t="s">
        <v>204</v>
      </c>
    </row>
    <row r="25" spans="1:2" ht="13.05" customHeight="1">
      <c r="A25" s="151" t="s">
        <v>207</v>
      </c>
      <c r="B25" s="152" t="s">
        <v>208</v>
      </c>
    </row>
    <row r="26" spans="1:2" ht="13.05" customHeight="1">
      <c r="A26" s="155" t="s">
        <v>211</v>
      </c>
      <c r="B26" s="156" t="s">
        <v>212</v>
      </c>
    </row>
    <row r="27" spans="1:2" ht="13.05" customHeight="1">
      <c r="A27" s="155" t="s">
        <v>215</v>
      </c>
      <c r="B27" s="156" t="s">
        <v>216</v>
      </c>
    </row>
    <row r="28" spans="1:2" ht="13.05" customHeight="1">
      <c r="A28" s="155" t="s">
        <v>219</v>
      </c>
      <c r="B28" s="156" t="s">
        <v>220</v>
      </c>
    </row>
    <row r="29" spans="1:2" ht="13.05" customHeight="1">
      <c r="A29" s="155" t="s">
        <v>223</v>
      </c>
      <c r="B29" s="156" t="s">
        <v>224</v>
      </c>
    </row>
    <row r="30" spans="1:2" ht="22.5" customHeight="1">
      <c r="A30" s="151" t="s">
        <v>227</v>
      </c>
      <c r="B30" s="152" t="s">
        <v>228</v>
      </c>
    </row>
    <row r="31" spans="1:2" ht="13.05" customHeight="1">
      <c r="A31" s="155" t="s">
        <v>231</v>
      </c>
      <c r="B31" s="156" t="s">
        <v>232</v>
      </c>
    </row>
    <row r="32" spans="1:2" ht="13.05" customHeight="1">
      <c r="A32" s="151" t="s">
        <v>235</v>
      </c>
      <c r="B32" s="152" t="s">
        <v>236</v>
      </c>
    </row>
    <row r="33" spans="1:2" ht="13.05" customHeight="1">
      <c r="A33" s="155" t="s">
        <v>239</v>
      </c>
      <c r="B33" s="156" t="s">
        <v>240</v>
      </c>
    </row>
    <row r="34" spans="1:2" ht="13.05" customHeight="1">
      <c r="A34" s="155" t="s">
        <v>243</v>
      </c>
      <c r="B34" s="156" t="s">
        <v>244</v>
      </c>
    </row>
    <row r="35" spans="1:2" ht="13.05" customHeight="1">
      <c r="A35" s="151" t="s">
        <v>247</v>
      </c>
      <c r="B35" s="152" t="s">
        <v>248</v>
      </c>
    </row>
    <row r="36" spans="1:2" ht="13.05" customHeight="1">
      <c r="A36" s="155" t="s">
        <v>251</v>
      </c>
      <c r="B36" s="156" t="s">
        <v>252</v>
      </c>
    </row>
    <row r="37" spans="1:2" ht="13.05" customHeight="1">
      <c r="A37" s="155" t="s">
        <v>255</v>
      </c>
      <c r="B37" s="156" t="s">
        <v>256</v>
      </c>
    </row>
    <row r="38" spans="1:2" ht="21.75" customHeight="1">
      <c r="A38" s="151" t="s">
        <v>259</v>
      </c>
      <c r="B38" s="152" t="s">
        <v>260</v>
      </c>
    </row>
    <row r="39" spans="1:2" ht="21.75" customHeight="1">
      <c r="A39" s="155" t="s">
        <v>263</v>
      </c>
      <c r="B39" s="156" t="s">
        <v>264</v>
      </c>
    </row>
    <row r="40" spans="1:2" ht="21.75" customHeight="1">
      <c r="A40" s="155" t="s">
        <v>267</v>
      </c>
      <c r="B40" s="156" t="s">
        <v>268</v>
      </c>
    </row>
    <row r="41" spans="1:2" ht="21.75" customHeight="1">
      <c r="A41" s="151" t="s">
        <v>271</v>
      </c>
      <c r="B41" s="152" t="s">
        <v>268</v>
      </c>
    </row>
    <row r="42" spans="1:2" ht="21.75" customHeight="1">
      <c r="A42" s="155" t="s">
        <v>274</v>
      </c>
      <c r="B42" s="156" t="s">
        <v>275</v>
      </c>
    </row>
    <row r="43" spans="1:2" ht="21.75" customHeight="1">
      <c r="A43" s="155" t="s">
        <v>278</v>
      </c>
      <c r="B43" s="156" t="s">
        <v>279</v>
      </c>
    </row>
    <row r="44" spans="1:2" ht="21.75" customHeight="1">
      <c r="A44" s="155" t="s">
        <v>282</v>
      </c>
      <c r="B44" s="156" t="s">
        <v>283</v>
      </c>
    </row>
    <row r="45" spans="1:2" ht="13.05" customHeight="1">
      <c r="A45" s="151" t="s">
        <v>286</v>
      </c>
      <c r="B45" s="152" t="s">
        <v>287</v>
      </c>
    </row>
    <row r="46" spans="1:2" ht="13.05" customHeight="1">
      <c r="A46" s="155" t="s">
        <v>290</v>
      </c>
      <c r="B46" s="156" t="s">
        <v>291</v>
      </c>
    </row>
    <row r="47" spans="1:2" ht="13.05" customHeight="1">
      <c r="A47" s="151" t="s">
        <v>294</v>
      </c>
      <c r="B47" s="152" t="s">
        <v>295</v>
      </c>
    </row>
    <row r="48" spans="1:2" ht="13.05" customHeight="1">
      <c r="A48" s="155" t="s">
        <v>298</v>
      </c>
      <c r="B48" s="156" t="s">
        <v>299</v>
      </c>
    </row>
    <row r="49" spans="1:2" ht="13.05" customHeight="1">
      <c r="A49" s="155" t="s">
        <v>302</v>
      </c>
      <c r="B49" s="156" t="s">
        <v>303</v>
      </c>
    </row>
    <row r="50" spans="1:2" ht="21.75" customHeight="1">
      <c r="A50" s="151" t="s">
        <v>306</v>
      </c>
      <c r="B50" s="152" t="s">
        <v>307</v>
      </c>
    </row>
    <row r="51" spans="1:2" ht="21.75" customHeight="1">
      <c r="A51" s="155" t="s">
        <v>310</v>
      </c>
      <c r="B51" s="156" t="s">
        <v>311</v>
      </c>
    </row>
    <row r="52" spans="1:2" ht="13.05" customHeight="1">
      <c r="A52" s="151" t="s">
        <v>314</v>
      </c>
      <c r="B52" s="152" t="s">
        <v>315</v>
      </c>
    </row>
    <row r="53" spans="1:2" ht="13.05" customHeight="1">
      <c r="A53" s="155" t="s">
        <v>318</v>
      </c>
      <c r="B53" s="156" t="s">
        <v>319</v>
      </c>
    </row>
    <row r="54" spans="1:2" ht="13.05" customHeight="1">
      <c r="A54" s="155" t="s">
        <v>322</v>
      </c>
      <c r="B54" s="156" t="s">
        <v>323</v>
      </c>
    </row>
    <row r="55" spans="1:2" ht="13.05" customHeight="1">
      <c r="A55" s="155" t="s">
        <v>326</v>
      </c>
      <c r="B55" s="156" t="s">
        <v>327</v>
      </c>
    </row>
    <row r="56" spans="1:2" ht="13.05" customHeight="1">
      <c r="A56" s="155" t="s">
        <v>330</v>
      </c>
      <c r="B56" s="156" t="s">
        <v>331</v>
      </c>
    </row>
    <row r="57" spans="1:2" ht="13.05" customHeight="1">
      <c r="A57" s="155" t="s">
        <v>334</v>
      </c>
      <c r="B57" s="156" t="s">
        <v>335</v>
      </c>
    </row>
    <row r="58" spans="1:2" ht="13.05" customHeight="1">
      <c r="A58" s="151" t="s">
        <v>338</v>
      </c>
      <c r="B58" s="152" t="s">
        <v>339</v>
      </c>
    </row>
    <row r="59" spans="1:2" ht="13.05" customHeight="1">
      <c r="A59" s="155" t="s">
        <v>342</v>
      </c>
      <c r="B59" s="156" t="s">
        <v>343</v>
      </c>
    </row>
    <row r="60" spans="1:2" ht="13.05" customHeight="1">
      <c r="A60" s="151" t="s">
        <v>346</v>
      </c>
      <c r="B60" s="152" t="s">
        <v>347</v>
      </c>
    </row>
    <row r="61" spans="1:2" ht="13.05" customHeight="1">
      <c r="A61" s="155" t="s">
        <v>350</v>
      </c>
      <c r="B61" s="156" t="s">
        <v>351</v>
      </c>
    </row>
    <row r="62" spans="1:2" ht="21.75" customHeight="1">
      <c r="A62" s="151" t="s">
        <v>354</v>
      </c>
      <c r="B62" s="152" t="s">
        <v>355</v>
      </c>
    </row>
    <row r="63" spans="1:2" ht="13.05" customHeight="1">
      <c r="A63" s="155" t="s">
        <v>358</v>
      </c>
      <c r="B63" s="156" t="s">
        <v>359</v>
      </c>
    </row>
    <row r="64" spans="1:2" ht="13.05" customHeight="1">
      <c r="A64" s="155" t="s">
        <v>362</v>
      </c>
      <c r="B64" s="156" t="s">
        <v>363</v>
      </c>
    </row>
    <row r="65" spans="1:2" ht="21.75" customHeight="1">
      <c r="A65" s="151" t="s">
        <v>366</v>
      </c>
      <c r="B65" s="152" t="s">
        <v>367</v>
      </c>
    </row>
    <row r="66" spans="1:2" ht="13.05" customHeight="1">
      <c r="A66" s="155" t="s">
        <v>370</v>
      </c>
      <c r="B66" s="156" t="s">
        <v>371</v>
      </c>
    </row>
    <row r="67" spans="1:2" ht="13.05" customHeight="1">
      <c r="A67" s="155" t="s">
        <v>374</v>
      </c>
      <c r="B67" s="156" t="s">
        <v>375</v>
      </c>
    </row>
    <row r="68" spans="1:2" ht="13.05" customHeight="1">
      <c r="A68" s="155" t="s">
        <v>377</v>
      </c>
      <c r="B68" s="156" t="s">
        <v>378</v>
      </c>
    </row>
    <row r="69" spans="1:2" ht="13.05" customHeight="1">
      <c r="A69" s="151" t="s">
        <v>381</v>
      </c>
      <c r="B69" s="152" t="s">
        <v>382</v>
      </c>
    </row>
    <row r="70" spans="1:2" ht="13.05" customHeight="1">
      <c r="A70" s="155" t="s">
        <v>385</v>
      </c>
      <c r="B70" s="156" t="s">
        <v>386</v>
      </c>
    </row>
    <row r="71" spans="1:2" ht="13.05" customHeight="1">
      <c r="A71" s="151" t="s">
        <v>389</v>
      </c>
      <c r="B71" s="152" t="s">
        <v>390</v>
      </c>
    </row>
    <row r="72" spans="1:2" ht="13.05" customHeight="1">
      <c r="A72" s="155" t="s">
        <v>393</v>
      </c>
      <c r="B72" s="156" t="s">
        <v>394</v>
      </c>
    </row>
    <row r="73" spans="1:2" ht="13.05" customHeight="1">
      <c r="A73" s="151" t="s">
        <v>397</v>
      </c>
      <c r="B73" s="152" t="s">
        <v>398</v>
      </c>
    </row>
    <row r="74" spans="1:2" ht="13.05" customHeight="1">
      <c r="A74" s="155" t="s">
        <v>401</v>
      </c>
      <c r="B74" s="156" t="s">
        <v>402</v>
      </c>
    </row>
    <row r="75" spans="1:2" ht="13.05" customHeight="1">
      <c r="A75" s="155" t="s">
        <v>405</v>
      </c>
      <c r="B75" s="156" t="s">
        <v>406</v>
      </c>
    </row>
    <row r="76" spans="1:2" ht="13.05" customHeight="1">
      <c r="A76" s="151" t="s">
        <v>409</v>
      </c>
      <c r="B76" s="152" t="s">
        <v>410</v>
      </c>
    </row>
    <row r="77" spans="1:2" ht="13.05" customHeight="1">
      <c r="A77" s="155" t="s">
        <v>413</v>
      </c>
      <c r="B77" s="156" t="s">
        <v>414</v>
      </c>
    </row>
    <row r="78" spans="1:2" ht="13.05" customHeight="1">
      <c r="A78" s="155" t="s">
        <v>417</v>
      </c>
      <c r="B78" s="156" t="s">
        <v>418</v>
      </c>
    </row>
    <row r="79" spans="1:2" ht="20.25" customHeight="1">
      <c r="A79" s="155" t="s">
        <v>421</v>
      </c>
      <c r="B79" s="156" t="s">
        <v>422</v>
      </c>
    </row>
    <row r="80" spans="1:2" ht="13.05" customHeight="1">
      <c r="A80" s="151" t="s">
        <v>425</v>
      </c>
      <c r="B80" s="152" t="s">
        <v>426</v>
      </c>
    </row>
    <row r="81" spans="1:2" ht="13.05" customHeight="1">
      <c r="A81" s="155" t="s">
        <v>429</v>
      </c>
      <c r="B81" s="156" t="s">
        <v>430</v>
      </c>
    </row>
    <row r="82" spans="1:2" ht="13.05" customHeight="1">
      <c r="A82" s="155" t="s">
        <v>433</v>
      </c>
      <c r="B82" s="156" t="s">
        <v>434</v>
      </c>
    </row>
    <row r="83" spans="1:2" ht="13.05" customHeight="1">
      <c r="A83" s="151" t="s">
        <v>437</v>
      </c>
      <c r="B83" s="152" t="s">
        <v>438</v>
      </c>
    </row>
    <row r="84" spans="1:2" ht="13.05" customHeight="1">
      <c r="A84" s="155" t="s">
        <v>441</v>
      </c>
      <c r="B84" s="156" t="s">
        <v>442</v>
      </c>
    </row>
    <row r="85" spans="1:2" ht="13.05" customHeight="1">
      <c r="A85" s="155" t="s">
        <v>445</v>
      </c>
      <c r="B85" s="156" t="s">
        <v>446</v>
      </c>
    </row>
    <row r="86" spans="1:2" ht="13.05" customHeight="1">
      <c r="A86" s="155" t="s">
        <v>449</v>
      </c>
      <c r="B86" s="156" t="s">
        <v>450</v>
      </c>
    </row>
    <row r="87" spans="1:2" ht="13.05" customHeight="1">
      <c r="A87" s="155" t="s">
        <v>453</v>
      </c>
      <c r="B87" s="156" t="s">
        <v>454</v>
      </c>
    </row>
    <row r="88" spans="1:2" ht="13.05" customHeight="1">
      <c r="A88" s="155" t="s">
        <v>457</v>
      </c>
      <c r="B88" s="156" t="s">
        <v>458</v>
      </c>
    </row>
    <row r="89" spans="1:2" ht="13.05" customHeight="1">
      <c r="A89" s="155" t="s">
        <v>461</v>
      </c>
      <c r="B89" s="156" t="s">
        <v>462</v>
      </c>
    </row>
    <row r="90" spans="1:2" ht="13.05" customHeight="1">
      <c r="A90" s="151" t="s">
        <v>465</v>
      </c>
      <c r="B90" s="152" t="s">
        <v>466</v>
      </c>
    </row>
    <row r="91" spans="1:2" ht="13.05" customHeight="1">
      <c r="A91" s="155" t="s">
        <v>469</v>
      </c>
      <c r="B91" s="156" t="s">
        <v>470</v>
      </c>
    </row>
    <row r="92" spans="1:2" ht="13.05" customHeight="1">
      <c r="A92" s="155" t="s">
        <v>473</v>
      </c>
      <c r="B92" s="156" t="s">
        <v>474</v>
      </c>
    </row>
    <row r="93" spans="1:2" ht="13.05" customHeight="1">
      <c r="A93" s="151" t="s">
        <v>477</v>
      </c>
      <c r="B93" s="152" t="s">
        <v>478</v>
      </c>
    </row>
    <row r="94" spans="1:2" ht="13.05" customHeight="1">
      <c r="A94" s="155" t="s">
        <v>481</v>
      </c>
      <c r="B94" s="156" t="s">
        <v>482</v>
      </c>
    </row>
    <row r="95" spans="1:2" ht="13.05" customHeight="1">
      <c r="A95" s="151" t="s">
        <v>485</v>
      </c>
      <c r="B95" s="152" t="s">
        <v>486</v>
      </c>
    </row>
    <row r="96" spans="1:2" ht="13.05" customHeight="1">
      <c r="A96" s="155" t="s">
        <v>489</v>
      </c>
      <c r="B96" s="156" t="s">
        <v>490</v>
      </c>
    </row>
    <row r="97" spans="1:2" ht="13.05" customHeight="1">
      <c r="A97" s="151" t="s">
        <v>493</v>
      </c>
      <c r="B97" s="152" t="s">
        <v>494</v>
      </c>
    </row>
    <row r="98" spans="1:2" ht="13.05" customHeight="1">
      <c r="A98" s="155" t="s">
        <v>497</v>
      </c>
      <c r="B98" s="156" t="s">
        <v>498</v>
      </c>
    </row>
    <row r="99" spans="1:2" ht="13.05" customHeight="1">
      <c r="A99" s="155" t="s">
        <v>501</v>
      </c>
      <c r="B99" s="156" t="s">
        <v>502</v>
      </c>
    </row>
    <row r="100" spans="1:2" ht="13.05" customHeight="1">
      <c r="A100" s="155" t="s">
        <v>505</v>
      </c>
      <c r="B100" s="156" t="s">
        <v>506</v>
      </c>
    </row>
    <row r="101" spans="1:2" ht="13.05" customHeight="1">
      <c r="A101" s="151" t="s">
        <v>509</v>
      </c>
      <c r="B101" s="152" t="s">
        <v>510</v>
      </c>
    </row>
    <row r="102" spans="1:2" ht="21.75" customHeight="1">
      <c r="A102" s="155" t="s">
        <v>513</v>
      </c>
      <c r="B102" s="156" t="s">
        <v>514</v>
      </c>
    </row>
    <row r="103" spans="1:2" ht="13.05" customHeight="1">
      <c r="A103" s="155" t="s">
        <v>517</v>
      </c>
      <c r="B103" s="156" t="s">
        <v>518</v>
      </c>
    </row>
    <row r="104" spans="1:2" ht="13.05" customHeight="1">
      <c r="A104" s="151" t="s">
        <v>521</v>
      </c>
      <c r="B104" s="152" t="s">
        <v>522</v>
      </c>
    </row>
    <row r="105" spans="1:2" ht="13.05" customHeight="1">
      <c r="A105" s="155" t="s">
        <v>525</v>
      </c>
      <c r="B105" s="156" t="s">
        <v>526</v>
      </c>
    </row>
    <row r="106" spans="1:2" ht="13.05" customHeight="1">
      <c r="A106" s="151" t="s">
        <v>529</v>
      </c>
      <c r="B106" s="152" t="s">
        <v>530</v>
      </c>
    </row>
    <row r="107" spans="1:2" ht="13.05" customHeight="1">
      <c r="A107" s="155" t="s">
        <v>533</v>
      </c>
      <c r="B107" s="156" t="s">
        <v>534</v>
      </c>
    </row>
    <row r="108" spans="1:2" ht="13.05" customHeight="1">
      <c r="A108" s="151" t="s">
        <v>537</v>
      </c>
      <c r="B108" s="152" t="s">
        <v>538</v>
      </c>
    </row>
    <row r="109" spans="1:2" ht="13.05" customHeight="1">
      <c r="A109" s="155" t="s">
        <v>541</v>
      </c>
      <c r="B109" s="156" t="s">
        <v>542</v>
      </c>
    </row>
    <row r="110" spans="1:2" ht="13.05" customHeight="1">
      <c r="A110" s="155" t="s">
        <v>545</v>
      </c>
      <c r="B110" s="156" t="s">
        <v>546</v>
      </c>
    </row>
    <row r="111" spans="1:2" ht="13.05" customHeight="1">
      <c r="A111" s="151" t="s">
        <v>549</v>
      </c>
      <c r="B111" s="152" t="s">
        <v>550</v>
      </c>
    </row>
    <row r="112" spans="1:2" ht="13.05" customHeight="1">
      <c r="A112" s="155" t="s">
        <v>553</v>
      </c>
      <c r="B112" s="156" t="s">
        <v>554</v>
      </c>
    </row>
    <row r="113" spans="1:2" ht="13.05" customHeight="1">
      <c r="A113" s="151" t="s">
        <v>557</v>
      </c>
      <c r="B113" s="152" t="s">
        <v>558</v>
      </c>
    </row>
    <row r="114" spans="1:2" ht="13.05" customHeight="1">
      <c r="A114" s="155" t="s">
        <v>561</v>
      </c>
      <c r="B114" s="156" t="s">
        <v>562</v>
      </c>
    </row>
    <row r="115" spans="1:2" ht="13.05" customHeight="1">
      <c r="A115" s="151" t="s">
        <v>565</v>
      </c>
      <c r="B115" s="152" t="s">
        <v>566</v>
      </c>
    </row>
    <row r="116" spans="1:2" ht="13.05" customHeight="1">
      <c r="A116" s="155" t="s">
        <v>569</v>
      </c>
      <c r="B116" s="156" t="s">
        <v>570</v>
      </c>
    </row>
    <row r="117" spans="1:2" ht="13.05" customHeight="1">
      <c r="A117" s="155" t="s">
        <v>572</v>
      </c>
      <c r="B117" s="156" t="s">
        <v>573</v>
      </c>
    </row>
    <row r="118" spans="1:2" ht="13.05" customHeight="1">
      <c r="A118" s="155" t="s">
        <v>576</v>
      </c>
      <c r="B118" s="156" t="s">
        <v>577</v>
      </c>
    </row>
    <row r="119" spans="1:2" ht="21.75" customHeight="1">
      <c r="A119" s="155" t="s">
        <v>580</v>
      </c>
      <c r="B119" s="156" t="s">
        <v>581</v>
      </c>
    </row>
    <row r="120" spans="1:2" ht="21" customHeight="1">
      <c r="A120" s="151" t="s">
        <v>584</v>
      </c>
      <c r="B120" s="152" t="s">
        <v>581</v>
      </c>
    </row>
    <row r="121" spans="1:2" ht="13.05" customHeight="1">
      <c r="A121" s="155" t="s">
        <v>587</v>
      </c>
      <c r="B121" s="156" t="s">
        <v>588</v>
      </c>
    </row>
    <row r="122" spans="1:2" ht="13.05" customHeight="1">
      <c r="A122" s="155" t="s">
        <v>591</v>
      </c>
      <c r="B122" s="156" t="s">
        <v>592</v>
      </c>
    </row>
    <row r="123" spans="1:2" ht="13.05" customHeight="1">
      <c r="A123" s="155" t="s">
        <v>595</v>
      </c>
      <c r="B123" s="156" t="s">
        <v>596</v>
      </c>
    </row>
    <row r="124" spans="1:2" ht="13.05" customHeight="1">
      <c r="A124" s="151" t="s">
        <v>599</v>
      </c>
      <c r="B124" s="152" t="s">
        <v>600</v>
      </c>
    </row>
    <row r="125" spans="1:2" ht="13.05" customHeight="1">
      <c r="A125" s="155" t="s">
        <v>603</v>
      </c>
      <c r="B125" s="156" t="s">
        <v>604</v>
      </c>
    </row>
    <row r="126" spans="1:2" ht="13.05" customHeight="1">
      <c r="A126" s="151" t="s">
        <v>607</v>
      </c>
      <c r="B126" s="152" t="s">
        <v>608</v>
      </c>
    </row>
    <row r="127" spans="1:2" ht="13.05" customHeight="1">
      <c r="A127" s="155" t="s">
        <v>611</v>
      </c>
      <c r="B127" s="156" t="s">
        <v>612</v>
      </c>
    </row>
    <row r="128" spans="1:2" ht="13.05" customHeight="1">
      <c r="A128" s="151" t="s">
        <v>615</v>
      </c>
      <c r="B128" s="152" t="s">
        <v>616</v>
      </c>
    </row>
    <row r="129" spans="1:2" ht="13.05" customHeight="1">
      <c r="A129" s="155" t="s">
        <v>619</v>
      </c>
      <c r="B129" s="156" t="s">
        <v>620</v>
      </c>
    </row>
    <row r="130" spans="1:2" ht="13.05" customHeight="1">
      <c r="A130" s="151" t="s">
        <v>623</v>
      </c>
      <c r="B130" s="152" t="s">
        <v>624</v>
      </c>
    </row>
    <row r="131" spans="1:2" ht="13.05" customHeight="1">
      <c r="A131" s="155" t="s">
        <v>627</v>
      </c>
      <c r="B131" s="156" t="s">
        <v>628</v>
      </c>
    </row>
    <row r="132" spans="1:2" ht="13.05" customHeight="1">
      <c r="A132" s="151" t="s">
        <v>631</v>
      </c>
      <c r="B132" s="152" t="s">
        <v>632</v>
      </c>
    </row>
    <row r="133" spans="1:2" ht="13.05" customHeight="1">
      <c r="A133" s="155" t="s">
        <v>635</v>
      </c>
      <c r="B133" s="156" t="s">
        <v>636</v>
      </c>
    </row>
    <row r="134" spans="1:2" ht="13.05" customHeight="1">
      <c r="A134" s="155" t="s">
        <v>639</v>
      </c>
      <c r="B134" s="156" t="s">
        <v>640</v>
      </c>
    </row>
    <row r="135" spans="1:2" ht="13.05" customHeight="1">
      <c r="A135" s="151" t="s">
        <v>643</v>
      </c>
      <c r="B135" s="152" t="s">
        <v>644</v>
      </c>
    </row>
    <row r="136" spans="1:2" ht="13.05" customHeight="1">
      <c r="A136" s="155" t="s">
        <v>647</v>
      </c>
      <c r="B136" s="156" t="s">
        <v>648</v>
      </c>
    </row>
    <row r="137" spans="1:2" ht="13.05" customHeight="1">
      <c r="A137" s="155" t="s">
        <v>651</v>
      </c>
      <c r="B137" s="156" t="s">
        <v>652</v>
      </c>
    </row>
    <row r="138" spans="1:2" ht="13.05" customHeight="1">
      <c r="A138" s="155" t="s">
        <v>655</v>
      </c>
      <c r="B138" s="156" t="s">
        <v>656</v>
      </c>
    </row>
    <row r="139" spans="1:2" ht="13.05" customHeight="1">
      <c r="A139" s="155" t="s">
        <v>659</v>
      </c>
      <c r="B139" s="156" t="s">
        <v>660</v>
      </c>
    </row>
    <row r="140" spans="1:2" ht="13.05" customHeight="1">
      <c r="A140" s="155" t="s">
        <v>663</v>
      </c>
      <c r="B140" s="156" t="s">
        <v>664</v>
      </c>
    </row>
    <row r="141" spans="1:2" ht="13.05" customHeight="1">
      <c r="A141" s="155" t="s">
        <v>667</v>
      </c>
      <c r="B141" s="156" t="s">
        <v>668</v>
      </c>
    </row>
    <row r="142" spans="1:2" ht="13.05" customHeight="1">
      <c r="A142" s="151" t="s">
        <v>671</v>
      </c>
      <c r="B142" s="152" t="s">
        <v>672</v>
      </c>
    </row>
    <row r="143" spans="1:2" ht="13.05" customHeight="1">
      <c r="A143" s="155" t="s">
        <v>675</v>
      </c>
      <c r="B143" s="156" t="s">
        <v>676</v>
      </c>
    </row>
    <row r="144" spans="1:2" ht="13.05" customHeight="1">
      <c r="A144" s="155" t="s">
        <v>679</v>
      </c>
      <c r="B144" s="156" t="s">
        <v>680</v>
      </c>
    </row>
    <row r="145" spans="1:2" ht="13.05" customHeight="1">
      <c r="A145" s="151" t="s">
        <v>683</v>
      </c>
      <c r="B145" s="152" t="s">
        <v>684</v>
      </c>
    </row>
    <row r="146" spans="1:2" ht="13.05" customHeight="1">
      <c r="A146" s="155" t="s">
        <v>687</v>
      </c>
      <c r="B146" s="156" t="s">
        <v>688</v>
      </c>
    </row>
    <row r="147" spans="1:2" ht="13.05" customHeight="1">
      <c r="A147" s="155" t="s">
        <v>691</v>
      </c>
      <c r="B147" s="156" t="s">
        <v>692</v>
      </c>
    </row>
    <row r="148" spans="1:2" ht="13.05" customHeight="1">
      <c r="A148" s="151" t="s">
        <v>694</v>
      </c>
      <c r="B148" s="152" t="s">
        <v>695</v>
      </c>
    </row>
    <row r="149" spans="1:2" ht="13.05" customHeight="1">
      <c r="A149" s="155" t="s">
        <v>698</v>
      </c>
      <c r="B149" s="156" t="s">
        <v>699</v>
      </c>
    </row>
    <row r="150" spans="1:2" ht="13.05" customHeight="1">
      <c r="A150" s="151" t="s">
        <v>702</v>
      </c>
      <c r="B150" s="152" t="s">
        <v>703</v>
      </c>
    </row>
    <row r="151" spans="1:2" ht="13.05" customHeight="1">
      <c r="A151" s="155" t="s">
        <v>706</v>
      </c>
      <c r="B151" s="156" t="s">
        <v>707</v>
      </c>
    </row>
    <row r="152" spans="1:2" ht="13.05" customHeight="1">
      <c r="A152" s="151" t="s">
        <v>710</v>
      </c>
      <c r="B152" s="152" t="s">
        <v>711</v>
      </c>
    </row>
    <row r="153" spans="1:2" ht="13.05" customHeight="1">
      <c r="A153" s="155" t="s">
        <v>714</v>
      </c>
      <c r="B153" s="156" t="s">
        <v>715</v>
      </c>
    </row>
    <row r="154" spans="1:2" ht="13.05" customHeight="1">
      <c r="A154" s="155" t="s">
        <v>718</v>
      </c>
      <c r="B154" s="156" t="s">
        <v>719</v>
      </c>
    </row>
    <row r="155" spans="1:2" ht="13.05" customHeight="1">
      <c r="A155" s="155" t="s">
        <v>722</v>
      </c>
      <c r="B155" s="156" t="s">
        <v>723</v>
      </c>
    </row>
    <row r="156" spans="1:2" ht="13.05" customHeight="1">
      <c r="A156" s="151" t="s">
        <v>726</v>
      </c>
      <c r="B156" s="152" t="s">
        <v>727</v>
      </c>
    </row>
    <row r="157" spans="1:2" ht="13.05" customHeight="1">
      <c r="A157" s="155" t="s">
        <v>730</v>
      </c>
      <c r="B157" s="156" t="s">
        <v>731</v>
      </c>
    </row>
    <row r="158" spans="1:2" ht="21" customHeight="1">
      <c r="A158" s="155" t="s">
        <v>734</v>
      </c>
      <c r="B158" s="156" t="s">
        <v>735</v>
      </c>
    </row>
    <row r="159" spans="1:2" ht="13.05" customHeight="1">
      <c r="A159" s="155" t="s">
        <v>738</v>
      </c>
      <c r="B159" s="156" t="s">
        <v>739</v>
      </c>
    </row>
    <row r="160" spans="1:2" ht="13.05" customHeight="1">
      <c r="A160" s="151" t="s">
        <v>742</v>
      </c>
      <c r="B160" s="152" t="s">
        <v>743</v>
      </c>
    </row>
    <row r="161" spans="1:2" ht="13.05" customHeight="1">
      <c r="A161" s="155" t="s">
        <v>746</v>
      </c>
      <c r="B161" s="156" t="s">
        <v>747</v>
      </c>
    </row>
    <row r="162" spans="1:2" ht="13.05" customHeight="1">
      <c r="A162" s="151" t="s">
        <v>750</v>
      </c>
      <c r="B162" s="152" t="s">
        <v>751</v>
      </c>
    </row>
    <row r="163" spans="1:2" ht="13.05" customHeight="1">
      <c r="A163" s="155" t="s">
        <v>754</v>
      </c>
      <c r="B163" s="156" t="s">
        <v>755</v>
      </c>
    </row>
    <row r="164" spans="1:2" ht="13.05" customHeight="1">
      <c r="A164" s="151" t="s">
        <v>758</v>
      </c>
      <c r="B164" s="152" t="s">
        <v>759</v>
      </c>
    </row>
    <row r="165" spans="1:2" ht="13.05" customHeight="1">
      <c r="A165" s="155" t="s">
        <v>762</v>
      </c>
      <c r="B165" s="156" t="s">
        <v>763</v>
      </c>
    </row>
    <row r="166" spans="1:2" ht="22.5" customHeight="1">
      <c r="A166" s="151" t="s">
        <v>766</v>
      </c>
      <c r="B166" s="152" t="s">
        <v>767</v>
      </c>
    </row>
    <row r="167" spans="1:2" ht="13.05" customHeight="1">
      <c r="A167" s="155" t="s">
        <v>770</v>
      </c>
      <c r="B167" s="156" t="s">
        <v>771</v>
      </c>
    </row>
    <row r="168" spans="1:2" ht="13.05" customHeight="1">
      <c r="A168" s="151" t="s">
        <v>774</v>
      </c>
      <c r="B168" s="152" t="s">
        <v>775</v>
      </c>
    </row>
    <row r="169" spans="1:2" ht="13.05" customHeight="1">
      <c r="A169" s="155" t="s">
        <v>778</v>
      </c>
      <c r="B169" s="156" t="s">
        <v>779</v>
      </c>
    </row>
    <row r="170" spans="1:2" ht="21" customHeight="1">
      <c r="A170" s="151" t="s">
        <v>782</v>
      </c>
      <c r="B170" s="152" t="s">
        <v>783</v>
      </c>
    </row>
    <row r="171" spans="1:2" ht="13.05" customHeight="1">
      <c r="A171" s="155" t="s">
        <v>786</v>
      </c>
      <c r="B171" s="156" t="s">
        <v>787</v>
      </c>
    </row>
    <row r="172" spans="1:2" ht="13.05" customHeight="1">
      <c r="A172" s="155" t="s">
        <v>790</v>
      </c>
      <c r="B172" s="156" t="s">
        <v>791</v>
      </c>
    </row>
    <row r="173" spans="1:2" ht="21" customHeight="1">
      <c r="A173" s="151" t="s">
        <v>794</v>
      </c>
      <c r="B173" s="152" t="s">
        <v>795</v>
      </c>
    </row>
    <row r="174" spans="1:2" ht="13.05" customHeight="1">
      <c r="A174" s="155" t="s">
        <v>798</v>
      </c>
      <c r="B174" s="156" t="s">
        <v>799</v>
      </c>
    </row>
    <row r="175" spans="1:2" ht="13.05" customHeight="1">
      <c r="A175" s="155" t="s">
        <v>802</v>
      </c>
      <c r="B175" s="156" t="s">
        <v>803</v>
      </c>
    </row>
    <row r="176" spans="1:2" ht="21" customHeight="1">
      <c r="A176" s="151" t="s">
        <v>806</v>
      </c>
      <c r="B176" s="152" t="s">
        <v>807</v>
      </c>
    </row>
    <row r="177" spans="1:2" ht="22.5" customHeight="1">
      <c r="A177" s="155" t="s">
        <v>810</v>
      </c>
      <c r="B177" s="156" t="s">
        <v>811</v>
      </c>
    </row>
    <row r="178" spans="1:2" ht="13.05" customHeight="1">
      <c r="A178" s="151" t="s">
        <v>814</v>
      </c>
      <c r="B178" s="152" t="s">
        <v>815</v>
      </c>
    </row>
    <row r="179" spans="1:2" ht="13.05" customHeight="1">
      <c r="A179" s="155" t="s">
        <v>818</v>
      </c>
      <c r="B179" s="156" t="s">
        <v>819</v>
      </c>
    </row>
    <row r="180" spans="1:2" ht="13.05" customHeight="1">
      <c r="A180" s="151" t="s">
        <v>822</v>
      </c>
      <c r="B180" s="152" t="s">
        <v>823</v>
      </c>
    </row>
    <row r="181" spans="1:2" ht="13.05" customHeight="1">
      <c r="A181" s="155" t="s">
        <v>826</v>
      </c>
      <c r="B181" s="156" t="s">
        <v>827</v>
      </c>
    </row>
    <row r="182" spans="1:2" ht="13.05" customHeight="1">
      <c r="A182" s="151" t="s">
        <v>830</v>
      </c>
      <c r="B182" s="152" t="s">
        <v>831</v>
      </c>
    </row>
    <row r="183" spans="1:2" ht="13.05" customHeight="1">
      <c r="A183" s="155" t="s">
        <v>834</v>
      </c>
      <c r="B183" s="156" t="s">
        <v>835</v>
      </c>
    </row>
    <row r="184" spans="1:2" ht="13.05" customHeight="1">
      <c r="A184" s="151" t="s">
        <v>838</v>
      </c>
      <c r="B184" s="152" t="s">
        <v>839</v>
      </c>
    </row>
    <row r="185" spans="1:2" ht="13.05" customHeight="1">
      <c r="A185" s="155" t="s">
        <v>842</v>
      </c>
      <c r="B185" s="156" t="s">
        <v>843</v>
      </c>
    </row>
    <row r="186" spans="1:2" ht="13.05" customHeight="1">
      <c r="A186" s="151" t="s">
        <v>846</v>
      </c>
      <c r="B186" s="152" t="s">
        <v>847</v>
      </c>
    </row>
    <row r="187" spans="1:2" ht="13.05" customHeight="1">
      <c r="A187" s="155" t="s">
        <v>850</v>
      </c>
      <c r="B187" s="156" t="s">
        <v>851</v>
      </c>
    </row>
    <row r="188" spans="1:2" ht="13.05" customHeight="1">
      <c r="A188" s="151" t="s">
        <v>854</v>
      </c>
      <c r="B188" s="152" t="s">
        <v>855</v>
      </c>
    </row>
    <row r="189" spans="1:2" ht="13.05" customHeight="1">
      <c r="A189" s="155" t="s">
        <v>858</v>
      </c>
      <c r="B189" s="156" t="s">
        <v>859</v>
      </c>
    </row>
    <row r="190" spans="1:2" ht="13.05" customHeight="1">
      <c r="A190" s="151" t="s">
        <v>862</v>
      </c>
      <c r="B190" s="152" t="s">
        <v>863</v>
      </c>
    </row>
    <row r="191" spans="1:2" ht="13.05" customHeight="1">
      <c r="A191" s="155" t="s">
        <v>866</v>
      </c>
      <c r="B191" s="156" t="s">
        <v>867</v>
      </c>
    </row>
    <row r="192" spans="1:2" ht="13.05" customHeight="1">
      <c r="A192" s="155" t="s">
        <v>870</v>
      </c>
      <c r="B192" s="156" t="s">
        <v>871</v>
      </c>
    </row>
    <row r="193" spans="1:2" ht="13.05" customHeight="1">
      <c r="A193" s="155" t="s">
        <v>874</v>
      </c>
      <c r="B193" s="156" t="s">
        <v>875</v>
      </c>
    </row>
    <row r="194" spans="1:2" ht="13.05" customHeight="1">
      <c r="A194" s="155" t="s">
        <v>878</v>
      </c>
      <c r="B194" s="156" t="s">
        <v>879</v>
      </c>
    </row>
    <row r="195" spans="1:2" ht="13.05" customHeight="1">
      <c r="A195" s="151" t="s">
        <v>882</v>
      </c>
      <c r="B195" s="152" t="s">
        <v>883</v>
      </c>
    </row>
    <row r="196" spans="1:2" ht="13.05" customHeight="1">
      <c r="A196" s="155" t="s">
        <v>886</v>
      </c>
      <c r="B196" s="156" t="s">
        <v>887</v>
      </c>
    </row>
    <row r="197" spans="1:2" ht="13.05" customHeight="1">
      <c r="A197" s="151" t="s">
        <v>890</v>
      </c>
      <c r="B197" s="152" t="s">
        <v>891</v>
      </c>
    </row>
    <row r="198" spans="1:2" ht="13.05" customHeight="1">
      <c r="A198" s="155" t="s">
        <v>894</v>
      </c>
      <c r="B198" s="156" t="s">
        <v>895</v>
      </c>
    </row>
    <row r="199" spans="1:2" ht="13.05" customHeight="1">
      <c r="A199" s="155" t="s">
        <v>898</v>
      </c>
      <c r="B199" s="156" t="s">
        <v>899</v>
      </c>
    </row>
    <row r="200" spans="1:2" ht="13.05" customHeight="1">
      <c r="A200" s="151" t="s">
        <v>902</v>
      </c>
      <c r="B200" s="152" t="s">
        <v>903</v>
      </c>
    </row>
    <row r="201" spans="1:2" ht="13.05" customHeight="1">
      <c r="A201" s="155" t="s">
        <v>906</v>
      </c>
      <c r="B201" s="156" t="s">
        <v>907</v>
      </c>
    </row>
    <row r="202" spans="1:2" ht="13.05" customHeight="1">
      <c r="A202" s="155" t="s">
        <v>910</v>
      </c>
      <c r="B202" s="156" t="s">
        <v>911</v>
      </c>
    </row>
    <row r="203" spans="1:2" ht="13.05" customHeight="1">
      <c r="A203" s="155" t="s">
        <v>914</v>
      </c>
      <c r="B203" s="156" t="s">
        <v>915</v>
      </c>
    </row>
    <row r="204" spans="1:2" ht="13.05" customHeight="1">
      <c r="A204" s="151" t="s">
        <v>918</v>
      </c>
      <c r="B204" s="152" t="s">
        <v>919</v>
      </c>
    </row>
    <row r="205" spans="1:2" ht="22.5" customHeight="1">
      <c r="A205" s="155" t="s">
        <v>922</v>
      </c>
      <c r="B205" s="156" t="s">
        <v>923</v>
      </c>
    </row>
    <row r="206" spans="1:2" ht="13.05" customHeight="1">
      <c r="A206" s="151" t="s">
        <v>926</v>
      </c>
      <c r="B206" s="152" t="s">
        <v>927</v>
      </c>
    </row>
    <row r="207" spans="1:2" ht="13.05" customHeight="1">
      <c r="A207" s="155" t="s">
        <v>930</v>
      </c>
      <c r="B207" s="156" t="s">
        <v>931</v>
      </c>
    </row>
    <row r="208" spans="1:2" ht="13.05" customHeight="1">
      <c r="A208" s="151" t="s">
        <v>934</v>
      </c>
      <c r="B208" s="152" t="s">
        <v>935</v>
      </c>
    </row>
    <row r="209" spans="1:2" ht="13.05" customHeight="1">
      <c r="A209" s="155" t="s">
        <v>938</v>
      </c>
      <c r="B209" s="156" t="s">
        <v>939</v>
      </c>
    </row>
    <row r="210" spans="1:2" ht="27.75" customHeight="1">
      <c r="A210" s="151" t="s">
        <v>942</v>
      </c>
      <c r="B210" s="152" t="s">
        <v>943</v>
      </c>
    </row>
    <row r="211" spans="1:2" ht="13.05" customHeight="1">
      <c r="A211" s="155" t="s">
        <v>946</v>
      </c>
      <c r="B211" s="156" t="s">
        <v>947</v>
      </c>
    </row>
    <row r="212" spans="1:2" ht="13.05" customHeight="1">
      <c r="A212" s="151" t="s">
        <v>950</v>
      </c>
      <c r="B212" s="152" t="s">
        <v>951</v>
      </c>
    </row>
    <row r="213" spans="1:2" ht="13.05" customHeight="1">
      <c r="A213" s="155" t="s">
        <v>954</v>
      </c>
      <c r="B213" s="156" t="s">
        <v>955</v>
      </c>
    </row>
    <row r="214" spans="1:2" ht="13.05" customHeight="1">
      <c r="A214" s="151" t="s">
        <v>958</v>
      </c>
      <c r="B214" s="152" t="s">
        <v>959</v>
      </c>
    </row>
    <row r="215" spans="1:2" ht="13.05" customHeight="1">
      <c r="A215" s="155" t="s">
        <v>962</v>
      </c>
      <c r="B215" s="156" t="s">
        <v>963</v>
      </c>
    </row>
    <row r="216" spans="1:2" ht="13.05" customHeight="1">
      <c r="A216" s="151" t="s">
        <v>966</v>
      </c>
      <c r="B216" s="152" t="s">
        <v>967</v>
      </c>
    </row>
    <row r="217" spans="1:2" ht="13.05" customHeight="1">
      <c r="A217" s="155" t="s">
        <v>970</v>
      </c>
      <c r="B217" s="156" t="s">
        <v>971</v>
      </c>
    </row>
    <row r="218" spans="1:2" ht="13.05" customHeight="1">
      <c r="A218" s="155" t="s">
        <v>974</v>
      </c>
      <c r="B218" s="156" t="s">
        <v>975</v>
      </c>
    </row>
    <row r="219" spans="1:2" ht="13.05" customHeight="1">
      <c r="A219" s="151" t="s">
        <v>978</v>
      </c>
      <c r="B219" s="152" t="s">
        <v>979</v>
      </c>
    </row>
    <row r="220" spans="1:2" ht="13.05" customHeight="1">
      <c r="A220" s="155" t="s">
        <v>982</v>
      </c>
      <c r="B220" s="156" t="s">
        <v>983</v>
      </c>
    </row>
    <row r="221" spans="1:2" ht="13.05" customHeight="1">
      <c r="A221" s="151" t="s">
        <v>986</v>
      </c>
      <c r="B221" s="152" t="s">
        <v>987</v>
      </c>
    </row>
    <row r="222" spans="1:2" ht="13.05" customHeight="1">
      <c r="A222" s="155" t="s">
        <v>990</v>
      </c>
      <c r="B222" s="156" t="s">
        <v>991</v>
      </c>
    </row>
    <row r="223" spans="1:2" ht="21.75" customHeight="1">
      <c r="A223" s="151" t="s">
        <v>994</v>
      </c>
      <c r="B223" s="152" t="s">
        <v>995</v>
      </c>
    </row>
    <row r="224" spans="1:2" ht="13.05" customHeight="1">
      <c r="A224" s="155" t="s">
        <v>998</v>
      </c>
      <c r="B224" s="156" t="s">
        <v>999</v>
      </c>
    </row>
    <row r="225" spans="1:2" ht="13.05" customHeight="1">
      <c r="A225" s="151" t="s">
        <v>1002</v>
      </c>
      <c r="B225" s="152" t="s">
        <v>1003</v>
      </c>
    </row>
    <row r="226" spans="1:2" ht="21.75" customHeight="1">
      <c r="A226" s="155" t="s">
        <v>1006</v>
      </c>
      <c r="B226" s="156" t="s">
        <v>1007</v>
      </c>
    </row>
    <row r="227" spans="1:2" ht="21.75" customHeight="1">
      <c r="A227" s="155" t="s">
        <v>1010</v>
      </c>
      <c r="B227" s="156" t="s">
        <v>1011</v>
      </c>
    </row>
    <row r="228" spans="1:2" ht="13.05" customHeight="1">
      <c r="A228" s="155" t="s">
        <v>1014</v>
      </c>
      <c r="B228" s="156" t="s">
        <v>1015</v>
      </c>
    </row>
    <row r="229" spans="1:2" ht="13.05" customHeight="1">
      <c r="A229" s="151" t="s">
        <v>117</v>
      </c>
      <c r="B229" s="152" t="s">
        <v>118</v>
      </c>
    </row>
    <row r="230" spans="1:2">
      <c r="A230" s="155" t="s">
        <v>121</v>
      </c>
      <c r="B230" s="156" t="s">
        <v>122</v>
      </c>
    </row>
    <row r="231" spans="1:2">
      <c r="A231" s="155" t="s">
        <v>125</v>
      </c>
      <c r="B231" s="156" t="s">
        <v>126</v>
      </c>
    </row>
    <row r="232" spans="1:2">
      <c r="A232" s="155" t="s">
        <v>129</v>
      </c>
      <c r="B232" s="156" t="s">
        <v>130</v>
      </c>
    </row>
    <row r="233" spans="1:2">
      <c r="A233" s="155" t="s">
        <v>133</v>
      </c>
      <c r="B233" s="156" t="s">
        <v>134</v>
      </c>
    </row>
    <row r="234" spans="1:2">
      <c r="A234" s="151" t="s">
        <v>137</v>
      </c>
      <c r="B234" s="152" t="s">
        <v>138</v>
      </c>
    </row>
    <row r="235" spans="1:2">
      <c r="A235" s="155" t="s">
        <v>141</v>
      </c>
      <c r="B235" s="156" t="s">
        <v>142</v>
      </c>
    </row>
    <row r="236" spans="1:2">
      <c r="A236" s="151" t="s">
        <v>145</v>
      </c>
      <c r="B236" s="152" t="s">
        <v>146</v>
      </c>
    </row>
    <row r="237" spans="1:2">
      <c r="A237" s="155" t="s">
        <v>149</v>
      </c>
      <c r="B237" s="156" t="s">
        <v>150</v>
      </c>
    </row>
    <row r="238" spans="1:2">
      <c r="A238" s="151" t="s">
        <v>153</v>
      </c>
      <c r="B238" s="152" t="s">
        <v>154</v>
      </c>
    </row>
    <row r="239" spans="1:2">
      <c r="A239" s="155" t="s">
        <v>157</v>
      </c>
      <c r="B239" s="156" t="s">
        <v>158</v>
      </c>
    </row>
    <row r="240" spans="1:2">
      <c r="A240" s="151" t="s">
        <v>161</v>
      </c>
      <c r="B240" s="152" t="s">
        <v>162</v>
      </c>
    </row>
    <row r="241" spans="1:2">
      <c r="A241" s="155" t="s">
        <v>165</v>
      </c>
      <c r="B241" s="156" t="s">
        <v>166</v>
      </c>
    </row>
    <row r="242" spans="1:2">
      <c r="A242" s="151" t="s">
        <v>169</v>
      </c>
      <c r="B242" s="152" t="s">
        <v>170</v>
      </c>
    </row>
    <row r="243" spans="1:2">
      <c r="A243" s="155" t="s">
        <v>173</v>
      </c>
      <c r="B243" s="156" t="s">
        <v>174</v>
      </c>
    </row>
    <row r="244" spans="1:2">
      <c r="A244" s="151" t="s">
        <v>177</v>
      </c>
      <c r="B244" s="152" t="s">
        <v>178</v>
      </c>
    </row>
    <row r="245" spans="1:2">
      <c r="A245" s="155" t="s">
        <v>181</v>
      </c>
      <c r="B245" s="156" t="s">
        <v>182</v>
      </c>
    </row>
    <row r="246" spans="1:2">
      <c r="A246" s="155" t="s">
        <v>185</v>
      </c>
      <c r="B246" s="156" t="s">
        <v>186</v>
      </c>
    </row>
    <row r="247" spans="1:2">
      <c r="A247" s="155" t="s">
        <v>189</v>
      </c>
      <c r="B247" s="156" t="s">
        <v>190</v>
      </c>
    </row>
    <row r="248" spans="1:2">
      <c r="A248" s="151" t="s">
        <v>193</v>
      </c>
      <c r="B248" s="152" t="s">
        <v>194</v>
      </c>
    </row>
    <row r="249" spans="1:2">
      <c r="A249" s="155" t="s">
        <v>197</v>
      </c>
      <c r="B249" s="156" t="s">
        <v>198</v>
      </c>
    </row>
    <row r="250" spans="1:2">
      <c r="A250" s="155" t="s">
        <v>201</v>
      </c>
      <c r="B250" s="156" t="s">
        <v>202</v>
      </c>
    </row>
    <row r="251" spans="1:2">
      <c r="A251" s="155" t="s">
        <v>205</v>
      </c>
      <c r="B251" s="156" t="s">
        <v>206</v>
      </c>
    </row>
    <row r="252" spans="1:2">
      <c r="A252" s="151" t="s">
        <v>209</v>
      </c>
      <c r="B252" s="152" t="s">
        <v>210</v>
      </c>
    </row>
    <row r="253" spans="1:2">
      <c r="A253" s="155" t="s">
        <v>213</v>
      </c>
      <c r="B253" s="156" t="s">
        <v>214</v>
      </c>
    </row>
    <row r="254" spans="1:2">
      <c r="A254" s="155" t="s">
        <v>217</v>
      </c>
      <c r="B254" s="156" t="s">
        <v>218</v>
      </c>
    </row>
    <row r="255" spans="1:2">
      <c r="A255" s="155" t="s">
        <v>221</v>
      </c>
      <c r="B255" s="156" t="s">
        <v>222</v>
      </c>
    </row>
    <row r="256" spans="1:2">
      <c r="A256" s="155" t="s">
        <v>225</v>
      </c>
      <c r="B256" s="156" t="s">
        <v>226</v>
      </c>
    </row>
    <row r="257" spans="1:2">
      <c r="A257" s="151" t="s">
        <v>229</v>
      </c>
      <c r="B257" s="152" t="s">
        <v>230</v>
      </c>
    </row>
    <row r="258" spans="1:2">
      <c r="A258" s="155" t="s">
        <v>233</v>
      </c>
      <c r="B258" s="156" t="s">
        <v>234</v>
      </c>
    </row>
    <row r="259" spans="1:2">
      <c r="A259" s="155" t="s">
        <v>237</v>
      </c>
      <c r="B259" s="156" t="s">
        <v>238</v>
      </c>
    </row>
    <row r="260" spans="1:2">
      <c r="A260" s="151" t="s">
        <v>241</v>
      </c>
      <c r="B260" s="152" t="s">
        <v>242</v>
      </c>
    </row>
    <row r="261" spans="1:2">
      <c r="A261" s="155" t="s">
        <v>245</v>
      </c>
      <c r="B261" s="156" t="s">
        <v>246</v>
      </c>
    </row>
    <row r="262" spans="1:2">
      <c r="A262" s="151" t="s">
        <v>249</v>
      </c>
      <c r="B262" s="152" t="s">
        <v>250</v>
      </c>
    </row>
    <row r="263" spans="1:2">
      <c r="A263" s="155" t="s">
        <v>253</v>
      </c>
      <c r="B263" s="156" t="s">
        <v>254</v>
      </c>
    </row>
    <row r="264" spans="1:2">
      <c r="A264" s="151" t="s">
        <v>257</v>
      </c>
      <c r="B264" s="152" t="s">
        <v>258</v>
      </c>
    </row>
    <row r="265" spans="1:2">
      <c r="A265" s="155" t="s">
        <v>261</v>
      </c>
      <c r="B265" s="156" t="s">
        <v>262</v>
      </c>
    </row>
    <row r="266" spans="1:2">
      <c r="A266" s="155" t="s">
        <v>265</v>
      </c>
      <c r="B266" s="156" t="s">
        <v>266</v>
      </c>
    </row>
    <row r="267" spans="1:2">
      <c r="A267" s="155" t="s">
        <v>269</v>
      </c>
      <c r="B267" s="156" t="s">
        <v>270</v>
      </c>
    </row>
    <row r="268" spans="1:2">
      <c r="A268" s="155" t="s">
        <v>272</v>
      </c>
      <c r="B268" s="156" t="s">
        <v>273</v>
      </c>
    </row>
    <row r="269" spans="1:2">
      <c r="A269" s="155" t="s">
        <v>276</v>
      </c>
      <c r="B269" s="156" t="s">
        <v>277</v>
      </c>
    </row>
    <row r="270" spans="1:2">
      <c r="A270" s="155" t="s">
        <v>280</v>
      </c>
      <c r="B270" s="156" t="s">
        <v>281</v>
      </c>
    </row>
    <row r="271" spans="1:2">
      <c r="A271" s="155" t="s">
        <v>284</v>
      </c>
      <c r="B271" s="156" t="s">
        <v>285</v>
      </c>
    </row>
    <row r="272" spans="1:2">
      <c r="A272" s="155" t="s">
        <v>288</v>
      </c>
      <c r="B272" s="156" t="s">
        <v>289</v>
      </c>
    </row>
    <row r="273" spans="1:2">
      <c r="A273" s="155" t="s">
        <v>292</v>
      </c>
      <c r="B273" s="156" t="s">
        <v>293</v>
      </c>
    </row>
    <row r="274" spans="1:2">
      <c r="A274" s="151" t="s">
        <v>296</v>
      </c>
      <c r="B274" s="152" t="s">
        <v>297</v>
      </c>
    </row>
    <row r="275" spans="1:2">
      <c r="A275" s="155" t="s">
        <v>300</v>
      </c>
      <c r="B275" s="156" t="s">
        <v>301</v>
      </c>
    </row>
    <row r="276" spans="1:2">
      <c r="A276" s="155" t="s">
        <v>304</v>
      </c>
      <c r="B276" s="156" t="s">
        <v>305</v>
      </c>
    </row>
    <row r="277" spans="1:2">
      <c r="A277" s="155" t="s">
        <v>308</v>
      </c>
      <c r="B277" s="156" t="s">
        <v>309</v>
      </c>
    </row>
    <row r="278" spans="1:2">
      <c r="A278" s="155" t="s">
        <v>312</v>
      </c>
      <c r="B278" s="156" t="s">
        <v>313</v>
      </c>
    </row>
    <row r="279" spans="1:2">
      <c r="A279" s="155" t="s">
        <v>316</v>
      </c>
      <c r="B279" s="156" t="s">
        <v>317</v>
      </c>
    </row>
    <row r="280" spans="1:2">
      <c r="A280" s="155" t="s">
        <v>320</v>
      </c>
      <c r="B280" s="156" t="s">
        <v>321</v>
      </c>
    </row>
    <row r="281" spans="1:2">
      <c r="A281" s="151" t="s">
        <v>324</v>
      </c>
      <c r="B281" s="152" t="s">
        <v>325</v>
      </c>
    </row>
    <row r="282" spans="1:2">
      <c r="A282" s="155" t="s">
        <v>328</v>
      </c>
      <c r="B282" s="156" t="s">
        <v>329</v>
      </c>
    </row>
    <row r="283" spans="1:2">
      <c r="A283" s="151" t="s">
        <v>332</v>
      </c>
      <c r="B283" s="152" t="s">
        <v>333</v>
      </c>
    </row>
    <row r="284" spans="1:2">
      <c r="A284" s="155" t="s">
        <v>336</v>
      </c>
      <c r="B284" s="156" t="s">
        <v>337</v>
      </c>
    </row>
    <row r="285" spans="1:2">
      <c r="A285" s="155" t="s">
        <v>340</v>
      </c>
      <c r="B285" s="156" t="s">
        <v>341</v>
      </c>
    </row>
    <row r="286" spans="1:2">
      <c r="A286" s="151" t="s">
        <v>344</v>
      </c>
      <c r="B286" s="152" t="s">
        <v>345</v>
      </c>
    </row>
    <row r="287" spans="1:2">
      <c r="A287" s="155" t="s">
        <v>348</v>
      </c>
      <c r="B287" s="156" t="s">
        <v>349</v>
      </c>
    </row>
    <row r="288" spans="1:2">
      <c r="A288" s="155" t="s">
        <v>352</v>
      </c>
      <c r="B288" s="156" t="s">
        <v>353</v>
      </c>
    </row>
    <row r="289" spans="1:2">
      <c r="A289" s="151" t="s">
        <v>356</v>
      </c>
      <c r="B289" s="152" t="s">
        <v>357</v>
      </c>
    </row>
    <row r="290" spans="1:2">
      <c r="A290" s="155" t="s">
        <v>360</v>
      </c>
      <c r="B290" s="156" t="s">
        <v>361</v>
      </c>
    </row>
    <row r="291" spans="1:2">
      <c r="A291" s="151" t="s">
        <v>364</v>
      </c>
      <c r="B291" s="152" t="s">
        <v>365</v>
      </c>
    </row>
    <row r="292" spans="1:2">
      <c r="A292" s="155" t="s">
        <v>368</v>
      </c>
      <c r="B292" s="156" t="s">
        <v>369</v>
      </c>
    </row>
    <row r="293" spans="1:2">
      <c r="A293" s="155" t="s">
        <v>372</v>
      </c>
      <c r="B293" s="156" t="s">
        <v>373</v>
      </c>
    </row>
    <row r="294" spans="1:2">
      <c r="A294" s="151" t="s">
        <v>376</v>
      </c>
      <c r="B294" s="152" t="s">
        <v>373</v>
      </c>
    </row>
    <row r="295" spans="1:2">
      <c r="A295" s="155" t="s">
        <v>379</v>
      </c>
      <c r="B295" s="156" t="s">
        <v>380</v>
      </c>
    </row>
    <row r="296" spans="1:2">
      <c r="A296" s="155" t="s">
        <v>383</v>
      </c>
      <c r="B296" s="156" t="s">
        <v>384</v>
      </c>
    </row>
    <row r="297" spans="1:2">
      <c r="A297" s="151" t="s">
        <v>387</v>
      </c>
      <c r="B297" s="152" t="s">
        <v>388</v>
      </c>
    </row>
    <row r="298" spans="1:2">
      <c r="A298" s="155" t="s">
        <v>391</v>
      </c>
      <c r="B298" s="156" t="s">
        <v>392</v>
      </c>
    </row>
    <row r="299" spans="1:2">
      <c r="A299" s="151" t="s">
        <v>395</v>
      </c>
      <c r="B299" s="152" t="s">
        <v>396</v>
      </c>
    </row>
    <row r="300" spans="1:2">
      <c r="A300" s="155" t="s">
        <v>399</v>
      </c>
      <c r="B300" s="156" t="s">
        <v>400</v>
      </c>
    </row>
    <row r="301" spans="1:2">
      <c r="A301" s="155" t="s">
        <v>403</v>
      </c>
      <c r="B301" s="156" t="s">
        <v>404</v>
      </c>
    </row>
    <row r="302" spans="1:2">
      <c r="A302" s="155" t="s">
        <v>407</v>
      </c>
      <c r="B302" s="156" t="s">
        <v>408</v>
      </c>
    </row>
    <row r="303" spans="1:2">
      <c r="A303" s="151" t="s">
        <v>411</v>
      </c>
      <c r="B303" s="152" t="s">
        <v>412</v>
      </c>
    </row>
    <row r="304" spans="1:2">
      <c r="A304" s="155" t="s">
        <v>415</v>
      </c>
      <c r="B304" s="156" t="s">
        <v>416</v>
      </c>
    </row>
    <row r="305" spans="1:2">
      <c r="A305" s="155" t="s">
        <v>419</v>
      </c>
      <c r="B305" s="156" t="s">
        <v>420</v>
      </c>
    </row>
    <row r="306" spans="1:2">
      <c r="A306" s="151" t="s">
        <v>423</v>
      </c>
      <c r="B306" s="152" t="s">
        <v>424</v>
      </c>
    </row>
    <row r="307" spans="1:2">
      <c r="A307" s="155" t="s">
        <v>427</v>
      </c>
      <c r="B307" s="156" t="s">
        <v>428</v>
      </c>
    </row>
    <row r="308" spans="1:2">
      <c r="A308" s="151" t="s">
        <v>431</v>
      </c>
      <c r="B308" s="152" t="s">
        <v>432</v>
      </c>
    </row>
    <row r="309" spans="1:2">
      <c r="A309" s="155" t="s">
        <v>435</v>
      </c>
      <c r="B309" s="156" t="s">
        <v>436</v>
      </c>
    </row>
    <row r="310" spans="1:2">
      <c r="A310" s="151" t="s">
        <v>439</v>
      </c>
      <c r="B310" s="152" t="s">
        <v>440</v>
      </c>
    </row>
    <row r="311" spans="1:2">
      <c r="A311" s="155" t="s">
        <v>443</v>
      </c>
      <c r="B311" s="156" t="s">
        <v>444</v>
      </c>
    </row>
    <row r="312" spans="1:2">
      <c r="A312" s="151" t="s">
        <v>447</v>
      </c>
      <c r="B312" s="152" t="s">
        <v>448</v>
      </c>
    </row>
    <row r="313" spans="1:2">
      <c r="A313" s="155" t="s">
        <v>451</v>
      </c>
      <c r="B313" s="156" t="s">
        <v>452</v>
      </c>
    </row>
    <row r="314" spans="1:2">
      <c r="A314" s="151" t="s">
        <v>455</v>
      </c>
      <c r="B314" s="152" t="s">
        <v>456</v>
      </c>
    </row>
    <row r="315" spans="1:2">
      <c r="A315" s="155" t="s">
        <v>459</v>
      </c>
      <c r="B315" s="156" t="s">
        <v>460</v>
      </c>
    </row>
    <row r="316" spans="1:2">
      <c r="A316" s="151" t="s">
        <v>463</v>
      </c>
      <c r="B316" s="152" t="s">
        <v>464</v>
      </c>
    </row>
    <row r="317" spans="1:2">
      <c r="A317" s="155" t="s">
        <v>467</v>
      </c>
      <c r="B317" s="156" t="s">
        <v>468</v>
      </c>
    </row>
    <row r="318" spans="1:2">
      <c r="A318" s="151" t="s">
        <v>471</v>
      </c>
      <c r="B318" s="152" t="s">
        <v>472</v>
      </c>
    </row>
    <row r="319" spans="1:2">
      <c r="A319" s="155" t="s">
        <v>475</v>
      </c>
      <c r="B319" s="156" t="s">
        <v>476</v>
      </c>
    </row>
    <row r="320" spans="1:2">
      <c r="A320" s="151" t="s">
        <v>479</v>
      </c>
      <c r="B320" s="152" t="s">
        <v>480</v>
      </c>
    </row>
    <row r="321" spans="1:2">
      <c r="A321" s="155" t="s">
        <v>483</v>
      </c>
      <c r="B321" s="157" t="s">
        <v>484</v>
      </c>
    </row>
    <row r="322" spans="1:2">
      <c r="A322" s="155" t="s">
        <v>487</v>
      </c>
      <c r="B322" s="156" t="s">
        <v>488</v>
      </c>
    </row>
    <row r="323" spans="1:2">
      <c r="A323" s="151" t="s">
        <v>491</v>
      </c>
      <c r="B323" s="152" t="s">
        <v>492</v>
      </c>
    </row>
    <row r="324" spans="1:2">
      <c r="A324" s="155" t="s">
        <v>495</v>
      </c>
      <c r="B324" s="156" t="s">
        <v>496</v>
      </c>
    </row>
    <row r="325" spans="1:2">
      <c r="A325" s="151" t="s">
        <v>499</v>
      </c>
      <c r="B325" s="152" t="s">
        <v>500</v>
      </c>
    </row>
    <row r="326" spans="1:2">
      <c r="A326" s="155" t="s">
        <v>503</v>
      </c>
      <c r="B326" s="156" t="s">
        <v>504</v>
      </c>
    </row>
    <row r="327" spans="1:2">
      <c r="A327" s="155" t="s">
        <v>507</v>
      </c>
      <c r="B327" s="156" t="s">
        <v>508</v>
      </c>
    </row>
    <row r="328" spans="1:2">
      <c r="A328" s="151" t="s">
        <v>511</v>
      </c>
      <c r="B328" s="152" t="s">
        <v>512</v>
      </c>
    </row>
    <row r="329" spans="1:2">
      <c r="A329" s="155" t="s">
        <v>515</v>
      </c>
      <c r="B329" s="156" t="s">
        <v>516</v>
      </c>
    </row>
    <row r="330" spans="1:2">
      <c r="A330" s="155" t="s">
        <v>519</v>
      </c>
      <c r="B330" s="156" t="s">
        <v>520</v>
      </c>
    </row>
    <row r="331" spans="1:2">
      <c r="A331" s="151" t="s">
        <v>523</v>
      </c>
      <c r="B331" s="152" t="s">
        <v>524</v>
      </c>
    </row>
    <row r="332" spans="1:2">
      <c r="A332" s="155" t="s">
        <v>527</v>
      </c>
      <c r="B332" s="156" t="s">
        <v>528</v>
      </c>
    </row>
    <row r="333" spans="1:2">
      <c r="A333" s="155" t="s">
        <v>531</v>
      </c>
      <c r="B333" s="156" t="s">
        <v>532</v>
      </c>
    </row>
    <row r="334" spans="1:2">
      <c r="A334" s="151" t="s">
        <v>535</v>
      </c>
      <c r="B334" s="152" t="s">
        <v>536</v>
      </c>
    </row>
    <row r="335" spans="1:2">
      <c r="A335" s="155" t="s">
        <v>539</v>
      </c>
      <c r="B335" s="156" t="s">
        <v>540</v>
      </c>
    </row>
    <row r="336" spans="1:2">
      <c r="A336" s="151" t="s">
        <v>543</v>
      </c>
      <c r="B336" s="152" t="s">
        <v>544</v>
      </c>
    </row>
    <row r="337" spans="1:2">
      <c r="A337" s="155" t="s">
        <v>547</v>
      </c>
      <c r="B337" s="156" t="s">
        <v>548</v>
      </c>
    </row>
    <row r="338" spans="1:2">
      <c r="A338" s="155" t="s">
        <v>551</v>
      </c>
      <c r="B338" s="156" t="s">
        <v>552</v>
      </c>
    </row>
    <row r="339" spans="1:2">
      <c r="A339" s="151" t="s">
        <v>555</v>
      </c>
      <c r="B339" s="152" t="s">
        <v>556</v>
      </c>
    </row>
    <row r="340" spans="1:2">
      <c r="A340" s="155" t="s">
        <v>559</v>
      </c>
      <c r="B340" s="156" t="s">
        <v>560</v>
      </c>
    </row>
    <row r="341" spans="1:2">
      <c r="A341" s="155" t="s">
        <v>563</v>
      </c>
      <c r="B341" s="156" t="s">
        <v>564</v>
      </c>
    </row>
    <row r="342" spans="1:2">
      <c r="A342" s="155" t="s">
        <v>567</v>
      </c>
      <c r="B342" s="156" t="s">
        <v>568</v>
      </c>
    </row>
    <row r="343" spans="1:2">
      <c r="A343" s="151" t="s">
        <v>571</v>
      </c>
      <c r="B343" s="152" t="s">
        <v>568</v>
      </c>
    </row>
    <row r="344" spans="1:2">
      <c r="A344" s="155" t="s">
        <v>574</v>
      </c>
      <c r="B344" s="156" t="s">
        <v>575</v>
      </c>
    </row>
    <row r="345" spans="1:2">
      <c r="A345" s="155" t="s">
        <v>578</v>
      </c>
      <c r="B345" s="156" t="s">
        <v>579</v>
      </c>
    </row>
    <row r="346" spans="1:2">
      <c r="A346" s="155" t="s">
        <v>582</v>
      </c>
      <c r="B346" s="156" t="s">
        <v>583</v>
      </c>
    </row>
    <row r="347" spans="1:2">
      <c r="A347" s="151" t="s">
        <v>585</v>
      </c>
      <c r="B347" s="152" t="s">
        <v>586</v>
      </c>
    </row>
    <row r="348" spans="1:2">
      <c r="A348" s="155" t="s">
        <v>589</v>
      </c>
      <c r="B348" s="156" t="s">
        <v>590</v>
      </c>
    </row>
    <row r="349" spans="1:2">
      <c r="A349" s="151" t="s">
        <v>593</v>
      </c>
      <c r="B349" s="152" t="s">
        <v>594</v>
      </c>
    </row>
    <row r="350" spans="1:2">
      <c r="A350" s="155" t="s">
        <v>597</v>
      </c>
      <c r="B350" s="156" t="s">
        <v>598</v>
      </c>
    </row>
    <row r="351" spans="1:2">
      <c r="A351" s="151" t="s">
        <v>601</v>
      </c>
      <c r="B351" s="152" t="s">
        <v>602</v>
      </c>
    </row>
    <row r="352" spans="1:2">
      <c r="A352" s="155" t="s">
        <v>605</v>
      </c>
      <c r="B352" s="156" t="s">
        <v>606</v>
      </c>
    </row>
    <row r="353" spans="1:2">
      <c r="A353" s="151" t="s">
        <v>609</v>
      </c>
      <c r="B353" s="152" t="s">
        <v>610</v>
      </c>
    </row>
    <row r="354" spans="1:2">
      <c r="A354" s="155" t="s">
        <v>613</v>
      </c>
      <c r="B354" s="156" t="s">
        <v>614</v>
      </c>
    </row>
    <row r="355" spans="1:2">
      <c r="A355" s="151" t="s">
        <v>617</v>
      </c>
      <c r="B355" s="152" t="s">
        <v>618</v>
      </c>
    </row>
    <row r="356" spans="1:2">
      <c r="A356" s="155" t="s">
        <v>621</v>
      </c>
      <c r="B356" s="156" t="s">
        <v>622</v>
      </c>
    </row>
    <row r="357" spans="1:2">
      <c r="A357" s="155" t="s">
        <v>625</v>
      </c>
      <c r="B357" s="156" t="s">
        <v>626</v>
      </c>
    </row>
    <row r="358" spans="1:2">
      <c r="A358" s="151" t="s">
        <v>629</v>
      </c>
      <c r="B358" s="152" t="s">
        <v>630</v>
      </c>
    </row>
    <row r="359" spans="1:2">
      <c r="A359" s="155" t="s">
        <v>633</v>
      </c>
      <c r="B359" s="156" t="s">
        <v>634</v>
      </c>
    </row>
    <row r="360" spans="1:2">
      <c r="A360" s="155" t="s">
        <v>637</v>
      </c>
      <c r="B360" s="156" t="s">
        <v>638</v>
      </c>
    </row>
    <row r="361" spans="1:2">
      <c r="A361" s="151" t="s">
        <v>641</v>
      </c>
      <c r="B361" s="152" t="s">
        <v>642</v>
      </c>
    </row>
    <row r="362" spans="1:2">
      <c r="A362" s="155" t="s">
        <v>645</v>
      </c>
      <c r="B362" s="156" t="s">
        <v>646</v>
      </c>
    </row>
    <row r="363" spans="1:2">
      <c r="A363" s="151" t="s">
        <v>649</v>
      </c>
      <c r="B363" s="152" t="s">
        <v>650</v>
      </c>
    </row>
    <row r="364" spans="1:2">
      <c r="A364" s="155" t="s">
        <v>653</v>
      </c>
      <c r="B364" s="156" t="s">
        <v>654</v>
      </c>
    </row>
    <row r="365" spans="1:2">
      <c r="A365" s="151" t="s">
        <v>657</v>
      </c>
      <c r="B365" s="152" t="s">
        <v>658</v>
      </c>
    </row>
    <row r="366" spans="1:2">
      <c r="A366" s="155" t="s">
        <v>661</v>
      </c>
      <c r="B366" s="156" t="s">
        <v>662</v>
      </c>
    </row>
    <row r="367" spans="1:2">
      <c r="A367" s="155" t="s">
        <v>665</v>
      </c>
      <c r="B367" s="156" t="s">
        <v>666</v>
      </c>
    </row>
    <row r="368" spans="1:2">
      <c r="A368" s="155" t="s">
        <v>669</v>
      </c>
      <c r="B368" s="156" t="s">
        <v>670</v>
      </c>
    </row>
    <row r="369" spans="1:2">
      <c r="A369" s="151" t="s">
        <v>673</v>
      </c>
      <c r="B369" s="152" t="s">
        <v>674</v>
      </c>
    </row>
    <row r="370" spans="1:2">
      <c r="A370" s="155" t="s">
        <v>677</v>
      </c>
      <c r="B370" s="156" t="s">
        <v>678</v>
      </c>
    </row>
    <row r="371" spans="1:2">
      <c r="A371" s="155" t="s">
        <v>681</v>
      </c>
      <c r="B371" s="156" t="s">
        <v>682</v>
      </c>
    </row>
    <row r="372" spans="1:2">
      <c r="A372" s="155" t="s">
        <v>685</v>
      </c>
      <c r="B372" s="156" t="s">
        <v>686</v>
      </c>
    </row>
    <row r="373" spans="1:2">
      <c r="A373" s="155" t="s">
        <v>689</v>
      </c>
      <c r="B373" s="156" t="s">
        <v>690</v>
      </c>
    </row>
    <row r="374" spans="1:2">
      <c r="A374" s="151" t="s">
        <v>693</v>
      </c>
      <c r="B374" s="152" t="s">
        <v>690</v>
      </c>
    </row>
    <row r="375" spans="1:2">
      <c r="A375" s="155" t="s">
        <v>696</v>
      </c>
      <c r="B375" s="156" t="s">
        <v>697</v>
      </c>
    </row>
    <row r="376" spans="1:2">
      <c r="A376" s="151" t="s">
        <v>700</v>
      </c>
      <c r="B376" s="152" t="s">
        <v>701</v>
      </c>
    </row>
    <row r="377" spans="1:2">
      <c r="A377" s="155" t="s">
        <v>704</v>
      </c>
      <c r="B377" s="156" t="s">
        <v>705</v>
      </c>
    </row>
    <row r="378" spans="1:2">
      <c r="A378" s="155" t="s">
        <v>708</v>
      </c>
      <c r="B378" s="156" t="s">
        <v>709</v>
      </c>
    </row>
    <row r="379" spans="1:2">
      <c r="A379" s="155" t="s">
        <v>712</v>
      </c>
      <c r="B379" s="156" t="s">
        <v>713</v>
      </c>
    </row>
    <row r="380" spans="1:2">
      <c r="A380" s="155" t="s">
        <v>716</v>
      </c>
      <c r="B380" s="156" t="s">
        <v>717</v>
      </c>
    </row>
    <row r="381" spans="1:2">
      <c r="A381" s="151" t="s">
        <v>720</v>
      </c>
      <c r="B381" s="152" t="s">
        <v>721</v>
      </c>
    </row>
    <row r="382" spans="1:2">
      <c r="A382" s="155" t="s">
        <v>724</v>
      </c>
      <c r="B382" s="156" t="s">
        <v>725</v>
      </c>
    </row>
    <row r="383" spans="1:2">
      <c r="A383" s="151" t="s">
        <v>728</v>
      </c>
      <c r="B383" s="152" t="s">
        <v>729</v>
      </c>
    </row>
    <row r="384" spans="1:2">
      <c r="A384" s="155" t="s">
        <v>732</v>
      </c>
      <c r="B384" s="156" t="s">
        <v>733</v>
      </c>
    </row>
    <row r="385" spans="1:2">
      <c r="A385" s="151" t="s">
        <v>736</v>
      </c>
      <c r="B385" s="152" t="s">
        <v>737</v>
      </c>
    </row>
    <row r="386" spans="1:2">
      <c r="A386" s="155" t="s">
        <v>740</v>
      </c>
      <c r="B386" s="156" t="s">
        <v>741</v>
      </c>
    </row>
    <row r="387" spans="1:2">
      <c r="A387" s="151" t="s">
        <v>744</v>
      </c>
      <c r="B387" s="152" t="s">
        <v>745</v>
      </c>
    </row>
    <row r="388" spans="1:2">
      <c r="A388" s="155" t="s">
        <v>748</v>
      </c>
      <c r="B388" s="156" t="s">
        <v>749</v>
      </c>
    </row>
    <row r="389" spans="1:2">
      <c r="A389" s="155" t="s">
        <v>752</v>
      </c>
      <c r="B389" s="156" t="s">
        <v>753</v>
      </c>
    </row>
    <row r="390" spans="1:2">
      <c r="A390" s="155" t="s">
        <v>756</v>
      </c>
      <c r="B390" s="156" t="s">
        <v>757</v>
      </c>
    </row>
    <row r="391" spans="1:2">
      <c r="A391" s="151" t="s">
        <v>760</v>
      </c>
      <c r="B391" s="152" t="s">
        <v>761</v>
      </c>
    </row>
    <row r="392" spans="1:2">
      <c r="A392" s="155" t="s">
        <v>764</v>
      </c>
      <c r="B392" s="156" t="s">
        <v>765</v>
      </c>
    </row>
    <row r="393" spans="1:2">
      <c r="A393" s="155" t="s">
        <v>768</v>
      </c>
      <c r="B393" s="156" t="s">
        <v>769</v>
      </c>
    </row>
    <row r="394" spans="1:2">
      <c r="A394" s="155" t="s">
        <v>772</v>
      </c>
      <c r="B394" s="156" t="s">
        <v>773</v>
      </c>
    </row>
    <row r="395" spans="1:2">
      <c r="A395" s="151" t="s">
        <v>776</v>
      </c>
      <c r="B395" s="152" t="s">
        <v>777</v>
      </c>
    </row>
    <row r="396" spans="1:2">
      <c r="A396" s="155" t="s">
        <v>780</v>
      </c>
      <c r="B396" s="156" t="s">
        <v>781</v>
      </c>
    </row>
    <row r="397" spans="1:2">
      <c r="A397" s="151" t="s">
        <v>784</v>
      </c>
      <c r="B397" s="152" t="s">
        <v>785</v>
      </c>
    </row>
    <row r="398" spans="1:2">
      <c r="A398" s="155" t="s">
        <v>788</v>
      </c>
      <c r="B398" s="156" t="s">
        <v>789</v>
      </c>
    </row>
    <row r="399" spans="1:2">
      <c r="A399" s="151" t="s">
        <v>792</v>
      </c>
      <c r="B399" s="152" t="s">
        <v>793</v>
      </c>
    </row>
    <row r="400" spans="1:2">
      <c r="A400" s="155" t="s">
        <v>796</v>
      </c>
      <c r="B400" s="156" t="s">
        <v>797</v>
      </c>
    </row>
    <row r="401" spans="1:2">
      <c r="A401" s="151" t="s">
        <v>800</v>
      </c>
      <c r="B401" s="152" t="s">
        <v>801</v>
      </c>
    </row>
    <row r="402" spans="1:2">
      <c r="A402" s="155" t="s">
        <v>804</v>
      </c>
      <c r="B402" s="156" t="s">
        <v>805</v>
      </c>
    </row>
    <row r="403" spans="1:2">
      <c r="A403" s="151" t="s">
        <v>808</v>
      </c>
      <c r="B403" s="152" t="s">
        <v>809</v>
      </c>
    </row>
    <row r="404" spans="1:2">
      <c r="A404" s="155" t="s">
        <v>812</v>
      </c>
      <c r="B404" s="156" t="s">
        <v>813</v>
      </c>
    </row>
    <row r="405" spans="1:2">
      <c r="A405" s="155" t="s">
        <v>816</v>
      </c>
      <c r="B405" s="156" t="s">
        <v>817</v>
      </c>
    </row>
    <row r="406" spans="1:2">
      <c r="A406" s="151" t="s">
        <v>820</v>
      </c>
      <c r="B406" s="152" t="s">
        <v>821</v>
      </c>
    </row>
    <row r="407" spans="1:2">
      <c r="A407" s="155" t="s">
        <v>824</v>
      </c>
      <c r="B407" s="156" t="s">
        <v>825</v>
      </c>
    </row>
    <row r="408" spans="1:2">
      <c r="A408" s="155" t="s">
        <v>828</v>
      </c>
      <c r="B408" s="156" t="s">
        <v>829</v>
      </c>
    </row>
    <row r="409" spans="1:2">
      <c r="A409" s="151" t="s">
        <v>832</v>
      </c>
      <c r="B409" s="152" t="s">
        <v>833</v>
      </c>
    </row>
    <row r="410" spans="1:2">
      <c r="A410" s="155" t="s">
        <v>836</v>
      </c>
      <c r="B410" s="156" t="s">
        <v>837</v>
      </c>
    </row>
    <row r="411" spans="1:2">
      <c r="A411" s="151" t="s">
        <v>840</v>
      </c>
      <c r="B411" s="152" t="s">
        <v>841</v>
      </c>
    </row>
    <row r="412" spans="1:2">
      <c r="A412" s="155" t="s">
        <v>844</v>
      </c>
      <c r="B412" s="156" t="s">
        <v>845</v>
      </c>
    </row>
    <row r="413" spans="1:2">
      <c r="A413" s="151" t="s">
        <v>848</v>
      </c>
      <c r="B413" s="152" t="s">
        <v>849</v>
      </c>
    </row>
    <row r="414" spans="1:2">
      <c r="A414" s="155" t="s">
        <v>852</v>
      </c>
      <c r="B414" s="156" t="s">
        <v>853</v>
      </c>
    </row>
    <row r="415" spans="1:2">
      <c r="A415" s="151" t="s">
        <v>856</v>
      </c>
      <c r="B415" s="152" t="s">
        <v>857</v>
      </c>
    </row>
    <row r="416" spans="1:2">
      <c r="A416" s="155" t="s">
        <v>860</v>
      </c>
      <c r="B416" s="156" t="s">
        <v>861</v>
      </c>
    </row>
    <row r="417" spans="1:2">
      <c r="A417" s="155" t="s">
        <v>864</v>
      </c>
      <c r="B417" s="156" t="s">
        <v>865</v>
      </c>
    </row>
    <row r="418" spans="1:2">
      <c r="A418" s="151" t="s">
        <v>868</v>
      </c>
      <c r="B418" s="152" t="s">
        <v>869</v>
      </c>
    </row>
    <row r="419" spans="1:2">
      <c r="A419" s="155" t="s">
        <v>872</v>
      </c>
      <c r="B419" s="156" t="s">
        <v>873</v>
      </c>
    </row>
    <row r="420" spans="1:2">
      <c r="A420" s="151" t="s">
        <v>876</v>
      </c>
      <c r="B420" s="152" t="s">
        <v>877</v>
      </c>
    </row>
    <row r="421" spans="1:2">
      <c r="A421" s="155" t="s">
        <v>880</v>
      </c>
      <c r="B421" s="156" t="s">
        <v>881</v>
      </c>
    </row>
    <row r="422" spans="1:2">
      <c r="A422" s="151" t="s">
        <v>884</v>
      </c>
      <c r="B422" s="152" t="s">
        <v>885</v>
      </c>
    </row>
    <row r="423" spans="1:2">
      <c r="A423" s="155" t="s">
        <v>888</v>
      </c>
      <c r="B423" s="156" t="s">
        <v>889</v>
      </c>
    </row>
    <row r="424" spans="1:2">
      <c r="A424" s="151" t="s">
        <v>892</v>
      </c>
      <c r="B424" s="152" t="s">
        <v>893</v>
      </c>
    </row>
    <row r="425" spans="1:2">
      <c r="A425" s="155" t="s">
        <v>896</v>
      </c>
      <c r="B425" s="156" t="s">
        <v>897</v>
      </c>
    </row>
    <row r="426" spans="1:2">
      <c r="A426" s="151" t="s">
        <v>900</v>
      </c>
      <c r="B426" s="152" t="s">
        <v>901</v>
      </c>
    </row>
    <row r="427" spans="1:2">
      <c r="A427" s="155" t="s">
        <v>904</v>
      </c>
      <c r="B427" s="156" t="s">
        <v>905</v>
      </c>
    </row>
    <row r="428" spans="1:2">
      <c r="A428" s="151" t="s">
        <v>908</v>
      </c>
      <c r="B428" s="152" t="s">
        <v>909</v>
      </c>
    </row>
    <row r="429" spans="1:2">
      <c r="A429" s="155" t="s">
        <v>912</v>
      </c>
      <c r="B429" s="156" t="s">
        <v>913</v>
      </c>
    </row>
    <row r="430" spans="1:2">
      <c r="A430" s="151" t="s">
        <v>916</v>
      </c>
      <c r="B430" s="152" t="s">
        <v>917</v>
      </c>
    </row>
    <row r="431" spans="1:2">
      <c r="A431" s="155" t="s">
        <v>920</v>
      </c>
      <c r="B431" s="156" t="s">
        <v>921</v>
      </c>
    </row>
    <row r="432" spans="1:2">
      <c r="A432" s="151" t="s">
        <v>924</v>
      </c>
      <c r="B432" s="152" t="s">
        <v>925</v>
      </c>
    </row>
    <row r="433" spans="1:2">
      <c r="A433" s="155" t="s">
        <v>928</v>
      </c>
      <c r="B433" s="156" t="s">
        <v>929</v>
      </c>
    </row>
    <row r="434" spans="1:2">
      <c r="A434" s="151" t="s">
        <v>932</v>
      </c>
      <c r="B434" s="152" t="s">
        <v>933</v>
      </c>
    </row>
    <row r="435" spans="1:2">
      <c r="A435" s="155" t="s">
        <v>936</v>
      </c>
      <c r="B435" s="156" t="s">
        <v>937</v>
      </c>
    </row>
    <row r="436" spans="1:2">
      <c r="A436" s="151" t="s">
        <v>940</v>
      </c>
      <c r="B436" s="152" t="s">
        <v>941</v>
      </c>
    </row>
    <row r="437" spans="1:2">
      <c r="A437" s="155" t="s">
        <v>944</v>
      </c>
      <c r="B437" s="156" t="s">
        <v>945</v>
      </c>
    </row>
    <row r="438" spans="1:2">
      <c r="A438" s="155" t="s">
        <v>948</v>
      </c>
      <c r="B438" s="156" t="s">
        <v>949</v>
      </c>
    </row>
    <row r="439" spans="1:2">
      <c r="A439" s="155" t="s">
        <v>952</v>
      </c>
      <c r="B439" s="156" t="s">
        <v>953</v>
      </c>
    </row>
    <row r="440" spans="1:2">
      <c r="A440" s="151" t="s">
        <v>956</v>
      </c>
      <c r="B440" s="152" t="s">
        <v>957</v>
      </c>
    </row>
    <row r="441" spans="1:2">
      <c r="A441" s="155" t="s">
        <v>960</v>
      </c>
      <c r="B441" s="156" t="s">
        <v>961</v>
      </c>
    </row>
    <row r="442" spans="1:2">
      <c r="A442" s="155" t="s">
        <v>964</v>
      </c>
      <c r="B442" s="156" t="s">
        <v>965</v>
      </c>
    </row>
    <row r="443" spans="1:2">
      <c r="A443" s="151" t="s">
        <v>968</v>
      </c>
      <c r="B443" s="152" t="s">
        <v>969</v>
      </c>
    </row>
    <row r="444" spans="1:2">
      <c r="A444" s="155" t="s">
        <v>972</v>
      </c>
      <c r="B444" s="156" t="s">
        <v>973</v>
      </c>
    </row>
    <row r="445" spans="1:2">
      <c r="A445" s="151" t="s">
        <v>976</v>
      </c>
      <c r="B445" s="152" t="s">
        <v>977</v>
      </c>
    </row>
    <row r="446" spans="1:2">
      <c r="A446" s="155" t="s">
        <v>980</v>
      </c>
      <c r="B446" s="156" t="s">
        <v>981</v>
      </c>
    </row>
    <row r="447" spans="1:2">
      <c r="A447" s="155" t="s">
        <v>984</v>
      </c>
      <c r="B447" s="156" t="s">
        <v>985</v>
      </c>
    </row>
    <row r="448" spans="1:2">
      <c r="A448" s="155" t="s">
        <v>988</v>
      </c>
      <c r="B448" s="156" t="s">
        <v>989</v>
      </c>
    </row>
    <row r="449" spans="1:2">
      <c r="A449" s="155" t="s">
        <v>992</v>
      </c>
      <c r="B449" s="156" t="s">
        <v>993</v>
      </c>
    </row>
    <row r="450" spans="1:2">
      <c r="A450" s="151" t="s">
        <v>996</v>
      </c>
      <c r="B450" s="152" t="s">
        <v>997</v>
      </c>
    </row>
    <row r="451" spans="1:2">
      <c r="A451" s="155" t="s">
        <v>1000</v>
      </c>
      <c r="B451" s="156" t="s">
        <v>1001</v>
      </c>
    </row>
    <row r="452" spans="1:2">
      <c r="A452" s="151" t="s">
        <v>1004</v>
      </c>
      <c r="B452" s="152" t="s">
        <v>1005</v>
      </c>
    </row>
    <row r="453" spans="1:2">
      <c r="A453" s="155" t="s">
        <v>1008</v>
      </c>
      <c r="B453" s="156" t="s">
        <v>1009</v>
      </c>
    </row>
    <row r="454" spans="1:2">
      <c r="A454" s="155" t="s">
        <v>1012</v>
      </c>
      <c r="B454" s="156" t="s">
        <v>1013</v>
      </c>
    </row>
    <row r="455" spans="1:2">
      <c r="A455" s="151" t="s">
        <v>1016</v>
      </c>
      <c r="B455" s="152" t="s">
        <v>1017</v>
      </c>
    </row>
    <row r="456" spans="1:2">
      <c r="A456" s="158" t="s">
        <v>1018</v>
      </c>
      <c r="B456" s="159" t="s">
        <v>1019</v>
      </c>
    </row>
  </sheetData>
  <sheetProtection algorithmName="SHA-512" hashValue="az7kFGenk3JuyC5YRU849E7ZDox+czqIyaBOl+ISy+vN44yNM9lCNX5ZRAPyWa3aMYzqdHJ0/bpleVxiW1ZtGA==" saltValue="C3wTJqTqXc8r9RwAxh06tg==" spinCount="100000" sheet="1" objects="1" scenarios="1" selectLockedCells="1"/>
  <printOptions horizontalCentered="1"/>
  <pageMargins left="0.31496062992125984" right="0.27559055118110237" top="0.35433070866141736" bottom="0.35433070866141736" header="0.31496062992125984" footer="0.31496062992125984"/>
  <pageSetup paperSize="9" scale="83" fitToWidth="5" fitToHeight="5"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FD7A7-A887-43D8-ADCF-A2CA83F1528F}">
  <sheetPr codeName="Feuil80"/>
  <dimension ref="A1:J1443"/>
  <sheetViews>
    <sheetView showGridLines="0" showRowColHeaders="0" topLeftCell="D1" zoomScaleNormal="100" workbookViewId="0">
      <selection activeCell="H1175" sqref="H1175"/>
    </sheetView>
  </sheetViews>
  <sheetFormatPr baseColWidth="10" defaultColWidth="11.41796875" defaultRowHeight="14.1"/>
  <cols>
    <col min="1" max="1" width="11.41796875" style="162"/>
    <col min="2" max="2" width="108.5234375" style="162" bestFit="1" customWidth="1"/>
    <col min="3" max="3" width="13.89453125" style="162" customWidth="1"/>
    <col min="4" max="4" width="10" style="162" customWidth="1"/>
    <col min="5" max="5" width="9" style="162" customWidth="1"/>
    <col min="6" max="6" width="8.20703125" style="162" customWidth="1"/>
    <col min="7" max="7" width="8" style="162" customWidth="1"/>
    <col min="8" max="8" width="136.41796875" style="162" bestFit="1" customWidth="1"/>
    <col min="9" max="9" width="9.41796875" style="162" customWidth="1"/>
    <col min="10" max="16384" width="11.41796875" style="162"/>
  </cols>
  <sheetData>
    <row r="1" spans="1:10" s="161" customFormat="1" ht="27.6">
      <c r="A1" s="160" t="s">
        <v>9984</v>
      </c>
      <c r="B1" s="160" t="s">
        <v>9985</v>
      </c>
      <c r="D1" s="160" t="s">
        <v>9986</v>
      </c>
      <c r="E1" s="160" t="s">
        <v>9987</v>
      </c>
      <c r="F1" s="160" t="s">
        <v>9988</v>
      </c>
      <c r="G1" s="160" t="s">
        <v>9984</v>
      </c>
      <c r="H1" s="160" t="s">
        <v>9985</v>
      </c>
      <c r="I1" s="160" t="s">
        <v>9989</v>
      </c>
      <c r="J1" s="160" t="s">
        <v>11591</v>
      </c>
    </row>
    <row r="2" spans="1:10" ht="15" customHeight="1">
      <c r="A2" s="162">
        <v>1011</v>
      </c>
      <c r="B2" s="162" t="s">
        <v>9990</v>
      </c>
      <c r="D2" s="163" t="s">
        <v>64</v>
      </c>
      <c r="E2" s="164">
        <v>10</v>
      </c>
      <c r="F2" s="165" t="s">
        <v>9941</v>
      </c>
      <c r="G2" s="165"/>
      <c r="H2" s="166" t="s">
        <v>9991</v>
      </c>
      <c r="I2" s="167" t="str">
        <f>IF(Plan_Comptable[[#This Row],[Sous-compte]]="","",LEFT(Plan_Comptable[[#This Row],[Sous-compte]]&amp;"00",4))</f>
        <v/>
      </c>
      <c r="J2" s="167"/>
    </row>
    <row r="3" spans="1:10" ht="15" customHeight="1">
      <c r="A3" s="162">
        <v>1012</v>
      </c>
      <c r="B3" s="162" t="s">
        <v>9992</v>
      </c>
      <c r="D3" s="163" t="s">
        <v>64</v>
      </c>
      <c r="E3" s="168" t="s">
        <v>9044</v>
      </c>
      <c r="F3" s="165">
        <v>101</v>
      </c>
      <c r="G3" s="169"/>
      <c r="H3" s="170" t="s">
        <v>9993</v>
      </c>
      <c r="I3" s="167" t="str">
        <f>IF(Plan_Comptable[[#This Row],[Sous-compte]]="","",LEFT(Plan_Comptable[[#This Row],[Sous-compte]]&amp;"00",4))</f>
        <v/>
      </c>
      <c r="J3" s="167"/>
    </row>
    <row r="4" spans="1:10" ht="15" customHeight="1">
      <c r="A4" s="162">
        <v>1013</v>
      </c>
      <c r="B4" s="162" t="s">
        <v>9994</v>
      </c>
      <c r="D4" s="163" t="s">
        <v>64</v>
      </c>
      <c r="E4" s="168" t="s">
        <v>9044</v>
      </c>
      <c r="F4" s="168" t="s">
        <v>9995</v>
      </c>
      <c r="G4" s="169">
        <v>1011</v>
      </c>
      <c r="H4" s="170" t="s">
        <v>9990</v>
      </c>
      <c r="I4" s="167" t="str">
        <f>IF(Plan_Comptable[[#This Row],[Sous-compte]]="","",LEFT(Plan_Comptable[[#This Row],[Sous-compte]]&amp;"00",4))</f>
        <v>1011</v>
      </c>
      <c r="J4" s="167"/>
    </row>
    <row r="5" spans="1:10" ht="15" customHeight="1">
      <c r="A5" s="162">
        <v>1014</v>
      </c>
      <c r="B5" s="162" t="s">
        <v>9996</v>
      </c>
      <c r="D5" s="163" t="s">
        <v>64</v>
      </c>
      <c r="E5" s="168" t="s">
        <v>9044</v>
      </c>
      <c r="F5" s="168" t="s">
        <v>9995</v>
      </c>
      <c r="G5" s="169">
        <v>1012</v>
      </c>
      <c r="H5" s="170" t="s">
        <v>9992</v>
      </c>
      <c r="I5" s="167" t="str">
        <f>IF(Plan_Comptable[[#This Row],[Sous-compte]]="","",LEFT(Plan_Comptable[[#This Row],[Sous-compte]]&amp;"00",4))</f>
        <v>1012</v>
      </c>
      <c r="J5" s="167"/>
    </row>
    <row r="6" spans="1:10" ht="15" customHeight="1">
      <c r="A6" s="162">
        <v>1018</v>
      </c>
      <c r="B6" s="162" t="s">
        <v>9997</v>
      </c>
      <c r="D6" s="163" t="s">
        <v>64</v>
      </c>
      <c r="E6" s="168" t="s">
        <v>9044</v>
      </c>
      <c r="F6" s="168" t="s">
        <v>9995</v>
      </c>
      <c r="G6" s="169">
        <v>1013</v>
      </c>
      <c r="H6" s="170" t="s">
        <v>9994</v>
      </c>
      <c r="I6" s="167" t="str">
        <f>IF(Plan_Comptable[[#This Row],[Sous-compte]]="","",LEFT(Plan_Comptable[[#This Row],[Sous-compte]]&amp;"00",4))</f>
        <v>1013</v>
      </c>
      <c r="J6" s="167"/>
    </row>
    <row r="7" spans="1:10" ht="15" customHeight="1">
      <c r="A7" s="162">
        <v>1021</v>
      </c>
      <c r="B7" s="162" t="s">
        <v>9998</v>
      </c>
      <c r="D7" s="163" t="s">
        <v>64</v>
      </c>
      <c r="E7" s="168" t="s">
        <v>9044</v>
      </c>
      <c r="F7" s="168" t="s">
        <v>9995</v>
      </c>
      <c r="G7" s="169">
        <v>1014</v>
      </c>
      <c r="H7" s="170" t="s">
        <v>9996</v>
      </c>
      <c r="I7" s="167" t="str">
        <f>IF(Plan_Comptable[[#This Row],[Sous-compte]]="","",LEFT(Plan_Comptable[[#This Row],[Sous-compte]]&amp;"00",4))</f>
        <v>1014</v>
      </c>
      <c r="J7" s="167"/>
    </row>
    <row r="8" spans="1:10" ht="15" customHeight="1">
      <c r="A8" s="162">
        <v>1022</v>
      </c>
      <c r="B8" s="162" t="s">
        <v>9999</v>
      </c>
      <c r="D8" s="163" t="s">
        <v>64</v>
      </c>
      <c r="E8" s="168" t="s">
        <v>9044</v>
      </c>
      <c r="F8" s="168" t="s">
        <v>9995</v>
      </c>
      <c r="G8" s="169">
        <v>1018</v>
      </c>
      <c r="H8" s="170" t="s">
        <v>9997</v>
      </c>
      <c r="I8" s="167" t="str">
        <f>IF(Plan_Comptable[[#This Row],[Sous-compte]]="","",LEFT(Plan_Comptable[[#This Row],[Sous-compte]]&amp;"00",4))</f>
        <v>1018</v>
      </c>
      <c r="J8" s="167"/>
    </row>
    <row r="9" spans="1:10" ht="15" customHeight="1">
      <c r="A9" s="162">
        <v>1028</v>
      </c>
      <c r="B9" s="162" t="s">
        <v>10000</v>
      </c>
      <c r="D9" s="163" t="s">
        <v>64</v>
      </c>
      <c r="E9" s="168" t="s">
        <v>9044</v>
      </c>
      <c r="F9" s="165">
        <v>102</v>
      </c>
      <c r="G9" s="169"/>
      <c r="H9" s="170" t="s">
        <v>10001</v>
      </c>
      <c r="I9" s="167" t="str">
        <f>IF(Plan_Comptable[[#This Row],[Sous-compte]]="","",LEFT(Plan_Comptable[[#This Row],[Sous-compte]]&amp;"00",4))</f>
        <v/>
      </c>
      <c r="J9" s="167"/>
    </row>
    <row r="10" spans="1:10" ht="15" customHeight="1">
      <c r="A10" s="162">
        <v>103</v>
      </c>
      <c r="B10" s="162" t="s">
        <v>10002</v>
      </c>
      <c r="D10" s="163" t="s">
        <v>64</v>
      </c>
      <c r="E10" s="168" t="s">
        <v>9044</v>
      </c>
      <c r="F10" s="168" t="s">
        <v>10003</v>
      </c>
      <c r="G10" s="169">
        <v>1021</v>
      </c>
      <c r="H10" s="170" t="s">
        <v>9998</v>
      </c>
      <c r="I10" s="167" t="str">
        <f>IF(Plan_Comptable[[#This Row],[Sous-compte]]="","",LEFT(Plan_Comptable[[#This Row],[Sous-compte]]&amp;"00",4))</f>
        <v>1021</v>
      </c>
      <c r="J10" s="167"/>
    </row>
    <row r="11" spans="1:10" ht="15" customHeight="1">
      <c r="A11" s="162">
        <v>1041</v>
      </c>
      <c r="B11" s="162" t="s">
        <v>10004</v>
      </c>
      <c r="D11" s="163" t="s">
        <v>64</v>
      </c>
      <c r="E11" s="168" t="s">
        <v>9044</v>
      </c>
      <c r="F11" s="168" t="s">
        <v>10003</v>
      </c>
      <c r="G11" s="169">
        <v>1022</v>
      </c>
      <c r="H11" s="170" t="s">
        <v>9999</v>
      </c>
      <c r="I11" s="167" t="str">
        <f>IF(Plan_Comptable[[#This Row],[Sous-compte]]="","",LEFT(Plan_Comptable[[#This Row],[Sous-compte]]&amp;"00",4))</f>
        <v>1022</v>
      </c>
      <c r="J11" s="167"/>
    </row>
    <row r="12" spans="1:10" ht="15" customHeight="1">
      <c r="A12" s="162">
        <v>1042</v>
      </c>
      <c r="B12" s="162" t="s">
        <v>10005</v>
      </c>
      <c r="D12" s="163" t="s">
        <v>64</v>
      </c>
      <c r="E12" s="168" t="s">
        <v>9044</v>
      </c>
      <c r="F12" s="168" t="s">
        <v>10003</v>
      </c>
      <c r="G12" s="169">
        <v>1028</v>
      </c>
      <c r="H12" s="170" t="s">
        <v>10000</v>
      </c>
      <c r="I12" s="167" t="str">
        <f>IF(Plan_Comptable[[#This Row],[Sous-compte]]="","",LEFT(Plan_Comptable[[#This Row],[Sous-compte]]&amp;"00",4))</f>
        <v>1028</v>
      </c>
      <c r="J12" s="167"/>
    </row>
    <row r="13" spans="1:10" ht="15" customHeight="1">
      <c r="A13" s="162">
        <v>1043</v>
      </c>
      <c r="B13" s="162" t="s">
        <v>10006</v>
      </c>
      <c r="D13" s="163" t="s">
        <v>64</v>
      </c>
      <c r="E13" s="168" t="s">
        <v>9044</v>
      </c>
      <c r="F13" s="165">
        <v>103</v>
      </c>
      <c r="G13" s="169">
        <v>103</v>
      </c>
      <c r="H13" s="170" t="s">
        <v>10002</v>
      </c>
      <c r="I13" s="167" t="str">
        <f>IF(Plan_Comptable[[#This Row],[Sous-compte]]="","",LEFT(Plan_Comptable[[#This Row],[Sous-compte]]&amp;"00",4))</f>
        <v>1030</v>
      </c>
      <c r="J13" s="167"/>
    </row>
    <row r="14" spans="1:10" ht="15" customHeight="1">
      <c r="A14" s="162">
        <v>1047</v>
      </c>
      <c r="B14" s="162" t="s">
        <v>10007</v>
      </c>
      <c r="D14" s="163" t="s">
        <v>64</v>
      </c>
      <c r="E14" s="168" t="s">
        <v>9044</v>
      </c>
      <c r="F14" s="165">
        <v>104</v>
      </c>
      <c r="G14" s="169"/>
      <c r="H14" s="170" t="s">
        <v>10008</v>
      </c>
      <c r="I14" s="167" t="str">
        <f>IF(Plan_Comptable[[#This Row],[Sous-compte]]="","",LEFT(Plan_Comptable[[#This Row],[Sous-compte]]&amp;"00",4))</f>
        <v/>
      </c>
      <c r="J14" s="167"/>
    </row>
    <row r="15" spans="1:10" ht="15" customHeight="1">
      <c r="A15" s="162">
        <v>1048</v>
      </c>
      <c r="B15" s="162" t="s">
        <v>10009</v>
      </c>
      <c r="D15" s="163" t="s">
        <v>64</v>
      </c>
      <c r="E15" s="168" t="s">
        <v>9044</v>
      </c>
      <c r="F15" s="168" t="s">
        <v>10010</v>
      </c>
      <c r="G15" s="169">
        <v>1041</v>
      </c>
      <c r="H15" s="170" t="s">
        <v>10004</v>
      </c>
      <c r="I15" s="167" t="str">
        <f>IF(Plan_Comptable[[#This Row],[Sous-compte]]="","",LEFT(Plan_Comptable[[#This Row],[Sous-compte]]&amp;"00",4))</f>
        <v>1041</v>
      </c>
      <c r="J15" s="167"/>
    </row>
    <row r="16" spans="1:10" ht="15" customHeight="1">
      <c r="A16" s="162">
        <v>1051</v>
      </c>
      <c r="B16" s="162" t="s">
        <v>1905</v>
      </c>
      <c r="D16" s="163" t="s">
        <v>64</v>
      </c>
      <c r="E16" s="168" t="s">
        <v>9044</v>
      </c>
      <c r="F16" s="168" t="s">
        <v>10010</v>
      </c>
      <c r="G16" s="169">
        <v>1042</v>
      </c>
      <c r="H16" s="170" t="s">
        <v>10005</v>
      </c>
      <c r="I16" s="167" t="str">
        <f>IF(Plan_Comptable[[#This Row],[Sous-compte]]="","",LEFT(Plan_Comptable[[#This Row],[Sous-compte]]&amp;"00",4))</f>
        <v>1042</v>
      </c>
      <c r="J16" s="167"/>
    </row>
    <row r="17" spans="1:10" ht="15" customHeight="1">
      <c r="A17" s="162">
        <v>1052</v>
      </c>
      <c r="B17" s="162" t="s">
        <v>10011</v>
      </c>
      <c r="D17" s="163" t="s">
        <v>64</v>
      </c>
      <c r="E17" s="168" t="s">
        <v>9044</v>
      </c>
      <c r="F17" s="168" t="s">
        <v>10010</v>
      </c>
      <c r="G17" s="169">
        <v>1043</v>
      </c>
      <c r="H17" s="170" t="s">
        <v>10006</v>
      </c>
      <c r="I17" s="167" t="str">
        <f>IF(Plan_Comptable[[#This Row],[Sous-compte]]="","",LEFT(Plan_Comptable[[#This Row],[Sous-compte]]&amp;"00",4))</f>
        <v>1043</v>
      </c>
      <c r="J17" s="167"/>
    </row>
    <row r="18" spans="1:10" ht="15" customHeight="1">
      <c r="A18" s="162">
        <v>1053</v>
      </c>
      <c r="B18" s="162" t="s">
        <v>10012</v>
      </c>
      <c r="D18" s="163" t="s">
        <v>64</v>
      </c>
      <c r="E18" s="168" t="s">
        <v>9044</v>
      </c>
      <c r="F18" s="168" t="s">
        <v>10010</v>
      </c>
      <c r="G18" s="169">
        <v>1047</v>
      </c>
      <c r="H18" s="170" t="s">
        <v>10007</v>
      </c>
      <c r="I18" s="167" t="str">
        <f>IF(Plan_Comptable[[#This Row],[Sous-compte]]="","",LEFT(Plan_Comptable[[#This Row],[Sous-compte]]&amp;"00",4))</f>
        <v>1047</v>
      </c>
      <c r="J18" s="167"/>
    </row>
    <row r="19" spans="1:10" ht="15" customHeight="1">
      <c r="A19" s="162">
        <v>1054</v>
      </c>
      <c r="B19" s="162" t="s">
        <v>10013</v>
      </c>
      <c r="D19" s="163" t="s">
        <v>64</v>
      </c>
      <c r="E19" s="168" t="s">
        <v>9044</v>
      </c>
      <c r="F19" s="168" t="s">
        <v>10010</v>
      </c>
      <c r="G19" s="169">
        <v>1048</v>
      </c>
      <c r="H19" s="170" t="s">
        <v>10009</v>
      </c>
      <c r="I19" s="167" t="str">
        <f>IF(Plan_Comptable[[#This Row],[Sous-compte]]="","",LEFT(Plan_Comptable[[#This Row],[Sous-compte]]&amp;"00",4))</f>
        <v>1048</v>
      </c>
      <c r="J19" s="167"/>
    </row>
    <row r="20" spans="1:10" ht="15" customHeight="1">
      <c r="A20" s="162">
        <v>1058</v>
      </c>
      <c r="B20" s="162" t="s">
        <v>1909</v>
      </c>
      <c r="D20" s="163" t="s">
        <v>64</v>
      </c>
      <c r="E20" s="168" t="s">
        <v>9044</v>
      </c>
      <c r="F20" s="171">
        <v>105</v>
      </c>
      <c r="G20" s="172"/>
      <c r="H20" s="170" t="s">
        <v>10014</v>
      </c>
      <c r="I20" s="167" t="str">
        <f>IF(Plan_Comptable[[#This Row],[Sous-compte]]="","",LEFT(Plan_Comptable[[#This Row],[Sous-compte]]&amp;"00",4))</f>
        <v/>
      </c>
      <c r="J20" s="167"/>
    </row>
    <row r="21" spans="1:10" ht="15" customHeight="1">
      <c r="A21" s="162">
        <v>1061</v>
      </c>
      <c r="B21" s="162" t="s">
        <v>10015</v>
      </c>
      <c r="D21" s="163" t="s">
        <v>64</v>
      </c>
      <c r="E21" s="168" t="s">
        <v>9044</v>
      </c>
      <c r="F21" s="168" t="s">
        <v>10016</v>
      </c>
      <c r="G21" s="169">
        <v>1051</v>
      </c>
      <c r="H21" s="170" t="s">
        <v>1905</v>
      </c>
      <c r="I21" s="167" t="str">
        <f>IF(Plan_Comptable[[#This Row],[Sous-compte]]="","",LEFT(Plan_Comptable[[#This Row],[Sous-compte]]&amp;"00",4))</f>
        <v>1051</v>
      </c>
      <c r="J21" s="167"/>
    </row>
    <row r="22" spans="1:10" ht="15" customHeight="1">
      <c r="A22" s="162">
        <v>1062</v>
      </c>
      <c r="B22" s="162" t="s">
        <v>10017</v>
      </c>
      <c r="D22" s="163" t="s">
        <v>64</v>
      </c>
      <c r="E22" s="168" t="s">
        <v>9044</v>
      </c>
      <c r="F22" s="168" t="s">
        <v>10016</v>
      </c>
      <c r="G22" s="169">
        <v>1052</v>
      </c>
      <c r="H22" s="170" t="s">
        <v>10011</v>
      </c>
      <c r="I22" s="167" t="str">
        <f>IF(Plan_Comptable[[#This Row],[Sous-compte]]="","",LEFT(Plan_Comptable[[#This Row],[Sous-compte]]&amp;"00",4))</f>
        <v>1052</v>
      </c>
      <c r="J22" s="167"/>
    </row>
    <row r="23" spans="1:10" ht="15" customHeight="1">
      <c r="A23" s="162">
        <v>109</v>
      </c>
      <c r="B23" s="162" t="s">
        <v>10018</v>
      </c>
      <c r="D23" s="163" t="s">
        <v>64</v>
      </c>
      <c r="E23" s="168" t="s">
        <v>9044</v>
      </c>
      <c r="F23" s="168" t="s">
        <v>10016</v>
      </c>
      <c r="G23" s="169">
        <v>1053</v>
      </c>
      <c r="H23" s="170" t="s">
        <v>10012</v>
      </c>
      <c r="I23" s="167" t="str">
        <f>IF(Plan_Comptable[[#This Row],[Sous-compte]]="","",LEFT(Plan_Comptable[[#This Row],[Sous-compte]]&amp;"00",4))</f>
        <v>1053</v>
      </c>
      <c r="J23" s="167"/>
    </row>
    <row r="24" spans="1:10" ht="15" customHeight="1">
      <c r="A24" s="162">
        <v>111</v>
      </c>
      <c r="B24" s="162" t="s">
        <v>10019</v>
      </c>
      <c r="D24" s="163" t="s">
        <v>64</v>
      </c>
      <c r="E24" s="168" t="s">
        <v>9044</v>
      </c>
      <c r="F24" s="168" t="s">
        <v>10016</v>
      </c>
      <c r="G24" s="169">
        <v>1054</v>
      </c>
      <c r="H24" s="170" t="s">
        <v>10013</v>
      </c>
      <c r="I24" s="167" t="str">
        <f>IF(Plan_Comptable[[#This Row],[Sous-compte]]="","",LEFT(Plan_Comptable[[#This Row],[Sous-compte]]&amp;"00",4))</f>
        <v>1054</v>
      </c>
      <c r="J24" s="167"/>
    </row>
    <row r="25" spans="1:10" ht="15" customHeight="1">
      <c r="A25" s="162">
        <v>112</v>
      </c>
      <c r="B25" s="162" t="s">
        <v>10020</v>
      </c>
      <c r="D25" s="163" t="s">
        <v>64</v>
      </c>
      <c r="E25" s="168" t="s">
        <v>9044</v>
      </c>
      <c r="F25" s="168" t="s">
        <v>10016</v>
      </c>
      <c r="G25" s="169">
        <v>1058</v>
      </c>
      <c r="H25" s="170" t="s">
        <v>1909</v>
      </c>
      <c r="I25" s="167" t="str">
        <f>IF(Plan_Comptable[[#This Row],[Sous-compte]]="","",LEFT(Plan_Comptable[[#This Row],[Sous-compte]]&amp;"00",4))</f>
        <v>1058</v>
      </c>
      <c r="J25" s="167"/>
    </row>
    <row r="26" spans="1:10" ht="15" customHeight="1">
      <c r="A26" s="162">
        <v>1131</v>
      </c>
      <c r="B26" s="162" t="s">
        <v>1913</v>
      </c>
      <c r="D26" s="163" t="s">
        <v>64</v>
      </c>
      <c r="E26" s="168" t="s">
        <v>9044</v>
      </c>
      <c r="F26" s="165">
        <v>106</v>
      </c>
      <c r="G26" s="169"/>
      <c r="H26" s="170" t="s">
        <v>10021</v>
      </c>
      <c r="I26" s="167" t="str">
        <f>IF(Plan_Comptable[[#This Row],[Sous-compte]]="","",LEFT(Plan_Comptable[[#This Row],[Sous-compte]]&amp;"00",4))</f>
        <v/>
      </c>
      <c r="J26" s="167"/>
    </row>
    <row r="27" spans="1:10" ht="15" customHeight="1">
      <c r="A27" s="162">
        <v>1132</v>
      </c>
      <c r="B27" s="162" t="s">
        <v>10022</v>
      </c>
      <c r="D27" s="163" t="s">
        <v>64</v>
      </c>
      <c r="E27" s="168" t="s">
        <v>9044</v>
      </c>
      <c r="F27" s="168" t="s">
        <v>10023</v>
      </c>
      <c r="G27" s="169">
        <v>1061</v>
      </c>
      <c r="H27" s="170" t="s">
        <v>10015</v>
      </c>
      <c r="I27" s="167" t="str">
        <f>IF(Plan_Comptable[[#This Row],[Sous-compte]]="","",LEFT(Plan_Comptable[[#This Row],[Sous-compte]]&amp;"00",4))</f>
        <v>1061</v>
      </c>
      <c r="J27" s="167"/>
    </row>
    <row r="28" spans="1:10" ht="15" customHeight="1">
      <c r="A28" s="162">
        <v>1133</v>
      </c>
      <c r="B28" s="162" t="s">
        <v>10024</v>
      </c>
      <c r="D28" s="163" t="s">
        <v>64</v>
      </c>
      <c r="E28" s="168" t="s">
        <v>9044</v>
      </c>
      <c r="F28" s="168" t="s">
        <v>10023</v>
      </c>
      <c r="G28" s="169">
        <v>1062</v>
      </c>
      <c r="H28" s="170" t="s">
        <v>10017</v>
      </c>
      <c r="I28" s="167" t="str">
        <f>IF(Plan_Comptable[[#This Row],[Sous-compte]]="","",LEFT(Plan_Comptable[[#This Row],[Sous-compte]]&amp;"00",4))</f>
        <v>1062</v>
      </c>
      <c r="J28" s="167"/>
    </row>
    <row r="29" spans="1:10" ht="15" customHeight="1">
      <c r="A29" s="162">
        <v>1134</v>
      </c>
      <c r="B29" s="162" t="s">
        <v>10025</v>
      </c>
      <c r="D29" s="163" t="s">
        <v>64</v>
      </c>
      <c r="E29" s="168" t="s">
        <v>9044</v>
      </c>
      <c r="F29" s="171">
        <v>109</v>
      </c>
      <c r="G29" s="172">
        <v>109</v>
      </c>
      <c r="H29" s="170" t="s">
        <v>10018</v>
      </c>
      <c r="I29" s="167" t="str">
        <f>IF(Plan_Comptable[[#This Row],[Sous-compte]]="","",LEFT(Plan_Comptable[[#This Row],[Sous-compte]]&amp;"00",4))</f>
        <v>1090</v>
      </c>
      <c r="J29" s="167"/>
    </row>
    <row r="30" spans="1:10" ht="15" customHeight="1">
      <c r="A30" s="162">
        <v>1138</v>
      </c>
      <c r="B30" s="162" t="s">
        <v>1915</v>
      </c>
      <c r="D30" s="163" t="s">
        <v>64</v>
      </c>
      <c r="E30" s="164">
        <v>11</v>
      </c>
      <c r="F30" s="165" t="s">
        <v>9941</v>
      </c>
      <c r="G30" s="165"/>
      <c r="H30" s="166" t="s">
        <v>10026</v>
      </c>
      <c r="I30" s="167" t="str">
        <f>IF(Plan_Comptable[[#This Row],[Sous-compte]]="","",LEFT(Plan_Comptable[[#This Row],[Sous-compte]]&amp;"00",4))</f>
        <v/>
      </c>
      <c r="J30" s="167"/>
    </row>
    <row r="31" spans="1:10" ht="15" customHeight="1">
      <c r="A31" s="162">
        <v>1181</v>
      </c>
      <c r="B31" s="162" t="s">
        <v>10027</v>
      </c>
      <c r="D31" s="163" t="s">
        <v>64</v>
      </c>
      <c r="E31" s="168" t="s">
        <v>9045</v>
      </c>
      <c r="F31" s="165">
        <v>111</v>
      </c>
      <c r="G31" s="169">
        <v>111</v>
      </c>
      <c r="H31" s="170" t="s">
        <v>10019</v>
      </c>
      <c r="I31" s="167" t="str">
        <f>IF(Plan_Comptable[[#This Row],[Sous-compte]]="","",LEFT(Plan_Comptable[[#This Row],[Sous-compte]]&amp;"00",4))</f>
        <v>1110</v>
      </c>
      <c r="J31" s="167"/>
    </row>
    <row r="32" spans="1:10" ht="15" customHeight="1">
      <c r="A32" s="162">
        <v>1188</v>
      </c>
      <c r="B32" s="162" t="s">
        <v>10028</v>
      </c>
      <c r="D32" s="163" t="s">
        <v>64</v>
      </c>
      <c r="E32" s="168" t="s">
        <v>9045</v>
      </c>
      <c r="F32" s="165">
        <v>112</v>
      </c>
      <c r="G32" s="169">
        <v>112</v>
      </c>
      <c r="H32" s="170" t="s">
        <v>10020</v>
      </c>
      <c r="I32" s="167" t="str">
        <f>IF(Plan_Comptable[[#This Row],[Sous-compte]]="","",LEFT(Plan_Comptable[[#This Row],[Sous-compte]]&amp;"00",4))</f>
        <v>1120</v>
      </c>
      <c r="J32" s="167"/>
    </row>
    <row r="33" spans="1:10" ht="15" customHeight="1">
      <c r="A33" s="162">
        <v>121</v>
      </c>
      <c r="B33" s="162" t="s">
        <v>10029</v>
      </c>
      <c r="D33" s="163" t="s">
        <v>64</v>
      </c>
      <c r="E33" s="168" t="s">
        <v>9045</v>
      </c>
      <c r="F33" s="165">
        <v>113</v>
      </c>
      <c r="G33" s="169"/>
      <c r="H33" s="170" t="s">
        <v>10030</v>
      </c>
      <c r="I33" s="167" t="str">
        <f>IF(Plan_Comptable[[#This Row],[Sous-compte]]="","",LEFT(Plan_Comptable[[#This Row],[Sous-compte]]&amp;"00",4))</f>
        <v/>
      </c>
      <c r="J33" s="167"/>
    </row>
    <row r="34" spans="1:10" ht="15" customHeight="1">
      <c r="A34" s="162">
        <v>1291</v>
      </c>
      <c r="B34" s="162" t="s">
        <v>10031</v>
      </c>
      <c r="D34" s="163" t="s">
        <v>64</v>
      </c>
      <c r="E34" s="168" t="s">
        <v>9045</v>
      </c>
      <c r="F34" s="168" t="s">
        <v>10032</v>
      </c>
      <c r="G34" s="169">
        <v>1131</v>
      </c>
      <c r="H34" s="170" t="s">
        <v>1913</v>
      </c>
      <c r="I34" s="167" t="str">
        <f>IF(Plan_Comptable[[#This Row],[Sous-compte]]="","",LEFT(Plan_Comptable[[#This Row],[Sous-compte]]&amp;"00",4))</f>
        <v>1131</v>
      </c>
      <c r="J34" s="167"/>
    </row>
    <row r="35" spans="1:10" ht="15" customHeight="1">
      <c r="A35" s="162">
        <v>1292</v>
      </c>
      <c r="B35" s="162" t="s">
        <v>10033</v>
      </c>
      <c r="D35" s="163" t="s">
        <v>64</v>
      </c>
      <c r="E35" s="168" t="s">
        <v>9045</v>
      </c>
      <c r="F35" s="168" t="s">
        <v>10032</v>
      </c>
      <c r="G35" s="173">
        <v>1132</v>
      </c>
      <c r="H35" s="174" t="s">
        <v>10022</v>
      </c>
      <c r="I35" s="167" t="str">
        <f>IF(Plan_Comptable[[#This Row],[Sous-compte]]="","",LEFT(Plan_Comptable[[#This Row],[Sous-compte]]&amp;"00",4))</f>
        <v>1132</v>
      </c>
      <c r="J35" s="167"/>
    </row>
    <row r="36" spans="1:10" ht="15" customHeight="1">
      <c r="A36" s="162">
        <v>1301</v>
      </c>
      <c r="B36" s="162" t="s">
        <v>10034</v>
      </c>
      <c r="D36" s="163" t="s">
        <v>64</v>
      </c>
      <c r="E36" s="168" t="s">
        <v>9045</v>
      </c>
      <c r="F36" s="168" t="s">
        <v>10032</v>
      </c>
      <c r="G36" s="169">
        <v>1133</v>
      </c>
      <c r="H36" s="170" t="s">
        <v>10024</v>
      </c>
      <c r="I36" s="167" t="str">
        <f>IF(Plan_Comptable[[#This Row],[Sous-compte]]="","",LEFT(Plan_Comptable[[#This Row],[Sous-compte]]&amp;"00",4))</f>
        <v>1133</v>
      </c>
      <c r="J36" s="167"/>
    </row>
    <row r="37" spans="1:10" ht="15" customHeight="1">
      <c r="A37" s="162">
        <v>1309</v>
      </c>
      <c r="B37" s="162" t="s">
        <v>10035</v>
      </c>
      <c r="D37" s="163" t="s">
        <v>64</v>
      </c>
      <c r="E37" s="168" t="s">
        <v>9045</v>
      </c>
      <c r="F37" s="168" t="s">
        <v>10032</v>
      </c>
      <c r="G37" s="173">
        <v>1134</v>
      </c>
      <c r="H37" s="175" t="s">
        <v>10025</v>
      </c>
      <c r="I37" s="167" t="str">
        <f>IF(Plan_Comptable[[#This Row],[Sous-compte]]="","",LEFT(Plan_Comptable[[#This Row],[Sous-compte]]&amp;"00",4))</f>
        <v>1134</v>
      </c>
      <c r="J37" s="167"/>
    </row>
    <row r="38" spans="1:10" ht="15" customHeight="1">
      <c r="A38" s="162">
        <v>131</v>
      </c>
      <c r="B38" s="162" t="s">
        <v>10036</v>
      </c>
      <c r="D38" s="163" t="s">
        <v>64</v>
      </c>
      <c r="E38" s="168" t="s">
        <v>9045</v>
      </c>
      <c r="F38" s="168" t="s">
        <v>10032</v>
      </c>
      <c r="G38" s="169">
        <v>1138</v>
      </c>
      <c r="H38" s="170" t="s">
        <v>1915</v>
      </c>
      <c r="I38" s="167" t="str">
        <f>IF(Plan_Comptable[[#This Row],[Sous-compte]]="","",LEFT(Plan_Comptable[[#This Row],[Sous-compte]]&amp;"00",4))</f>
        <v>1138</v>
      </c>
      <c r="J38" s="167"/>
    </row>
    <row r="39" spans="1:10" ht="15" customHeight="1">
      <c r="A39" s="162">
        <v>132</v>
      </c>
      <c r="B39" s="162" t="s">
        <v>10037</v>
      </c>
      <c r="D39" s="163" t="s">
        <v>64</v>
      </c>
      <c r="E39" s="168" t="s">
        <v>9045</v>
      </c>
      <c r="F39" s="165">
        <v>118</v>
      </c>
      <c r="G39" s="169"/>
      <c r="H39" s="170" t="s">
        <v>10038</v>
      </c>
      <c r="I39" s="167" t="str">
        <f>IF(Plan_Comptable[[#This Row],[Sous-compte]]="","",LEFT(Plan_Comptable[[#This Row],[Sous-compte]]&amp;"00",4))</f>
        <v/>
      </c>
      <c r="J39" s="167"/>
    </row>
    <row r="40" spans="1:10" ht="15" customHeight="1">
      <c r="A40" s="162">
        <v>133</v>
      </c>
      <c r="B40" s="162" t="s">
        <v>10039</v>
      </c>
      <c r="D40" s="163" t="s">
        <v>64</v>
      </c>
      <c r="E40" s="168" t="s">
        <v>9045</v>
      </c>
      <c r="F40" s="168" t="s">
        <v>10040</v>
      </c>
      <c r="G40" s="169">
        <v>1181</v>
      </c>
      <c r="H40" s="170" t="s">
        <v>10027</v>
      </c>
      <c r="I40" s="167" t="str">
        <f>IF(Plan_Comptable[[#This Row],[Sous-compte]]="","",LEFT(Plan_Comptable[[#This Row],[Sous-compte]]&amp;"00",4))</f>
        <v>1181</v>
      </c>
      <c r="J40" s="167"/>
    </row>
    <row r="41" spans="1:10" ht="15" customHeight="1">
      <c r="A41" s="162">
        <v>134</v>
      </c>
      <c r="B41" s="162" t="s">
        <v>10041</v>
      </c>
      <c r="D41" s="163" t="s">
        <v>64</v>
      </c>
      <c r="E41" s="168" t="s">
        <v>9045</v>
      </c>
      <c r="F41" s="168" t="s">
        <v>10040</v>
      </c>
      <c r="G41" s="169">
        <v>1188</v>
      </c>
      <c r="H41" s="170" t="s">
        <v>10028</v>
      </c>
      <c r="I41" s="167" t="str">
        <f>IF(Plan_Comptable[[#This Row],[Sous-compte]]="","",LEFT(Plan_Comptable[[#This Row],[Sous-compte]]&amp;"00",4))</f>
        <v>1188</v>
      </c>
      <c r="J41" s="167"/>
    </row>
    <row r="42" spans="1:10" ht="15" customHeight="1">
      <c r="A42" s="162">
        <v>135</v>
      </c>
      <c r="B42" s="162" t="s">
        <v>10042</v>
      </c>
      <c r="D42" s="163" t="s">
        <v>64</v>
      </c>
      <c r="E42" s="164">
        <v>12</v>
      </c>
      <c r="F42" s="165" t="s">
        <v>9941</v>
      </c>
      <c r="G42" s="165"/>
      <c r="H42" s="166" t="s">
        <v>10043</v>
      </c>
      <c r="I42" s="167" t="str">
        <f>IF(Plan_Comptable[[#This Row],[Sous-compte]]="","",LEFT(Plan_Comptable[[#This Row],[Sous-compte]]&amp;"00",4))</f>
        <v/>
      </c>
      <c r="J42" s="167"/>
    </row>
    <row r="43" spans="1:10" ht="15" customHeight="1">
      <c r="A43" s="162">
        <v>136</v>
      </c>
      <c r="B43" s="162" t="s">
        <v>10044</v>
      </c>
      <c r="D43" s="163" t="s">
        <v>64</v>
      </c>
      <c r="E43" s="168" t="s">
        <v>9046</v>
      </c>
      <c r="F43" s="165">
        <v>121</v>
      </c>
      <c r="G43" s="169">
        <v>121</v>
      </c>
      <c r="H43" s="170" t="s">
        <v>10029</v>
      </c>
      <c r="I43" s="167" t="str">
        <f>IF(Plan_Comptable[[#This Row],[Sous-compte]]="","",LEFT(Plan_Comptable[[#This Row],[Sous-compte]]&amp;"00",4))</f>
        <v>1210</v>
      </c>
      <c r="J43" s="167"/>
    </row>
    <row r="44" spans="1:10" ht="15" customHeight="1">
      <c r="A44" s="162">
        <v>137</v>
      </c>
      <c r="B44" s="162" t="s">
        <v>10045</v>
      </c>
      <c r="D44" s="163" t="s">
        <v>64</v>
      </c>
      <c r="E44" s="168" t="s">
        <v>9046</v>
      </c>
      <c r="F44" s="168">
        <v>129</v>
      </c>
      <c r="G44" s="176"/>
      <c r="H44" s="167" t="s">
        <v>10046</v>
      </c>
      <c r="I44" s="167" t="str">
        <f>IF(Plan_Comptable[[#This Row],[Sous-compte]]="","",LEFT(Plan_Comptable[[#This Row],[Sous-compte]]&amp;"00",4))</f>
        <v/>
      </c>
      <c r="J44" s="167"/>
    </row>
    <row r="45" spans="1:10" ht="15" customHeight="1">
      <c r="A45" s="162">
        <v>1381</v>
      </c>
      <c r="B45" s="162" t="s">
        <v>10047</v>
      </c>
      <c r="D45" s="163" t="s">
        <v>64</v>
      </c>
      <c r="E45" s="168" t="s">
        <v>9046</v>
      </c>
      <c r="F45" s="168" t="s">
        <v>10048</v>
      </c>
      <c r="G45" s="176">
        <v>1291</v>
      </c>
      <c r="H45" s="167" t="s">
        <v>10031</v>
      </c>
      <c r="I45" s="167" t="str">
        <f>IF(Plan_Comptable[[#This Row],[Sous-compte]]="","",LEFT(Plan_Comptable[[#This Row],[Sous-compte]]&amp;"00",4))</f>
        <v>1291</v>
      </c>
      <c r="J45" s="167"/>
    </row>
    <row r="46" spans="1:10" ht="15" customHeight="1">
      <c r="A46" s="162">
        <v>1382</v>
      </c>
      <c r="B46" s="162" t="s">
        <v>10049</v>
      </c>
      <c r="D46" s="163" t="s">
        <v>64</v>
      </c>
      <c r="E46" s="168" t="s">
        <v>9046</v>
      </c>
      <c r="F46" s="168" t="s">
        <v>10048</v>
      </c>
      <c r="G46" s="176">
        <v>1292</v>
      </c>
      <c r="H46" s="167" t="s">
        <v>10033</v>
      </c>
      <c r="I46" s="167" t="str">
        <f>IF(Plan_Comptable[[#This Row],[Sous-compte]]="","",LEFT(Plan_Comptable[[#This Row],[Sous-compte]]&amp;"00",4))</f>
        <v>1292</v>
      </c>
      <c r="J46" s="167"/>
    </row>
    <row r="47" spans="1:10" ht="15" customHeight="1">
      <c r="A47" s="162">
        <v>1383</v>
      </c>
      <c r="B47" s="162" t="s">
        <v>10050</v>
      </c>
      <c r="D47" s="163" t="s">
        <v>64</v>
      </c>
      <c r="E47" s="177">
        <v>13</v>
      </c>
      <c r="F47" s="168" t="s">
        <v>9941</v>
      </c>
      <c r="G47" s="168"/>
      <c r="H47" s="178" t="s">
        <v>10051</v>
      </c>
      <c r="I47" s="167" t="str">
        <f>IF(Plan_Comptable[[#This Row],[Sous-compte]]="","",LEFT(Plan_Comptable[[#This Row],[Sous-compte]]&amp;"00",4))</f>
        <v/>
      </c>
      <c r="J47" s="167"/>
    </row>
    <row r="48" spans="1:10" ht="15" customHeight="1">
      <c r="A48" s="162">
        <v>1384</v>
      </c>
      <c r="B48" s="162" t="s">
        <v>10052</v>
      </c>
      <c r="D48" s="163" t="s">
        <v>64</v>
      </c>
      <c r="E48" s="168" t="s">
        <v>9047</v>
      </c>
      <c r="F48" s="168">
        <v>130</v>
      </c>
      <c r="G48" s="176"/>
      <c r="H48" s="167" t="s">
        <v>10053</v>
      </c>
      <c r="I48" s="167" t="str">
        <f>IF(Plan_Comptable[[#This Row],[Sous-compte]]="","",LEFT(Plan_Comptable[[#This Row],[Sous-compte]]&amp;"00",4))</f>
        <v/>
      </c>
      <c r="J48" s="167"/>
    </row>
    <row r="49" spans="1:10" ht="15" customHeight="1">
      <c r="A49" s="162">
        <v>139</v>
      </c>
      <c r="B49" s="162" t="s">
        <v>10054</v>
      </c>
      <c r="D49" s="163" t="s">
        <v>64</v>
      </c>
      <c r="E49" s="168" t="s">
        <v>9047</v>
      </c>
      <c r="F49" s="168" t="s">
        <v>10055</v>
      </c>
      <c r="G49" s="176">
        <v>1301</v>
      </c>
      <c r="H49" s="167" t="s">
        <v>10034</v>
      </c>
      <c r="I49" s="167" t="str">
        <f>IF(Plan_Comptable[[#This Row],[Sous-compte]]="","",LEFT(Plan_Comptable[[#This Row],[Sous-compte]]&amp;"00",4))</f>
        <v>1301</v>
      </c>
      <c r="J49" s="167"/>
    </row>
    <row r="50" spans="1:10" ht="15" customHeight="1">
      <c r="A50" s="162">
        <v>1411</v>
      </c>
      <c r="B50" s="162" t="s">
        <v>1557</v>
      </c>
      <c r="D50" s="163" t="s">
        <v>64</v>
      </c>
      <c r="E50" s="168" t="s">
        <v>9047</v>
      </c>
      <c r="F50" s="168" t="s">
        <v>10055</v>
      </c>
      <c r="G50" s="176">
        <v>1309</v>
      </c>
      <c r="H50" s="167" t="s">
        <v>10035</v>
      </c>
      <c r="I50" s="167" t="str">
        <f>IF(Plan_Comptable[[#This Row],[Sous-compte]]="","",LEFT(Plan_Comptable[[#This Row],[Sous-compte]]&amp;"00",4))</f>
        <v>1309</v>
      </c>
      <c r="J50" s="167"/>
    </row>
    <row r="51" spans="1:10" ht="15" customHeight="1">
      <c r="A51" s="162">
        <v>1412</v>
      </c>
      <c r="B51" s="162" t="s">
        <v>1928</v>
      </c>
      <c r="D51" s="163" t="s">
        <v>64</v>
      </c>
      <c r="E51" s="168" t="s">
        <v>9047</v>
      </c>
      <c r="F51" s="168">
        <v>131</v>
      </c>
      <c r="G51" s="176">
        <v>131</v>
      </c>
      <c r="H51" s="167" t="s">
        <v>10036</v>
      </c>
      <c r="I51" s="167" t="str">
        <f>IF(Plan_Comptable[[#This Row],[Sous-compte]]="","",LEFT(Plan_Comptable[[#This Row],[Sous-compte]]&amp;"00",4))</f>
        <v>1310</v>
      </c>
      <c r="J51" s="167"/>
    </row>
    <row r="52" spans="1:10" ht="15" customHeight="1">
      <c r="A52" s="162">
        <v>1413</v>
      </c>
      <c r="B52" s="162" t="s">
        <v>1929</v>
      </c>
      <c r="D52" s="163" t="s">
        <v>64</v>
      </c>
      <c r="E52" s="168" t="s">
        <v>9047</v>
      </c>
      <c r="F52" s="171">
        <v>132</v>
      </c>
      <c r="G52" s="172">
        <v>132</v>
      </c>
      <c r="H52" s="179" t="s">
        <v>10037</v>
      </c>
      <c r="I52" s="167" t="str">
        <f>IF(Plan_Comptable[[#This Row],[Sous-compte]]="","",LEFT(Plan_Comptable[[#This Row],[Sous-compte]]&amp;"00",4))</f>
        <v>1320</v>
      </c>
      <c r="J52" s="167"/>
    </row>
    <row r="53" spans="1:10" ht="15" customHeight="1">
      <c r="A53" s="162">
        <v>1414</v>
      </c>
      <c r="B53" s="162" t="s">
        <v>1930</v>
      </c>
      <c r="D53" s="163" t="s">
        <v>64</v>
      </c>
      <c r="E53" s="168" t="s">
        <v>9047</v>
      </c>
      <c r="F53" s="168">
        <v>133</v>
      </c>
      <c r="G53" s="176">
        <v>133</v>
      </c>
      <c r="H53" s="167" t="s">
        <v>10039</v>
      </c>
      <c r="I53" s="167" t="str">
        <f>IF(Plan_Comptable[[#This Row],[Sous-compte]]="","",LEFT(Plan_Comptable[[#This Row],[Sous-compte]]&amp;"00",4))</f>
        <v>1330</v>
      </c>
      <c r="J53" s="167"/>
    </row>
    <row r="54" spans="1:10" ht="15" customHeight="1">
      <c r="A54" s="162">
        <v>1415</v>
      </c>
      <c r="B54" s="162" t="s">
        <v>1931</v>
      </c>
      <c r="D54" s="163" t="s">
        <v>64</v>
      </c>
      <c r="E54" s="168" t="s">
        <v>9047</v>
      </c>
      <c r="F54" s="168">
        <v>134</v>
      </c>
      <c r="G54" s="176">
        <v>134</v>
      </c>
      <c r="H54" s="167" t="s">
        <v>10041</v>
      </c>
      <c r="I54" s="167" t="str">
        <f>IF(Plan_Comptable[[#This Row],[Sous-compte]]="","",LEFT(Plan_Comptable[[#This Row],[Sous-compte]]&amp;"00",4))</f>
        <v>1340</v>
      </c>
      <c r="J54" s="167"/>
    </row>
    <row r="55" spans="1:10" ht="15" customHeight="1">
      <c r="A55" s="162">
        <v>1416</v>
      </c>
      <c r="B55" s="162" t="s">
        <v>1932</v>
      </c>
      <c r="D55" s="163" t="s">
        <v>64</v>
      </c>
      <c r="E55" s="168" t="s">
        <v>9047</v>
      </c>
      <c r="F55" s="168">
        <v>135</v>
      </c>
      <c r="G55" s="176">
        <v>135</v>
      </c>
      <c r="H55" s="167" t="s">
        <v>10042</v>
      </c>
      <c r="I55" s="167" t="str">
        <f>IF(Plan_Comptable[[#This Row],[Sous-compte]]="","",LEFT(Plan_Comptable[[#This Row],[Sous-compte]]&amp;"00",4))</f>
        <v>1350</v>
      </c>
      <c r="J55" s="167"/>
    </row>
    <row r="56" spans="1:10" ht="15" customHeight="1">
      <c r="A56" s="162">
        <v>1417</v>
      </c>
      <c r="B56" s="162" t="s">
        <v>1558</v>
      </c>
      <c r="D56" s="163" t="s">
        <v>64</v>
      </c>
      <c r="E56" s="168" t="s">
        <v>9047</v>
      </c>
      <c r="F56" s="168">
        <v>136</v>
      </c>
      <c r="G56" s="176">
        <v>136</v>
      </c>
      <c r="H56" s="167" t="s">
        <v>10044</v>
      </c>
      <c r="I56" s="167" t="str">
        <f>IF(Plan_Comptable[[#This Row],[Sous-compte]]="","",LEFT(Plan_Comptable[[#This Row],[Sous-compte]]&amp;"00",4))</f>
        <v>1360</v>
      </c>
      <c r="J56" s="167"/>
    </row>
    <row r="57" spans="1:10" ht="15" customHeight="1">
      <c r="A57" s="162">
        <v>1418</v>
      </c>
      <c r="B57" s="162" t="s">
        <v>1933</v>
      </c>
      <c r="D57" s="163" t="s">
        <v>64</v>
      </c>
      <c r="E57" s="168" t="s">
        <v>9047</v>
      </c>
      <c r="F57" s="168">
        <v>137</v>
      </c>
      <c r="G57" s="176">
        <v>137</v>
      </c>
      <c r="H57" s="167" t="s">
        <v>10045</v>
      </c>
      <c r="I57" s="167" t="str">
        <f>IF(Plan_Comptable[[#This Row],[Sous-compte]]="","",LEFT(Plan_Comptable[[#This Row],[Sous-compte]]&amp;"00",4))</f>
        <v>1370</v>
      </c>
      <c r="J57" s="167"/>
    </row>
    <row r="58" spans="1:10" ht="15" customHeight="1">
      <c r="A58" s="162">
        <v>148</v>
      </c>
      <c r="B58" s="162" t="s">
        <v>10056</v>
      </c>
      <c r="D58" s="163" t="s">
        <v>64</v>
      </c>
      <c r="E58" s="168" t="s">
        <v>9047</v>
      </c>
      <c r="F58" s="168">
        <v>138</v>
      </c>
      <c r="G58" s="176"/>
      <c r="H58" s="167" t="s">
        <v>10057</v>
      </c>
      <c r="I58" s="167" t="str">
        <f>IF(Plan_Comptable[[#This Row],[Sous-compte]]="","",LEFT(Plan_Comptable[[#This Row],[Sous-compte]]&amp;"00",4))</f>
        <v/>
      </c>
      <c r="J58" s="167"/>
    </row>
    <row r="59" spans="1:10" ht="15" customHeight="1">
      <c r="A59" s="162">
        <v>151</v>
      </c>
      <c r="B59" s="162" t="s">
        <v>10058</v>
      </c>
      <c r="D59" s="163" t="s">
        <v>64</v>
      </c>
      <c r="E59" s="168" t="s">
        <v>9047</v>
      </c>
      <c r="F59" s="168" t="s">
        <v>10059</v>
      </c>
      <c r="G59" s="173">
        <v>1381</v>
      </c>
      <c r="H59" s="175" t="s">
        <v>10047</v>
      </c>
      <c r="I59" s="167" t="str">
        <f>IF(Plan_Comptable[[#This Row],[Sous-compte]]="","",LEFT(Plan_Comptable[[#This Row],[Sous-compte]]&amp;"00",4))</f>
        <v>1381</v>
      </c>
      <c r="J59" s="167"/>
    </row>
    <row r="60" spans="1:10" ht="15" customHeight="1">
      <c r="A60" s="162">
        <v>152</v>
      </c>
      <c r="B60" s="162" t="s">
        <v>10060</v>
      </c>
      <c r="D60" s="163" t="s">
        <v>64</v>
      </c>
      <c r="E60" s="168" t="s">
        <v>9047</v>
      </c>
      <c r="F60" s="168" t="s">
        <v>10059</v>
      </c>
      <c r="G60" s="173">
        <v>1382</v>
      </c>
      <c r="H60" s="175" t="s">
        <v>10049</v>
      </c>
      <c r="I60" s="167" t="str">
        <f>IF(Plan_Comptable[[#This Row],[Sous-compte]]="","",LEFT(Plan_Comptable[[#This Row],[Sous-compte]]&amp;"00",4))</f>
        <v>1382</v>
      </c>
      <c r="J60" s="167"/>
    </row>
    <row r="61" spans="1:10" ht="15" customHeight="1">
      <c r="A61" s="162">
        <v>1531</v>
      </c>
      <c r="B61" s="162" t="s">
        <v>10061</v>
      </c>
      <c r="D61" s="163" t="s">
        <v>64</v>
      </c>
      <c r="E61" s="168" t="s">
        <v>9047</v>
      </c>
      <c r="F61" s="168" t="s">
        <v>10059</v>
      </c>
      <c r="G61" s="173">
        <v>1383</v>
      </c>
      <c r="H61" s="175" t="s">
        <v>10050</v>
      </c>
      <c r="I61" s="167" t="str">
        <f>IF(Plan_Comptable[[#This Row],[Sous-compte]]="","",LEFT(Plan_Comptable[[#This Row],[Sous-compte]]&amp;"00",4))</f>
        <v>1383</v>
      </c>
      <c r="J61" s="167"/>
    </row>
    <row r="62" spans="1:10" ht="15" customHeight="1">
      <c r="A62" s="162">
        <v>1532</v>
      </c>
      <c r="B62" s="162" t="s">
        <v>10062</v>
      </c>
      <c r="D62" s="163" t="s">
        <v>64</v>
      </c>
      <c r="E62" s="168" t="s">
        <v>9047</v>
      </c>
      <c r="F62" s="168" t="s">
        <v>10059</v>
      </c>
      <c r="G62" s="173">
        <v>1384</v>
      </c>
      <c r="H62" s="175" t="s">
        <v>10052</v>
      </c>
      <c r="I62" s="167" t="str">
        <f>IF(Plan_Comptable[[#This Row],[Sous-compte]]="","",LEFT(Plan_Comptable[[#This Row],[Sous-compte]]&amp;"00",4))</f>
        <v>1384</v>
      </c>
      <c r="J62" s="167"/>
    </row>
    <row r="63" spans="1:10" ht="15" customHeight="1">
      <c r="A63" s="162">
        <v>154</v>
      </c>
      <c r="B63" s="162" t="s">
        <v>10063</v>
      </c>
      <c r="D63" s="163" t="s">
        <v>64</v>
      </c>
      <c r="E63" s="168" t="s">
        <v>9047</v>
      </c>
      <c r="F63" s="168">
        <v>139</v>
      </c>
      <c r="G63" s="176">
        <v>139</v>
      </c>
      <c r="H63" s="167" t="s">
        <v>10054</v>
      </c>
      <c r="I63" s="167" t="str">
        <f>IF(Plan_Comptable[[#This Row],[Sous-compte]]="","",LEFT(Plan_Comptable[[#This Row],[Sous-compte]]&amp;"00",4))</f>
        <v>1390</v>
      </c>
      <c r="J63" s="167"/>
    </row>
    <row r="64" spans="1:10" ht="15" customHeight="1">
      <c r="A64" s="162">
        <v>155</v>
      </c>
      <c r="B64" s="162" t="s">
        <v>10064</v>
      </c>
      <c r="D64" s="163" t="s">
        <v>64</v>
      </c>
      <c r="E64" s="180">
        <v>14</v>
      </c>
      <c r="F64" s="168" t="s">
        <v>9941</v>
      </c>
      <c r="G64" s="168"/>
      <c r="H64" s="178" t="s">
        <v>10065</v>
      </c>
      <c r="I64" s="167" t="str">
        <f>IF(Plan_Comptable[[#This Row],[Sous-compte]]="","",LEFT(Plan_Comptable[[#This Row],[Sous-compte]]&amp;"00",4))</f>
        <v/>
      </c>
      <c r="J64" s="167"/>
    </row>
    <row r="65" spans="1:10" ht="15" customHeight="1">
      <c r="A65" s="162">
        <v>1551</v>
      </c>
      <c r="B65" s="162" t="s">
        <v>10066</v>
      </c>
      <c r="D65" s="163" t="s">
        <v>64</v>
      </c>
      <c r="E65" s="168" t="s">
        <v>9048</v>
      </c>
      <c r="F65" s="171">
        <v>141</v>
      </c>
      <c r="G65" s="172"/>
      <c r="H65" s="179" t="s">
        <v>10067</v>
      </c>
      <c r="I65" s="167" t="str">
        <f>IF(Plan_Comptable[[#This Row],[Sous-compte]]="","",LEFT(Plan_Comptable[[#This Row],[Sous-compte]]&amp;"00",4))</f>
        <v/>
      </c>
      <c r="J65" s="167"/>
    </row>
    <row r="66" spans="1:10" ht="15" customHeight="1">
      <c r="A66" s="162">
        <v>1561</v>
      </c>
      <c r="B66" s="162" t="s">
        <v>10068</v>
      </c>
      <c r="D66" s="163" t="s">
        <v>64</v>
      </c>
      <c r="E66" s="168" t="s">
        <v>9048</v>
      </c>
      <c r="F66" s="168" t="s">
        <v>10069</v>
      </c>
      <c r="G66" s="176">
        <v>1411</v>
      </c>
      <c r="H66" s="167" t="s">
        <v>1557</v>
      </c>
      <c r="I66" s="167" t="str">
        <f>IF(Plan_Comptable[[#This Row],[Sous-compte]]="","",LEFT(Plan_Comptable[[#This Row],[Sous-compte]]&amp;"00",4))</f>
        <v>1411</v>
      </c>
      <c r="J66" s="167"/>
    </row>
    <row r="67" spans="1:10" ht="15" customHeight="1">
      <c r="A67" s="162">
        <v>1562</v>
      </c>
      <c r="B67" s="162" t="s">
        <v>10070</v>
      </c>
      <c r="D67" s="163" t="s">
        <v>64</v>
      </c>
      <c r="E67" s="168" t="s">
        <v>9048</v>
      </c>
      <c r="F67" s="168" t="s">
        <v>10069</v>
      </c>
      <c r="G67" s="176">
        <v>1412</v>
      </c>
      <c r="H67" s="167" t="s">
        <v>1928</v>
      </c>
      <c r="I67" s="167" t="str">
        <f>IF(Plan_Comptable[[#This Row],[Sous-compte]]="","",LEFT(Plan_Comptable[[#This Row],[Sous-compte]]&amp;"00",4))</f>
        <v>1412</v>
      </c>
      <c r="J67" s="167"/>
    </row>
    <row r="68" spans="1:10" ht="15" customHeight="1">
      <c r="A68" s="162">
        <v>157</v>
      </c>
      <c r="B68" s="162" t="s">
        <v>10071</v>
      </c>
      <c r="D68" s="163" t="s">
        <v>64</v>
      </c>
      <c r="E68" s="168" t="s">
        <v>9048</v>
      </c>
      <c r="F68" s="168" t="s">
        <v>10069</v>
      </c>
      <c r="G68" s="176">
        <v>1413</v>
      </c>
      <c r="H68" s="167" t="s">
        <v>1929</v>
      </c>
      <c r="I68" s="167" t="str">
        <f>IF(Plan_Comptable[[#This Row],[Sous-compte]]="","",LEFT(Plan_Comptable[[#This Row],[Sous-compte]]&amp;"00",4))</f>
        <v>1413</v>
      </c>
      <c r="J68" s="167"/>
    </row>
    <row r="69" spans="1:10" ht="15" customHeight="1">
      <c r="A69" s="162">
        <v>158</v>
      </c>
      <c r="B69" s="162" t="s">
        <v>10072</v>
      </c>
      <c r="D69" s="163" t="s">
        <v>64</v>
      </c>
      <c r="E69" s="168" t="s">
        <v>9048</v>
      </c>
      <c r="F69" s="168" t="s">
        <v>10069</v>
      </c>
      <c r="G69" s="176">
        <v>1414</v>
      </c>
      <c r="H69" s="167" t="s">
        <v>1930</v>
      </c>
      <c r="I69" s="167" t="str">
        <f>IF(Plan_Comptable[[#This Row],[Sous-compte]]="","",LEFT(Plan_Comptable[[#This Row],[Sous-compte]]&amp;"00",4))</f>
        <v>1414</v>
      </c>
      <c r="J69" s="167"/>
    </row>
    <row r="70" spans="1:10" ht="15" customHeight="1">
      <c r="A70" s="162">
        <v>1611</v>
      </c>
      <c r="B70" s="162" t="s">
        <v>10073</v>
      </c>
      <c r="D70" s="163" t="s">
        <v>64</v>
      </c>
      <c r="E70" s="168" t="s">
        <v>9048</v>
      </c>
      <c r="F70" s="168" t="s">
        <v>10069</v>
      </c>
      <c r="G70" s="172">
        <v>1415</v>
      </c>
      <c r="H70" s="179" t="s">
        <v>1931</v>
      </c>
      <c r="I70" s="167" t="str">
        <f>IF(Plan_Comptable[[#This Row],[Sous-compte]]="","",LEFT(Plan_Comptable[[#This Row],[Sous-compte]]&amp;"00",4))</f>
        <v>1415</v>
      </c>
      <c r="J70" s="167"/>
    </row>
    <row r="71" spans="1:10" ht="15" customHeight="1">
      <c r="A71" s="162">
        <v>1612</v>
      </c>
      <c r="B71" s="162" t="s">
        <v>10074</v>
      </c>
      <c r="D71" s="163" t="s">
        <v>64</v>
      </c>
      <c r="E71" s="168" t="s">
        <v>9048</v>
      </c>
      <c r="F71" s="168" t="s">
        <v>10069</v>
      </c>
      <c r="G71" s="172">
        <v>1416</v>
      </c>
      <c r="H71" s="179" t="s">
        <v>1932</v>
      </c>
      <c r="I71" s="167" t="str">
        <f>IF(Plan_Comptable[[#This Row],[Sous-compte]]="","",LEFT(Plan_Comptable[[#This Row],[Sous-compte]]&amp;"00",4))</f>
        <v>1416</v>
      </c>
      <c r="J71" s="167"/>
    </row>
    <row r="72" spans="1:10" ht="15" customHeight="1">
      <c r="A72" s="162">
        <v>1613</v>
      </c>
      <c r="B72" s="162" t="s">
        <v>10075</v>
      </c>
      <c r="D72" s="163" t="s">
        <v>64</v>
      </c>
      <c r="E72" s="168" t="s">
        <v>9048</v>
      </c>
      <c r="F72" s="168" t="s">
        <v>10069</v>
      </c>
      <c r="G72" s="176">
        <v>1417</v>
      </c>
      <c r="H72" s="167" t="s">
        <v>1558</v>
      </c>
      <c r="I72" s="167" t="str">
        <f>IF(Plan_Comptable[[#This Row],[Sous-compte]]="","",LEFT(Plan_Comptable[[#This Row],[Sous-compte]]&amp;"00",4))</f>
        <v>1417</v>
      </c>
      <c r="J72" s="167"/>
    </row>
    <row r="73" spans="1:10" ht="15" customHeight="1">
      <c r="A73" s="162">
        <v>1618</v>
      </c>
      <c r="B73" s="162" t="s">
        <v>1543</v>
      </c>
      <c r="D73" s="163" t="s">
        <v>64</v>
      </c>
      <c r="E73" s="168" t="s">
        <v>9048</v>
      </c>
      <c r="F73" s="168" t="s">
        <v>10069</v>
      </c>
      <c r="G73" s="176">
        <v>1418</v>
      </c>
      <c r="H73" s="167" t="s">
        <v>1933</v>
      </c>
      <c r="I73" s="167" t="str">
        <f>IF(Plan_Comptable[[#This Row],[Sous-compte]]="","",LEFT(Plan_Comptable[[#This Row],[Sous-compte]]&amp;"00",4))</f>
        <v>1418</v>
      </c>
      <c r="J73" s="167"/>
    </row>
    <row r="74" spans="1:10" ht="15" customHeight="1">
      <c r="A74" s="162">
        <v>162</v>
      </c>
      <c r="B74" s="162" t="s">
        <v>10076</v>
      </c>
      <c r="D74" s="163" t="s">
        <v>64</v>
      </c>
      <c r="E74" s="168" t="s">
        <v>9048</v>
      </c>
      <c r="F74" s="168">
        <v>148</v>
      </c>
      <c r="G74" s="176">
        <v>148</v>
      </c>
      <c r="H74" s="167" t="s">
        <v>10056</v>
      </c>
      <c r="I74" s="167" t="str">
        <f>IF(Plan_Comptable[[#This Row],[Sous-compte]]="","",LEFT(Plan_Comptable[[#This Row],[Sous-compte]]&amp;"00",4))</f>
        <v>1480</v>
      </c>
      <c r="J74" s="167"/>
    </row>
    <row r="75" spans="1:10" ht="15" customHeight="1">
      <c r="A75" s="162">
        <v>163</v>
      </c>
      <c r="B75" s="162" t="s">
        <v>10077</v>
      </c>
      <c r="D75" s="163" t="s">
        <v>64</v>
      </c>
      <c r="E75" s="180">
        <v>15</v>
      </c>
      <c r="F75" s="168" t="s">
        <v>9941</v>
      </c>
      <c r="G75" s="168"/>
      <c r="H75" s="178" t="s">
        <v>10078</v>
      </c>
      <c r="I75" s="167" t="str">
        <f>IF(Plan_Comptable[[#This Row],[Sous-compte]]="","",LEFT(Plan_Comptable[[#This Row],[Sous-compte]]&amp;"00",4))</f>
        <v/>
      </c>
      <c r="J75" s="167"/>
    </row>
    <row r="76" spans="1:10" ht="15" customHeight="1">
      <c r="A76" s="162">
        <v>164</v>
      </c>
      <c r="B76" s="162" t="s">
        <v>10079</v>
      </c>
      <c r="D76" s="163" t="s">
        <v>64</v>
      </c>
      <c r="E76" s="168" t="s">
        <v>9049</v>
      </c>
      <c r="F76" s="168">
        <v>151</v>
      </c>
      <c r="G76" s="176">
        <v>151</v>
      </c>
      <c r="H76" s="167" t="s">
        <v>10058</v>
      </c>
      <c r="I76" s="167" t="str">
        <f>IF(Plan_Comptable[[#This Row],[Sous-compte]]="","",LEFT(Plan_Comptable[[#This Row],[Sous-compte]]&amp;"00",4))</f>
        <v>1510</v>
      </c>
      <c r="J76" s="167"/>
    </row>
    <row r="77" spans="1:10" ht="15" customHeight="1">
      <c r="A77" s="162">
        <v>1651</v>
      </c>
      <c r="B77" s="162" t="s">
        <v>10080</v>
      </c>
      <c r="D77" s="163" t="s">
        <v>64</v>
      </c>
      <c r="E77" s="168" t="s">
        <v>9049</v>
      </c>
      <c r="F77" s="168">
        <v>152</v>
      </c>
      <c r="G77" s="176">
        <v>152</v>
      </c>
      <c r="H77" s="167" t="s">
        <v>10060</v>
      </c>
      <c r="I77" s="167" t="str">
        <f>IF(Plan_Comptable[[#This Row],[Sous-compte]]="","",LEFT(Plan_Comptable[[#This Row],[Sous-compte]]&amp;"00",4))</f>
        <v>1520</v>
      </c>
      <c r="J77" s="167"/>
    </row>
    <row r="78" spans="1:10" ht="15" customHeight="1">
      <c r="A78" s="162">
        <v>1652</v>
      </c>
      <c r="B78" s="162" t="s">
        <v>10081</v>
      </c>
      <c r="D78" s="163" t="s">
        <v>64</v>
      </c>
      <c r="E78" s="168" t="s">
        <v>9049</v>
      </c>
      <c r="F78" s="168">
        <v>153</v>
      </c>
      <c r="G78" s="176"/>
      <c r="H78" s="167" t="s">
        <v>10082</v>
      </c>
      <c r="I78" s="167" t="str">
        <f>IF(Plan_Comptable[[#This Row],[Sous-compte]]="","",LEFT(Plan_Comptable[[#This Row],[Sous-compte]]&amp;"00",4))</f>
        <v/>
      </c>
      <c r="J78" s="167"/>
    </row>
    <row r="79" spans="1:10" ht="15" customHeight="1">
      <c r="A79" s="162">
        <v>1661</v>
      </c>
      <c r="B79" s="162" t="s">
        <v>10083</v>
      </c>
      <c r="D79" s="163" t="s">
        <v>64</v>
      </c>
      <c r="E79" s="168" t="s">
        <v>9049</v>
      </c>
      <c r="F79" s="168" t="s">
        <v>10084</v>
      </c>
      <c r="G79" s="176">
        <v>1531</v>
      </c>
      <c r="H79" s="167" t="s">
        <v>10061</v>
      </c>
      <c r="I79" s="167" t="str">
        <f>IF(Plan_Comptable[[#This Row],[Sous-compte]]="","",LEFT(Plan_Comptable[[#This Row],[Sous-compte]]&amp;"00",4))</f>
        <v>1531</v>
      </c>
      <c r="J79" s="167"/>
    </row>
    <row r="80" spans="1:10" ht="15" customHeight="1">
      <c r="A80" s="162">
        <v>1662</v>
      </c>
      <c r="B80" s="162" t="s">
        <v>10085</v>
      </c>
      <c r="D80" s="163" t="s">
        <v>64</v>
      </c>
      <c r="E80" s="168" t="s">
        <v>9049</v>
      </c>
      <c r="F80" s="168" t="s">
        <v>10084</v>
      </c>
      <c r="G80" s="176">
        <v>1532</v>
      </c>
      <c r="H80" s="167" t="s">
        <v>10062</v>
      </c>
      <c r="I80" s="167" t="str">
        <f>IF(Plan_Comptable[[#This Row],[Sous-compte]]="","",LEFT(Plan_Comptable[[#This Row],[Sous-compte]]&amp;"00",4))</f>
        <v>1532</v>
      </c>
      <c r="J80" s="167"/>
    </row>
    <row r="81" spans="1:10" ht="15" customHeight="1">
      <c r="A81" s="162">
        <v>1663</v>
      </c>
      <c r="B81" s="162" t="s">
        <v>10086</v>
      </c>
      <c r="D81" s="163" t="s">
        <v>64</v>
      </c>
      <c r="E81" s="168" t="s">
        <v>9049</v>
      </c>
      <c r="F81" s="168">
        <v>154</v>
      </c>
      <c r="G81" s="176">
        <v>154</v>
      </c>
      <c r="H81" s="167" t="s">
        <v>10063</v>
      </c>
      <c r="I81" s="167" t="str">
        <f>IF(Plan_Comptable[[#This Row],[Sous-compte]]="","",LEFT(Plan_Comptable[[#This Row],[Sous-compte]]&amp;"00",4))</f>
        <v>1540</v>
      </c>
      <c r="J81" s="167"/>
    </row>
    <row r="82" spans="1:10" ht="15" customHeight="1">
      <c r="A82" s="162">
        <v>1664</v>
      </c>
      <c r="B82" s="162" t="s">
        <v>10087</v>
      </c>
      <c r="D82" s="163" t="s">
        <v>64</v>
      </c>
      <c r="E82" s="168" t="s">
        <v>9049</v>
      </c>
      <c r="F82" s="168">
        <v>155</v>
      </c>
      <c r="G82" s="176">
        <v>155</v>
      </c>
      <c r="H82" s="167" t="s">
        <v>10064</v>
      </c>
      <c r="I82" s="167" t="str">
        <f>IF(Plan_Comptable[[#This Row],[Sous-compte]]="","",LEFT(Plan_Comptable[[#This Row],[Sous-compte]]&amp;"00",4))</f>
        <v>1550</v>
      </c>
      <c r="J82" s="167"/>
    </row>
    <row r="83" spans="1:10" ht="15" customHeight="1">
      <c r="A83" s="162">
        <v>1665</v>
      </c>
      <c r="B83" s="162" t="s">
        <v>10088</v>
      </c>
      <c r="D83" s="163" t="s">
        <v>64</v>
      </c>
      <c r="E83" s="168" t="s">
        <v>9049</v>
      </c>
      <c r="F83" s="168" t="s">
        <v>10089</v>
      </c>
      <c r="G83" s="176">
        <v>1551</v>
      </c>
      <c r="H83" s="167" t="s">
        <v>10066</v>
      </c>
      <c r="I83" s="167" t="str">
        <f>IF(Plan_Comptable[[#This Row],[Sous-compte]]="","",LEFT(Plan_Comptable[[#This Row],[Sous-compte]]&amp;"00",4))</f>
        <v>1551</v>
      </c>
      <c r="J83" s="167"/>
    </row>
    <row r="84" spans="1:10" ht="15" customHeight="1">
      <c r="A84" s="162">
        <v>1667</v>
      </c>
      <c r="B84" s="162" t="s">
        <v>10090</v>
      </c>
      <c r="D84" s="163" t="s">
        <v>64</v>
      </c>
      <c r="E84" s="168" t="s">
        <v>9049</v>
      </c>
      <c r="F84" s="168">
        <v>156</v>
      </c>
      <c r="G84" s="176"/>
      <c r="H84" s="167" t="s">
        <v>10091</v>
      </c>
      <c r="I84" s="167" t="str">
        <f>IF(Plan_Comptable[[#This Row],[Sous-compte]]="","",LEFT(Plan_Comptable[[#This Row],[Sous-compte]]&amp;"00",4))</f>
        <v/>
      </c>
      <c r="J84" s="167"/>
    </row>
    <row r="85" spans="1:10" ht="15" customHeight="1">
      <c r="A85" s="162">
        <v>1668</v>
      </c>
      <c r="B85" s="162" t="s">
        <v>10092</v>
      </c>
      <c r="D85" s="163" t="s">
        <v>64</v>
      </c>
      <c r="E85" s="168" t="s">
        <v>9049</v>
      </c>
      <c r="F85" s="168" t="s">
        <v>10093</v>
      </c>
      <c r="G85" s="176">
        <v>1561</v>
      </c>
      <c r="H85" s="167" t="s">
        <v>10068</v>
      </c>
      <c r="I85" s="167" t="str">
        <f>IF(Plan_Comptable[[#This Row],[Sous-compte]]="","",LEFT(Plan_Comptable[[#This Row],[Sous-compte]]&amp;"00",4))</f>
        <v>1561</v>
      </c>
      <c r="J85" s="167"/>
    </row>
    <row r="86" spans="1:10" ht="15" customHeight="1">
      <c r="A86" s="162">
        <v>1671</v>
      </c>
      <c r="B86" s="162" t="s">
        <v>10094</v>
      </c>
      <c r="D86" s="163" t="s">
        <v>64</v>
      </c>
      <c r="E86" s="168" t="s">
        <v>9049</v>
      </c>
      <c r="F86" s="168" t="s">
        <v>10093</v>
      </c>
      <c r="G86" s="176">
        <v>1562</v>
      </c>
      <c r="H86" s="167" t="s">
        <v>10070</v>
      </c>
      <c r="I86" s="167" t="str">
        <f>IF(Plan_Comptable[[#This Row],[Sous-compte]]="","",LEFT(Plan_Comptable[[#This Row],[Sous-compte]]&amp;"00",4))</f>
        <v>1562</v>
      </c>
      <c r="J86" s="167"/>
    </row>
    <row r="87" spans="1:10" ht="15" customHeight="1">
      <c r="A87" s="162">
        <v>1672</v>
      </c>
      <c r="B87" s="162" t="s">
        <v>10095</v>
      </c>
      <c r="D87" s="163" t="s">
        <v>64</v>
      </c>
      <c r="E87" s="168" t="s">
        <v>9049</v>
      </c>
      <c r="F87" s="168">
        <v>157</v>
      </c>
      <c r="G87" s="176">
        <v>157</v>
      </c>
      <c r="H87" s="167" t="s">
        <v>10071</v>
      </c>
      <c r="I87" s="167" t="str">
        <f>IF(Plan_Comptable[[#This Row],[Sous-compte]]="","",LEFT(Plan_Comptable[[#This Row],[Sous-compte]]&amp;"00",4))</f>
        <v>1570</v>
      </c>
      <c r="J87" s="167"/>
    </row>
    <row r="88" spans="1:10" ht="15" customHeight="1">
      <c r="A88" s="162">
        <v>1673</v>
      </c>
      <c r="B88" s="162" t="s">
        <v>10096</v>
      </c>
      <c r="D88" s="163" t="s">
        <v>64</v>
      </c>
      <c r="E88" s="168" t="s">
        <v>9049</v>
      </c>
      <c r="F88" s="168">
        <v>158</v>
      </c>
      <c r="G88" s="176">
        <v>158</v>
      </c>
      <c r="H88" s="167" t="s">
        <v>10072</v>
      </c>
      <c r="I88" s="167" t="str">
        <f>IF(Plan_Comptable[[#This Row],[Sous-compte]]="","",LEFT(Plan_Comptable[[#This Row],[Sous-compte]]&amp;"00",4))</f>
        <v>1580</v>
      </c>
      <c r="J88" s="167"/>
    </row>
    <row r="89" spans="1:10" ht="15" customHeight="1">
      <c r="A89" s="162">
        <v>1674</v>
      </c>
      <c r="B89" s="162" t="s">
        <v>10097</v>
      </c>
      <c r="D89" s="163" t="s">
        <v>64</v>
      </c>
      <c r="E89" s="181">
        <v>16</v>
      </c>
      <c r="F89" s="168" t="s">
        <v>9941</v>
      </c>
      <c r="G89" s="168"/>
      <c r="H89" s="178" t="s">
        <v>10098</v>
      </c>
      <c r="I89" s="167" t="str">
        <f>IF(Plan_Comptable[[#This Row],[Sous-compte]]="","",LEFT(Plan_Comptable[[#This Row],[Sous-compte]]&amp;"00",4))</f>
        <v/>
      </c>
      <c r="J89" s="167"/>
    </row>
    <row r="90" spans="1:10" ht="15" customHeight="1">
      <c r="A90" s="162">
        <v>1681</v>
      </c>
      <c r="B90" s="162" t="s">
        <v>10099</v>
      </c>
      <c r="D90" s="163" t="s">
        <v>64</v>
      </c>
      <c r="E90" s="168" t="s">
        <v>9050</v>
      </c>
      <c r="F90" s="168">
        <v>161</v>
      </c>
      <c r="G90" s="176"/>
      <c r="H90" s="167" t="s">
        <v>10100</v>
      </c>
      <c r="I90" s="167" t="str">
        <f>IF(Plan_Comptable[[#This Row],[Sous-compte]]="","",LEFT(Plan_Comptable[[#This Row],[Sous-compte]]&amp;"00",4))</f>
        <v/>
      </c>
      <c r="J90" s="167"/>
    </row>
    <row r="91" spans="1:10" ht="15" customHeight="1">
      <c r="A91" s="162">
        <v>1682</v>
      </c>
      <c r="B91" s="162" t="s">
        <v>10101</v>
      </c>
      <c r="D91" s="163" t="s">
        <v>64</v>
      </c>
      <c r="E91" s="168" t="s">
        <v>9050</v>
      </c>
      <c r="F91" s="168" t="s">
        <v>10102</v>
      </c>
      <c r="G91" s="176">
        <v>1611</v>
      </c>
      <c r="H91" s="167" t="s">
        <v>10073</v>
      </c>
      <c r="I91" s="167" t="str">
        <f>IF(Plan_Comptable[[#This Row],[Sous-compte]]="","",LEFT(Plan_Comptable[[#This Row],[Sous-compte]]&amp;"00",4))</f>
        <v>1611</v>
      </c>
      <c r="J91" s="167"/>
    </row>
    <row r="92" spans="1:10" ht="15" customHeight="1">
      <c r="A92" s="162">
        <v>1683</v>
      </c>
      <c r="B92" s="162" t="s">
        <v>10103</v>
      </c>
      <c r="D92" s="163" t="s">
        <v>64</v>
      </c>
      <c r="E92" s="168" t="s">
        <v>9050</v>
      </c>
      <c r="F92" s="168" t="s">
        <v>10102</v>
      </c>
      <c r="G92" s="172">
        <v>1612</v>
      </c>
      <c r="H92" s="179" t="s">
        <v>10074</v>
      </c>
      <c r="I92" s="167" t="str">
        <f>IF(Plan_Comptable[[#This Row],[Sous-compte]]="","",LEFT(Plan_Comptable[[#This Row],[Sous-compte]]&amp;"00",4))</f>
        <v>1612</v>
      </c>
      <c r="J92" s="167"/>
    </row>
    <row r="93" spans="1:10" ht="15" customHeight="1">
      <c r="A93" s="162">
        <v>1684</v>
      </c>
      <c r="B93" s="162" t="s">
        <v>10104</v>
      </c>
      <c r="D93" s="163" t="s">
        <v>64</v>
      </c>
      <c r="E93" s="168" t="s">
        <v>9050</v>
      </c>
      <c r="F93" s="168" t="s">
        <v>10102</v>
      </c>
      <c r="G93" s="173">
        <v>1613</v>
      </c>
      <c r="H93" s="174" t="s">
        <v>10075</v>
      </c>
      <c r="I93" s="167" t="str">
        <f>IF(Plan_Comptable[[#This Row],[Sous-compte]]="","",LEFT(Plan_Comptable[[#This Row],[Sous-compte]]&amp;"00",4))</f>
        <v>1613</v>
      </c>
      <c r="J93" s="167"/>
    </row>
    <row r="94" spans="1:10" ht="15" customHeight="1">
      <c r="A94" s="162">
        <v>1685</v>
      </c>
      <c r="B94" s="162" t="s">
        <v>2388</v>
      </c>
      <c r="D94" s="163" t="s">
        <v>64</v>
      </c>
      <c r="E94" s="168" t="s">
        <v>9050</v>
      </c>
      <c r="F94" s="168" t="s">
        <v>10102</v>
      </c>
      <c r="G94" s="176">
        <v>1618</v>
      </c>
      <c r="H94" s="167" t="s">
        <v>1543</v>
      </c>
      <c r="I94" s="167" t="str">
        <f>IF(Plan_Comptable[[#This Row],[Sous-compte]]="","",LEFT(Plan_Comptable[[#This Row],[Sous-compte]]&amp;"00",4))</f>
        <v>1618</v>
      </c>
      <c r="J94" s="167"/>
    </row>
    <row r="95" spans="1:10" ht="15" customHeight="1">
      <c r="A95" s="162">
        <v>1686</v>
      </c>
      <c r="B95" s="162" t="s">
        <v>10105</v>
      </c>
      <c r="D95" s="163" t="s">
        <v>64</v>
      </c>
      <c r="E95" s="168" t="s">
        <v>9050</v>
      </c>
      <c r="F95" s="168">
        <v>162</v>
      </c>
      <c r="G95" s="176">
        <v>162</v>
      </c>
      <c r="H95" s="167" t="s">
        <v>10076</v>
      </c>
      <c r="I95" s="167" t="str">
        <f>IF(Plan_Comptable[[#This Row],[Sous-compte]]="","",LEFT(Plan_Comptable[[#This Row],[Sous-compte]]&amp;"00",4))</f>
        <v>1620</v>
      </c>
      <c r="J95" s="167"/>
    </row>
    <row r="96" spans="1:10" ht="15" customHeight="1">
      <c r="A96" s="162">
        <v>172</v>
      </c>
      <c r="B96" s="162" t="s">
        <v>10106</v>
      </c>
      <c r="D96" s="163" t="s">
        <v>64</v>
      </c>
      <c r="E96" s="168" t="s">
        <v>9050</v>
      </c>
      <c r="F96" s="168">
        <v>163</v>
      </c>
      <c r="G96" s="176">
        <v>163</v>
      </c>
      <c r="H96" s="167" t="s">
        <v>10077</v>
      </c>
      <c r="I96" s="167" t="str">
        <f>IF(Plan_Comptable[[#This Row],[Sous-compte]]="","",LEFT(Plan_Comptable[[#This Row],[Sous-compte]]&amp;"00",4))</f>
        <v>1630</v>
      </c>
      <c r="J96" s="167"/>
    </row>
    <row r="97" spans="1:10" ht="15" customHeight="1">
      <c r="A97" s="162">
        <v>173</v>
      </c>
      <c r="B97" s="162" t="s">
        <v>10107</v>
      </c>
      <c r="D97" s="163" t="s">
        <v>64</v>
      </c>
      <c r="E97" s="168" t="s">
        <v>9050</v>
      </c>
      <c r="F97" s="168">
        <v>164</v>
      </c>
      <c r="G97" s="176">
        <v>164</v>
      </c>
      <c r="H97" s="167" t="s">
        <v>10079</v>
      </c>
      <c r="I97" s="167" t="str">
        <f>IF(Plan_Comptable[[#This Row],[Sous-compte]]="","",LEFT(Plan_Comptable[[#This Row],[Sous-compte]]&amp;"00",4))</f>
        <v>1640</v>
      </c>
      <c r="J97" s="167"/>
    </row>
    <row r="98" spans="1:10" ht="15" customHeight="1">
      <c r="A98" s="162">
        <v>174</v>
      </c>
      <c r="B98" s="162" t="s">
        <v>10108</v>
      </c>
      <c r="D98" s="163" t="s">
        <v>64</v>
      </c>
      <c r="E98" s="168" t="s">
        <v>9050</v>
      </c>
      <c r="F98" s="168">
        <v>165</v>
      </c>
      <c r="G98" s="176"/>
      <c r="H98" s="167" t="s">
        <v>10109</v>
      </c>
      <c r="I98" s="167" t="str">
        <f>IF(Plan_Comptable[[#This Row],[Sous-compte]]="","",LEFT(Plan_Comptable[[#This Row],[Sous-compte]]&amp;"00",4))</f>
        <v/>
      </c>
      <c r="J98" s="167"/>
    </row>
    <row r="99" spans="1:10" ht="15" customHeight="1">
      <c r="A99" s="162">
        <v>1762</v>
      </c>
      <c r="B99" s="162" t="s">
        <v>10110</v>
      </c>
      <c r="D99" s="163" t="s">
        <v>64</v>
      </c>
      <c r="E99" s="168" t="s">
        <v>9050</v>
      </c>
      <c r="F99" s="168" t="s">
        <v>10111</v>
      </c>
      <c r="G99" s="176">
        <v>1651</v>
      </c>
      <c r="H99" s="167" t="s">
        <v>10080</v>
      </c>
      <c r="I99" s="167" t="str">
        <f>IF(Plan_Comptable[[#This Row],[Sous-compte]]="","",LEFT(Plan_Comptable[[#This Row],[Sous-compte]]&amp;"00",4))</f>
        <v>1651</v>
      </c>
      <c r="J99" s="167"/>
    </row>
    <row r="100" spans="1:10" ht="15" customHeight="1">
      <c r="A100" s="162">
        <v>1763</v>
      </c>
      <c r="B100" s="162" t="s">
        <v>10112</v>
      </c>
      <c r="D100" s="163" t="s">
        <v>64</v>
      </c>
      <c r="E100" s="168" t="s">
        <v>9050</v>
      </c>
      <c r="F100" s="168" t="s">
        <v>10111</v>
      </c>
      <c r="G100" s="176">
        <v>1652</v>
      </c>
      <c r="H100" s="167" t="s">
        <v>10081</v>
      </c>
      <c r="I100" s="167" t="str">
        <f>IF(Plan_Comptable[[#This Row],[Sous-compte]]="","",LEFT(Plan_Comptable[[#This Row],[Sous-compte]]&amp;"00",4))</f>
        <v>1652</v>
      </c>
      <c r="J100" s="167"/>
    </row>
    <row r="101" spans="1:10" ht="15" customHeight="1">
      <c r="A101" s="162">
        <v>1764</v>
      </c>
      <c r="B101" s="162" t="s">
        <v>10113</v>
      </c>
      <c r="D101" s="163" t="s">
        <v>64</v>
      </c>
      <c r="E101" s="168" t="s">
        <v>9050</v>
      </c>
      <c r="F101" s="168">
        <v>166</v>
      </c>
      <c r="G101" s="176"/>
      <c r="H101" s="167" t="s">
        <v>10114</v>
      </c>
      <c r="I101" s="167" t="str">
        <f>IF(Plan_Comptable[[#This Row],[Sous-compte]]="","",LEFT(Plan_Comptable[[#This Row],[Sous-compte]]&amp;"00",4))</f>
        <v/>
      </c>
      <c r="J101" s="167"/>
    </row>
    <row r="102" spans="1:10" ht="15" customHeight="1">
      <c r="A102" s="162">
        <v>1768</v>
      </c>
      <c r="B102" s="162" t="s">
        <v>10115</v>
      </c>
      <c r="D102" s="163" t="s">
        <v>64</v>
      </c>
      <c r="E102" s="168" t="s">
        <v>9050</v>
      </c>
      <c r="F102" s="168" t="s">
        <v>10116</v>
      </c>
      <c r="G102" s="176">
        <v>1661</v>
      </c>
      <c r="H102" s="167" t="s">
        <v>10083</v>
      </c>
      <c r="I102" s="167" t="str">
        <f>IF(Plan_Comptable[[#This Row],[Sous-compte]]="","",LEFT(Plan_Comptable[[#This Row],[Sous-compte]]&amp;"00",4))</f>
        <v>1661</v>
      </c>
      <c r="J102" s="167"/>
    </row>
    <row r="103" spans="1:10" ht="15" customHeight="1">
      <c r="A103" s="162">
        <v>178</v>
      </c>
      <c r="B103" s="162" t="s">
        <v>10117</v>
      </c>
      <c r="D103" s="163" t="s">
        <v>64</v>
      </c>
      <c r="E103" s="168" t="s">
        <v>9050</v>
      </c>
      <c r="F103" s="168" t="s">
        <v>10116</v>
      </c>
      <c r="G103" s="176">
        <v>1662</v>
      </c>
      <c r="H103" s="167" t="s">
        <v>10085</v>
      </c>
      <c r="I103" s="167" t="str">
        <f>IF(Plan_Comptable[[#This Row],[Sous-compte]]="","",LEFT(Plan_Comptable[[#This Row],[Sous-compte]]&amp;"00",4))</f>
        <v>1662</v>
      </c>
      <c r="J103" s="167"/>
    </row>
    <row r="104" spans="1:10" ht="15" customHeight="1">
      <c r="A104" s="162">
        <v>1811</v>
      </c>
      <c r="B104" s="162" t="s">
        <v>10118</v>
      </c>
      <c r="D104" s="163" t="s">
        <v>64</v>
      </c>
      <c r="E104" s="168" t="s">
        <v>9050</v>
      </c>
      <c r="F104" s="168" t="s">
        <v>10116</v>
      </c>
      <c r="G104" s="176">
        <v>1663</v>
      </c>
      <c r="H104" s="167" t="s">
        <v>10086</v>
      </c>
      <c r="I104" s="167" t="str">
        <f>IF(Plan_Comptable[[#This Row],[Sous-compte]]="","",LEFT(Plan_Comptable[[#This Row],[Sous-compte]]&amp;"00",4))</f>
        <v>1663</v>
      </c>
      <c r="J104" s="167"/>
    </row>
    <row r="105" spans="1:10" ht="15" customHeight="1">
      <c r="A105" s="162">
        <v>1812</v>
      </c>
      <c r="B105" s="162" t="s">
        <v>10119</v>
      </c>
      <c r="D105" s="163" t="s">
        <v>64</v>
      </c>
      <c r="E105" s="168" t="s">
        <v>9050</v>
      </c>
      <c r="F105" s="168" t="s">
        <v>10116</v>
      </c>
      <c r="G105" s="176">
        <v>1664</v>
      </c>
      <c r="H105" s="167" t="s">
        <v>10087</v>
      </c>
      <c r="I105" s="167" t="str">
        <f>IF(Plan_Comptable[[#This Row],[Sous-compte]]="","",LEFT(Plan_Comptable[[#This Row],[Sous-compte]]&amp;"00",4))</f>
        <v>1664</v>
      </c>
      <c r="J105" s="167"/>
    </row>
    <row r="106" spans="1:10" ht="15" customHeight="1">
      <c r="A106" s="162">
        <v>182</v>
      </c>
      <c r="B106" s="162" t="s">
        <v>10120</v>
      </c>
      <c r="D106" s="163" t="s">
        <v>64</v>
      </c>
      <c r="E106" s="168" t="s">
        <v>9050</v>
      </c>
      <c r="F106" s="168" t="s">
        <v>10116</v>
      </c>
      <c r="G106" s="176">
        <v>1665</v>
      </c>
      <c r="H106" s="167" t="s">
        <v>10088</v>
      </c>
      <c r="I106" s="167" t="str">
        <f>IF(Plan_Comptable[[#This Row],[Sous-compte]]="","",LEFT(Plan_Comptable[[#This Row],[Sous-compte]]&amp;"00",4))</f>
        <v>1665</v>
      </c>
      <c r="J106" s="167"/>
    </row>
    <row r="107" spans="1:10" ht="15" customHeight="1">
      <c r="A107" s="162">
        <v>183</v>
      </c>
      <c r="B107" s="162" t="s">
        <v>10121</v>
      </c>
      <c r="D107" s="163" t="s">
        <v>64</v>
      </c>
      <c r="E107" s="168" t="s">
        <v>9050</v>
      </c>
      <c r="F107" s="168" t="s">
        <v>10116</v>
      </c>
      <c r="G107" s="176">
        <v>1667</v>
      </c>
      <c r="H107" s="167" t="s">
        <v>10090</v>
      </c>
      <c r="I107" s="167" t="str">
        <f>IF(Plan_Comptable[[#This Row],[Sous-compte]]="","",LEFT(Plan_Comptable[[#This Row],[Sous-compte]]&amp;"00",4))</f>
        <v>1667</v>
      </c>
      <c r="J107" s="167"/>
    </row>
    <row r="108" spans="1:10" ht="15" customHeight="1">
      <c r="A108" s="162">
        <v>184</v>
      </c>
      <c r="B108" s="162" t="s">
        <v>10122</v>
      </c>
      <c r="D108" s="163" t="s">
        <v>64</v>
      </c>
      <c r="E108" s="168" t="s">
        <v>9050</v>
      </c>
      <c r="F108" s="168" t="s">
        <v>10116</v>
      </c>
      <c r="G108" s="176">
        <v>1668</v>
      </c>
      <c r="H108" s="167" t="s">
        <v>10092</v>
      </c>
      <c r="I108" s="167" t="str">
        <f>IF(Plan_Comptable[[#This Row],[Sous-compte]]="","",LEFT(Plan_Comptable[[#This Row],[Sous-compte]]&amp;"00",4))</f>
        <v>1668</v>
      </c>
      <c r="J108" s="167"/>
    </row>
    <row r="109" spans="1:10" ht="15" customHeight="1">
      <c r="A109" s="162">
        <v>185</v>
      </c>
      <c r="B109" s="162" t="s">
        <v>10123</v>
      </c>
      <c r="D109" s="163" t="s">
        <v>64</v>
      </c>
      <c r="E109" s="168" t="s">
        <v>9050</v>
      </c>
      <c r="F109" s="165">
        <v>167</v>
      </c>
      <c r="G109" s="169"/>
      <c r="H109" s="170" t="s">
        <v>10124</v>
      </c>
      <c r="I109" s="167" t="str">
        <f>IF(Plan_Comptable[[#This Row],[Sous-compte]]="","",LEFT(Plan_Comptable[[#This Row],[Sous-compte]]&amp;"00",4))</f>
        <v/>
      </c>
      <c r="J109" s="167"/>
    </row>
    <row r="110" spans="1:10" ht="15" customHeight="1">
      <c r="A110" s="162">
        <v>186</v>
      </c>
      <c r="B110" s="162" t="s">
        <v>10125</v>
      </c>
      <c r="D110" s="163" t="s">
        <v>64</v>
      </c>
      <c r="E110" s="168" t="s">
        <v>9050</v>
      </c>
      <c r="F110" s="168" t="s">
        <v>10126</v>
      </c>
      <c r="G110" s="169">
        <v>1671</v>
      </c>
      <c r="H110" s="170" t="s">
        <v>10094</v>
      </c>
      <c r="I110" s="167" t="str">
        <f>IF(Plan_Comptable[[#This Row],[Sous-compte]]="","",LEFT(Plan_Comptable[[#This Row],[Sous-compte]]&amp;"00",4))</f>
        <v>1671</v>
      </c>
      <c r="J110" s="167"/>
    </row>
    <row r="111" spans="1:10" ht="15" customHeight="1">
      <c r="A111" s="162">
        <v>187</v>
      </c>
      <c r="B111" s="162" t="s">
        <v>10127</v>
      </c>
      <c r="D111" s="163" t="s">
        <v>64</v>
      </c>
      <c r="E111" s="168" t="s">
        <v>9050</v>
      </c>
      <c r="F111" s="168" t="s">
        <v>10126</v>
      </c>
      <c r="G111" s="169">
        <v>1672</v>
      </c>
      <c r="H111" s="170" t="s">
        <v>10095</v>
      </c>
      <c r="I111" s="167" t="str">
        <f>IF(Plan_Comptable[[#This Row],[Sous-compte]]="","",LEFT(Plan_Comptable[[#This Row],[Sous-compte]]&amp;"00",4))</f>
        <v>1672</v>
      </c>
      <c r="J111" s="167"/>
    </row>
    <row r="112" spans="1:10" ht="15" customHeight="1">
      <c r="A112" s="162">
        <v>188</v>
      </c>
      <c r="B112" s="162" t="s">
        <v>10128</v>
      </c>
      <c r="D112" s="163" t="s">
        <v>64</v>
      </c>
      <c r="E112" s="168" t="s">
        <v>9050</v>
      </c>
      <c r="F112" s="168" t="s">
        <v>10126</v>
      </c>
      <c r="G112" s="169">
        <v>1673</v>
      </c>
      <c r="H112" s="170" t="s">
        <v>10096</v>
      </c>
      <c r="I112" s="167" t="str">
        <f>IF(Plan_Comptable[[#This Row],[Sous-compte]]="","",LEFT(Plan_Comptable[[#This Row],[Sous-compte]]&amp;"00",4))</f>
        <v>1673</v>
      </c>
      <c r="J112" s="167"/>
    </row>
    <row r="113" spans="1:10" ht="15" customHeight="1">
      <c r="A113" s="162">
        <v>191</v>
      </c>
      <c r="B113" s="162" t="s">
        <v>10129</v>
      </c>
      <c r="D113" s="163" t="s">
        <v>64</v>
      </c>
      <c r="E113" s="168" t="s">
        <v>9050</v>
      </c>
      <c r="F113" s="168" t="s">
        <v>10126</v>
      </c>
      <c r="G113" s="169">
        <v>1674</v>
      </c>
      <c r="H113" s="170" t="s">
        <v>10097</v>
      </c>
      <c r="I113" s="167" t="str">
        <f>IF(Plan_Comptable[[#This Row],[Sous-compte]]="","",LEFT(Plan_Comptable[[#This Row],[Sous-compte]]&amp;"00",4))</f>
        <v>1674</v>
      </c>
      <c r="J113" s="167"/>
    </row>
    <row r="114" spans="1:10" ht="15" customHeight="1">
      <c r="A114" s="162">
        <v>192</v>
      </c>
      <c r="B114" s="162" t="s">
        <v>10130</v>
      </c>
      <c r="D114" s="163" t="s">
        <v>64</v>
      </c>
      <c r="E114" s="168" t="s">
        <v>9050</v>
      </c>
      <c r="F114" s="165">
        <v>168</v>
      </c>
      <c r="G114" s="169"/>
      <c r="H114" s="170" t="s">
        <v>10131</v>
      </c>
      <c r="I114" s="167" t="str">
        <f>IF(Plan_Comptable[[#This Row],[Sous-compte]]="","",LEFT(Plan_Comptable[[#This Row],[Sous-compte]]&amp;"00",4))</f>
        <v/>
      </c>
      <c r="J114" s="167"/>
    </row>
    <row r="115" spans="1:10" ht="15" customHeight="1">
      <c r="A115" s="162">
        <v>193</v>
      </c>
      <c r="B115" s="162" t="s">
        <v>10132</v>
      </c>
      <c r="D115" s="163" t="s">
        <v>64</v>
      </c>
      <c r="E115" s="168" t="s">
        <v>9050</v>
      </c>
      <c r="F115" s="168" t="s">
        <v>10133</v>
      </c>
      <c r="G115" s="169">
        <v>1681</v>
      </c>
      <c r="H115" s="170" t="s">
        <v>10099</v>
      </c>
      <c r="I115" s="167" t="str">
        <f>IF(Plan_Comptable[[#This Row],[Sous-compte]]="","",LEFT(Plan_Comptable[[#This Row],[Sous-compte]]&amp;"00",4))</f>
        <v>1681</v>
      </c>
      <c r="J115" s="167"/>
    </row>
    <row r="116" spans="1:10" ht="15" customHeight="1">
      <c r="A116" s="162">
        <v>194</v>
      </c>
      <c r="B116" s="162" t="s">
        <v>10134</v>
      </c>
      <c r="D116" s="163" t="s">
        <v>64</v>
      </c>
      <c r="E116" s="168" t="s">
        <v>9050</v>
      </c>
      <c r="F116" s="168" t="s">
        <v>10133</v>
      </c>
      <c r="G116" s="169">
        <v>1682</v>
      </c>
      <c r="H116" s="170" t="s">
        <v>10101</v>
      </c>
      <c r="I116" s="167" t="str">
        <f>IF(Plan_Comptable[[#This Row],[Sous-compte]]="","",LEFT(Plan_Comptable[[#This Row],[Sous-compte]]&amp;"00",4))</f>
        <v>1682</v>
      </c>
      <c r="J116" s="167"/>
    </row>
    <row r="117" spans="1:10" ht="15" customHeight="1">
      <c r="A117" s="162">
        <v>195</v>
      </c>
      <c r="B117" s="162" t="s">
        <v>10135</v>
      </c>
      <c r="D117" s="163" t="s">
        <v>64</v>
      </c>
      <c r="E117" s="168" t="s">
        <v>9050</v>
      </c>
      <c r="F117" s="168" t="s">
        <v>10133</v>
      </c>
      <c r="G117" s="169">
        <v>1683</v>
      </c>
      <c r="H117" s="170" t="s">
        <v>10103</v>
      </c>
      <c r="I117" s="167" t="str">
        <f>IF(Plan_Comptable[[#This Row],[Sous-compte]]="","",LEFT(Plan_Comptable[[#This Row],[Sous-compte]]&amp;"00",4))</f>
        <v>1683</v>
      </c>
      <c r="J117" s="167"/>
    </row>
    <row r="118" spans="1:10" ht="15" customHeight="1">
      <c r="A118" s="162">
        <v>1961</v>
      </c>
      <c r="B118" s="162" t="s">
        <v>10136</v>
      </c>
      <c r="D118" s="163" t="s">
        <v>64</v>
      </c>
      <c r="E118" s="168" t="s">
        <v>9050</v>
      </c>
      <c r="F118" s="168" t="s">
        <v>10133</v>
      </c>
      <c r="G118" s="172">
        <v>1684</v>
      </c>
      <c r="H118" s="179" t="s">
        <v>10104</v>
      </c>
      <c r="I118" s="167" t="str">
        <f>IF(Plan_Comptable[[#This Row],[Sous-compte]]="","",LEFT(Plan_Comptable[[#This Row],[Sous-compte]]&amp;"00",4))</f>
        <v>1684</v>
      </c>
      <c r="J118" s="167"/>
    </row>
    <row r="119" spans="1:10" ht="15" customHeight="1">
      <c r="A119" s="162">
        <v>1962</v>
      </c>
      <c r="B119" s="162" t="s">
        <v>10137</v>
      </c>
      <c r="D119" s="163" t="s">
        <v>64</v>
      </c>
      <c r="E119" s="168" t="s">
        <v>9050</v>
      </c>
      <c r="F119" s="168" t="s">
        <v>10133</v>
      </c>
      <c r="G119" s="172">
        <v>1685</v>
      </c>
      <c r="H119" s="179" t="s">
        <v>2388</v>
      </c>
      <c r="I119" s="167" t="str">
        <f>IF(Plan_Comptable[[#This Row],[Sous-compte]]="","",LEFT(Plan_Comptable[[#This Row],[Sous-compte]]&amp;"00",4))</f>
        <v>1685</v>
      </c>
      <c r="J119" s="167"/>
    </row>
    <row r="120" spans="1:10" ht="15" customHeight="1">
      <c r="A120" s="162">
        <v>197</v>
      </c>
      <c r="B120" s="162" t="s">
        <v>10138</v>
      </c>
      <c r="D120" s="163" t="s">
        <v>64</v>
      </c>
      <c r="E120" s="168" t="s">
        <v>9050</v>
      </c>
      <c r="F120" s="168" t="s">
        <v>10133</v>
      </c>
      <c r="G120" s="172">
        <v>1686</v>
      </c>
      <c r="H120" s="179" t="s">
        <v>10105</v>
      </c>
      <c r="I120" s="167" t="str">
        <f>IF(Plan_Comptable[[#This Row],[Sous-compte]]="","",LEFT(Plan_Comptable[[#This Row],[Sous-compte]]&amp;"00",4))</f>
        <v>1686</v>
      </c>
      <c r="J120" s="167"/>
    </row>
    <row r="121" spans="1:10" ht="15" customHeight="1">
      <c r="A121" s="162">
        <v>1981</v>
      </c>
      <c r="B121" s="162" t="s">
        <v>1986</v>
      </c>
      <c r="D121" s="163" t="s">
        <v>64</v>
      </c>
      <c r="E121" s="182">
        <v>17</v>
      </c>
      <c r="F121" s="171" t="s">
        <v>9941</v>
      </c>
      <c r="G121" s="171"/>
      <c r="H121" s="183" t="s">
        <v>10139</v>
      </c>
      <c r="I121" s="167" t="str">
        <f>IF(Plan_Comptable[[#This Row],[Sous-compte]]="","",LEFT(Plan_Comptable[[#This Row],[Sous-compte]]&amp;"00",4))</f>
        <v/>
      </c>
      <c r="J121" s="167"/>
    </row>
    <row r="122" spans="1:10" ht="15" customHeight="1">
      <c r="A122" s="162">
        <v>1983</v>
      </c>
      <c r="B122" s="162" t="s">
        <v>10140</v>
      </c>
      <c r="D122" s="163" t="s">
        <v>64</v>
      </c>
      <c r="E122" s="168" t="s">
        <v>9942</v>
      </c>
      <c r="F122" s="171">
        <v>172</v>
      </c>
      <c r="G122" s="172">
        <v>172</v>
      </c>
      <c r="H122" s="179" t="s">
        <v>10106</v>
      </c>
      <c r="I122" s="167" t="str">
        <f>IF(Plan_Comptable[[#This Row],[Sous-compte]]="","",LEFT(Plan_Comptable[[#This Row],[Sous-compte]]&amp;"00",4))</f>
        <v>1720</v>
      </c>
      <c r="J122" s="167"/>
    </row>
    <row r="123" spans="1:10" ht="15" customHeight="1">
      <c r="A123" s="162">
        <v>1984</v>
      </c>
      <c r="B123" s="162" t="s">
        <v>1988</v>
      </c>
      <c r="D123" s="163" t="s">
        <v>64</v>
      </c>
      <c r="E123" s="168" t="s">
        <v>9942</v>
      </c>
      <c r="F123" s="171">
        <v>173</v>
      </c>
      <c r="G123" s="172">
        <v>173</v>
      </c>
      <c r="H123" s="179" t="s">
        <v>10107</v>
      </c>
      <c r="I123" s="167" t="str">
        <f>IF(Plan_Comptable[[#This Row],[Sous-compte]]="","",LEFT(Plan_Comptable[[#This Row],[Sous-compte]]&amp;"00",4))</f>
        <v>1730</v>
      </c>
      <c r="J123" s="167"/>
    </row>
    <row r="124" spans="1:10" ht="15" customHeight="1">
      <c r="A124" s="162">
        <v>1985</v>
      </c>
      <c r="B124" s="162" t="s">
        <v>10141</v>
      </c>
      <c r="D124" s="163" t="s">
        <v>64</v>
      </c>
      <c r="E124" s="168" t="s">
        <v>9942</v>
      </c>
      <c r="F124" s="184">
        <v>174</v>
      </c>
      <c r="G124" s="173">
        <v>174</v>
      </c>
      <c r="H124" s="175" t="s">
        <v>10108</v>
      </c>
      <c r="I124" s="167" t="str">
        <f>IF(Plan_Comptable[[#This Row],[Sous-compte]]="","",LEFT(Plan_Comptable[[#This Row],[Sous-compte]]&amp;"00",4))</f>
        <v>1740</v>
      </c>
      <c r="J124" s="167"/>
    </row>
    <row r="125" spans="1:10" ht="15" customHeight="1">
      <c r="A125" s="162">
        <v>1988</v>
      </c>
      <c r="B125" s="162" t="s">
        <v>10142</v>
      </c>
      <c r="D125" s="163" t="s">
        <v>64</v>
      </c>
      <c r="E125" s="168" t="s">
        <v>9942</v>
      </c>
      <c r="F125" s="165">
        <v>176</v>
      </c>
      <c r="G125" s="169"/>
      <c r="H125" s="170" t="s">
        <v>10114</v>
      </c>
      <c r="I125" s="167" t="str">
        <f>IF(Plan_Comptable[[#This Row],[Sous-compte]]="","",LEFT(Plan_Comptable[[#This Row],[Sous-compte]]&amp;"00",4))</f>
        <v/>
      </c>
      <c r="J125" s="167"/>
    </row>
    <row r="126" spans="1:10" ht="15" customHeight="1">
      <c r="A126" s="162">
        <v>211</v>
      </c>
      <c r="B126" s="162" t="s">
        <v>10143</v>
      </c>
      <c r="D126" s="163" t="s">
        <v>64</v>
      </c>
      <c r="E126" s="168" t="s">
        <v>9942</v>
      </c>
      <c r="F126" s="168" t="s">
        <v>10144</v>
      </c>
      <c r="G126" s="172">
        <v>1762</v>
      </c>
      <c r="H126" s="179" t="s">
        <v>10110</v>
      </c>
      <c r="I126" s="167" t="str">
        <f>IF(Plan_Comptable[[#This Row],[Sous-compte]]="","",LEFT(Plan_Comptable[[#This Row],[Sous-compte]]&amp;"00",4))</f>
        <v>1762</v>
      </c>
      <c r="J126" s="167"/>
    </row>
    <row r="127" spans="1:10" ht="15" customHeight="1">
      <c r="A127" s="162">
        <v>2121</v>
      </c>
      <c r="B127" s="162" t="s">
        <v>10145</v>
      </c>
      <c r="D127" s="163" t="s">
        <v>64</v>
      </c>
      <c r="E127" s="168" t="s">
        <v>9942</v>
      </c>
      <c r="F127" s="168" t="s">
        <v>10144</v>
      </c>
      <c r="G127" s="172">
        <v>1763</v>
      </c>
      <c r="H127" s="179" t="s">
        <v>10112</v>
      </c>
      <c r="I127" s="167" t="str">
        <f>IF(Plan_Comptable[[#This Row],[Sous-compte]]="","",LEFT(Plan_Comptable[[#This Row],[Sous-compte]]&amp;"00",4))</f>
        <v>1763</v>
      </c>
      <c r="J127" s="167"/>
    </row>
    <row r="128" spans="1:10" ht="15" customHeight="1">
      <c r="A128" s="162">
        <v>2122</v>
      </c>
      <c r="B128" s="162" t="s">
        <v>10146</v>
      </c>
      <c r="D128" s="163" t="s">
        <v>64</v>
      </c>
      <c r="E128" s="168" t="s">
        <v>9942</v>
      </c>
      <c r="F128" s="168" t="s">
        <v>10144</v>
      </c>
      <c r="G128" s="173">
        <v>1764</v>
      </c>
      <c r="H128" s="175" t="s">
        <v>10113</v>
      </c>
      <c r="I128" s="167" t="str">
        <f>IF(Plan_Comptable[[#This Row],[Sous-compte]]="","",LEFT(Plan_Comptable[[#This Row],[Sous-compte]]&amp;"00",4))</f>
        <v>1764</v>
      </c>
      <c r="J128" s="167"/>
    </row>
    <row r="129" spans="1:10" ht="15" customHeight="1">
      <c r="A129" s="162">
        <v>2123</v>
      </c>
      <c r="B129" s="162" t="s">
        <v>10147</v>
      </c>
      <c r="D129" s="163" t="s">
        <v>64</v>
      </c>
      <c r="E129" s="168" t="s">
        <v>9942</v>
      </c>
      <c r="F129" s="171" t="s">
        <v>10144</v>
      </c>
      <c r="G129" s="172">
        <v>1768</v>
      </c>
      <c r="H129" s="179" t="s">
        <v>10115</v>
      </c>
      <c r="I129" s="167" t="str">
        <f>IF(Plan_Comptable[[#This Row],[Sous-compte]]="","",LEFT(Plan_Comptable[[#This Row],[Sous-compte]]&amp;"00",4))</f>
        <v>1768</v>
      </c>
      <c r="J129" s="167"/>
    </row>
    <row r="130" spans="1:10" ht="15" customHeight="1">
      <c r="A130" s="162">
        <v>2128</v>
      </c>
      <c r="B130" s="162" t="s">
        <v>10148</v>
      </c>
      <c r="D130" s="163" t="s">
        <v>64</v>
      </c>
      <c r="E130" s="168" t="s">
        <v>9942</v>
      </c>
      <c r="F130" s="171">
        <v>178</v>
      </c>
      <c r="G130" s="172">
        <v>178</v>
      </c>
      <c r="H130" s="179" t="s">
        <v>10117</v>
      </c>
      <c r="I130" s="167" t="str">
        <f>IF(Plan_Comptable[[#This Row],[Sous-compte]]="","",LEFT(Plan_Comptable[[#This Row],[Sous-compte]]&amp;"00",4))</f>
        <v>1780</v>
      </c>
      <c r="J130" s="167"/>
    </row>
    <row r="131" spans="1:10" ht="15" customHeight="1">
      <c r="A131" s="162">
        <v>2131</v>
      </c>
      <c r="B131" s="162" t="s">
        <v>10149</v>
      </c>
      <c r="D131" s="163" t="s">
        <v>64</v>
      </c>
      <c r="E131" s="185">
        <v>18</v>
      </c>
      <c r="F131" s="165" t="s">
        <v>9941</v>
      </c>
      <c r="G131" s="165"/>
      <c r="H131" s="166" t="s">
        <v>10150</v>
      </c>
      <c r="I131" s="167" t="str">
        <f>IF(Plan_Comptable[[#This Row],[Sous-compte]]="","",LEFT(Plan_Comptable[[#This Row],[Sous-compte]]&amp;"00",4))</f>
        <v/>
      </c>
      <c r="J131" s="167"/>
    </row>
    <row r="132" spans="1:10" ht="15" customHeight="1">
      <c r="A132" s="162">
        <v>2132</v>
      </c>
      <c r="B132" s="162" t="s">
        <v>10151</v>
      </c>
      <c r="D132" s="163" t="s">
        <v>64</v>
      </c>
      <c r="E132" s="168" t="s">
        <v>10152</v>
      </c>
      <c r="F132" s="165">
        <v>181</v>
      </c>
      <c r="G132" s="169"/>
      <c r="H132" s="170" t="s">
        <v>10153</v>
      </c>
      <c r="I132" s="167" t="str">
        <f>IF(Plan_Comptable[[#This Row],[Sous-compte]]="","",LEFT(Plan_Comptable[[#This Row],[Sous-compte]]&amp;"00",4))</f>
        <v/>
      </c>
      <c r="J132" s="167"/>
    </row>
    <row r="133" spans="1:10" ht="15" customHeight="1">
      <c r="A133" s="162">
        <v>214</v>
      </c>
      <c r="B133" s="162" t="s">
        <v>10154</v>
      </c>
      <c r="D133" s="163" t="s">
        <v>64</v>
      </c>
      <c r="E133" s="168" t="s">
        <v>10152</v>
      </c>
      <c r="F133" s="168" t="s">
        <v>10155</v>
      </c>
      <c r="G133" s="169">
        <v>1811</v>
      </c>
      <c r="H133" s="170" t="s">
        <v>10118</v>
      </c>
      <c r="I133" s="167" t="str">
        <f>IF(Plan_Comptable[[#This Row],[Sous-compte]]="","",LEFT(Plan_Comptable[[#This Row],[Sous-compte]]&amp;"00",4))</f>
        <v>1811</v>
      </c>
      <c r="J133" s="167"/>
    </row>
    <row r="134" spans="1:10" ht="15" customHeight="1">
      <c r="A134" s="162">
        <v>215</v>
      </c>
      <c r="B134" s="162" t="s">
        <v>10156</v>
      </c>
      <c r="D134" s="163" t="s">
        <v>64</v>
      </c>
      <c r="E134" s="168" t="s">
        <v>10152</v>
      </c>
      <c r="F134" s="168" t="s">
        <v>10155</v>
      </c>
      <c r="G134" s="169">
        <v>1812</v>
      </c>
      <c r="H134" s="170" t="s">
        <v>10119</v>
      </c>
      <c r="I134" s="167" t="str">
        <f>IF(Plan_Comptable[[#This Row],[Sous-compte]]="","",LEFT(Plan_Comptable[[#This Row],[Sous-compte]]&amp;"00",4))</f>
        <v>1812</v>
      </c>
      <c r="J134" s="167"/>
    </row>
    <row r="135" spans="1:10" ht="15" customHeight="1">
      <c r="A135" s="162">
        <v>216</v>
      </c>
      <c r="B135" s="162" t="s">
        <v>10157</v>
      </c>
      <c r="D135" s="163" t="s">
        <v>64</v>
      </c>
      <c r="E135" s="168" t="s">
        <v>10152</v>
      </c>
      <c r="F135" s="165">
        <v>182</v>
      </c>
      <c r="G135" s="169">
        <v>182</v>
      </c>
      <c r="H135" s="170" t="s">
        <v>10120</v>
      </c>
      <c r="I135" s="167" t="str">
        <f>IF(Plan_Comptable[[#This Row],[Sous-compte]]="","",LEFT(Plan_Comptable[[#This Row],[Sous-compte]]&amp;"00",4))</f>
        <v>1820</v>
      </c>
      <c r="J135" s="167"/>
    </row>
    <row r="136" spans="1:10" ht="15" customHeight="1">
      <c r="A136" s="162">
        <v>216</v>
      </c>
      <c r="B136" s="162" t="s">
        <v>10158</v>
      </c>
      <c r="D136" s="163" t="s">
        <v>64</v>
      </c>
      <c r="E136" s="168" t="s">
        <v>10152</v>
      </c>
      <c r="F136" s="165">
        <v>183</v>
      </c>
      <c r="G136" s="169">
        <v>183</v>
      </c>
      <c r="H136" s="170" t="s">
        <v>10121</v>
      </c>
      <c r="I136" s="167" t="str">
        <f>IF(Plan_Comptable[[#This Row],[Sous-compte]]="","",LEFT(Plan_Comptable[[#This Row],[Sous-compte]]&amp;"00",4))</f>
        <v>1830</v>
      </c>
      <c r="J136" s="167"/>
    </row>
    <row r="137" spans="1:10" ht="15" customHeight="1">
      <c r="A137" s="162">
        <v>2181</v>
      </c>
      <c r="B137" s="162" t="s">
        <v>10159</v>
      </c>
      <c r="D137" s="163" t="s">
        <v>64</v>
      </c>
      <c r="E137" s="168" t="s">
        <v>10152</v>
      </c>
      <c r="F137" s="165">
        <v>184</v>
      </c>
      <c r="G137" s="169">
        <v>184</v>
      </c>
      <c r="H137" s="170" t="s">
        <v>10122</v>
      </c>
      <c r="I137" s="167" t="str">
        <f>IF(Plan_Comptable[[#This Row],[Sous-compte]]="","",LEFT(Plan_Comptable[[#This Row],[Sous-compte]]&amp;"00",4))</f>
        <v>1840</v>
      </c>
      <c r="J137" s="167"/>
    </row>
    <row r="138" spans="1:10" ht="15" customHeight="1">
      <c r="A138" s="162">
        <v>2182</v>
      </c>
      <c r="B138" s="162" t="s">
        <v>10160</v>
      </c>
      <c r="D138" s="166" t="s">
        <v>64</v>
      </c>
      <c r="E138" s="168" t="s">
        <v>10152</v>
      </c>
      <c r="F138" s="165">
        <v>185</v>
      </c>
      <c r="G138" s="169">
        <v>185</v>
      </c>
      <c r="H138" s="170" t="s">
        <v>10123</v>
      </c>
      <c r="I138" s="167" t="str">
        <f>IF(Plan_Comptable[[#This Row],[Sous-compte]]="","",LEFT(Plan_Comptable[[#This Row],[Sous-compte]]&amp;"00",4))</f>
        <v>1850</v>
      </c>
      <c r="J138" s="167"/>
    </row>
    <row r="139" spans="1:10" ht="15" customHeight="1">
      <c r="A139" s="162">
        <v>2183</v>
      </c>
      <c r="B139" s="162" t="s">
        <v>10161</v>
      </c>
      <c r="D139" s="163" t="s">
        <v>64</v>
      </c>
      <c r="E139" s="168" t="s">
        <v>10152</v>
      </c>
      <c r="F139" s="165">
        <v>186</v>
      </c>
      <c r="G139" s="169">
        <v>186</v>
      </c>
      <c r="H139" s="170" t="s">
        <v>10125</v>
      </c>
      <c r="I139" s="167" t="str">
        <f>IF(Plan_Comptable[[#This Row],[Sous-compte]]="","",LEFT(Plan_Comptable[[#This Row],[Sous-compte]]&amp;"00",4))</f>
        <v>1860</v>
      </c>
      <c r="J139" s="167"/>
    </row>
    <row r="140" spans="1:10" ht="15" customHeight="1">
      <c r="A140" s="162">
        <v>2184</v>
      </c>
      <c r="B140" s="162" t="s">
        <v>10162</v>
      </c>
      <c r="D140" s="163" t="s">
        <v>64</v>
      </c>
      <c r="E140" s="168" t="s">
        <v>10152</v>
      </c>
      <c r="F140" s="165">
        <v>187</v>
      </c>
      <c r="G140" s="169">
        <v>187</v>
      </c>
      <c r="H140" s="170" t="s">
        <v>10127</v>
      </c>
      <c r="I140" s="167" t="str">
        <f>IF(Plan_Comptable[[#This Row],[Sous-compte]]="","",LEFT(Plan_Comptable[[#This Row],[Sous-compte]]&amp;"00",4))</f>
        <v>1870</v>
      </c>
      <c r="J140" s="167"/>
    </row>
    <row r="141" spans="1:10" ht="15" customHeight="1">
      <c r="A141" s="162">
        <v>2188</v>
      </c>
      <c r="B141" s="162" t="s">
        <v>10163</v>
      </c>
      <c r="D141" s="163" t="s">
        <v>64</v>
      </c>
      <c r="E141" s="168" t="s">
        <v>10152</v>
      </c>
      <c r="F141" s="165">
        <v>188</v>
      </c>
      <c r="G141" s="169">
        <v>188</v>
      </c>
      <c r="H141" s="170" t="s">
        <v>10128</v>
      </c>
      <c r="I141" s="167" t="str">
        <f>IF(Plan_Comptable[[#This Row],[Sous-compte]]="","",LEFT(Plan_Comptable[[#This Row],[Sous-compte]]&amp;"00",4))</f>
        <v>1880</v>
      </c>
      <c r="J141" s="167"/>
    </row>
    <row r="142" spans="1:10" ht="15" customHeight="1">
      <c r="A142" s="162">
        <v>2191</v>
      </c>
      <c r="B142" s="162" t="s">
        <v>10164</v>
      </c>
      <c r="D142" s="163" t="s">
        <v>64</v>
      </c>
      <c r="E142" s="186">
        <v>19</v>
      </c>
      <c r="F142" s="171" t="s">
        <v>9941</v>
      </c>
      <c r="G142" s="171"/>
      <c r="H142" s="183" t="s">
        <v>10165</v>
      </c>
      <c r="I142" s="167" t="str">
        <f>IF(Plan_Comptable[[#This Row],[Sous-compte]]="","",LEFT(Plan_Comptable[[#This Row],[Sous-compte]]&amp;"00",4))</f>
        <v/>
      </c>
      <c r="J142" s="167"/>
    </row>
    <row r="143" spans="1:10" ht="15" customHeight="1">
      <c r="A143" s="162">
        <v>2193</v>
      </c>
      <c r="B143" s="162" t="s">
        <v>10166</v>
      </c>
      <c r="D143" s="163" t="s">
        <v>64</v>
      </c>
      <c r="E143" s="168" t="s">
        <v>10167</v>
      </c>
      <c r="F143" s="165">
        <v>191</v>
      </c>
      <c r="G143" s="169">
        <v>191</v>
      </c>
      <c r="H143" s="170" t="s">
        <v>10129</v>
      </c>
      <c r="I143" s="167" t="str">
        <f>IF(Plan_Comptable[[#This Row],[Sous-compte]]="","",LEFT(Plan_Comptable[[#This Row],[Sous-compte]]&amp;"00",4))</f>
        <v>1910</v>
      </c>
      <c r="J143" s="167"/>
    </row>
    <row r="144" spans="1:10" ht="15" customHeight="1">
      <c r="A144" s="162">
        <v>2198</v>
      </c>
      <c r="B144" s="162" t="s">
        <v>10168</v>
      </c>
      <c r="D144" s="163" t="s">
        <v>64</v>
      </c>
      <c r="E144" s="168" t="s">
        <v>10167</v>
      </c>
      <c r="F144" s="165">
        <v>192</v>
      </c>
      <c r="G144" s="169">
        <v>192</v>
      </c>
      <c r="H144" s="170" t="s">
        <v>10130</v>
      </c>
      <c r="I144" s="167" t="str">
        <f>IF(Plan_Comptable[[#This Row],[Sous-compte]]="","",LEFT(Plan_Comptable[[#This Row],[Sous-compte]]&amp;"00",4))</f>
        <v>1920</v>
      </c>
      <c r="J144" s="167"/>
    </row>
    <row r="145" spans="1:10" ht="15" customHeight="1">
      <c r="A145" s="162">
        <v>2211</v>
      </c>
      <c r="B145" s="162" t="s">
        <v>10169</v>
      </c>
      <c r="D145" s="163" t="s">
        <v>64</v>
      </c>
      <c r="E145" s="168" t="s">
        <v>10167</v>
      </c>
      <c r="F145" s="165">
        <v>193</v>
      </c>
      <c r="G145" s="169">
        <v>193</v>
      </c>
      <c r="H145" s="170" t="s">
        <v>10132</v>
      </c>
      <c r="I145" s="167" t="str">
        <f>IF(Plan_Comptable[[#This Row],[Sous-compte]]="","",LEFT(Plan_Comptable[[#This Row],[Sous-compte]]&amp;"00",4))</f>
        <v>1930</v>
      </c>
      <c r="J145" s="167"/>
    </row>
    <row r="146" spans="1:10" ht="15" customHeight="1">
      <c r="A146" s="162">
        <v>2212</v>
      </c>
      <c r="B146" s="162" t="s">
        <v>10170</v>
      </c>
      <c r="D146" s="163" t="s">
        <v>64</v>
      </c>
      <c r="E146" s="168" t="s">
        <v>10167</v>
      </c>
      <c r="F146" s="165">
        <v>194</v>
      </c>
      <c r="G146" s="169">
        <v>194</v>
      </c>
      <c r="H146" s="170" t="s">
        <v>10134</v>
      </c>
      <c r="I146" s="167" t="str">
        <f>IF(Plan_Comptable[[#This Row],[Sous-compte]]="","",LEFT(Plan_Comptable[[#This Row],[Sous-compte]]&amp;"00",4))</f>
        <v>1940</v>
      </c>
      <c r="J146" s="167"/>
    </row>
    <row r="147" spans="1:10" ht="15" customHeight="1">
      <c r="A147" s="162">
        <v>2218</v>
      </c>
      <c r="B147" s="162" t="s">
        <v>10171</v>
      </c>
      <c r="D147" s="163" t="s">
        <v>64</v>
      </c>
      <c r="E147" s="168" t="s">
        <v>10167</v>
      </c>
      <c r="F147" s="165">
        <v>195</v>
      </c>
      <c r="G147" s="169">
        <v>195</v>
      </c>
      <c r="H147" s="170" t="s">
        <v>10135</v>
      </c>
      <c r="I147" s="167" t="str">
        <f>IF(Plan_Comptable[[#This Row],[Sous-compte]]="","",LEFT(Plan_Comptable[[#This Row],[Sous-compte]]&amp;"00",4))</f>
        <v>1950</v>
      </c>
      <c r="J147" s="167"/>
    </row>
    <row r="148" spans="1:10" ht="15" customHeight="1">
      <c r="A148" s="162">
        <v>2221</v>
      </c>
      <c r="B148" s="162" t="s">
        <v>10172</v>
      </c>
      <c r="D148" s="163" t="s">
        <v>64</v>
      </c>
      <c r="E148" s="168" t="s">
        <v>10167</v>
      </c>
      <c r="F148" s="165">
        <v>196</v>
      </c>
      <c r="G148" s="169"/>
      <c r="H148" s="170" t="s">
        <v>1816</v>
      </c>
      <c r="I148" s="167" t="str">
        <f>IF(Plan_Comptable[[#This Row],[Sous-compte]]="","",LEFT(Plan_Comptable[[#This Row],[Sous-compte]]&amp;"00",4))</f>
        <v/>
      </c>
      <c r="J148" s="167"/>
    </row>
    <row r="149" spans="1:10" ht="15" customHeight="1">
      <c r="A149" s="162">
        <v>2228</v>
      </c>
      <c r="B149" s="162" t="s">
        <v>10173</v>
      </c>
      <c r="D149" s="163" t="s">
        <v>64</v>
      </c>
      <c r="E149" s="168" t="s">
        <v>10167</v>
      </c>
      <c r="F149" s="165" t="s">
        <v>10174</v>
      </c>
      <c r="G149" s="173">
        <v>1961</v>
      </c>
      <c r="H149" s="174" t="s">
        <v>10136</v>
      </c>
      <c r="I149" s="167" t="str">
        <f>IF(Plan_Comptable[[#This Row],[Sous-compte]]="","",LEFT(Plan_Comptable[[#This Row],[Sous-compte]]&amp;"00",4))</f>
        <v>1961</v>
      </c>
      <c r="J149" s="167"/>
    </row>
    <row r="150" spans="1:10" ht="15" customHeight="1">
      <c r="A150" s="162">
        <v>2231</v>
      </c>
      <c r="B150" s="162" t="s">
        <v>10175</v>
      </c>
      <c r="D150" s="163" t="s">
        <v>64</v>
      </c>
      <c r="E150" s="168" t="s">
        <v>10167</v>
      </c>
      <c r="F150" s="165" t="s">
        <v>10174</v>
      </c>
      <c r="G150" s="173">
        <v>1962</v>
      </c>
      <c r="H150" s="174" t="s">
        <v>10137</v>
      </c>
      <c r="I150" s="167" t="str">
        <f>IF(Plan_Comptable[[#This Row],[Sous-compte]]="","",LEFT(Plan_Comptable[[#This Row],[Sous-compte]]&amp;"00",4))</f>
        <v>1962</v>
      </c>
      <c r="J150" s="167"/>
    </row>
    <row r="151" spans="1:10" ht="15" customHeight="1">
      <c r="A151" s="162">
        <v>2232</v>
      </c>
      <c r="B151" s="162" t="s">
        <v>10176</v>
      </c>
      <c r="D151" s="163" t="s">
        <v>64</v>
      </c>
      <c r="E151" s="168" t="s">
        <v>10167</v>
      </c>
      <c r="F151" s="171">
        <v>197</v>
      </c>
      <c r="G151" s="172">
        <v>197</v>
      </c>
      <c r="H151" s="179" t="s">
        <v>10138</v>
      </c>
      <c r="I151" s="167" t="str">
        <f>IF(Plan_Comptable[[#This Row],[Sous-compte]]="","",LEFT(Plan_Comptable[[#This Row],[Sous-compte]]&amp;"00",4))</f>
        <v>1970</v>
      </c>
      <c r="J151" s="167"/>
    </row>
    <row r="152" spans="1:10" ht="15" customHeight="1">
      <c r="A152" s="162">
        <v>2234</v>
      </c>
      <c r="B152" s="162" t="s">
        <v>10177</v>
      </c>
      <c r="D152" s="163" t="s">
        <v>64</v>
      </c>
      <c r="E152" s="168" t="s">
        <v>10167</v>
      </c>
      <c r="F152" s="171">
        <v>198</v>
      </c>
      <c r="G152" s="172"/>
      <c r="H152" s="179" t="s">
        <v>10178</v>
      </c>
      <c r="I152" s="167" t="str">
        <f>IF(Plan_Comptable[[#This Row],[Sous-compte]]="","",LEFT(Plan_Comptable[[#This Row],[Sous-compte]]&amp;"00",4))</f>
        <v/>
      </c>
      <c r="J152" s="167"/>
    </row>
    <row r="153" spans="1:10" ht="15" customHeight="1">
      <c r="A153" s="162">
        <v>2235</v>
      </c>
      <c r="B153" s="162" t="s">
        <v>10179</v>
      </c>
      <c r="D153" s="163" t="s">
        <v>64</v>
      </c>
      <c r="E153" s="168" t="s">
        <v>10167</v>
      </c>
      <c r="F153" s="168" t="s">
        <v>10180</v>
      </c>
      <c r="G153" s="169">
        <v>1981</v>
      </c>
      <c r="H153" s="170" t="s">
        <v>1986</v>
      </c>
      <c r="I153" s="167" t="str">
        <f>IF(Plan_Comptable[[#This Row],[Sous-compte]]="","",LEFT(Plan_Comptable[[#This Row],[Sous-compte]]&amp;"00",4))</f>
        <v>1981</v>
      </c>
      <c r="J153" s="167"/>
    </row>
    <row r="154" spans="1:10" ht="15" customHeight="1">
      <c r="A154" s="162">
        <v>2238</v>
      </c>
      <c r="B154" s="162" t="s">
        <v>10181</v>
      </c>
      <c r="D154" s="163" t="s">
        <v>64</v>
      </c>
      <c r="E154" s="168" t="s">
        <v>10167</v>
      </c>
      <c r="F154" s="168" t="s">
        <v>10180</v>
      </c>
      <c r="G154" s="176">
        <v>1983</v>
      </c>
      <c r="H154" s="167" t="s">
        <v>10140</v>
      </c>
      <c r="I154" s="167" t="str">
        <f>IF(Plan_Comptable[[#This Row],[Sous-compte]]="","",LEFT(Plan_Comptable[[#This Row],[Sous-compte]]&amp;"00",4))</f>
        <v>1983</v>
      </c>
      <c r="J154" s="167"/>
    </row>
    <row r="155" spans="1:10" ht="15" customHeight="1">
      <c r="A155" s="162">
        <v>2241</v>
      </c>
      <c r="B155" s="162" t="s">
        <v>10182</v>
      </c>
      <c r="D155" s="163" t="s">
        <v>64</v>
      </c>
      <c r="E155" s="168" t="s">
        <v>10167</v>
      </c>
      <c r="F155" s="168" t="s">
        <v>10180</v>
      </c>
      <c r="G155" s="173">
        <v>1984</v>
      </c>
      <c r="H155" s="175" t="s">
        <v>1988</v>
      </c>
      <c r="I155" s="167" t="str">
        <f>IF(Plan_Comptable[[#This Row],[Sous-compte]]="","",LEFT(Plan_Comptable[[#This Row],[Sous-compte]]&amp;"00",4))</f>
        <v>1984</v>
      </c>
      <c r="J155" s="167"/>
    </row>
    <row r="156" spans="1:10" ht="15" customHeight="1">
      <c r="A156" s="162">
        <v>2245</v>
      </c>
      <c r="B156" s="162" t="s">
        <v>10183</v>
      </c>
      <c r="D156" s="163" t="s">
        <v>64</v>
      </c>
      <c r="E156" s="168" t="s">
        <v>10167</v>
      </c>
      <c r="F156" s="168" t="s">
        <v>10180</v>
      </c>
      <c r="G156" s="173">
        <v>1985</v>
      </c>
      <c r="H156" s="175" t="s">
        <v>10141</v>
      </c>
      <c r="I156" s="167" t="str">
        <f>IF(Plan_Comptable[[#This Row],[Sous-compte]]="","",LEFT(Plan_Comptable[[#This Row],[Sous-compte]]&amp;"00",4))</f>
        <v>1985</v>
      </c>
      <c r="J156" s="167"/>
    </row>
    <row r="157" spans="1:10" ht="15" customHeight="1">
      <c r="A157" s="162">
        <v>2248</v>
      </c>
      <c r="B157" s="162" t="s">
        <v>10184</v>
      </c>
      <c r="D157" s="163" t="s">
        <v>64</v>
      </c>
      <c r="E157" s="168" t="s">
        <v>10167</v>
      </c>
      <c r="F157" s="168" t="s">
        <v>10180</v>
      </c>
      <c r="G157" s="172">
        <v>1988</v>
      </c>
      <c r="H157" s="179" t="s">
        <v>10142</v>
      </c>
      <c r="I157" s="167" t="str">
        <f>IF(Plan_Comptable[[#This Row],[Sous-compte]]="","",LEFT(Plan_Comptable[[#This Row],[Sous-compte]]&amp;"00",4))</f>
        <v>1988</v>
      </c>
      <c r="J157" s="167"/>
    </row>
    <row r="158" spans="1:10" ht="15" customHeight="1">
      <c r="A158" s="162">
        <v>2251</v>
      </c>
      <c r="B158" s="162" t="s">
        <v>10185</v>
      </c>
      <c r="D158" s="187" t="s">
        <v>67</v>
      </c>
      <c r="E158" s="185">
        <v>21</v>
      </c>
      <c r="F158" s="165" t="s">
        <v>9941</v>
      </c>
      <c r="G158" s="165"/>
      <c r="H158" s="166" t="s">
        <v>1236</v>
      </c>
      <c r="I158" s="167" t="str">
        <f>IF(Plan_Comptable[[#This Row],[Sous-compte]]="","",LEFT(Plan_Comptable[[#This Row],[Sous-compte]]&amp;"00",4))</f>
        <v/>
      </c>
      <c r="J158" s="167"/>
    </row>
    <row r="159" spans="1:10" ht="15" customHeight="1">
      <c r="A159" s="162">
        <v>2261</v>
      </c>
      <c r="B159" s="162" t="s">
        <v>10186</v>
      </c>
      <c r="D159" s="187" t="s">
        <v>67</v>
      </c>
      <c r="E159" s="168" t="s">
        <v>10187</v>
      </c>
      <c r="F159" s="171">
        <v>211</v>
      </c>
      <c r="G159" s="172">
        <v>211</v>
      </c>
      <c r="H159" s="179" t="s">
        <v>10143</v>
      </c>
      <c r="I159" s="167" t="str">
        <f>IF(Plan_Comptable[[#This Row],[Sous-compte]]="","",LEFT(Plan_Comptable[[#This Row],[Sous-compte]]&amp;"00",4))</f>
        <v>2110</v>
      </c>
      <c r="J159" s="167" t="s">
        <v>1279</v>
      </c>
    </row>
    <row r="160" spans="1:10" ht="15" customHeight="1">
      <c r="A160" s="162">
        <v>227</v>
      </c>
      <c r="B160" s="162" t="s">
        <v>10188</v>
      </c>
      <c r="D160" s="187" t="s">
        <v>67</v>
      </c>
      <c r="E160" s="168" t="s">
        <v>10187</v>
      </c>
      <c r="F160" s="168">
        <v>212</v>
      </c>
      <c r="G160" s="176"/>
      <c r="H160" s="167" t="s">
        <v>10189</v>
      </c>
      <c r="I160" s="167" t="str">
        <f>IF(Plan_Comptable[[#This Row],[Sous-compte]]="","",LEFT(Plan_Comptable[[#This Row],[Sous-compte]]&amp;"00",4))</f>
        <v/>
      </c>
      <c r="J160" s="167"/>
    </row>
    <row r="161" spans="1:10" ht="15" customHeight="1">
      <c r="A161" s="162">
        <v>2281</v>
      </c>
      <c r="B161" s="162" t="s">
        <v>10190</v>
      </c>
      <c r="D161" s="187" t="s">
        <v>67</v>
      </c>
      <c r="E161" s="168" t="s">
        <v>10187</v>
      </c>
      <c r="F161" s="168" t="s">
        <v>10191</v>
      </c>
      <c r="G161" s="173">
        <v>2121</v>
      </c>
      <c r="H161" s="175" t="s">
        <v>10145</v>
      </c>
      <c r="I161" s="167" t="str">
        <f>IF(Plan_Comptable[[#This Row],[Sous-compte]]="","",LEFT(Plan_Comptable[[#This Row],[Sous-compte]]&amp;"00",4))</f>
        <v>2121</v>
      </c>
      <c r="J161" s="167" t="s">
        <v>1279</v>
      </c>
    </row>
    <row r="162" spans="1:10" ht="15" customHeight="1">
      <c r="A162" s="162">
        <v>2285</v>
      </c>
      <c r="B162" s="162" t="s">
        <v>10192</v>
      </c>
      <c r="D162" s="187" t="s">
        <v>67</v>
      </c>
      <c r="E162" s="168" t="s">
        <v>10187</v>
      </c>
      <c r="F162" s="168" t="s">
        <v>10191</v>
      </c>
      <c r="G162" s="173">
        <v>2122</v>
      </c>
      <c r="H162" s="175" t="s">
        <v>10146</v>
      </c>
      <c r="I162" s="167" t="str">
        <f>IF(Plan_Comptable[[#This Row],[Sous-compte]]="","",LEFT(Plan_Comptable[[#This Row],[Sous-compte]]&amp;"00",4))</f>
        <v>2122</v>
      </c>
      <c r="J162" s="167" t="s">
        <v>1279</v>
      </c>
    </row>
    <row r="163" spans="1:10" ht="15" customHeight="1">
      <c r="A163" s="162">
        <v>2286</v>
      </c>
      <c r="B163" s="162" t="s">
        <v>10193</v>
      </c>
      <c r="D163" s="187" t="s">
        <v>67</v>
      </c>
      <c r="E163" s="168" t="s">
        <v>10187</v>
      </c>
      <c r="F163" s="168" t="s">
        <v>10191</v>
      </c>
      <c r="G163" s="173">
        <v>2123</v>
      </c>
      <c r="H163" s="175" t="s">
        <v>10147</v>
      </c>
      <c r="I163" s="167" t="str">
        <f>IF(Plan_Comptable[[#This Row],[Sous-compte]]="","",LEFT(Plan_Comptable[[#This Row],[Sous-compte]]&amp;"00",4))</f>
        <v>2123</v>
      </c>
      <c r="J163" s="167" t="s">
        <v>1279</v>
      </c>
    </row>
    <row r="164" spans="1:10" ht="15" customHeight="1">
      <c r="A164" s="162">
        <v>2288</v>
      </c>
      <c r="B164" s="162" t="s">
        <v>10194</v>
      </c>
      <c r="D164" s="187" t="s">
        <v>67</v>
      </c>
      <c r="E164" s="168" t="s">
        <v>10187</v>
      </c>
      <c r="F164" s="168" t="s">
        <v>10191</v>
      </c>
      <c r="G164" s="173">
        <v>2128</v>
      </c>
      <c r="H164" s="175" t="s">
        <v>10148</v>
      </c>
      <c r="I164" s="167" t="str">
        <f>IF(Plan_Comptable[[#This Row],[Sous-compte]]="","",LEFT(Plan_Comptable[[#This Row],[Sous-compte]]&amp;"00",4))</f>
        <v>2128</v>
      </c>
      <c r="J164" s="167" t="s">
        <v>1279</v>
      </c>
    </row>
    <row r="165" spans="1:10" ht="15" customHeight="1">
      <c r="A165" s="162">
        <v>2291</v>
      </c>
      <c r="B165" s="162" t="s">
        <v>10195</v>
      </c>
      <c r="D165" s="187" t="s">
        <v>67</v>
      </c>
      <c r="E165" s="168" t="s">
        <v>10187</v>
      </c>
      <c r="F165" s="171">
        <v>213</v>
      </c>
      <c r="G165" s="172"/>
      <c r="H165" s="179" t="s">
        <v>10196</v>
      </c>
      <c r="I165" s="167" t="str">
        <f>IF(Plan_Comptable[[#This Row],[Sous-compte]]="","",LEFT(Plan_Comptable[[#This Row],[Sous-compte]]&amp;"00",4))</f>
        <v/>
      </c>
      <c r="J165" s="167"/>
    </row>
    <row r="166" spans="1:10" ht="15" customHeight="1">
      <c r="A166" s="162">
        <v>2292</v>
      </c>
      <c r="B166" s="162" t="s">
        <v>10197</v>
      </c>
      <c r="D166" s="187" t="s">
        <v>67</v>
      </c>
      <c r="E166" s="168" t="s">
        <v>10187</v>
      </c>
      <c r="F166" s="168" t="s">
        <v>10198</v>
      </c>
      <c r="G166" s="173">
        <v>2131</v>
      </c>
      <c r="H166" s="175" t="s">
        <v>10149</v>
      </c>
      <c r="I166" s="167" t="str">
        <f>IF(Plan_Comptable[[#This Row],[Sous-compte]]="","",LEFT(Plan_Comptable[[#This Row],[Sous-compte]]&amp;"00",4))</f>
        <v>2131</v>
      </c>
      <c r="J166" s="167" t="s">
        <v>1279</v>
      </c>
    </row>
    <row r="167" spans="1:10" ht="15" customHeight="1">
      <c r="A167" s="162">
        <v>2295</v>
      </c>
      <c r="B167" s="162" t="s">
        <v>10199</v>
      </c>
      <c r="D167" s="187" t="s">
        <v>67</v>
      </c>
      <c r="E167" s="168" t="s">
        <v>10187</v>
      </c>
      <c r="F167" s="168" t="s">
        <v>10198</v>
      </c>
      <c r="G167" s="173">
        <v>2132</v>
      </c>
      <c r="H167" s="175" t="s">
        <v>10151</v>
      </c>
      <c r="I167" s="167" t="str">
        <f>IF(Plan_Comptable[[#This Row],[Sous-compte]]="","",LEFT(Plan_Comptable[[#This Row],[Sous-compte]]&amp;"00",4))</f>
        <v>2132</v>
      </c>
      <c r="J167" s="167" t="s">
        <v>1279</v>
      </c>
    </row>
    <row r="168" spans="1:10" ht="15" customHeight="1">
      <c r="A168" s="162">
        <v>2298</v>
      </c>
      <c r="B168" s="162" t="s">
        <v>10171</v>
      </c>
      <c r="D168" s="187" t="s">
        <v>67</v>
      </c>
      <c r="E168" s="168" t="s">
        <v>10187</v>
      </c>
      <c r="F168" s="168">
        <v>214</v>
      </c>
      <c r="G168" s="176">
        <v>214</v>
      </c>
      <c r="H168" s="167" t="s">
        <v>10154</v>
      </c>
      <c r="I168" s="167" t="str">
        <f>IF(Plan_Comptable[[#This Row],[Sous-compte]]="","",LEFT(Plan_Comptable[[#This Row],[Sous-compte]]&amp;"00",4))</f>
        <v>2140</v>
      </c>
      <c r="J168" s="167" t="s">
        <v>1279</v>
      </c>
    </row>
    <row r="169" spans="1:10" ht="15" customHeight="1">
      <c r="A169" s="162">
        <v>2311</v>
      </c>
      <c r="B169" s="162" t="s">
        <v>10200</v>
      </c>
      <c r="D169" s="187" t="s">
        <v>67</v>
      </c>
      <c r="E169" s="168" t="s">
        <v>10187</v>
      </c>
      <c r="F169" s="168">
        <v>215</v>
      </c>
      <c r="G169" s="176">
        <v>215</v>
      </c>
      <c r="H169" s="167" t="s">
        <v>10156</v>
      </c>
      <c r="I169" s="167" t="str">
        <f>IF(Plan_Comptable[[#This Row],[Sous-compte]]="","",LEFT(Plan_Comptable[[#This Row],[Sous-compte]]&amp;"00",4))</f>
        <v>2150</v>
      </c>
      <c r="J169" s="167" t="s">
        <v>1279</v>
      </c>
    </row>
    <row r="170" spans="1:10" ht="15" customHeight="1">
      <c r="A170" s="162">
        <v>2312</v>
      </c>
      <c r="B170" s="162" t="s">
        <v>10201</v>
      </c>
      <c r="D170" s="187" t="s">
        <v>67</v>
      </c>
      <c r="E170" s="168" t="s">
        <v>10187</v>
      </c>
      <c r="F170" s="168">
        <v>216</v>
      </c>
      <c r="G170" s="176">
        <v>216</v>
      </c>
      <c r="H170" s="167" t="s">
        <v>10157</v>
      </c>
      <c r="I170" s="167" t="str">
        <f>IF(Plan_Comptable[[#This Row],[Sous-compte]]="","",LEFT(Plan_Comptable[[#This Row],[Sous-compte]]&amp;"00",4))</f>
        <v>2160</v>
      </c>
      <c r="J170" s="167" t="s">
        <v>1279</v>
      </c>
    </row>
    <row r="171" spans="1:10" ht="15" customHeight="1">
      <c r="A171" s="162">
        <v>2313</v>
      </c>
      <c r="B171" s="162" t="s">
        <v>10202</v>
      </c>
      <c r="D171" s="187" t="s">
        <v>67</v>
      </c>
      <c r="E171" s="168" t="s">
        <v>10187</v>
      </c>
      <c r="F171" s="168">
        <v>217</v>
      </c>
      <c r="G171" s="176">
        <v>216</v>
      </c>
      <c r="H171" s="167" t="s">
        <v>10158</v>
      </c>
      <c r="I171" s="167" t="str">
        <f>IF(Plan_Comptable[[#This Row],[Sous-compte]]="","",LEFT(Plan_Comptable[[#This Row],[Sous-compte]]&amp;"00",4))</f>
        <v>2160</v>
      </c>
      <c r="J171" s="167" t="s">
        <v>1279</v>
      </c>
    </row>
    <row r="172" spans="1:10" ht="15" customHeight="1">
      <c r="A172" s="162">
        <v>2314</v>
      </c>
      <c r="B172" s="162" t="s">
        <v>10203</v>
      </c>
      <c r="D172" s="187" t="s">
        <v>67</v>
      </c>
      <c r="E172" s="168" t="s">
        <v>10187</v>
      </c>
      <c r="F172" s="168">
        <v>218</v>
      </c>
      <c r="G172" s="176"/>
      <c r="H172" s="167" t="s">
        <v>10204</v>
      </c>
      <c r="I172" s="167" t="str">
        <f>IF(Plan_Comptable[[#This Row],[Sous-compte]]="","",LEFT(Plan_Comptable[[#This Row],[Sous-compte]]&amp;"00",4))</f>
        <v/>
      </c>
      <c r="J172" s="167"/>
    </row>
    <row r="173" spans="1:10" ht="15" customHeight="1">
      <c r="A173" s="162">
        <v>2315</v>
      </c>
      <c r="B173" s="162" t="s">
        <v>10205</v>
      </c>
      <c r="D173" s="187" t="s">
        <v>67</v>
      </c>
      <c r="E173" s="168" t="s">
        <v>10187</v>
      </c>
      <c r="F173" s="168" t="s">
        <v>10206</v>
      </c>
      <c r="G173" s="173">
        <v>2181</v>
      </c>
      <c r="H173" s="174" t="s">
        <v>10159</v>
      </c>
      <c r="I173" s="167" t="str">
        <f>IF(Plan_Comptable[[#This Row],[Sous-compte]]="","",LEFT(Plan_Comptable[[#This Row],[Sous-compte]]&amp;"00",4))</f>
        <v>2181</v>
      </c>
      <c r="J173" s="167" t="s">
        <v>1279</v>
      </c>
    </row>
    <row r="174" spans="1:10" ht="15" customHeight="1">
      <c r="A174" s="162">
        <v>2316</v>
      </c>
      <c r="B174" s="162" t="s">
        <v>10207</v>
      </c>
      <c r="D174" s="187" t="s">
        <v>67</v>
      </c>
      <c r="E174" s="168" t="s">
        <v>10187</v>
      </c>
      <c r="F174" s="168" t="s">
        <v>10206</v>
      </c>
      <c r="G174" s="173">
        <v>2182</v>
      </c>
      <c r="H174" s="188" t="s">
        <v>10160</v>
      </c>
      <c r="I174" s="167" t="str">
        <f>IF(Plan_Comptable[[#This Row],[Sous-compte]]="","",LEFT(Plan_Comptable[[#This Row],[Sous-compte]]&amp;"00",4))</f>
        <v>2182</v>
      </c>
      <c r="J174" s="167" t="s">
        <v>1279</v>
      </c>
    </row>
    <row r="175" spans="1:10" ht="15" customHeight="1">
      <c r="A175" s="162">
        <v>2321</v>
      </c>
      <c r="B175" s="162" t="s">
        <v>10200</v>
      </c>
      <c r="D175" s="187" t="s">
        <v>67</v>
      </c>
      <c r="E175" s="168" t="s">
        <v>10187</v>
      </c>
      <c r="F175" s="168" t="s">
        <v>10206</v>
      </c>
      <c r="G175" s="173">
        <v>2183</v>
      </c>
      <c r="H175" s="174" t="s">
        <v>10161</v>
      </c>
      <c r="I175" s="167" t="str">
        <f>IF(Plan_Comptable[[#This Row],[Sous-compte]]="","",LEFT(Plan_Comptable[[#This Row],[Sous-compte]]&amp;"00",4))</f>
        <v>2183</v>
      </c>
      <c r="J175" s="167" t="s">
        <v>1279</v>
      </c>
    </row>
    <row r="176" spans="1:10" ht="15" customHeight="1">
      <c r="A176" s="162">
        <v>2322</v>
      </c>
      <c r="B176" s="162" t="s">
        <v>10201</v>
      </c>
      <c r="D176" s="187" t="s">
        <v>67</v>
      </c>
      <c r="E176" s="168" t="s">
        <v>10187</v>
      </c>
      <c r="F176" s="168" t="s">
        <v>10206</v>
      </c>
      <c r="G176" s="173">
        <v>2184</v>
      </c>
      <c r="H176" s="174" t="s">
        <v>10162</v>
      </c>
      <c r="I176" s="167" t="str">
        <f>IF(Plan_Comptable[[#This Row],[Sous-compte]]="","",LEFT(Plan_Comptable[[#This Row],[Sous-compte]]&amp;"00",4))</f>
        <v>2184</v>
      </c>
      <c r="J176" s="167" t="s">
        <v>1279</v>
      </c>
    </row>
    <row r="177" spans="1:10" ht="15" customHeight="1">
      <c r="A177" s="162">
        <v>2323</v>
      </c>
      <c r="B177" s="162" t="s">
        <v>10202</v>
      </c>
      <c r="D177" s="187" t="s">
        <v>67</v>
      </c>
      <c r="E177" s="168" t="s">
        <v>10187</v>
      </c>
      <c r="F177" s="168" t="s">
        <v>10206</v>
      </c>
      <c r="G177" s="173">
        <v>2188</v>
      </c>
      <c r="H177" s="174" t="s">
        <v>10163</v>
      </c>
      <c r="I177" s="167" t="str">
        <f>IF(Plan_Comptable[[#This Row],[Sous-compte]]="","",LEFT(Plan_Comptable[[#This Row],[Sous-compte]]&amp;"00",4))</f>
        <v>2188</v>
      </c>
      <c r="J177" s="167" t="s">
        <v>1279</v>
      </c>
    </row>
    <row r="178" spans="1:10" ht="15" customHeight="1">
      <c r="A178" s="162">
        <v>2324</v>
      </c>
      <c r="B178" s="162" t="s">
        <v>10203</v>
      </c>
      <c r="D178" s="187" t="s">
        <v>67</v>
      </c>
      <c r="E178" s="168" t="s">
        <v>10187</v>
      </c>
      <c r="F178" s="168">
        <v>219</v>
      </c>
      <c r="G178" s="176"/>
      <c r="H178" s="167" t="s">
        <v>10208</v>
      </c>
      <c r="I178" s="167" t="str">
        <f>IF(Plan_Comptable[[#This Row],[Sous-compte]]="","",LEFT(Plan_Comptable[[#This Row],[Sous-compte]]&amp;"00",4))</f>
        <v/>
      </c>
      <c r="J178" s="167"/>
    </row>
    <row r="179" spans="1:10" ht="15" customHeight="1">
      <c r="A179" s="162">
        <v>2325</v>
      </c>
      <c r="B179" s="162" t="s">
        <v>10205</v>
      </c>
      <c r="D179" s="187" t="s">
        <v>67</v>
      </c>
      <c r="E179" s="168" t="s">
        <v>10187</v>
      </c>
      <c r="F179" s="168" t="s">
        <v>10209</v>
      </c>
      <c r="G179" s="172">
        <v>2191</v>
      </c>
      <c r="H179" s="179" t="s">
        <v>10164</v>
      </c>
      <c r="I179" s="167" t="str">
        <f>IF(Plan_Comptable[[#This Row],[Sous-compte]]="","",LEFT(Plan_Comptable[[#This Row],[Sous-compte]]&amp;"00",4))</f>
        <v>2191</v>
      </c>
      <c r="J179" s="167" t="s">
        <v>1279</v>
      </c>
    </row>
    <row r="180" spans="1:10" ht="15" customHeight="1">
      <c r="A180" s="162">
        <v>2326</v>
      </c>
      <c r="B180" s="162" t="s">
        <v>10207</v>
      </c>
      <c r="D180" s="187" t="s">
        <v>67</v>
      </c>
      <c r="E180" s="168" t="s">
        <v>10187</v>
      </c>
      <c r="F180" s="168" t="s">
        <v>10209</v>
      </c>
      <c r="G180" s="172">
        <v>2193</v>
      </c>
      <c r="H180" s="179" t="s">
        <v>10166</v>
      </c>
      <c r="I180" s="167" t="str">
        <f>IF(Plan_Comptable[[#This Row],[Sous-compte]]="","",LEFT(Plan_Comptable[[#This Row],[Sous-compte]]&amp;"00",4))</f>
        <v>2193</v>
      </c>
      <c r="J180" s="167" t="s">
        <v>1279</v>
      </c>
    </row>
    <row r="181" spans="1:10" ht="15" customHeight="1">
      <c r="A181" s="162">
        <v>2331</v>
      </c>
      <c r="B181" s="162" t="s">
        <v>10210</v>
      </c>
      <c r="D181" s="187" t="s">
        <v>67</v>
      </c>
      <c r="E181" s="168" t="s">
        <v>10187</v>
      </c>
      <c r="F181" s="168" t="s">
        <v>10209</v>
      </c>
      <c r="G181" s="176">
        <v>2198</v>
      </c>
      <c r="H181" s="167" t="s">
        <v>10168</v>
      </c>
      <c r="I181" s="167" t="str">
        <f>IF(Plan_Comptable[[#This Row],[Sous-compte]]="","",LEFT(Plan_Comptable[[#This Row],[Sous-compte]]&amp;"00",4))</f>
        <v>2198</v>
      </c>
      <c r="J181" s="167" t="s">
        <v>1279</v>
      </c>
    </row>
    <row r="182" spans="1:10" ht="15" customHeight="1">
      <c r="A182" s="162">
        <v>2332</v>
      </c>
      <c r="B182" s="162" t="s">
        <v>10211</v>
      </c>
      <c r="D182" s="187" t="s">
        <v>67</v>
      </c>
      <c r="E182" s="189">
        <v>22</v>
      </c>
      <c r="F182" s="165" t="s">
        <v>9941</v>
      </c>
      <c r="G182" s="165"/>
      <c r="H182" s="166" t="s">
        <v>10212</v>
      </c>
      <c r="I182" s="167" t="str">
        <f>IF(Plan_Comptable[[#This Row],[Sous-compte]]="","",LEFT(Plan_Comptable[[#This Row],[Sous-compte]]&amp;"00",4))</f>
        <v/>
      </c>
      <c r="J182" s="167"/>
    </row>
    <row r="183" spans="1:10" ht="15" customHeight="1">
      <c r="A183" s="162">
        <v>2333</v>
      </c>
      <c r="B183" s="162" t="s">
        <v>10213</v>
      </c>
      <c r="D183" s="187" t="s">
        <v>67</v>
      </c>
      <c r="E183" s="168" t="s">
        <v>10214</v>
      </c>
      <c r="F183" s="168">
        <v>221</v>
      </c>
      <c r="G183" s="176"/>
      <c r="H183" s="167" t="s">
        <v>10215</v>
      </c>
      <c r="I183" s="167" t="str">
        <f>IF(Plan_Comptable[[#This Row],[Sous-compte]]="","",LEFT(Plan_Comptable[[#This Row],[Sous-compte]]&amp;"00",4))</f>
        <v/>
      </c>
      <c r="J183" s="167"/>
    </row>
    <row r="184" spans="1:10" ht="15" customHeight="1">
      <c r="A184" s="162">
        <v>2334</v>
      </c>
      <c r="B184" s="162" t="s">
        <v>10216</v>
      </c>
      <c r="D184" s="187" t="s">
        <v>67</v>
      </c>
      <c r="E184" s="168" t="s">
        <v>10214</v>
      </c>
      <c r="F184" s="168" t="s">
        <v>10217</v>
      </c>
      <c r="G184" s="176">
        <v>2211</v>
      </c>
      <c r="H184" s="167" t="s">
        <v>10169</v>
      </c>
      <c r="I184" s="167" t="str">
        <f>IF(Plan_Comptable[[#This Row],[Sous-compte]]="","",LEFT(Plan_Comptable[[#This Row],[Sous-compte]]&amp;"00",4))</f>
        <v>2211</v>
      </c>
      <c r="J184" s="167" t="s">
        <v>1279</v>
      </c>
    </row>
    <row r="185" spans="1:10" ht="15" customHeight="1">
      <c r="A185" s="162">
        <v>2335</v>
      </c>
      <c r="B185" s="162" t="s">
        <v>10218</v>
      </c>
      <c r="D185" s="187" t="s">
        <v>67</v>
      </c>
      <c r="E185" s="168" t="s">
        <v>10214</v>
      </c>
      <c r="F185" s="168" t="s">
        <v>10217</v>
      </c>
      <c r="G185" s="176">
        <v>2212</v>
      </c>
      <c r="H185" s="167" t="s">
        <v>10170</v>
      </c>
      <c r="I185" s="167" t="str">
        <f>IF(Plan_Comptable[[#This Row],[Sous-compte]]="","",LEFT(Plan_Comptable[[#This Row],[Sous-compte]]&amp;"00",4))</f>
        <v>2212</v>
      </c>
      <c r="J185" s="167" t="s">
        <v>1279</v>
      </c>
    </row>
    <row r="186" spans="1:10" ht="15" customHeight="1">
      <c r="A186" s="162">
        <v>2338</v>
      </c>
      <c r="B186" s="162" t="s">
        <v>10219</v>
      </c>
      <c r="D186" s="187" t="s">
        <v>67</v>
      </c>
      <c r="E186" s="168" t="s">
        <v>10214</v>
      </c>
      <c r="F186" s="168" t="s">
        <v>10217</v>
      </c>
      <c r="G186" s="176">
        <v>2218</v>
      </c>
      <c r="H186" s="167" t="s">
        <v>10171</v>
      </c>
      <c r="I186" s="167" t="str">
        <f>IF(Plan_Comptable[[#This Row],[Sous-compte]]="","",LEFT(Plan_Comptable[[#This Row],[Sous-compte]]&amp;"00",4))</f>
        <v>2218</v>
      </c>
      <c r="J186" s="167" t="s">
        <v>1279</v>
      </c>
    </row>
    <row r="187" spans="1:10" ht="15" customHeight="1">
      <c r="A187" s="162">
        <v>2341</v>
      </c>
      <c r="B187" s="162" t="s">
        <v>10220</v>
      </c>
      <c r="D187" s="187" t="s">
        <v>67</v>
      </c>
      <c r="E187" s="168" t="s">
        <v>10214</v>
      </c>
      <c r="F187" s="168">
        <v>222</v>
      </c>
      <c r="G187" s="176"/>
      <c r="H187" s="167" t="s">
        <v>10221</v>
      </c>
      <c r="I187" s="167" t="str">
        <f>IF(Plan_Comptable[[#This Row],[Sous-compte]]="","",LEFT(Plan_Comptable[[#This Row],[Sous-compte]]&amp;"00",4))</f>
        <v/>
      </c>
      <c r="J187" s="167"/>
    </row>
    <row r="188" spans="1:10" ht="15" customHeight="1">
      <c r="A188" s="162">
        <v>2342</v>
      </c>
      <c r="B188" s="162" t="s">
        <v>10222</v>
      </c>
      <c r="D188" s="187" t="s">
        <v>67</v>
      </c>
      <c r="E188" s="168" t="s">
        <v>10214</v>
      </c>
      <c r="F188" s="168" t="s">
        <v>10223</v>
      </c>
      <c r="G188" s="176">
        <v>2221</v>
      </c>
      <c r="H188" s="167" t="s">
        <v>10172</v>
      </c>
      <c r="I188" s="167" t="str">
        <f>IF(Plan_Comptable[[#This Row],[Sous-compte]]="","",LEFT(Plan_Comptable[[#This Row],[Sous-compte]]&amp;"00",4))</f>
        <v>2221</v>
      </c>
      <c r="J188" s="167" t="s">
        <v>1279</v>
      </c>
    </row>
    <row r="189" spans="1:10" ht="15" customHeight="1">
      <c r="A189" s="162">
        <v>2343</v>
      </c>
      <c r="B189" s="162" t="s">
        <v>10224</v>
      </c>
      <c r="D189" s="187" t="s">
        <v>67</v>
      </c>
      <c r="E189" s="168" t="s">
        <v>10214</v>
      </c>
      <c r="F189" s="168" t="s">
        <v>10223</v>
      </c>
      <c r="G189" s="176">
        <v>2228</v>
      </c>
      <c r="H189" s="167" t="s">
        <v>10173</v>
      </c>
      <c r="I189" s="167" t="str">
        <f>IF(Plan_Comptable[[#This Row],[Sous-compte]]="","",LEFT(Plan_Comptable[[#This Row],[Sous-compte]]&amp;"00",4))</f>
        <v>2228</v>
      </c>
      <c r="J189" s="167" t="s">
        <v>1279</v>
      </c>
    </row>
    <row r="190" spans="1:10" ht="15" customHeight="1">
      <c r="A190" s="162">
        <v>2344</v>
      </c>
      <c r="B190" s="162" t="s">
        <v>10225</v>
      </c>
      <c r="D190" s="187" t="s">
        <v>67</v>
      </c>
      <c r="E190" s="168" t="s">
        <v>10214</v>
      </c>
      <c r="F190" s="168">
        <v>223</v>
      </c>
      <c r="G190" s="176"/>
      <c r="H190" s="167" t="s">
        <v>10226</v>
      </c>
      <c r="I190" s="167" t="str">
        <f>IF(Plan_Comptable[[#This Row],[Sous-compte]]="","",LEFT(Plan_Comptable[[#This Row],[Sous-compte]]&amp;"00",4))</f>
        <v/>
      </c>
      <c r="J190" s="167"/>
    </row>
    <row r="191" spans="1:10" ht="15" customHeight="1">
      <c r="A191" s="162">
        <v>2345</v>
      </c>
      <c r="B191" s="162" t="s">
        <v>10227</v>
      </c>
      <c r="D191" s="187" t="s">
        <v>67</v>
      </c>
      <c r="E191" s="168" t="s">
        <v>10214</v>
      </c>
      <c r="F191" s="168" t="s">
        <v>10228</v>
      </c>
      <c r="G191" s="176">
        <v>2231</v>
      </c>
      <c r="H191" s="167" t="s">
        <v>10175</v>
      </c>
      <c r="I191" s="167" t="str">
        <f>IF(Plan_Comptable[[#This Row],[Sous-compte]]="","",LEFT(Plan_Comptable[[#This Row],[Sous-compte]]&amp;"00",4))</f>
        <v>2231</v>
      </c>
      <c r="J191" s="167" t="s">
        <v>1279</v>
      </c>
    </row>
    <row r="192" spans="1:10" ht="15" customHeight="1">
      <c r="A192" s="162">
        <v>2351</v>
      </c>
      <c r="B192" s="162" t="s">
        <v>10229</v>
      </c>
      <c r="D192" s="187" t="s">
        <v>67</v>
      </c>
      <c r="E192" s="168" t="s">
        <v>10214</v>
      </c>
      <c r="F192" s="168" t="s">
        <v>10228</v>
      </c>
      <c r="G192" s="176">
        <v>2232</v>
      </c>
      <c r="H192" s="167" t="s">
        <v>10176</v>
      </c>
      <c r="I192" s="167" t="str">
        <f>IF(Plan_Comptable[[#This Row],[Sous-compte]]="","",LEFT(Plan_Comptable[[#This Row],[Sous-compte]]&amp;"00",4))</f>
        <v>2232</v>
      </c>
      <c r="J192" s="167" t="s">
        <v>1279</v>
      </c>
    </row>
    <row r="193" spans="1:10" ht="15" customHeight="1">
      <c r="A193" s="162">
        <v>2358</v>
      </c>
      <c r="B193" s="162" t="s">
        <v>10230</v>
      </c>
      <c r="D193" s="187" t="s">
        <v>67</v>
      </c>
      <c r="E193" s="168" t="s">
        <v>10214</v>
      </c>
      <c r="F193" s="168" t="s">
        <v>10228</v>
      </c>
      <c r="G193" s="176">
        <v>2234</v>
      </c>
      <c r="H193" s="167" t="s">
        <v>10177</v>
      </c>
      <c r="I193" s="167" t="str">
        <f>IF(Plan_Comptable[[#This Row],[Sous-compte]]="","",LEFT(Plan_Comptable[[#This Row],[Sous-compte]]&amp;"00",4))</f>
        <v>2234</v>
      </c>
      <c r="J193" s="167" t="s">
        <v>1279</v>
      </c>
    </row>
    <row r="194" spans="1:10" ht="15" customHeight="1">
      <c r="A194" s="162">
        <v>237</v>
      </c>
      <c r="B194" s="162" t="s">
        <v>10231</v>
      </c>
      <c r="D194" s="187" t="s">
        <v>67</v>
      </c>
      <c r="E194" s="168" t="s">
        <v>10214</v>
      </c>
      <c r="F194" s="168" t="s">
        <v>10228</v>
      </c>
      <c r="G194" s="176">
        <v>2235</v>
      </c>
      <c r="H194" s="167" t="s">
        <v>10179</v>
      </c>
      <c r="I194" s="167" t="str">
        <f>IF(Plan_Comptable[[#This Row],[Sous-compte]]="","",LEFT(Plan_Comptable[[#This Row],[Sous-compte]]&amp;"00",4))</f>
        <v>2235</v>
      </c>
      <c r="J194" s="167" t="s">
        <v>1279</v>
      </c>
    </row>
    <row r="195" spans="1:10" ht="15" customHeight="1">
      <c r="A195" s="162">
        <v>238</v>
      </c>
      <c r="B195" s="162" t="s">
        <v>10232</v>
      </c>
      <c r="D195" s="187" t="s">
        <v>67</v>
      </c>
      <c r="E195" s="168" t="s">
        <v>10214</v>
      </c>
      <c r="F195" s="168" t="s">
        <v>10228</v>
      </c>
      <c r="G195" s="176">
        <v>2238</v>
      </c>
      <c r="H195" s="167" t="s">
        <v>10181</v>
      </c>
      <c r="I195" s="167" t="str">
        <f>IF(Plan_Comptable[[#This Row],[Sous-compte]]="","",LEFT(Plan_Comptable[[#This Row],[Sous-compte]]&amp;"00",4))</f>
        <v>2238</v>
      </c>
      <c r="J195" s="167" t="s">
        <v>1279</v>
      </c>
    </row>
    <row r="196" spans="1:10" ht="15" customHeight="1">
      <c r="A196" s="162">
        <v>2391</v>
      </c>
      <c r="B196" s="162" t="s">
        <v>10233</v>
      </c>
      <c r="D196" s="187" t="s">
        <v>67</v>
      </c>
      <c r="E196" s="168" t="s">
        <v>10214</v>
      </c>
      <c r="F196" s="168">
        <v>224</v>
      </c>
      <c r="G196" s="176"/>
      <c r="H196" s="167" t="s">
        <v>10234</v>
      </c>
      <c r="I196" s="167" t="str">
        <f>IF(Plan_Comptable[[#This Row],[Sous-compte]]="","",LEFT(Plan_Comptable[[#This Row],[Sous-compte]]&amp;"00",4))</f>
        <v/>
      </c>
      <c r="J196" s="167"/>
    </row>
    <row r="197" spans="1:10" ht="15" customHeight="1">
      <c r="A197" s="162">
        <v>2392</v>
      </c>
      <c r="B197" s="162" t="s">
        <v>10235</v>
      </c>
      <c r="D197" s="187" t="s">
        <v>67</v>
      </c>
      <c r="E197" s="168" t="s">
        <v>10214</v>
      </c>
      <c r="F197" s="168" t="s">
        <v>10236</v>
      </c>
      <c r="G197" s="176">
        <v>2241</v>
      </c>
      <c r="H197" s="167" t="s">
        <v>10182</v>
      </c>
      <c r="I197" s="167" t="str">
        <f>IF(Plan_Comptable[[#This Row],[Sous-compte]]="","",LEFT(Plan_Comptable[[#This Row],[Sous-compte]]&amp;"00",4))</f>
        <v>2241</v>
      </c>
      <c r="J197" s="167" t="s">
        <v>1279</v>
      </c>
    </row>
    <row r="198" spans="1:10" ht="15" customHeight="1">
      <c r="A198" s="162">
        <v>2393</v>
      </c>
      <c r="B198" s="162" t="s">
        <v>10237</v>
      </c>
      <c r="D198" s="187" t="s">
        <v>67</v>
      </c>
      <c r="E198" s="168" t="s">
        <v>10214</v>
      </c>
      <c r="F198" s="168" t="s">
        <v>10236</v>
      </c>
      <c r="G198" s="173">
        <v>2245</v>
      </c>
      <c r="H198" s="175" t="s">
        <v>10183</v>
      </c>
      <c r="I198" s="167" t="str">
        <f>IF(Plan_Comptable[[#This Row],[Sous-compte]]="","",LEFT(Plan_Comptable[[#This Row],[Sous-compte]]&amp;"00",4))</f>
        <v>2245</v>
      </c>
      <c r="J198" s="167" t="s">
        <v>1279</v>
      </c>
    </row>
    <row r="199" spans="1:10" ht="15" customHeight="1">
      <c r="A199" s="162">
        <v>2394</v>
      </c>
      <c r="B199" s="162" t="s">
        <v>10238</v>
      </c>
      <c r="D199" s="187" t="s">
        <v>67</v>
      </c>
      <c r="E199" s="168" t="s">
        <v>10214</v>
      </c>
      <c r="F199" s="168" t="s">
        <v>10236</v>
      </c>
      <c r="G199" s="176">
        <v>2248</v>
      </c>
      <c r="H199" s="167" t="s">
        <v>10184</v>
      </c>
      <c r="I199" s="167" t="str">
        <f>IF(Plan_Comptable[[#This Row],[Sous-compte]]="","",LEFT(Plan_Comptable[[#This Row],[Sous-compte]]&amp;"00",4))</f>
        <v>2248</v>
      </c>
      <c r="J199" s="167" t="s">
        <v>1279</v>
      </c>
    </row>
    <row r="200" spans="1:10" ht="15" customHeight="1">
      <c r="A200" s="162">
        <v>2395</v>
      </c>
      <c r="B200" s="162" t="s">
        <v>10239</v>
      </c>
      <c r="D200" s="187" t="s">
        <v>67</v>
      </c>
      <c r="E200" s="168" t="s">
        <v>10214</v>
      </c>
      <c r="F200" s="171">
        <v>225</v>
      </c>
      <c r="G200" s="172"/>
      <c r="H200" s="179" t="s">
        <v>10240</v>
      </c>
      <c r="I200" s="167" t="str">
        <f>IF(Plan_Comptable[[#This Row],[Sous-compte]]="","",LEFT(Plan_Comptable[[#This Row],[Sous-compte]]&amp;"00",4))</f>
        <v/>
      </c>
      <c r="J200" s="167"/>
    </row>
    <row r="201" spans="1:10" ht="15" customHeight="1">
      <c r="A201" s="162">
        <v>2398</v>
      </c>
      <c r="B201" s="162" t="s">
        <v>10241</v>
      </c>
      <c r="D201" s="187" t="s">
        <v>67</v>
      </c>
      <c r="E201" s="168" t="s">
        <v>10214</v>
      </c>
      <c r="F201" s="168" t="s">
        <v>10242</v>
      </c>
      <c r="G201" s="176">
        <v>2251</v>
      </c>
      <c r="H201" s="167" t="s">
        <v>10185</v>
      </c>
      <c r="I201" s="167" t="str">
        <f>IF(Plan_Comptable[[#This Row],[Sous-compte]]="","",LEFT(Plan_Comptable[[#This Row],[Sous-compte]]&amp;"00",4))</f>
        <v>2251</v>
      </c>
      <c r="J201" s="167" t="s">
        <v>1279</v>
      </c>
    </row>
    <row r="202" spans="1:10" ht="15" customHeight="1">
      <c r="A202" s="162">
        <v>2411</v>
      </c>
      <c r="B202" s="162" t="s">
        <v>10243</v>
      </c>
      <c r="D202" s="187" t="s">
        <v>67</v>
      </c>
      <c r="E202" s="168" t="s">
        <v>10214</v>
      </c>
      <c r="F202" s="168">
        <v>226</v>
      </c>
      <c r="G202" s="176"/>
      <c r="H202" s="167" t="s">
        <v>10244</v>
      </c>
      <c r="I202" s="167" t="str">
        <f>IF(Plan_Comptable[[#This Row],[Sous-compte]]="","",LEFT(Plan_Comptable[[#This Row],[Sous-compte]]&amp;"00",4))</f>
        <v/>
      </c>
      <c r="J202" s="167"/>
    </row>
    <row r="203" spans="1:10" ht="15" customHeight="1">
      <c r="A203" s="162">
        <v>2412</v>
      </c>
      <c r="B203" s="162" t="s">
        <v>10245</v>
      </c>
      <c r="D203" s="187" t="s">
        <v>67</v>
      </c>
      <c r="E203" s="168" t="s">
        <v>10214</v>
      </c>
      <c r="F203" s="168" t="s">
        <v>10246</v>
      </c>
      <c r="G203" s="176">
        <v>2261</v>
      </c>
      <c r="H203" s="167" t="s">
        <v>10186</v>
      </c>
      <c r="I203" s="167" t="str">
        <f>IF(Plan_Comptable[[#This Row],[Sous-compte]]="","",LEFT(Plan_Comptable[[#This Row],[Sous-compte]]&amp;"00",4))</f>
        <v>2261</v>
      </c>
      <c r="J203" s="167" t="s">
        <v>1279</v>
      </c>
    </row>
    <row r="204" spans="1:10" ht="15" customHeight="1">
      <c r="A204" s="162">
        <v>2413</v>
      </c>
      <c r="B204" s="162" t="s">
        <v>10247</v>
      </c>
      <c r="D204" s="187" t="s">
        <v>67</v>
      </c>
      <c r="E204" s="168" t="s">
        <v>10214</v>
      </c>
      <c r="F204" s="168">
        <v>227</v>
      </c>
      <c r="G204" s="176">
        <v>227</v>
      </c>
      <c r="H204" s="167" t="s">
        <v>10188</v>
      </c>
      <c r="I204" s="167" t="str">
        <f>IF(Plan_Comptable[[#This Row],[Sous-compte]]="","",LEFT(Plan_Comptable[[#This Row],[Sous-compte]]&amp;"00",4))</f>
        <v>2270</v>
      </c>
      <c r="J204" s="167" t="s">
        <v>1279</v>
      </c>
    </row>
    <row r="205" spans="1:10" ht="15" customHeight="1">
      <c r="A205" s="162">
        <v>2414</v>
      </c>
      <c r="B205" s="162" t="s">
        <v>10248</v>
      </c>
      <c r="D205" s="187" t="s">
        <v>67</v>
      </c>
      <c r="E205" s="168" t="s">
        <v>10214</v>
      </c>
      <c r="F205" s="168">
        <v>228</v>
      </c>
      <c r="G205" s="176"/>
      <c r="H205" s="167" t="s">
        <v>10249</v>
      </c>
      <c r="I205" s="167" t="str">
        <f>IF(Plan_Comptable[[#This Row],[Sous-compte]]="","",LEFT(Plan_Comptable[[#This Row],[Sous-compte]]&amp;"00",4))</f>
        <v/>
      </c>
      <c r="J205" s="167"/>
    </row>
    <row r="206" spans="1:10" ht="15" customHeight="1">
      <c r="A206" s="162">
        <v>2416</v>
      </c>
      <c r="B206" s="162" t="s">
        <v>10250</v>
      </c>
      <c r="D206" s="187" t="s">
        <v>67</v>
      </c>
      <c r="E206" s="168" t="s">
        <v>10214</v>
      </c>
      <c r="F206" s="168" t="s">
        <v>10251</v>
      </c>
      <c r="G206" s="172">
        <v>2281</v>
      </c>
      <c r="H206" s="179" t="s">
        <v>10190</v>
      </c>
      <c r="I206" s="167" t="str">
        <f>IF(Plan_Comptable[[#This Row],[Sous-compte]]="","",LEFT(Plan_Comptable[[#This Row],[Sous-compte]]&amp;"00",4))</f>
        <v>2281</v>
      </c>
      <c r="J206" s="167" t="s">
        <v>1279</v>
      </c>
    </row>
    <row r="207" spans="1:10" ht="15" customHeight="1">
      <c r="A207" s="162">
        <v>2421</v>
      </c>
      <c r="B207" s="162" t="s">
        <v>10252</v>
      </c>
      <c r="D207" s="187" t="s">
        <v>67</v>
      </c>
      <c r="E207" s="168" t="s">
        <v>10214</v>
      </c>
      <c r="F207" s="168" t="s">
        <v>10251</v>
      </c>
      <c r="G207" s="176">
        <v>2285</v>
      </c>
      <c r="H207" s="167" t="s">
        <v>10192</v>
      </c>
      <c r="I207" s="167" t="str">
        <f>IF(Plan_Comptable[[#This Row],[Sous-compte]]="","",LEFT(Plan_Comptable[[#This Row],[Sous-compte]]&amp;"00",4))</f>
        <v>2285</v>
      </c>
      <c r="J207" s="167" t="s">
        <v>1279</v>
      </c>
    </row>
    <row r="208" spans="1:10" ht="15" customHeight="1">
      <c r="A208" s="162">
        <v>2422</v>
      </c>
      <c r="B208" s="162" t="s">
        <v>10253</v>
      </c>
      <c r="D208" s="187" t="s">
        <v>67</v>
      </c>
      <c r="E208" s="168" t="s">
        <v>10214</v>
      </c>
      <c r="F208" s="168" t="s">
        <v>10251</v>
      </c>
      <c r="G208" s="173">
        <v>2286</v>
      </c>
      <c r="H208" s="174" t="s">
        <v>10193</v>
      </c>
      <c r="I208" s="167" t="str">
        <f>IF(Plan_Comptable[[#This Row],[Sous-compte]]="","",LEFT(Plan_Comptable[[#This Row],[Sous-compte]]&amp;"00",4))</f>
        <v>2286</v>
      </c>
      <c r="J208" s="167" t="s">
        <v>1279</v>
      </c>
    </row>
    <row r="209" spans="1:10" ht="15" customHeight="1">
      <c r="A209" s="162">
        <v>2426</v>
      </c>
      <c r="B209" s="162" t="s">
        <v>10254</v>
      </c>
      <c r="D209" s="187" t="s">
        <v>67</v>
      </c>
      <c r="E209" s="168" t="s">
        <v>10214</v>
      </c>
      <c r="F209" s="168" t="s">
        <v>10251</v>
      </c>
      <c r="G209" s="172">
        <v>2288</v>
      </c>
      <c r="H209" s="179" t="s">
        <v>10194</v>
      </c>
      <c r="I209" s="167" t="str">
        <f>IF(Plan_Comptable[[#This Row],[Sous-compte]]="","",LEFT(Plan_Comptable[[#This Row],[Sous-compte]]&amp;"00",4))</f>
        <v>2288</v>
      </c>
      <c r="J209" s="167" t="s">
        <v>1279</v>
      </c>
    </row>
    <row r="210" spans="1:10" ht="15" customHeight="1">
      <c r="A210" s="162">
        <v>243</v>
      </c>
      <c r="B210" s="162" t="s">
        <v>10255</v>
      </c>
      <c r="D210" s="187" t="s">
        <v>67</v>
      </c>
      <c r="E210" s="168" t="s">
        <v>10214</v>
      </c>
      <c r="F210" s="168">
        <v>229</v>
      </c>
      <c r="G210" s="176"/>
      <c r="H210" s="167" t="s">
        <v>10256</v>
      </c>
      <c r="I210" s="167" t="str">
        <f>IF(Plan_Comptable[[#This Row],[Sous-compte]]="","",LEFT(Plan_Comptable[[#This Row],[Sous-compte]]&amp;"00",4))</f>
        <v/>
      </c>
      <c r="J210" s="167"/>
    </row>
    <row r="211" spans="1:10" ht="15" customHeight="1">
      <c r="A211" s="162">
        <v>2441</v>
      </c>
      <c r="B211" s="162" t="s">
        <v>10257</v>
      </c>
      <c r="D211" s="187" t="s">
        <v>67</v>
      </c>
      <c r="E211" s="168" t="s">
        <v>10214</v>
      </c>
      <c r="F211" s="168" t="s">
        <v>10258</v>
      </c>
      <c r="G211" s="176">
        <v>2291</v>
      </c>
      <c r="H211" s="167" t="s">
        <v>10195</v>
      </c>
      <c r="I211" s="167" t="str">
        <f>IF(Plan_Comptable[[#This Row],[Sous-compte]]="","",LEFT(Plan_Comptable[[#This Row],[Sous-compte]]&amp;"00",4))</f>
        <v>2291</v>
      </c>
      <c r="J211" s="167" t="s">
        <v>1279</v>
      </c>
    </row>
    <row r="212" spans="1:10" ht="15" customHeight="1">
      <c r="A212" s="162">
        <v>2442</v>
      </c>
      <c r="B212" s="162" t="s">
        <v>10259</v>
      </c>
      <c r="D212" s="187" t="s">
        <v>67</v>
      </c>
      <c r="E212" s="168" t="s">
        <v>10214</v>
      </c>
      <c r="F212" s="168" t="s">
        <v>10258</v>
      </c>
      <c r="G212" s="176">
        <v>2292</v>
      </c>
      <c r="H212" s="167" t="s">
        <v>10197</v>
      </c>
      <c r="I212" s="167" t="str">
        <f>IF(Plan_Comptable[[#This Row],[Sous-compte]]="","",LEFT(Plan_Comptable[[#This Row],[Sous-compte]]&amp;"00",4))</f>
        <v>2292</v>
      </c>
      <c r="J212" s="167" t="s">
        <v>1279</v>
      </c>
    </row>
    <row r="213" spans="1:10" ht="15" customHeight="1">
      <c r="A213" s="162">
        <v>2443</v>
      </c>
      <c r="B213" s="162" t="s">
        <v>10260</v>
      </c>
      <c r="D213" s="187" t="s">
        <v>67</v>
      </c>
      <c r="E213" s="168" t="s">
        <v>10214</v>
      </c>
      <c r="F213" s="168" t="s">
        <v>10258</v>
      </c>
      <c r="G213" s="172">
        <v>2295</v>
      </c>
      <c r="H213" s="179" t="s">
        <v>10199</v>
      </c>
      <c r="I213" s="167" t="str">
        <f>IF(Plan_Comptable[[#This Row],[Sous-compte]]="","",LEFT(Plan_Comptable[[#This Row],[Sous-compte]]&amp;"00",4))</f>
        <v>2295</v>
      </c>
      <c r="J213" s="167" t="s">
        <v>1279</v>
      </c>
    </row>
    <row r="214" spans="1:10" ht="15" customHeight="1">
      <c r="A214" s="162">
        <v>2444</v>
      </c>
      <c r="B214" s="162" t="s">
        <v>10261</v>
      </c>
      <c r="D214" s="187" t="s">
        <v>67</v>
      </c>
      <c r="E214" s="168" t="s">
        <v>10214</v>
      </c>
      <c r="F214" s="168" t="s">
        <v>10258</v>
      </c>
      <c r="G214" s="176">
        <v>2298</v>
      </c>
      <c r="H214" s="167" t="s">
        <v>10171</v>
      </c>
      <c r="I214" s="167" t="str">
        <f>IF(Plan_Comptable[[#This Row],[Sous-compte]]="","",LEFT(Plan_Comptable[[#This Row],[Sous-compte]]&amp;"00",4))</f>
        <v>2298</v>
      </c>
      <c r="J214" s="167" t="s">
        <v>1279</v>
      </c>
    </row>
    <row r="215" spans="1:10" ht="15" customHeight="1">
      <c r="A215" s="162">
        <v>2445</v>
      </c>
      <c r="B215" s="162" t="s">
        <v>10262</v>
      </c>
      <c r="D215" s="187" t="s">
        <v>67</v>
      </c>
      <c r="E215" s="185">
        <v>23</v>
      </c>
      <c r="F215" s="165" t="s">
        <v>9941</v>
      </c>
      <c r="G215" s="165"/>
      <c r="H215" s="166" t="s">
        <v>10263</v>
      </c>
      <c r="I215" s="167" t="str">
        <f>IF(Plan_Comptable[[#This Row],[Sous-compte]]="","",LEFT(Plan_Comptable[[#This Row],[Sous-compte]]&amp;"00",4))</f>
        <v/>
      </c>
      <c r="J215" s="167"/>
    </row>
    <row r="216" spans="1:10" ht="15" customHeight="1">
      <c r="A216" s="162">
        <v>2446</v>
      </c>
      <c r="B216" s="162" t="s">
        <v>10264</v>
      </c>
      <c r="D216" s="187" t="s">
        <v>67</v>
      </c>
      <c r="E216" s="168" t="s">
        <v>10265</v>
      </c>
      <c r="F216" s="168">
        <v>231</v>
      </c>
      <c r="G216" s="176"/>
      <c r="H216" s="167" t="s">
        <v>10266</v>
      </c>
      <c r="I216" s="167" t="str">
        <f>IF(Plan_Comptable[[#This Row],[Sous-compte]]="","",LEFT(Plan_Comptable[[#This Row],[Sous-compte]]&amp;"00",4))</f>
        <v/>
      </c>
      <c r="J216" s="167"/>
    </row>
    <row r="217" spans="1:10" ht="15" customHeight="1">
      <c r="A217" s="162">
        <v>2447</v>
      </c>
      <c r="B217" s="162" t="s">
        <v>10267</v>
      </c>
      <c r="D217" s="187" t="s">
        <v>67</v>
      </c>
      <c r="E217" s="168" t="s">
        <v>10265</v>
      </c>
      <c r="F217" s="168" t="s">
        <v>10268</v>
      </c>
      <c r="G217" s="176">
        <v>2311</v>
      </c>
      <c r="H217" s="167" t="s">
        <v>10200</v>
      </c>
      <c r="I217" s="167" t="str">
        <f>IF(Plan_Comptable[[#This Row],[Sous-compte]]="","",LEFT(Plan_Comptable[[#This Row],[Sous-compte]]&amp;"00",4))</f>
        <v>2311</v>
      </c>
      <c r="J217" s="167" t="s">
        <v>1279</v>
      </c>
    </row>
    <row r="218" spans="1:10" ht="15" customHeight="1">
      <c r="A218" s="162">
        <v>2451</v>
      </c>
      <c r="B218" s="162" t="s">
        <v>10269</v>
      </c>
      <c r="D218" s="187" t="s">
        <v>67</v>
      </c>
      <c r="E218" s="168" t="s">
        <v>10265</v>
      </c>
      <c r="F218" s="168" t="s">
        <v>10268</v>
      </c>
      <c r="G218" s="176">
        <v>2312</v>
      </c>
      <c r="H218" s="167" t="s">
        <v>10201</v>
      </c>
      <c r="I218" s="167" t="str">
        <f>IF(Plan_Comptable[[#This Row],[Sous-compte]]="","",LEFT(Plan_Comptable[[#This Row],[Sous-compte]]&amp;"00",4))</f>
        <v>2312</v>
      </c>
      <c r="J218" s="167" t="s">
        <v>1279</v>
      </c>
    </row>
    <row r="219" spans="1:10" ht="15" customHeight="1">
      <c r="A219" s="162">
        <v>2452</v>
      </c>
      <c r="B219" s="162" t="s">
        <v>10270</v>
      </c>
      <c r="D219" s="187" t="s">
        <v>67</v>
      </c>
      <c r="E219" s="168" t="s">
        <v>10265</v>
      </c>
      <c r="F219" s="168" t="s">
        <v>10268</v>
      </c>
      <c r="G219" s="176">
        <v>2313</v>
      </c>
      <c r="H219" s="167" t="s">
        <v>10202</v>
      </c>
      <c r="I219" s="167" t="str">
        <f>IF(Plan_Comptable[[#This Row],[Sous-compte]]="","",LEFT(Plan_Comptable[[#This Row],[Sous-compte]]&amp;"00",4))</f>
        <v>2313</v>
      </c>
      <c r="J219" s="167" t="s">
        <v>1279</v>
      </c>
    </row>
    <row r="220" spans="1:10" ht="15" customHeight="1">
      <c r="A220" s="162">
        <v>2453</v>
      </c>
      <c r="B220" s="162" t="s">
        <v>10271</v>
      </c>
      <c r="D220" s="187" t="s">
        <v>67</v>
      </c>
      <c r="E220" s="168" t="s">
        <v>10265</v>
      </c>
      <c r="F220" s="168" t="s">
        <v>10268</v>
      </c>
      <c r="G220" s="176">
        <v>2314</v>
      </c>
      <c r="H220" s="167" t="s">
        <v>10203</v>
      </c>
      <c r="I220" s="167" t="str">
        <f>IF(Plan_Comptable[[#This Row],[Sous-compte]]="","",LEFT(Plan_Comptable[[#This Row],[Sous-compte]]&amp;"00",4))</f>
        <v>2314</v>
      </c>
      <c r="J220" s="167" t="s">
        <v>1279</v>
      </c>
    </row>
    <row r="221" spans="1:10" ht="15" customHeight="1">
      <c r="A221" s="162">
        <v>2454</v>
      </c>
      <c r="B221" s="162" t="s">
        <v>10272</v>
      </c>
      <c r="D221" s="187" t="s">
        <v>67</v>
      </c>
      <c r="E221" s="168" t="s">
        <v>10265</v>
      </c>
      <c r="F221" s="168" t="s">
        <v>10268</v>
      </c>
      <c r="G221" s="172">
        <v>2315</v>
      </c>
      <c r="H221" s="190" t="s">
        <v>10205</v>
      </c>
      <c r="I221" s="167" t="str">
        <f>IF(Plan_Comptable[[#This Row],[Sous-compte]]="","",LEFT(Plan_Comptable[[#This Row],[Sous-compte]]&amp;"00",4))</f>
        <v>2315</v>
      </c>
      <c r="J221" s="167" t="s">
        <v>1279</v>
      </c>
    </row>
    <row r="222" spans="1:10" ht="15" customHeight="1">
      <c r="A222" s="162">
        <v>2455</v>
      </c>
      <c r="B222" s="162" t="s">
        <v>10273</v>
      </c>
      <c r="D222" s="187" t="s">
        <v>67</v>
      </c>
      <c r="E222" s="168" t="s">
        <v>10265</v>
      </c>
      <c r="F222" s="168" t="s">
        <v>10268</v>
      </c>
      <c r="G222" s="173">
        <v>2316</v>
      </c>
      <c r="H222" s="191" t="s">
        <v>10207</v>
      </c>
      <c r="I222" s="167" t="str">
        <f>IF(Plan_Comptable[[#This Row],[Sous-compte]]="","",LEFT(Plan_Comptable[[#This Row],[Sous-compte]]&amp;"00",4))</f>
        <v>2316</v>
      </c>
      <c r="J222" s="167" t="s">
        <v>1279</v>
      </c>
    </row>
    <row r="223" spans="1:10" ht="15" customHeight="1">
      <c r="A223" s="162">
        <v>2456</v>
      </c>
      <c r="B223" s="162" t="s">
        <v>10274</v>
      </c>
      <c r="D223" s="187" t="s">
        <v>67</v>
      </c>
      <c r="E223" s="168" t="s">
        <v>10265</v>
      </c>
      <c r="F223" s="168">
        <v>232</v>
      </c>
      <c r="G223" s="176"/>
      <c r="H223" s="167" t="s">
        <v>10275</v>
      </c>
      <c r="I223" s="167" t="str">
        <f>IF(Plan_Comptable[[#This Row],[Sous-compte]]="","",LEFT(Plan_Comptable[[#This Row],[Sous-compte]]&amp;"00",4))</f>
        <v/>
      </c>
      <c r="J223" s="167"/>
    </row>
    <row r="224" spans="1:10" ht="15" customHeight="1">
      <c r="A224" s="162">
        <v>2457</v>
      </c>
      <c r="B224" s="162" t="s">
        <v>10276</v>
      </c>
      <c r="D224" s="187" t="s">
        <v>67</v>
      </c>
      <c r="E224" s="168" t="s">
        <v>10265</v>
      </c>
      <c r="F224" s="168" t="s">
        <v>10277</v>
      </c>
      <c r="G224" s="176">
        <v>2321</v>
      </c>
      <c r="H224" s="167" t="s">
        <v>10200</v>
      </c>
      <c r="I224" s="167" t="str">
        <f>IF(Plan_Comptable[[#This Row],[Sous-compte]]="","",LEFT(Plan_Comptable[[#This Row],[Sous-compte]]&amp;"00",4))</f>
        <v>2321</v>
      </c>
      <c r="J224" s="167" t="s">
        <v>1279</v>
      </c>
    </row>
    <row r="225" spans="1:10" ht="15" customHeight="1">
      <c r="A225" s="162">
        <v>2458</v>
      </c>
      <c r="B225" s="162" t="s">
        <v>10278</v>
      </c>
      <c r="D225" s="187" t="s">
        <v>67</v>
      </c>
      <c r="E225" s="168" t="s">
        <v>10265</v>
      </c>
      <c r="F225" s="168" t="s">
        <v>10277</v>
      </c>
      <c r="G225" s="176">
        <v>2322</v>
      </c>
      <c r="H225" s="167" t="s">
        <v>10201</v>
      </c>
      <c r="I225" s="167" t="str">
        <f>IF(Plan_Comptable[[#This Row],[Sous-compte]]="","",LEFT(Plan_Comptable[[#This Row],[Sous-compte]]&amp;"00",4))</f>
        <v>2322</v>
      </c>
      <c r="J225" s="167" t="s">
        <v>1279</v>
      </c>
    </row>
    <row r="226" spans="1:10" ht="15" customHeight="1">
      <c r="A226" s="162">
        <v>2461</v>
      </c>
      <c r="B226" s="162" t="s">
        <v>10279</v>
      </c>
      <c r="D226" s="187" t="s">
        <v>67</v>
      </c>
      <c r="E226" s="168" t="s">
        <v>10265</v>
      </c>
      <c r="F226" s="168" t="s">
        <v>10277</v>
      </c>
      <c r="G226" s="176">
        <v>2323</v>
      </c>
      <c r="H226" s="167" t="s">
        <v>10202</v>
      </c>
      <c r="I226" s="167" t="str">
        <f>IF(Plan_Comptable[[#This Row],[Sous-compte]]="","",LEFT(Plan_Comptable[[#This Row],[Sous-compte]]&amp;"00",4))</f>
        <v>2323</v>
      </c>
      <c r="J226" s="167" t="s">
        <v>1279</v>
      </c>
    </row>
    <row r="227" spans="1:10" ht="15" customHeight="1">
      <c r="A227" s="162">
        <v>2462</v>
      </c>
      <c r="B227" s="162" t="s">
        <v>10280</v>
      </c>
      <c r="D227" s="187" t="s">
        <v>67</v>
      </c>
      <c r="E227" s="168" t="s">
        <v>10265</v>
      </c>
      <c r="F227" s="168" t="s">
        <v>10277</v>
      </c>
      <c r="G227" s="176">
        <v>2324</v>
      </c>
      <c r="H227" s="167" t="s">
        <v>10203</v>
      </c>
      <c r="I227" s="167" t="str">
        <f>IF(Plan_Comptable[[#This Row],[Sous-compte]]="","",LEFT(Plan_Comptable[[#This Row],[Sous-compte]]&amp;"00",4))</f>
        <v>2324</v>
      </c>
      <c r="J227" s="167" t="s">
        <v>1279</v>
      </c>
    </row>
    <row r="228" spans="1:10" ht="15" customHeight="1">
      <c r="A228" s="162">
        <v>2463</v>
      </c>
      <c r="B228" s="162" t="s">
        <v>10281</v>
      </c>
      <c r="D228" s="187" t="s">
        <v>67</v>
      </c>
      <c r="E228" s="168" t="s">
        <v>10265</v>
      </c>
      <c r="F228" s="168" t="s">
        <v>10277</v>
      </c>
      <c r="G228" s="172">
        <v>2325</v>
      </c>
      <c r="H228" s="179" t="s">
        <v>10205</v>
      </c>
      <c r="I228" s="167" t="str">
        <f>IF(Plan_Comptable[[#This Row],[Sous-compte]]="","",LEFT(Plan_Comptable[[#This Row],[Sous-compte]]&amp;"00",4))</f>
        <v>2325</v>
      </c>
      <c r="J228" s="167" t="s">
        <v>1279</v>
      </c>
    </row>
    <row r="229" spans="1:10" ht="15" customHeight="1">
      <c r="A229" s="162">
        <v>2465</v>
      </c>
      <c r="B229" s="162" t="s">
        <v>10282</v>
      </c>
      <c r="D229" s="187" t="s">
        <v>67</v>
      </c>
      <c r="E229" s="168" t="s">
        <v>10265</v>
      </c>
      <c r="F229" s="168" t="s">
        <v>10277</v>
      </c>
      <c r="G229" s="173">
        <v>2326</v>
      </c>
      <c r="H229" s="174" t="s">
        <v>10207</v>
      </c>
      <c r="I229" s="167" t="str">
        <f>IF(Plan_Comptable[[#This Row],[Sous-compte]]="","",LEFT(Plan_Comptable[[#This Row],[Sous-compte]]&amp;"00",4))</f>
        <v>2326</v>
      </c>
      <c r="J229" s="167" t="s">
        <v>1279</v>
      </c>
    </row>
    <row r="230" spans="1:10" ht="15" customHeight="1">
      <c r="A230" s="162">
        <v>2468</v>
      </c>
      <c r="B230" s="162" t="s">
        <v>10283</v>
      </c>
      <c r="D230" s="187" t="s">
        <v>67</v>
      </c>
      <c r="E230" s="168" t="s">
        <v>10265</v>
      </c>
      <c r="F230" s="168">
        <v>233</v>
      </c>
      <c r="G230" s="176"/>
      <c r="H230" s="167" t="s">
        <v>10284</v>
      </c>
      <c r="I230" s="167" t="str">
        <f>IF(Plan_Comptable[[#This Row],[Sous-compte]]="","",LEFT(Plan_Comptable[[#This Row],[Sous-compte]]&amp;"00",4))</f>
        <v/>
      </c>
      <c r="J230" s="167"/>
    </row>
    <row r="231" spans="1:10" ht="15" customHeight="1">
      <c r="A231" s="162">
        <v>2471</v>
      </c>
      <c r="B231" s="162" t="s">
        <v>10285</v>
      </c>
      <c r="D231" s="187" t="s">
        <v>67</v>
      </c>
      <c r="E231" s="168" t="s">
        <v>10265</v>
      </c>
      <c r="F231" s="168" t="s">
        <v>10286</v>
      </c>
      <c r="G231" s="176">
        <v>2331</v>
      </c>
      <c r="H231" s="167" t="s">
        <v>10210</v>
      </c>
      <c r="I231" s="167" t="str">
        <f>IF(Plan_Comptable[[#This Row],[Sous-compte]]="","",LEFT(Plan_Comptable[[#This Row],[Sous-compte]]&amp;"00",4))</f>
        <v>2331</v>
      </c>
      <c r="J231" s="167" t="s">
        <v>1279</v>
      </c>
    </row>
    <row r="232" spans="1:10" ht="15" customHeight="1">
      <c r="A232" s="162">
        <v>2472</v>
      </c>
      <c r="B232" s="162" t="s">
        <v>10287</v>
      </c>
      <c r="D232" s="187" t="s">
        <v>67</v>
      </c>
      <c r="E232" s="168" t="s">
        <v>10265</v>
      </c>
      <c r="F232" s="168" t="s">
        <v>10286</v>
      </c>
      <c r="G232" s="176">
        <v>2332</v>
      </c>
      <c r="H232" s="167" t="s">
        <v>10211</v>
      </c>
      <c r="I232" s="167" t="str">
        <f>IF(Plan_Comptable[[#This Row],[Sous-compte]]="","",LEFT(Plan_Comptable[[#This Row],[Sous-compte]]&amp;"00",4))</f>
        <v>2332</v>
      </c>
      <c r="J232" s="167" t="s">
        <v>1279</v>
      </c>
    </row>
    <row r="233" spans="1:10" ht="15" customHeight="1">
      <c r="A233" s="162">
        <v>2478</v>
      </c>
      <c r="B233" s="162" t="s">
        <v>10288</v>
      </c>
      <c r="D233" s="187" t="s">
        <v>67</v>
      </c>
      <c r="E233" s="168" t="s">
        <v>10265</v>
      </c>
      <c r="F233" s="168" t="s">
        <v>10286</v>
      </c>
      <c r="G233" s="176">
        <v>2333</v>
      </c>
      <c r="H233" s="167" t="s">
        <v>10213</v>
      </c>
      <c r="I233" s="167" t="str">
        <f>IF(Plan_Comptable[[#This Row],[Sous-compte]]="","",LEFT(Plan_Comptable[[#This Row],[Sous-compte]]&amp;"00",4))</f>
        <v>2333</v>
      </c>
      <c r="J233" s="167" t="s">
        <v>1279</v>
      </c>
    </row>
    <row r="234" spans="1:10" ht="15" customHeight="1">
      <c r="A234" s="162">
        <v>2481</v>
      </c>
      <c r="B234" s="162" t="s">
        <v>10289</v>
      </c>
      <c r="D234" s="187" t="s">
        <v>67</v>
      </c>
      <c r="E234" s="168" t="s">
        <v>10265</v>
      </c>
      <c r="F234" s="168" t="s">
        <v>10286</v>
      </c>
      <c r="G234" s="176">
        <v>2334</v>
      </c>
      <c r="H234" s="167" t="s">
        <v>10216</v>
      </c>
      <c r="I234" s="167" t="str">
        <f>IF(Plan_Comptable[[#This Row],[Sous-compte]]="","",LEFT(Plan_Comptable[[#This Row],[Sous-compte]]&amp;"00",4))</f>
        <v>2334</v>
      </c>
      <c r="J234" s="167" t="s">
        <v>1279</v>
      </c>
    </row>
    <row r="235" spans="1:10" ht="15" customHeight="1">
      <c r="A235" s="162">
        <v>2488</v>
      </c>
      <c r="B235" s="162" t="s">
        <v>10290</v>
      </c>
      <c r="D235" s="187" t="s">
        <v>67</v>
      </c>
      <c r="E235" s="168" t="s">
        <v>10265</v>
      </c>
      <c r="F235" s="168" t="s">
        <v>10286</v>
      </c>
      <c r="G235" s="176">
        <v>2335</v>
      </c>
      <c r="H235" s="167" t="s">
        <v>10218</v>
      </c>
      <c r="I235" s="167" t="str">
        <f>IF(Plan_Comptable[[#This Row],[Sous-compte]]="","",LEFT(Plan_Comptable[[#This Row],[Sous-compte]]&amp;"00",4))</f>
        <v>2335</v>
      </c>
      <c r="J235" s="167" t="s">
        <v>1279</v>
      </c>
    </row>
    <row r="236" spans="1:10" ht="15" customHeight="1">
      <c r="A236" s="162">
        <v>2491</v>
      </c>
      <c r="B236" s="162" t="s">
        <v>10291</v>
      </c>
      <c r="D236" s="187" t="s">
        <v>67</v>
      </c>
      <c r="E236" s="168" t="s">
        <v>10265</v>
      </c>
      <c r="F236" s="168" t="s">
        <v>10286</v>
      </c>
      <c r="G236" s="172">
        <v>2338</v>
      </c>
      <c r="H236" s="179" t="s">
        <v>10219</v>
      </c>
      <c r="I236" s="167" t="str">
        <f>IF(Plan_Comptable[[#This Row],[Sous-compte]]="","",LEFT(Plan_Comptable[[#This Row],[Sous-compte]]&amp;"00",4))</f>
        <v>2338</v>
      </c>
      <c r="J236" s="167" t="s">
        <v>1279</v>
      </c>
    </row>
    <row r="237" spans="1:10" ht="15" customHeight="1">
      <c r="A237" s="162">
        <v>2492</v>
      </c>
      <c r="B237" s="162" t="s">
        <v>10292</v>
      </c>
      <c r="D237" s="187" t="s">
        <v>67</v>
      </c>
      <c r="E237" s="168" t="s">
        <v>10265</v>
      </c>
      <c r="F237" s="171">
        <v>234</v>
      </c>
      <c r="G237" s="172"/>
      <c r="H237" s="179" t="s">
        <v>10293</v>
      </c>
      <c r="I237" s="167" t="str">
        <f>IF(Plan_Comptable[[#This Row],[Sous-compte]]="","",LEFT(Plan_Comptable[[#This Row],[Sous-compte]]&amp;"00",4))</f>
        <v/>
      </c>
      <c r="J237" s="167"/>
    </row>
    <row r="238" spans="1:10" ht="15" customHeight="1">
      <c r="A238" s="162">
        <v>2493</v>
      </c>
      <c r="B238" s="162" t="s">
        <v>10294</v>
      </c>
      <c r="D238" s="187" t="s">
        <v>67</v>
      </c>
      <c r="E238" s="168" t="s">
        <v>10265</v>
      </c>
      <c r="F238" s="168" t="s">
        <v>10295</v>
      </c>
      <c r="G238" s="176">
        <v>2341</v>
      </c>
      <c r="H238" s="167" t="s">
        <v>10220</v>
      </c>
      <c r="I238" s="167" t="str">
        <f>IF(Plan_Comptable[[#This Row],[Sous-compte]]="","",LEFT(Plan_Comptable[[#This Row],[Sous-compte]]&amp;"00",4))</f>
        <v>2341</v>
      </c>
      <c r="J238" s="167" t="s">
        <v>1279</v>
      </c>
    </row>
    <row r="239" spans="1:10" ht="15" customHeight="1">
      <c r="A239" s="162">
        <v>2494</v>
      </c>
      <c r="B239" s="162" t="s">
        <v>10296</v>
      </c>
      <c r="D239" s="187" t="s">
        <v>67</v>
      </c>
      <c r="E239" s="168" t="s">
        <v>10265</v>
      </c>
      <c r="F239" s="168" t="s">
        <v>10295</v>
      </c>
      <c r="G239" s="176">
        <v>2342</v>
      </c>
      <c r="H239" s="167" t="s">
        <v>10222</v>
      </c>
      <c r="I239" s="167" t="str">
        <f>IF(Plan_Comptable[[#This Row],[Sous-compte]]="","",LEFT(Plan_Comptable[[#This Row],[Sous-compte]]&amp;"00",4))</f>
        <v>2342</v>
      </c>
      <c r="J239" s="167" t="s">
        <v>1279</v>
      </c>
    </row>
    <row r="240" spans="1:10" ht="15" customHeight="1">
      <c r="A240" s="162">
        <v>2495</v>
      </c>
      <c r="B240" s="162" t="s">
        <v>1162</v>
      </c>
      <c r="D240" s="187" t="s">
        <v>67</v>
      </c>
      <c r="E240" s="168" t="s">
        <v>10265</v>
      </c>
      <c r="F240" s="168" t="s">
        <v>10295</v>
      </c>
      <c r="G240" s="176">
        <v>2343</v>
      </c>
      <c r="H240" s="167" t="s">
        <v>10224</v>
      </c>
      <c r="I240" s="167" t="str">
        <f>IF(Plan_Comptable[[#This Row],[Sous-compte]]="","",LEFT(Plan_Comptable[[#This Row],[Sous-compte]]&amp;"00",4))</f>
        <v>2343</v>
      </c>
      <c r="J240" s="167" t="s">
        <v>1279</v>
      </c>
    </row>
    <row r="241" spans="1:10" ht="15" customHeight="1">
      <c r="A241" s="162">
        <v>2496</v>
      </c>
      <c r="B241" s="162" t="s">
        <v>10297</v>
      </c>
      <c r="D241" s="187" t="s">
        <v>67</v>
      </c>
      <c r="E241" s="168" t="s">
        <v>10265</v>
      </c>
      <c r="F241" s="168" t="s">
        <v>10295</v>
      </c>
      <c r="G241" s="176">
        <v>2344</v>
      </c>
      <c r="H241" s="167" t="s">
        <v>10225</v>
      </c>
      <c r="I241" s="167" t="str">
        <f>IF(Plan_Comptable[[#This Row],[Sous-compte]]="","",LEFT(Plan_Comptable[[#This Row],[Sous-compte]]&amp;"00",4))</f>
        <v>2344</v>
      </c>
      <c r="J241" s="167" t="s">
        <v>1279</v>
      </c>
    </row>
    <row r="242" spans="1:10" ht="15" customHeight="1">
      <c r="A242" s="162">
        <v>2497</v>
      </c>
      <c r="B242" s="162" t="s">
        <v>10298</v>
      </c>
      <c r="D242" s="187" t="s">
        <v>67</v>
      </c>
      <c r="E242" s="168" t="s">
        <v>10265</v>
      </c>
      <c r="F242" s="168" t="s">
        <v>10295</v>
      </c>
      <c r="G242" s="173">
        <v>2345</v>
      </c>
      <c r="H242" s="175" t="s">
        <v>10227</v>
      </c>
      <c r="I242" s="167" t="str">
        <f>IF(Plan_Comptable[[#This Row],[Sous-compte]]="","",LEFT(Plan_Comptable[[#This Row],[Sous-compte]]&amp;"00",4))</f>
        <v>2345</v>
      </c>
      <c r="J242" s="167" t="s">
        <v>1279</v>
      </c>
    </row>
    <row r="243" spans="1:10" ht="15" customHeight="1">
      <c r="A243" s="162">
        <v>2498</v>
      </c>
      <c r="B243" s="162" t="s">
        <v>10299</v>
      </c>
      <c r="D243" s="187" t="s">
        <v>67</v>
      </c>
      <c r="E243" s="168" t="s">
        <v>10265</v>
      </c>
      <c r="F243" s="168">
        <v>235</v>
      </c>
      <c r="G243" s="176"/>
      <c r="H243" s="167" t="s">
        <v>10300</v>
      </c>
      <c r="I243" s="167" t="str">
        <f>IF(Plan_Comptable[[#This Row],[Sous-compte]]="","",LEFT(Plan_Comptable[[#This Row],[Sous-compte]]&amp;"00",4))</f>
        <v/>
      </c>
      <c r="J243" s="167"/>
    </row>
    <row r="244" spans="1:10" ht="15" customHeight="1">
      <c r="A244" s="162">
        <v>251</v>
      </c>
      <c r="B244" s="162" t="s">
        <v>10301</v>
      </c>
      <c r="D244" s="187" t="s">
        <v>67</v>
      </c>
      <c r="E244" s="168" t="s">
        <v>10265</v>
      </c>
      <c r="F244" s="168" t="s">
        <v>10302</v>
      </c>
      <c r="G244" s="176">
        <v>2351</v>
      </c>
      <c r="H244" s="167" t="s">
        <v>10229</v>
      </c>
      <c r="I244" s="167" t="str">
        <f>IF(Plan_Comptable[[#This Row],[Sous-compte]]="","",LEFT(Plan_Comptable[[#This Row],[Sous-compte]]&amp;"00",4))</f>
        <v>2351</v>
      </c>
      <c r="J244" s="167" t="s">
        <v>1279</v>
      </c>
    </row>
    <row r="245" spans="1:10" ht="15" customHeight="1">
      <c r="A245" s="162">
        <v>252</v>
      </c>
      <c r="B245" s="162" t="s">
        <v>10303</v>
      </c>
      <c r="D245" s="187" t="s">
        <v>67</v>
      </c>
      <c r="E245" s="168" t="s">
        <v>10265</v>
      </c>
      <c r="F245" s="168" t="s">
        <v>10302</v>
      </c>
      <c r="G245" s="172">
        <v>2358</v>
      </c>
      <c r="H245" s="179" t="s">
        <v>10230</v>
      </c>
      <c r="I245" s="167" t="str">
        <f>IF(Plan_Comptable[[#This Row],[Sous-compte]]="","",LEFT(Plan_Comptable[[#This Row],[Sous-compte]]&amp;"00",4))</f>
        <v>2358</v>
      </c>
      <c r="J245" s="167" t="s">
        <v>1279</v>
      </c>
    </row>
    <row r="246" spans="1:10" ht="15" customHeight="1">
      <c r="A246" s="162">
        <v>261</v>
      </c>
      <c r="B246" s="162" t="s">
        <v>10304</v>
      </c>
      <c r="D246" s="187" t="s">
        <v>67</v>
      </c>
      <c r="E246" s="168" t="s">
        <v>10265</v>
      </c>
      <c r="F246" s="168">
        <v>237</v>
      </c>
      <c r="G246" s="176">
        <v>237</v>
      </c>
      <c r="H246" s="167" t="s">
        <v>10231</v>
      </c>
      <c r="I246" s="167" t="str">
        <f>IF(Plan_Comptable[[#This Row],[Sous-compte]]="","",LEFT(Plan_Comptable[[#This Row],[Sous-compte]]&amp;"00",4))</f>
        <v>2370</v>
      </c>
      <c r="J246" s="167" t="s">
        <v>1279</v>
      </c>
    </row>
    <row r="247" spans="1:10" ht="15" customHeight="1">
      <c r="A247" s="162">
        <v>262</v>
      </c>
      <c r="B247" s="162" t="s">
        <v>10305</v>
      </c>
      <c r="D247" s="187" t="s">
        <v>67</v>
      </c>
      <c r="E247" s="168" t="s">
        <v>10265</v>
      </c>
      <c r="F247" s="168">
        <v>238</v>
      </c>
      <c r="G247" s="176">
        <v>238</v>
      </c>
      <c r="H247" s="167" t="s">
        <v>10232</v>
      </c>
      <c r="I247" s="167" t="str">
        <f>IF(Plan_Comptable[[#This Row],[Sous-compte]]="","",LEFT(Plan_Comptable[[#This Row],[Sous-compte]]&amp;"00",4))</f>
        <v>2380</v>
      </c>
      <c r="J247" s="167" t="s">
        <v>1279</v>
      </c>
    </row>
    <row r="248" spans="1:10" ht="15" customHeight="1">
      <c r="A248" s="162">
        <v>263</v>
      </c>
      <c r="B248" s="162" t="s">
        <v>10306</v>
      </c>
      <c r="D248" s="187" t="s">
        <v>67</v>
      </c>
      <c r="E248" s="168" t="s">
        <v>10265</v>
      </c>
      <c r="F248" s="171">
        <v>239</v>
      </c>
      <c r="G248" s="172"/>
      <c r="H248" s="179" t="s">
        <v>10307</v>
      </c>
      <c r="I248" s="167" t="str">
        <f>IF(Plan_Comptable[[#This Row],[Sous-compte]]="","",LEFT(Plan_Comptable[[#This Row],[Sous-compte]]&amp;"00",4))</f>
        <v/>
      </c>
      <c r="J248" s="167"/>
    </row>
    <row r="249" spans="1:10" ht="15" customHeight="1">
      <c r="A249" s="162">
        <v>265</v>
      </c>
      <c r="B249" s="162" t="s">
        <v>10308</v>
      </c>
      <c r="D249" s="187" t="s">
        <v>67</v>
      </c>
      <c r="E249" s="168" t="s">
        <v>10265</v>
      </c>
      <c r="F249" s="168" t="s">
        <v>10309</v>
      </c>
      <c r="G249" s="173">
        <v>2391</v>
      </c>
      <c r="H249" s="174" t="s">
        <v>10233</v>
      </c>
      <c r="I249" s="167" t="str">
        <f>IF(Plan_Comptable[[#This Row],[Sous-compte]]="","",LEFT(Plan_Comptable[[#This Row],[Sous-compte]]&amp;"00",4))</f>
        <v>2391</v>
      </c>
      <c r="J249" s="167" t="s">
        <v>1279</v>
      </c>
    </row>
    <row r="250" spans="1:10" ht="15" customHeight="1">
      <c r="A250" s="162">
        <v>266</v>
      </c>
      <c r="B250" s="162" t="s">
        <v>10310</v>
      </c>
      <c r="D250" s="187" t="s">
        <v>67</v>
      </c>
      <c r="E250" s="168" t="s">
        <v>10265</v>
      </c>
      <c r="F250" s="168" t="s">
        <v>10309</v>
      </c>
      <c r="G250" s="173">
        <v>2392</v>
      </c>
      <c r="H250" s="174" t="s">
        <v>10235</v>
      </c>
      <c r="I250" s="167" t="str">
        <f>IF(Plan_Comptable[[#This Row],[Sous-compte]]="","",LEFT(Plan_Comptable[[#This Row],[Sous-compte]]&amp;"00",4))</f>
        <v>2392</v>
      </c>
      <c r="J250" s="167" t="s">
        <v>1279</v>
      </c>
    </row>
    <row r="251" spans="1:10" ht="15" customHeight="1">
      <c r="A251" s="162">
        <v>268</v>
      </c>
      <c r="B251" s="162" t="s">
        <v>10311</v>
      </c>
      <c r="D251" s="187" t="s">
        <v>67</v>
      </c>
      <c r="E251" s="168" t="s">
        <v>10265</v>
      </c>
      <c r="F251" s="168" t="s">
        <v>10309</v>
      </c>
      <c r="G251" s="173">
        <v>2393</v>
      </c>
      <c r="H251" s="174" t="s">
        <v>10237</v>
      </c>
      <c r="I251" s="167" t="str">
        <f>IF(Plan_Comptable[[#This Row],[Sous-compte]]="","",LEFT(Plan_Comptable[[#This Row],[Sous-compte]]&amp;"00",4))</f>
        <v>2393</v>
      </c>
      <c r="J251" s="167" t="s">
        <v>1279</v>
      </c>
    </row>
    <row r="252" spans="1:10" ht="15" customHeight="1">
      <c r="A252" s="162">
        <v>2711</v>
      </c>
      <c r="B252" s="162" t="s">
        <v>10312</v>
      </c>
      <c r="D252" s="187" t="s">
        <v>67</v>
      </c>
      <c r="E252" s="168" t="s">
        <v>10265</v>
      </c>
      <c r="F252" s="168" t="s">
        <v>10309</v>
      </c>
      <c r="G252" s="173">
        <v>2394</v>
      </c>
      <c r="H252" s="174" t="s">
        <v>10238</v>
      </c>
      <c r="I252" s="167" t="str">
        <f>IF(Plan_Comptable[[#This Row],[Sous-compte]]="","",LEFT(Plan_Comptable[[#This Row],[Sous-compte]]&amp;"00",4))</f>
        <v>2394</v>
      </c>
      <c r="J252" s="167" t="s">
        <v>1279</v>
      </c>
    </row>
    <row r="253" spans="1:10" ht="15" customHeight="1">
      <c r="A253" s="162">
        <v>2712</v>
      </c>
      <c r="B253" s="162" t="s">
        <v>10313</v>
      </c>
      <c r="D253" s="187" t="s">
        <v>67</v>
      </c>
      <c r="E253" s="168" t="s">
        <v>10265</v>
      </c>
      <c r="F253" s="168" t="s">
        <v>10309</v>
      </c>
      <c r="G253" s="173">
        <v>2395</v>
      </c>
      <c r="H253" s="174" t="s">
        <v>10239</v>
      </c>
      <c r="I253" s="167" t="str">
        <f>IF(Plan_Comptable[[#This Row],[Sous-compte]]="","",LEFT(Plan_Comptable[[#This Row],[Sous-compte]]&amp;"00",4))</f>
        <v>2395</v>
      </c>
      <c r="J253" s="167" t="s">
        <v>1279</v>
      </c>
    </row>
    <row r="254" spans="1:10" ht="15" customHeight="1">
      <c r="A254" s="162">
        <v>2713</v>
      </c>
      <c r="B254" s="162" t="s">
        <v>10101</v>
      </c>
      <c r="D254" s="187" t="s">
        <v>67</v>
      </c>
      <c r="E254" s="168" t="s">
        <v>10265</v>
      </c>
      <c r="F254" s="168" t="s">
        <v>10309</v>
      </c>
      <c r="G254" s="173">
        <v>2398</v>
      </c>
      <c r="H254" s="174" t="s">
        <v>10241</v>
      </c>
      <c r="I254" s="167" t="str">
        <f>IF(Plan_Comptable[[#This Row],[Sous-compte]]="","",LEFT(Plan_Comptable[[#This Row],[Sous-compte]]&amp;"00",4))</f>
        <v>2398</v>
      </c>
      <c r="J254" s="167" t="s">
        <v>1279</v>
      </c>
    </row>
    <row r="255" spans="1:10" ht="15" customHeight="1">
      <c r="A255" s="162">
        <v>2714</v>
      </c>
      <c r="B255" s="162" t="s">
        <v>10314</v>
      </c>
      <c r="D255" s="187" t="s">
        <v>67</v>
      </c>
      <c r="E255" s="186">
        <v>24</v>
      </c>
      <c r="F255" s="171" t="s">
        <v>9941</v>
      </c>
      <c r="G255" s="171"/>
      <c r="H255" s="183" t="s">
        <v>10315</v>
      </c>
      <c r="I255" s="167" t="str">
        <f>IF(Plan_Comptable[[#This Row],[Sous-compte]]="","",LEFT(Plan_Comptable[[#This Row],[Sous-compte]]&amp;"00",4))</f>
        <v/>
      </c>
      <c r="J255" s="167"/>
    </row>
    <row r="256" spans="1:10" ht="15" customHeight="1">
      <c r="A256" s="162">
        <v>2715</v>
      </c>
      <c r="B256" s="162" t="s">
        <v>10316</v>
      </c>
      <c r="D256" s="187" t="s">
        <v>67</v>
      </c>
      <c r="E256" s="168" t="s">
        <v>10317</v>
      </c>
      <c r="F256" s="168">
        <v>241</v>
      </c>
      <c r="G256" s="176"/>
      <c r="H256" s="167" t="s">
        <v>10318</v>
      </c>
      <c r="I256" s="167" t="str">
        <f>IF(Plan_Comptable[[#This Row],[Sous-compte]]="","",LEFT(Plan_Comptable[[#This Row],[Sous-compte]]&amp;"00",4))</f>
        <v/>
      </c>
      <c r="J256" s="167"/>
    </row>
    <row r="257" spans="1:10" ht="15" customHeight="1">
      <c r="A257" s="162">
        <v>2718</v>
      </c>
      <c r="B257" s="162" t="s">
        <v>10319</v>
      </c>
      <c r="D257" s="187" t="s">
        <v>67</v>
      </c>
      <c r="E257" s="168" t="s">
        <v>10317</v>
      </c>
      <c r="F257" s="168" t="s">
        <v>10320</v>
      </c>
      <c r="G257" s="176">
        <v>2411</v>
      </c>
      <c r="H257" s="167" t="s">
        <v>10243</v>
      </c>
      <c r="I257" s="167" t="str">
        <f>IF(Plan_Comptable[[#This Row],[Sous-compte]]="","",LEFT(Plan_Comptable[[#This Row],[Sous-compte]]&amp;"00",4))</f>
        <v>2411</v>
      </c>
      <c r="J257" s="167" t="s">
        <v>1279</v>
      </c>
    </row>
    <row r="258" spans="1:10" ht="15" customHeight="1">
      <c r="A258" s="162">
        <v>2721</v>
      </c>
      <c r="B258" s="162" t="s">
        <v>10321</v>
      </c>
      <c r="D258" s="187" t="s">
        <v>67</v>
      </c>
      <c r="E258" s="168" t="s">
        <v>10317</v>
      </c>
      <c r="F258" s="168" t="s">
        <v>10320</v>
      </c>
      <c r="G258" s="176">
        <v>2412</v>
      </c>
      <c r="H258" s="167" t="s">
        <v>10245</v>
      </c>
      <c r="I258" s="167" t="str">
        <f>IF(Plan_Comptable[[#This Row],[Sous-compte]]="","",LEFT(Plan_Comptable[[#This Row],[Sous-compte]]&amp;"00",4))</f>
        <v>2412</v>
      </c>
      <c r="J258" s="167" t="s">
        <v>1279</v>
      </c>
    </row>
    <row r="259" spans="1:10" ht="15" customHeight="1">
      <c r="A259" s="162">
        <v>2722</v>
      </c>
      <c r="B259" s="162" t="s">
        <v>10322</v>
      </c>
      <c r="D259" s="187" t="s">
        <v>67</v>
      </c>
      <c r="E259" s="168" t="s">
        <v>10317</v>
      </c>
      <c r="F259" s="168" t="s">
        <v>10320</v>
      </c>
      <c r="G259" s="176">
        <v>2413</v>
      </c>
      <c r="H259" s="167" t="s">
        <v>10247</v>
      </c>
      <c r="I259" s="167" t="str">
        <f>IF(Plan_Comptable[[#This Row],[Sous-compte]]="","",LEFT(Plan_Comptable[[#This Row],[Sous-compte]]&amp;"00",4))</f>
        <v>2413</v>
      </c>
      <c r="J259" s="167" t="s">
        <v>1279</v>
      </c>
    </row>
    <row r="260" spans="1:10" ht="15" customHeight="1">
      <c r="A260" s="162">
        <v>2728</v>
      </c>
      <c r="B260" s="162" t="s">
        <v>10323</v>
      </c>
      <c r="D260" s="187" t="s">
        <v>67</v>
      </c>
      <c r="E260" s="168" t="s">
        <v>10317</v>
      </c>
      <c r="F260" s="168" t="s">
        <v>10320</v>
      </c>
      <c r="G260" s="176">
        <v>2414</v>
      </c>
      <c r="H260" s="167" t="s">
        <v>10248</v>
      </c>
      <c r="I260" s="167" t="str">
        <f>IF(Plan_Comptable[[#This Row],[Sous-compte]]="","",LEFT(Plan_Comptable[[#This Row],[Sous-compte]]&amp;"00",4))</f>
        <v>2414</v>
      </c>
      <c r="J260" s="167" t="s">
        <v>1279</v>
      </c>
    </row>
    <row r="261" spans="1:10" ht="15" customHeight="1">
      <c r="A261" s="162">
        <v>2731</v>
      </c>
      <c r="B261" s="162" t="s">
        <v>10324</v>
      </c>
      <c r="D261" s="187" t="s">
        <v>67</v>
      </c>
      <c r="E261" s="168" t="s">
        <v>10317</v>
      </c>
      <c r="F261" s="168" t="s">
        <v>10320</v>
      </c>
      <c r="G261" s="173">
        <v>2416</v>
      </c>
      <c r="H261" s="174" t="s">
        <v>10250</v>
      </c>
      <c r="I261" s="167" t="str">
        <f>IF(Plan_Comptable[[#This Row],[Sous-compte]]="","",LEFT(Plan_Comptable[[#This Row],[Sous-compte]]&amp;"00",4))</f>
        <v>2416</v>
      </c>
      <c r="J261" s="167" t="s">
        <v>1279</v>
      </c>
    </row>
    <row r="262" spans="1:10" ht="15" customHeight="1">
      <c r="A262" s="162">
        <v>2733</v>
      </c>
      <c r="B262" s="162" t="s">
        <v>10325</v>
      </c>
      <c r="D262" s="187" t="s">
        <v>67</v>
      </c>
      <c r="E262" s="168" t="s">
        <v>10317</v>
      </c>
      <c r="F262" s="168">
        <v>242</v>
      </c>
      <c r="G262" s="176"/>
      <c r="H262" s="167" t="s">
        <v>10326</v>
      </c>
      <c r="I262" s="167" t="str">
        <f>IF(Plan_Comptable[[#This Row],[Sous-compte]]="","",LEFT(Plan_Comptable[[#This Row],[Sous-compte]]&amp;"00",4))</f>
        <v/>
      </c>
      <c r="J262" s="167"/>
    </row>
    <row r="263" spans="1:10" ht="15" customHeight="1">
      <c r="A263" s="162">
        <v>2734</v>
      </c>
      <c r="B263" s="162" t="s">
        <v>10327</v>
      </c>
      <c r="D263" s="187" t="s">
        <v>67</v>
      </c>
      <c r="E263" s="168" t="s">
        <v>10317</v>
      </c>
      <c r="F263" s="168" t="s">
        <v>10328</v>
      </c>
      <c r="G263" s="176">
        <v>2421</v>
      </c>
      <c r="H263" s="167" t="s">
        <v>10252</v>
      </c>
      <c r="I263" s="167" t="str">
        <f>IF(Plan_Comptable[[#This Row],[Sous-compte]]="","",LEFT(Plan_Comptable[[#This Row],[Sous-compte]]&amp;"00",4))</f>
        <v>2421</v>
      </c>
      <c r="J263" s="167" t="s">
        <v>1279</v>
      </c>
    </row>
    <row r="264" spans="1:10" ht="15" customHeight="1">
      <c r="A264" s="162">
        <v>2738</v>
      </c>
      <c r="B264" s="162" t="s">
        <v>10329</v>
      </c>
      <c r="D264" s="187" t="s">
        <v>67</v>
      </c>
      <c r="E264" s="168" t="s">
        <v>10317</v>
      </c>
      <c r="F264" s="168" t="s">
        <v>10328</v>
      </c>
      <c r="G264" s="176">
        <v>2422</v>
      </c>
      <c r="H264" s="167" t="s">
        <v>10253</v>
      </c>
      <c r="I264" s="167" t="str">
        <f>IF(Plan_Comptable[[#This Row],[Sous-compte]]="","",LEFT(Plan_Comptable[[#This Row],[Sous-compte]]&amp;"00",4))</f>
        <v>2422</v>
      </c>
      <c r="J264" s="167" t="s">
        <v>1279</v>
      </c>
    </row>
    <row r="265" spans="1:10" ht="15" customHeight="1">
      <c r="A265" s="162">
        <v>2741</v>
      </c>
      <c r="B265" s="162" t="s">
        <v>10330</v>
      </c>
      <c r="D265" s="187" t="s">
        <v>67</v>
      </c>
      <c r="E265" s="168" t="s">
        <v>10317</v>
      </c>
      <c r="F265" s="168" t="s">
        <v>10328</v>
      </c>
      <c r="G265" s="173">
        <v>2426</v>
      </c>
      <c r="H265" s="174" t="s">
        <v>10254</v>
      </c>
      <c r="I265" s="167" t="str">
        <f>IF(Plan_Comptable[[#This Row],[Sous-compte]]="","",LEFT(Plan_Comptable[[#This Row],[Sous-compte]]&amp;"00",4))</f>
        <v>2426</v>
      </c>
      <c r="J265" s="167" t="s">
        <v>1279</v>
      </c>
    </row>
    <row r="266" spans="1:10" ht="15" customHeight="1">
      <c r="A266" s="162">
        <v>2742</v>
      </c>
      <c r="B266" s="162" t="s">
        <v>1948</v>
      </c>
      <c r="D266" s="187" t="s">
        <v>67</v>
      </c>
      <c r="E266" s="168" t="s">
        <v>10317</v>
      </c>
      <c r="F266" s="168">
        <v>243</v>
      </c>
      <c r="G266" s="176">
        <v>243</v>
      </c>
      <c r="H266" s="167" t="s">
        <v>10255</v>
      </c>
      <c r="I266" s="167" t="str">
        <f>IF(Plan_Comptable[[#This Row],[Sous-compte]]="","",LEFT(Plan_Comptable[[#This Row],[Sous-compte]]&amp;"00",4))</f>
        <v>2430</v>
      </c>
      <c r="J266" s="167" t="s">
        <v>1279</v>
      </c>
    </row>
    <row r="267" spans="1:10" ht="15" customHeight="1">
      <c r="A267" s="162">
        <v>2743</v>
      </c>
      <c r="B267" s="162" t="s">
        <v>10331</v>
      </c>
      <c r="D267" s="187" t="s">
        <v>67</v>
      </c>
      <c r="E267" s="168" t="s">
        <v>10317</v>
      </c>
      <c r="F267" s="168">
        <v>244</v>
      </c>
      <c r="G267" s="176"/>
      <c r="H267" s="167" t="s">
        <v>10332</v>
      </c>
      <c r="I267" s="167" t="str">
        <f>IF(Plan_Comptable[[#This Row],[Sous-compte]]="","",LEFT(Plan_Comptable[[#This Row],[Sous-compte]]&amp;"00",4))</f>
        <v/>
      </c>
      <c r="J267" s="167"/>
    </row>
    <row r="268" spans="1:10" ht="15" customHeight="1">
      <c r="A268" s="162">
        <v>2744</v>
      </c>
      <c r="B268" s="162" t="s">
        <v>10333</v>
      </c>
      <c r="D268" s="187" t="s">
        <v>67</v>
      </c>
      <c r="E268" s="168" t="s">
        <v>10317</v>
      </c>
      <c r="F268" s="168" t="s">
        <v>10334</v>
      </c>
      <c r="G268" s="176">
        <v>2441</v>
      </c>
      <c r="H268" s="167" t="s">
        <v>10257</v>
      </c>
      <c r="I268" s="167" t="str">
        <f>IF(Plan_Comptable[[#This Row],[Sous-compte]]="","",LEFT(Plan_Comptable[[#This Row],[Sous-compte]]&amp;"00",4))</f>
        <v>2441</v>
      </c>
      <c r="J268" s="167" t="s">
        <v>1279</v>
      </c>
    </row>
    <row r="269" spans="1:10" ht="15" customHeight="1">
      <c r="A269" s="162">
        <v>2745</v>
      </c>
      <c r="B269" s="162" t="s">
        <v>1822</v>
      </c>
      <c r="D269" s="187" t="s">
        <v>67</v>
      </c>
      <c r="E269" s="168" t="s">
        <v>10317</v>
      </c>
      <c r="F269" s="168" t="s">
        <v>10334</v>
      </c>
      <c r="G269" s="176">
        <v>2442</v>
      </c>
      <c r="H269" s="167" t="s">
        <v>10259</v>
      </c>
      <c r="I269" s="167" t="str">
        <f>IF(Plan_Comptable[[#This Row],[Sous-compte]]="","",LEFT(Plan_Comptable[[#This Row],[Sous-compte]]&amp;"00",4))</f>
        <v>2442</v>
      </c>
      <c r="J269" s="167" t="s">
        <v>1279</v>
      </c>
    </row>
    <row r="270" spans="1:10" ht="15" customHeight="1">
      <c r="A270" s="162">
        <v>2746</v>
      </c>
      <c r="B270" s="162" t="s">
        <v>10335</v>
      </c>
      <c r="D270" s="187" t="s">
        <v>67</v>
      </c>
      <c r="E270" s="168" t="s">
        <v>10317</v>
      </c>
      <c r="F270" s="168" t="s">
        <v>10334</v>
      </c>
      <c r="G270" s="176">
        <v>2443</v>
      </c>
      <c r="H270" s="167" t="s">
        <v>10260</v>
      </c>
      <c r="I270" s="167" t="str">
        <f>IF(Plan_Comptable[[#This Row],[Sous-compte]]="","",LEFT(Plan_Comptable[[#This Row],[Sous-compte]]&amp;"00",4))</f>
        <v>2443</v>
      </c>
      <c r="J270" s="167" t="s">
        <v>1279</v>
      </c>
    </row>
    <row r="271" spans="1:10" ht="15" customHeight="1">
      <c r="A271" s="162">
        <v>2748</v>
      </c>
      <c r="B271" s="162" t="s">
        <v>10336</v>
      </c>
      <c r="D271" s="187" t="s">
        <v>67</v>
      </c>
      <c r="E271" s="168" t="s">
        <v>10317</v>
      </c>
      <c r="F271" s="168" t="s">
        <v>10334</v>
      </c>
      <c r="G271" s="176">
        <v>2444</v>
      </c>
      <c r="H271" s="167" t="s">
        <v>10261</v>
      </c>
      <c r="I271" s="167" t="str">
        <f>IF(Plan_Comptable[[#This Row],[Sous-compte]]="","",LEFT(Plan_Comptable[[#This Row],[Sous-compte]]&amp;"00",4))</f>
        <v>2444</v>
      </c>
      <c r="J271" s="167" t="s">
        <v>1279</v>
      </c>
    </row>
    <row r="272" spans="1:10" ht="15" customHeight="1">
      <c r="A272" s="162">
        <v>2751</v>
      </c>
      <c r="B272" s="162" t="s">
        <v>10337</v>
      </c>
      <c r="D272" s="187" t="s">
        <v>67</v>
      </c>
      <c r="E272" s="168" t="s">
        <v>10317</v>
      </c>
      <c r="F272" s="168" t="s">
        <v>10334</v>
      </c>
      <c r="G272" s="173">
        <v>2445</v>
      </c>
      <c r="H272" s="174" t="s">
        <v>10262</v>
      </c>
      <c r="I272" s="167" t="str">
        <f>IF(Plan_Comptable[[#This Row],[Sous-compte]]="","",LEFT(Plan_Comptable[[#This Row],[Sous-compte]]&amp;"00",4))</f>
        <v>2445</v>
      </c>
      <c r="J272" s="167" t="s">
        <v>1279</v>
      </c>
    </row>
    <row r="273" spans="1:10" ht="15" customHeight="1">
      <c r="A273" s="162">
        <v>2752</v>
      </c>
      <c r="B273" s="162" t="s">
        <v>10338</v>
      </c>
      <c r="D273" s="187" t="s">
        <v>67</v>
      </c>
      <c r="E273" s="168" t="s">
        <v>10317</v>
      </c>
      <c r="F273" s="168" t="s">
        <v>10334</v>
      </c>
      <c r="G273" s="172">
        <v>2446</v>
      </c>
      <c r="H273" s="192" t="s">
        <v>10264</v>
      </c>
      <c r="I273" s="167" t="str">
        <f>IF(Plan_Comptable[[#This Row],[Sous-compte]]="","",LEFT(Plan_Comptable[[#This Row],[Sous-compte]]&amp;"00",4))</f>
        <v>2446</v>
      </c>
      <c r="J273" s="167" t="s">
        <v>1279</v>
      </c>
    </row>
    <row r="274" spans="1:10" ht="15" customHeight="1">
      <c r="A274" s="162">
        <v>2753</v>
      </c>
      <c r="B274" s="162" t="s">
        <v>10339</v>
      </c>
      <c r="D274" s="187" t="s">
        <v>67</v>
      </c>
      <c r="E274" s="168" t="s">
        <v>10317</v>
      </c>
      <c r="F274" s="168" t="s">
        <v>10334</v>
      </c>
      <c r="G274" s="176">
        <v>2447</v>
      </c>
      <c r="H274" s="167" t="s">
        <v>10267</v>
      </c>
      <c r="I274" s="167" t="str">
        <f>IF(Plan_Comptable[[#This Row],[Sous-compte]]="","",LEFT(Plan_Comptable[[#This Row],[Sous-compte]]&amp;"00",4))</f>
        <v>2447</v>
      </c>
      <c r="J274" s="167" t="s">
        <v>1279</v>
      </c>
    </row>
    <row r="275" spans="1:10" ht="15" customHeight="1">
      <c r="A275" s="162">
        <v>2754</v>
      </c>
      <c r="B275" s="162" t="s">
        <v>10340</v>
      </c>
      <c r="D275" s="187" t="s">
        <v>67</v>
      </c>
      <c r="E275" s="168" t="s">
        <v>10317</v>
      </c>
      <c r="F275" s="168">
        <v>245</v>
      </c>
      <c r="G275" s="176"/>
      <c r="H275" s="167" t="s">
        <v>10341</v>
      </c>
      <c r="I275" s="167" t="str">
        <f>IF(Plan_Comptable[[#This Row],[Sous-compte]]="","",LEFT(Plan_Comptable[[#This Row],[Sous-compte]]&amp;"00",4))</f>
        <v/>
      </c>
      <c r="J275" s="167"/>
    </row>
    <row r="276" spans="1:10" ht="15" customHeight="1">
      <c r="A276" s="162">
        <v>2755</v>
      </c>
      <c r="B276" s="162" t="s">
        <v>10342</v>
      </c>
      <c r="D276" s="187" t="s">
        <v>67</v>
      </c>
      <c r="E276" s="168" t="s">
        <v>10317</v>
      </c>
      <c r="F276" s="168" t="s">
        <v>10343</v>
      </c>
      <c r="G276" s="176">
        <v>2451</v>
      </c>
      <c r="H276" s="167" t="s">
        <v>10269</v>
      </c>
      <c r="I276" s="167" t="str">
        <f>IF(Plan_Comptable[[#This Row],[Sous-compte]]="","",LEFT(Plan_Comptable[[#This Row],[Sous-compte]]&amp;"00",4))</f>
        <v>2451</v>
      </c>
      <c r="J276" s="167" t="s">
        <v>1279</v>
      </c>
    </row>
    <row r="277" spans="1:10" ht="15" customHeight="1">
      <c r="A277" s="162">
        <v>2756</v>
      </c>
      <c r="B277" s="162" t="s">
        <v>10344</v>
      </c>
      <c r="D277" s="187" t="s">
        <v>67</v>
      </c>
      <c r="E277" s="168" t="s">
        <v>10317</v>
      </c>
      <c r="F277" s="168" t="s">
        <v>10343</v>
      </c>
      <c r="G277" s="176">
        <v>2452</v>
      </c>
      <c r="H277" s="167" t="s">
        <v>10270</v>
      </c>
      <c r="I277" s="167" t="str">
        <f>IF(Plan_Comptable[[#This Row],[Sous-compte]]="","",LEFT(Plan_Comptable[[#This Row],[Sous-compte]]&amp;"00",4))</f>
        <v>2452</v>
      </c>
      <c r="J277" s="167" t="s">
        <v>1279</v>
      </c>
    </row>
    <row r="278" spans="1:10" ht="15" customHeight="1">
      <c r="A278" s="162">
        <v>2757</v>
      </c>
      <c r="B278" s="162" t="s">
        <v>10345</v>
      </c>
      <c r="D278" s="187" t="s">
        <v>67</v>
      </c>
      <c r="E278" s="168" t="s">
        <v>10317</v>
      </c>
      <c r="F278" s="168" t="s">
        <v>10343</v>
      </c>
      <c r="G278" s="176">
        <v>2453</v>
      </c>
      <c r="H278" s="167" t="s">
        <v>10271</v>
      </c>
      <c r="I278" s="167" t="str">
        <f>IF(Plan_Comptable[[#This Row],[Sous-compte]]="","",LEFT(Plan_Comptable[[#This Row],[Sous-compte]]&amp;"00",4))</f>
        <v>2453</v>
      </c>
      <c r="J278" s="167" t="s">
        <v>1279</v>
      </c>
    </row>
    <row r="279" spans="1:10" ht="15" customHeight="1">
      <c r="A279" s="162">
        <v>2758</v>
      </c>
      <c r="B279" s="162" t="s">
        <v>10346</v>
      </c>
      <c r="D279" s="187" t="s">
        <v>67</v>
      </c>
      <c r="E279" s="168" t="s">
        <v>10317</v>
      </c>
      <c r="F279" s="168" t="s">
        <v>10343</v>
      </c>
      <c r="G279" s="176">
        <v>2454</v>
      </c>
      <c r="H279" s="167" t="s">
        <v>10272</v>
      </c>
      <c r="I279" s="167" t="str">
        <f>IF(Plan_Comptable[[#This Row],[Sous-compte]]="","",LEFT(Plan_Comptable[[#This Row],[Sous-compte]]&amp;"00",4))</f>
        <v>2454</v>
      </c>
      <c r="J279" s="167" t="s">
        <v>1279</v>
      </c>
    </row>
    <row r="280" spans="1:10" ht="15" customHeight="1">
      <c r="A280" s="162">
        <v>2761</v>
      </c>
      <c r="B280" s="162" t="s">
        <v>10347</v>
      </c>
      <c r="D280" s="187" t="s">
        <v>67</v>
      </c>
      <c r="E280" s="168" t="s">
        <v>10317</v>
      </c>
      <c r="F280" s="168" t="s">
        <v>10343</v>
      </c>
      <c r="G280" s="176">
        <v>2455</v>
      </c>
      <c r="H280" s="167" t="s">
        <v>10273</v>
      </c>
      <c r="I280" s="167" t="str">
        <f>IF(Plan_Comptable[[#This Row],[Sous-compte]]="","",LEFT(Plan_Comptable[[#This Row],[Sous-compte]]&amp;"00",4))</f>
        <v>2455</v>
      </c>
      <c r="J280" s="167" t="s">
        <v>1279</v>
      </c>
    </row>
    <row r="281" spans="1:10" ht="15" customHeight="1">
      <c r="A281" s="162">
        <v>2762</v>
      </c>
      <c r="B281" s="162" t="s">
        <v>10348</v>
      </c>
      <c r="D281" s="187" t="s">
        <v>67</v>
      </c>
      <c r="E281" s="168" t="s">
        <v>10317</v>
      </c>
      <c r="F281" s="168" t="s">
        <v>10343</v>
      </c>
      <c r="G281" s="172">
        <v>2456</v>
      </c>
      <c r="H281" s="192" t="s">
        <v>10274</v>
      </c>
      <c r="I281" s="167" t="str">
        <f>IF(Plan_Comptable[[#This Row],[Sous-compte]]="","",LEFT(Plan_Comptable[[#This Row],[Sous-compte]]&amp;"00",4))</f>
        <v>2456</v>
      </c>
      <c r="J281" s="167" t="s">
        <v>1279</v>
      </c>
    </row>
    <row r="282" spans="1:10" ht="15" customHeight="1">
      <c r="A282" s="162">
        <v>2763</v>
      </c>
      <c r="B282" s="162" t="s">
        <v>10349</v>
      </c>
      <c r="D282" s="187" t="s">
        <v>67</v>
      </c>
      <c r="E282" s="168" t="s">
        <v>10317</v>
      </c>
      <c r="F282" s="168" t="s">
        <v>10343</v>
      </c>
      <c r="G282" s="172">
        <v>2457</v>
      </c>
      <c r="H282" s="192" t="s">
        <v>10276</v>
      </c>
      <c r="I282" s="167" t="str">
        <f>IF(Plan_Comptable[[#This Row],[Sous-compte]]="","",LEFT(Plan_Comptable[[#This Row],[Sous-compte]]&amp;"00",4))</f>
        <v>2457</v>
      </c>
      <c r="J282" s="167" t="s">
        <v>1279</v>
      </c>
    </row>
    <row r="283" spans="1:10" ht="15" customHeight="1">
      <c r="A283" s="162">
        <v>2764</v>
      </c>
      <c r="B283" s="162" t="s">
        <v>1702</v>
      </c>
      <c r="D283" s="187" t="s">
        <v>67</v>
      </c>
      <c r="E283" s="168" t="s">
        <v>10317</v>
      </c>
      <c r="F283" s="168" t="s">
        <v>10343</v>
      </c>
      <c r="G283" s="172">
        <v>2458</v>
      </c>
      <c r="H283" s="179" t="s">
        <v>10278</v>
      </c>
      <c r="I283" s="167" t="str">
        <f>IF(Plan_Comptable[[#This Row],[Sous-compte]]="","",LEFT(Plan_Comptable[[#This Row],[Sous-compte]]&amp;"00",4))</f>
        <v>2458</v>
      </c>
      <c r="J283" s="167" t="s">
        <v>1279</v>
      </c>
    </row>
    <row r="284" spans="1:10" ht="15" customHeight="1">
      <c r="A284" s="162">
        <v>2765</v>
      </c>
      <c r="B284" s="162" t="s">
        <v>10350</v>
      </c>
      <c r="D284" s="187" t="s">
        <v>67</v>
      </c>
      <c r="E284" s="168" t="s">
        <v>10317</v>
      </c>
      <c r="F284" s="171">
        <v>246</v>
      </c>
      <c r="G284" s="172"/>
      <c r="H284" s="179" t="s">
        <v>10351</v>
      </c>
      <c r="I284" s="167" t="str">
        <f>IF(Plan_Comptable[[#This Row],[Sous-compte]]="","",LEFT(Plan_Comptable[[#This Row],[Sous-compte]]&amp;"00",4))</f>
        <v/>
      </c>
      <c r="J284" s="167"/>
    </row>
    <row r="285" spans="1:10" ht="15" customHeight="1">
      <c r="A285" s="162">
        <v>2766</v>
      </c>
      <c r="B285" s="162" t="s">
        <v>10314</v>
      </c>
      <c r="D285" s="187" t="s">
        <v>67</v>
      </c>
      <c r="E285" s="168" t="s">
        <v>10317</v>
      </c>
      <c r="F285" s="168" t="s">
        <v>10352</v>
      </c>
      <c r="G285" s="176">
        <v>2461</v>
      </c>
      <c r="H285" s="167" t="s">
        <v>10279</v>
      </c>
      <c r="I285" s="167" t="str">
        <f>IF(Plan_Comptable[[#This Row],[Sous-compte]]="","",LEFT(Plan_Comptable[[#This Row],[Sous-compte]]&amp;"00",4))</f>
        <v>2461</v>
      </c>
      <c r="J285" s="167" t="s">
        <v>1279</v>
      </c>
    </row>
    <row r="286" spans="1:10" ht="15" customHeight="1">
      <c r="A286" s="162">
        <v>2767</v>
      </c>
      <c r="B286" s="162" t="s">
        <v>10353</v>
      </c>
      <c r="D286" s="187" t="s">
        <v>67</v>
      </c>
      <c r="E286" s="168" t="s">
        <v>10317</v>
      </c>
      <c r="F286" s="168" t="s">
        <v>10352</v>
      </c>
      <c r="G286" s="176">
        <v>2462</v>
      </c>
      <c r="H286" s="167" t="s">
        <v>10280</v>
      </c>
      <c r="I286" s="167" t="str">
        <f>IF(Plan_Comptable[[#This Row],[Sous-compte]]="","",LEFT(Plan_Comptable[[#This Row],[Sous-compte]]&amp;"00",4))</f>
        <v>2462</v>
      </c>
      <c r="J286" s="167" t="s">
        <v>1279</v>
      </c>
    </row>
    <row r="287" spans="1:10" ht="15" customHeight="1">
      <c r="A287" s="162">
        <v>2768</v>
      </c>
      <c r="B287" s="162" t="s">
        <v>1706</v>
      </c>
      <c r="D287" s="187" t="s">
        <v>67</v>
      </c>
      <c r="E287" s="168" t="s">
        <v>10317</v>
      </c>
      <c r="F287" s="168" t="s">
        <v>10352</v>
      </c>
      <c r="G287" s="176">
        <v>2463</v>
      </c>
      <c r="H287" s="167" t="s">
        <v>10281</v>
      </c>
      <c r="I287" s="167" t="str">
        <f>IF(Plan_Comptable[[#This Row],[Sous-compte]]="","",LEFT(Plan_Comptable[[#This Row],[Sous-compte]]&amp;"00",4))</f>
        <v>2463</v>
      </c>
      <c r="J287" s="167" t="s">
        <v>1279</v>
      </c>
    </row>
    <row r="288" spans="1:10" ht="15" customHeight="1">
      <c r="A288" s="162">
        <v>2771</v>
      </c>
      <c r="B288" s="162" t="s">
        <v>10354</v>
      </c>
      <c r="D288" s="187" t="s">
        <v>67</v>
      </c>
      <c r="E288" s="168" t="s">
        <v>10317</v>
      </c>
      <c r="F288" s="168" t="s">
        <v>10352</v>
      </c>
      <c r="G288" s="176">
        <v>2465</v>
      </c>
      <c r="H288" s="167" t="s">
        <v>10282</v>
      </c>
      <c r="I288" s="167" t="str">
        <f>IF(Plan_Comptable[[#This Row],[Sous-compte]]="","",LEFT(Plan_Comptable[[#This Row],[Sous-compte]]&amp;"00",4))</f>
        <v>2465</v>
      </c>
      <c r="J288" s="167" t="s">
        <v>1279</v>
      </c>
    </row>
    <row r="289" spans="1:10" ht="15" customHeight="1">
      <c r="A289" s="162">
        <v>2772</v>
      </c>
      <c r="B289" s="162" t="s">
        <v>10355</v>
      </c>
      <c r="D289" s="187" t="s">
        <v>67</v>
      </c>
      <c r="E289" s="168" t="s">
        <v>10317</v>
      </c>
      <c r="F289" s="168" t="s">
        <v>10352</v>
      </c>
      <c r="G289" s="172">
        <v>2468</v>
      </c>
      <c r="H289" s="179" t="s">
        <v>10283</v>
      </c>
      <c r="I289" s="167" t="str">
        <f>IF(Plan_Comptable[[#This Row],[Sous-compte]]="","",LEFT(Plan_Comptable[[#This Row],[Sous-compte]]&amp;"00",4))</f>
        <v>2468</v>
      </c>
      <c r="J289" s="167" t="s">
        <v>1279</v>
      </c>
    </row>
    <row r="290" spans="1:10" ht="15" customHeight="1">
      <c r="A290" s="162">
        <v>2773</v>
      </c>
      <c r="B290" s="162" t="s">
        <v>10356</v>
      </c>
      <c r="D290" s="187" t="s">
        <v>67</v>
      </c>
      <c r="E290" s="168" t="s">
        <v>10317</v>
      </c>
      <c r="F290" s="171">
        <v>247</v>
      </c>
      <c r="G290" s="172"/>
      <c r="H290" s="179" t="s">
        <v>10357</v>
      </c>
      <c r="I290" s="167" t="str">
        <f>IF(Plan_Comptable[[#This Row],[Sous-compte]]="","",LEFT(Plan_Comptable[[#This Row],[Sous-compte]]&amp;"00",4))</f>
        <v/>
      </c>
      <c r="J290" s="167"/>
    </row>
    <row r="291" spans="1:10" ht="15" customHeight="1">
      <c r="A291" s="162">
        <v>2774</v>
      </c>
      <c r="B291" s="162" t="s">
        <v>10358</v>
      </c>
      <c r="D291" s="187" t="s">
        <v>67</v>
      </c>
      <c r="E291" s="168" t="s">
        <v>10317</v>
      </c>
      <c r="F291" s="168" t="s">
        <v>10359</v>
      </c>
      <c r="G291" s="173">
        <v>2471</v>
      </c>
      <c r="H291" s="175" t="s">
        <v>10285</v>
      </c>
      <c r="I291" s="167" t="str">
        <f>IF(Plan_Comptable[[#This Row],[Sous-compte]]="","",LEFT(Plan_Comptable[[#This Row],[Sous-compte]]&amp;"00",4))</f>
        <v>2471</v>
      </c>
      <c r="J291" s="167" t="s">
        <v>1279</v>
      </c>
    </row>
    <row r="292" spans="1:10" ht="15" customHeight="1">
      <c r="A292" s="162">
        <v>2781</v>
      </c>
      <c r="B292" s="162" t="s">
        <v>10360</v>
      </c>
      <c r="D292" s="187" t="s">
        <v>67</v>
      </c>
      <c r="E292" s="168" t="s">
        <v>10317</v>
      </c>
      <c r="F292" s="168" t="s">
        <v>10359</v>
      </c>
      <c r="G292" s="173">
        <v>2472</v>
      </c>
      <c r="H292" s="175" t="s">
        <v>10287</v>
      </c>
      <c r="I292" s="167" t="str">
        <f>IF(Plan_Comptable[[#This Row],[Sous-compte]]="","",LEFT(Plan_Comptable[[#This Row],[Sous-compte]]&amp;"00",4))</f>
        <v>2472</v>
      </c>
      <c r="J292" s="167" t="s">
        <v>1279</v>
      </c>
    </row>
    <row r="293" spans="1:10" ht="15" customHeight="1">
      <c r="A293" s="162">
        <v>2782</v>
      </c>
      <c r="B293" s="162" t="s">
        <v>10361</v>
      </c>
      <c r="D293" s="187" t="s">
        <v>67</v>
      </c>
      <c r="E293" s="168" t="s">
        <v>10317</v>
      </c>
      <c r="F293" s="168" t="s">
        <v>10359</v>
      </c>
      <c r="G293" s="173">
        <v>2478</v>
      </c>
      <c r="H293" s="175" t="s">
        <v>10288</v>
      </c>
      <c r="I293" s="167" t="str">
        <f>IF(Plan_Comptable[[#This Row],[Sous-compte]]="","",LEFT(Plan_Comptable[[#This Row],[Sous-compte]]&amp;"00",4))</f>
        <v>2478</v>
      </c>
      <c r="J293" s="167" t="s">
        <v>1279</v>
      </c>
    </row>
    <row r="294" spans="1:10" ht="15" customHeight="1">
      <c r="A294" s="162">
        <v>2784</v>
      </c>
      <c r="B294" s="162" t="s">
        <v>10362</v>
      </c>
      <c r="D294" s="187" t="s">
        <v>67</v>
      </c>
      <c r="E294" s="168" t="s">
        <v>10317</v>
      </c>
      <c r="F294" s="171">
        <v>248</v>
      </c>
      <c r="G294" s="172"/>
      <c r="H294" s="179" t="s">
        <v>10363</v>
      </c>
      <c r="I294" s="167" t="str">
        <f>IF(Plan_Comptable[[#This Row],[Sous-compte]]="","",LEFT(Plan_Comptable[[#This Row],[Sous-compte]]&amp;"00",4))</f>
        <v/>
      </c>
      <c r="J294" s="167"/>
    </row>
    <row r="295" spans="1:10" ht="15" customHeight="1">
      <c r="A295" s="162">
        <v>2785</v>
      </c>
      <c r="B295" s="162" t="s">
        <v>10364</v>
      </c>
      <c r="D295" s="187" t="s">
        <v>67</v>
      </c>
      <c r="E295" s="168" t="s">
        <v>10317</v>
      </c>
      <c r="F295" s="168" t="s">
        <v>10365</v>
      </c>
      <c r="G295" s="176">
        <v>2481</v>
      </c>
      <c r="H295" s="167" t="s">
        <v>10289</v>
      </c>
      <c r="I295" s="167" t="str">
        <f>IF(Plan_Comptable[[#This Row],[Sous-compte]]="","",LEFT(Plan_Comptable[[#This Row],[Sous-compte]]&amp;"00",4))</f>
        <v>2481</v>
      </c>
      <c r="J295" s="167" t="s">
        <v>1279</v>
      </c>
    </row>
    <row r="296" spans="1:10" ht="15" customHeight="1">
      <c r="A296" s="162">
        <v>2788</v>
      </c>
      <c r="B296" s="162" t="s">
        <v>1242</v>
      </c>
      <c r="D296" s="187" t="s">
        <v>67</v>
      </c>
      <c r="E296" s="168" t="s">
        <v>10317</v>
      </c>
      <c r="F296" s="168" t="s">
        <v>10365</v>
      </c>
      <c r="G296" s="173">
        <v>2488</v>
      </c>
      <c r="H296" s="175" t="s">
        <v>10290</v>
      </c>
      <c r="I296" s="167" t="str">
        <f>IF(Plan_Comptable[[#This Row],[Sous-compte]]="","",LEFT(Plan_Comptable[[#This Row],[Sous-compte]]&amp;"00",4))</f>
        <v>2488</v>
      </c>
      <c r="J296" s="167" t="s">
        <v>1279</v>
      </c>
    </row>
    <row r="297" spans="1:10" ht="15" customHeight="1">
      <c r="A297" s="162">
        <v>2811</v>
      </c>
      <c r="B297" s="162" t="s">
        <v>10366</v>
      </c>
      <c r="D297" s="187" t="s">
        <v>67</v>
      </c>
      <c r="E297" s="168" t="s">
        <v>10317</v>
      </c>
      <c r="F297" s="171">
        <v>249</v>
      </c>
      <c r="G297" s="172"/>
      <c r="H297" s="179" t="s">
        <v>10367</v>
      </c>
      <c r="I297" s="167" t="str">
        <f>IF(Plan_Comptable[[#This Row],[Sous-compte]]="","",LEFT(Plan_Comptable[[#This Row],[Sous-compte]]&amp;"00",4))</f>
        <v/>
      </c>
      <c r="J297" s="167"/>
    </row>
    <row r="298" spans="1:10" ht="15" customHeight="1">
      <c r="A298" s="162">
        <v>2812</v>
      </c>
      <c r="B298" s="162" t="s">
        <v>10368</v>
      </c>
      <c r="D298" s="187" t="s">
        <v>67</v>
      </c>
      <c r="E298" s="168" t="s">
        <v>10317</v>
      </c>
      <c r="F298" s="168" t="s">
        <v>10369</v>
      </c>
      <c r="G298" s="176">
        <v>2491</v>
      </c>
      <c r="H298" s="167" t="s">
        <v>10291</v>
      </c>
      <c r="I298" s="167" t="str">
        <f>IF(Plan_Comptable[[#This Row],[Sous-compte]]="","",LEFT(Plan_Comptable[[#This Row],[Sous-compte]]&amp;"00",4))</f>
        <v>2491</v>
      </c>
      <c r="J298" s="167" t="s">
        <v>1279</v>
      </c>
    </row>
    <row r="299" spans="1:10" ht="15" customHeight="1">
      <c r="A299" s="162">
        <v>2813</v>
      </c>
      <c r="B299" s="162" t="s">
        <v>10370</v>
      </c>
      <c r="D299" s="187" t="s">
        <v>67</v>
      </c>
      <c r="E299" s="168" t="s">
        <v>10317</v>
      </c>
      <c r="F299" s="168" t="s">
        <v>10369</v>
      </c>
      <c r="G299" s="176">
        <v>2492</v>
      </c>
      <c r="H299" s="167" t="s">
        <v>10292</v>
      </c>
      <c r="I299" s="167" t="str">
        <f>IF(Plan_Comptable[[#This Row],[Sous-compte]]="","",LEFT(Plan_Comptable[[#This Row],[Sous-compte]]&amp;"00",4))</f>
        <v>2492</v>
      </c>
      <c r="J299" s="167" t="s">
        <v>1279</v>
      </c>
    </row>
    <row r="300" spans="1:10" ht="15" customHeight="1">
      <c r="A300" s="162">
        <v>2814</v>
      </c>
      <c r="B300" s="162" t="s">
        <v>10371</v>
      </c>
      <c r="D300" s="187" t="s">
        <v>67</v>
      </c>
      <c r="E300" s="168" t="s">
        <v>10317</v>
      </c>
      <c r="F300" s="168" t="s">
        <v>10369</v>
      </c>
      <c r="G300" s="176">
        <v>2493</v>
      </c>
      <c r="H300" s="167" t="s">
        <v>10294</v>
      </c>
      <c r="I300" s="167" t="str">
        <f>IF(Plan_Comptable[[#This Row],[Sous-compte]]="","",LEFT(Plan_Comptable[[#This Row],[Sous-compte]]&amp;"00",4))</f>
        <v>2493</v>
      </c>
      <c r="J300" s="167" t="s">
        <v>1279</v>
      </c>
    </row>
    <row r="301" spans="1:10" ht="15" customHeight="1">
      <c r="A301" s="162">
        <v>2815</v>
      </c>
      <c r="B301" s="162" t="s">
        <v>10372</v>
      </c>
      <c r="D301" s="187" t="s">
        <v>67</v>
      </c>
      <c r="E301" s="168" t="s">
        <v>10317</v>
      </c>
      <c r="F301" s="168" t="s">
        <v>10369</v>
      </c>
      <c r="G301" s="176">
        <v>2494</v>
      </c>
      <c r="H301" s="167" t="s">
        <v>10296</v>
      </c>
      <c r="I301" s="167" t="str">
        <f>IF(Plan_Comptable[[#This Row],[Sous-compte]]="","",LEFT(Plan_Comptable[[#This Row],[Sous-compte]]&amp;"00",4))</f>
        <v>2494</v>
      </c>
      <c r="J301" s="167" t="s">
        <v>1279</v>
      </c>
    </row>
    <row r="302" spans="1:10" ht="15" customHeight="1">
      <c r="A302" s="162">
        <v>2816</v>
      </c>
      <c r="B302" s="162" t="s">
        <v>10373</v>
      </c>
      <c r="D302" s="187" t="s">
        <v>67</v>
      </c>
      <c r="E302" s="168" t="s">
        <v>10317</v>
      </c>
      <c r="F302" s="168" t="s">
        <v>10369</v>
      </c>
      <c r="G302" s="176">
        <v>2495</v>
      </c>
      <c r="H302" s="167" t="s">
        <v>1162</v>
      </c>
      <c r="I302" s="167" t="str">
        <f>IF(Plan_Comptable[[#This Row],[Sous-compte]]="","",LEFT(Plan_Comptable[[#This Row],[Sous-compte]]&amp;"00",4))</f>
        <v>2495</v>
      </c>
      <c r="J302" s="167" t="s">
        <v>1279</v>
      </c>
    </row>
    <row r="303" spans="1:10" ht="15" customHeight="1">
      <c r="A303" s="162">
        <v>2817</v>
      </c>
      <c r="B303" s="162" t="s">
        <v>10374</v>
      </c>
      <c r="D303" s="187" t="s">
        <v>67</v>
      </c>
      <c r="E303" s="168" t="s">
        <v>10317</v>
      </c>
      <c r="F303" s="168" t="s">
        <v>10369</v>
      </c>
      <c r="G303" s="172">
        <v>2496</v>
      </c>
      <c r="H303" s="179" t="s">
        <v>10297</v>
      </c>
      <c r="I303" s="167" t="str">
        <f>IF(Plan_Comptable[[#This Row],[Sous-compte]]="","",LEFT(Plan_Comptable[[#This Row],[Sous-compte]]&amp;"00",4))</f>
        <v>2496</v>
      </c>
      <c r="J303" s="167" t="s">
        <v>1279</v>
      </c>
    </row>
    <row r="304" spans="1:10" ht="15" customHeight="1">
      <c r="A304" s="162">
        <v>2818</v>
      </c>
      <c r="B304" s="162" t="s">
        <v>10375</v>
      </c>
      <c r="D304" s="187" t="s">
        <v>67</v>
      </c>
      <c r="E304" s="168" t="s">
        <v>10317</v>
      </c>
      <c r="F304" s="168" t="s">
        <v>10369</v>
      </c>
      <c r="G304" s="172">
        <v>2497</v>
      </c>
      <c r="H304" s="179" t="s">
        <v>10298</v>
      </c>
      <c r="I304" s="167" t="str">
        <f>IF(Plan_Comptable[[#This Row],[Sous-compte]]="","",LEFT(Plan_Comptable[[#This Row],[Sous-compte]]&amp;"00",4))</f>
        <v>2497</v>
      </c>
      <c r="J304" s="167" t="s">
        <v>1279</v>
      </c>
    </row>
    <row r="305" spans="1:10" ht="15" customHeight="1">
      <c r="A305" s="162">
        <v>2824</v>
      </c>
      <c r="B305" s="162" t="s">
        <v>10376</v>
      </c>
      <c r="D305" s="187" t="s">
        <v>67</v>
      </c>
      <c r="E305" s="168" t="s">
        <v>10317</v>
      </c>
      <c r="F305" s="168" t="s">
        <v>10369</v>
      </c>
      <c r="G305" s="172">
        <v>2498</v>
      </c>
      <c r="H305" s="179" t="s">
        <v>10299</v>
      </c>
      <c r="I305" s="167" t="str">
        <f>IF(Plan_Comptable[[#This Row],[Sous-compte]]="","",LEFT(Plan_Comptable[[#This Row],[Sous-compte]]&amp;"00",4))</f>
        <v>2498</v>
      </c>
      <c r="J305" s="167" t="s">
        <v>1279</v>
      </c>
    </row>
    <row r="306" spans="1:10" ht="15" customHeight="1">
      <c r="A306" s="162">
        <v>2831</v>
      </c>
      <c r="B306" s="162" t="s">
        <v>10377</v>
      </c>
      <c r="D306" s="187" t="s">
        <v>67</v>
      </c>
      <c r="E306" s="185">
        <v>25</v>
      </c>
      <c r="F306" s="165" t="s">
        <v>9941</v>
      </c>
      <c r="G306" s="165"/>
      <c r="H306" s="166" t="s">
        <v>1166</v>
      </c>
      <c r="I306" s="167" t="str">
        <f>IF(Plan_Comptable[[#This Row],[Sous-compte]]="","",LEFT(Plan_Comptable[[#This Row],[Sous-compte]]&amp;"00",4))</f>
        <v/>
      </c>
      <c r="J306" s="167"/>
    </row>
    <row r="307" spans="1:10" ht="15" customHeight="1">
      <c r="A307" s="162">
        <v>2832</v>
      </c>
      <c r="B307" s="162" t="s">
        <v>10378</v>
      </c>
      <c r="D307" s="187" t="s">
        <v>67</v>
      </c>
      <c r="E307" s="168" t="s">
        <v>10379</v>
      </c>
      <c r="F307" s="168">
        <v>251</v>
      </c>
      <c r="G307" s="176">
        <v>251</v>
      </c>
      <c r="H307" s="167" t="s">
        <v>10301</v>
      </c>
      <c r="I307" s="167" t="str">
        <f>IF(Plan_Comptable[[#This Row],[Sous-compte]]="","",LEFT(Plan_Comptable[[#This Row],[Sous-compte]]&amp;"00",4))</f>
        <v>2510</v>
      </c>
      <c r="J307" s="167" t="s">
        <v>1279</v>
      </c>
    </row>
    <row r="308" spans="1:10" ht="15" customHeight="1">
      <c r="A308" s="162">
        <v>2833</v>
      </c>
      <c r="B308" s="162" t="s">
        <v>10380</v>
      </c>
      <c r="D308" s="187" t="s">
        <v>67</v>
      </c>
      <c r="E308" s="168" t="s">
        <v>10379</v>
      </c>
      <c r="F308" s="168">
        <v>252</v>
      </c>
      <c r="G308" s="176">
        <v>252</v>
      </c>
      <c r="H308" s="167" t="s">
        <v>10303</v>
      </c>
      <c r="I308" s="167" t="str">
        <f>IF(Plan_Comptable[[#This Row],[Sous-compte]]="","",LEFT(Plan_Comptable[[#This Row],[Sous-compte]]&amp;"00",4))</f>
        <v>2520</v>
      </c>
      <c r="J308" s="167" t="s">
        <v>1279</v>
      </c>
    </row>
    <row r="309" spans="1:10" ht="15" customHeight="1">
      <c r="A309" s="162">
        <v>2834</v>
      </c>
      <c r="B309" s="162" t="s">
        <v>10381</v>
      </c>
      <c r="D309" s="187" t="s">
        <v>67</v>
      </c>
      <c r="E309" s="185">
        <v>26</v>
      </c>
      <c r="F309" s="165" t="s">
        <v>9941</v>
      </c>
      <c r="G309" s="165"/>
      <c r="H309" s="166" t="s">
        <v>10382</v>
      </c>
      <c r="I309" s="167" t="str">
        <f>IF(Plan_Comptable[[#This Row],[Sous-compte]]="","",LEFT(Plan_Comptable[[#This Row],[Sous-compte]]&amp;"00",4))</f>
        <v/>
      </c>
      <c r="J309" s="167"/>
    </row>
    <row r="310" spans="1:10" ht="15" customHeight="1">
      <c r="A310" s="162">
        <v>2835</v>
      </c>
      <c r="B310" s="162" t="s">
        <v>10383</v>
      </c>
      <c r="D310" s="187" t="s">
        <v>67</v>
      </c>
      <c r="E310" s="168" t="s">
        <v>10384</v>
      </c>
      <c r="F310" s="171">
        <v>261</v>
      </c>
      <c r="G310" s="172">
        <v>261</v>
      </c>
      <c r="H310" s="179" t="s">
        <v>10304</v>
      </c>
      <c r="I310" s="167" t="str">
        <f>IF(Plan_Comptable[[#This Row],[Sous-compte]]="","",LEFT(Plan_Comptable[[#This Row],[Sous-compte]]&amp;"00",4))</f>
        <v>2610</v>
      </c>
      <c r="J310" s="167" t="s">
        <v>1279</v>
      </c>
    </row>
    <row r="311" spans="1:10" ht="15" customHeight="1">
      <c r="A311" s="162">
        <v>2837</v>
      </c>
      <c r="B311" s="162" t="s">
        <v>10385</v>
      </c>
      <c r="D311" s="187" t="s">
        <v>67</v>
      </c>
      <c r="E311" s="168" t="s">
        <v>10384</v>
      </c>
      <c r="F311" s="171">
        <v>262</v>
      </c>
      <c r="G311" s="172">
        <v>262</v>
      </c>
      <c r="H311" s="179" t="s">
        <v>10305</v>
      </c>
      <c r="I311" s="167" t="str">
        <f>IF(Plan_Comptable[[#This Row],[Sous-compte]]="","",LEFT(Plan_Comptable[[#This Row],[Sous-compte]]&amp;"00",4))</f>
        <v>2620</v>
      </c>
      <c r="J311" s="167" t="s">
        <v>1279</v>
      </c>
    </row>
    <row r="312" spans="1:10" ht="15" customHeight="1">
      <c r="A312" s="162">
        <v>2838</v>
      </c>
      <c r="B312" s="162" t="s">
        <v>10386</v>
      </c>
      <c r="D312" s="187" t="s">
        <v>67</v>
      </c>
      <c r="E312" s="168" t="s">
        <v>10384</v>
      </c>
      <c r="F312" s="171">
        <v>263</v>
      </c>
      <c r="G312" s="172">
        <v>263</v>
      </c>
      <c r="H312" s="179" t="s">
        <v>10306</v>
      </c>
      <c r="I312" s="167" t="str">
        <f>IF(Plan_Comptable[[#This Row],[Sous-compte]]="","",LEFT(Plan_Comptable[[#This Row],[Sous-compte]]&amp;"00",4))</f>
        <v>2630</v>
      </c>
      <c r="J312" s="167" t="s">
        <v>1279</v>
      </c>
    </row>
    <row r="313" spans="1:10" ht="15" customHeight="1">
      <c r="A313" s="162">
        <v>2841</v>
      </c>
      <c r="B313" s="162" t="s">
        <v>10387</v>
      </c>
      <c r="D313" s="187" t="s">
        <v>67</v>
      </c>
      <c r="E313" s="168" t="s">
        <v>10384</v>
      </c>
      <c r="F313" s="168">
        <v>265</v>
      </c>
      <c r="G313" s="176">
        <v>265</v>
      </c>
      <c r="H313" s="167" t="s">
        <v>10308</v>
      </c>
      <c r="I313" s="167" t="str">
        <f>IF(Plan_Comptable[[#This Row],[Sous-compte]]="","",LEFT(Plan_Comptable[[#This Row],[Sous-compte]]&amp;"00",4))</f>
        <v>2650</v>
      </c>
      <c r="J313" s="167" t="s">
        <v>1279</v>
      </c>
    </row>
    <row r="314" spans="1:10" ht="15" customHeight="1">
      <c r="A314" s="162">
        <v>2842</v>
      </c>
      <c r="B314" s="162" t="s">
        <v>10388</v>
      </c>
      <c r="D314" s="187" t="s">
        <v>67</v>
      </c>
      <c r="E314" s="168" t="s">
        <v>10384</v>
      </c>
      <c r="F314" s="168">
        <v>266</v>
      </c>
      <c r="G314" s="176">
        <v>266</v>
      </c>
      <c r="H314" s="167" t="s">
        <v>10310</v>
      </c>
      <c r="I314" s="167" t="str">
        <f>IF(Plan_Comptable[[#This Row],[Sous-compte]]="","",LEFT(Plan_Comptable[[#This Row],[Sous-compte]]&amp;"00",4))</f>
        <v>2660</v>
      </c>
      <c r="J314" s="167" t="s">
        <v>1279</v>
      </c>
    </row>
    <row r="315" spans="1:10" ht="15" customHeight="1">
      <c r="A315" s="162">
        <v>2843</v>
      </c>
      <c r="B315" s="162" t="s">
        <v>10389</v>
      </c>
      <c r="D315" s="187" t="s">
        <v>67</v>
      </c>
      <c r="E315" s="168" t="s">
        <v>10384</v>
      </c>
      <c r="F315" s="168">
        <v>268</v>
      </c>
      <c r="G315" s="176">
        <v>268</v>
      </c>
      <c r="H315" s="167" t="s">
        <v>10311</v>
      </c>
      <c r="I315" s="167" t="str">
        <f>IF(Plan_Comptable[[#This Row],[Sous-compte]]="","",LEFT(Plan_Comptable[[#This Row],[Sous-compte]]&amp;"00",4))</f>
        <v>2680</v>
      </c>
      <c r="J315" s="167" t="s">
        <v>1279</v>
      </c>
    </row>
    <row r="316" spans="1:10" ht="15" customHeight="1">
      <c r="A316" s="162">
        <v>2844</v>
      </c>
      <c r="B316" s="162" t="s">
        <v>10390</v>
      </c>
      <c r="D316" s="187" t="s">
        <v>67</v>
      </c>
      <c r="E316" s="185">
        <v>27</v>
      </c>
      <c r="F316" s="193" t="s">
        <v>9941</v>
      </c>
      <c r="G316" s="193"/>
      <c r="H316" s="194" t="s">
        <v>10391</v>
      </c>
      <c r="I316" s="167" t="str">
        <f>IF(Plan_Comptable[[#This Row],[Sous-compte]]="","",LEFT(Plan_Comptable[[#This Row],[Sous-compte]]&amp;"00",4))</f>
        <v/>
      </c>
      <c r="J316" s="167"/>
    </row>
    <row r="317" spans="1:10" ht="15" customHeight="1">
      <c r="A317" s="162">
        <v>2845</v>
      </c>
      <c r="B317" s="162" t="s">
        <v>10392</v>
      </c>
      <c r="D317" s="187" t="s">
        <v>67</v>
      </c>
      <c r="E317" s="168" t="s">
        <v>10393</v>
      </c>
      <c r="F317" s="171">
        <v>271</v>
      </c>
      <c r="G317" s="172"/>
      <c r="H317" s="179" t="s">
        <v>10394</v>
      </c>
      <c r="I317" s="167" t="str">
        <f>IF(Plan_Comptable[[#This Row],[Sous-compte]]="","",LEFT(Plan_Comptable[[#This Row],[Sous-compte]]&amp;"00",4))</f>
        <v/>
      </c>
      <c r="J317" s="167"/>
    </row>
    <row r="318" spans="1:10" ht="15" customHeight="1">
      <c r="A318" s="162">
        <v>2846</v>
      </c>
      <c r="B318" s="162" t="s">
        <v>10395</v>
      </c>
      <c r="D318" s="187" t="s">
        <v>67</v>
      </c>
      <c r="E318" s="168" t="s">
        <v>10393</v>
      </c>
      <c r="F318" s="168" t="s">
        <v>10396</v>
      </c>
      <c r="G318" s="176">
        <v>2711</v>
      </c>
      <c r="H318" s="167" t="s">
        <v>10312</v>
      </c>
      <c r="I318" s="167" t="str">
        <f>IF(Plan_Comptable[[#This Row],[Sous-compte]]="","",LEFT(Plan_Comptable[[#This Row],[Sous-compte]]&amp;"00",4))</f>
        <v>2711</v>
      </c>
      <c r="J318" s="167" t="s">
        <v>1279</v>
      </c>
    </row>
    <row r="319" spans="1:10" ht="15" customHeight="1">
      <c r="A319" s="162">
        <v>2847</v>
      </c>
      <c r="B319" s="162" t="s">
        <v>10397</v>
      </c>
      <c r="D319" s="187" t="s">
        <v>67</v>
      </c>
      <c r="E319" s="168" t="s">
        <v>10393</v>
      </c>
      <c r="F319" s="168" t="s">
        <v>10396</v>
      </c>
      <c r="G319" s="176">
        <v>2712</v>
      </c>
      <c r="H319" s="167" t="s">
        <v>10313</v>
      </c>
      <c r="I319" s="167" t="str">
        <f>IF(Plan_Comptable[[#This Row],[Sous-compte]]="","",LEFT(Plan_Comptable[[#This Row],[Sous-compte]]&amp;"00",4))</f>
        <v>2712</v>
      </c>
      <c r="J319" s="167" t="s">
        <v>1279</v>
      </c>
    </row>
    <row r="320" spans="1:10" ht="15" customHeight="1">
      <c r="A320" s="162">
        <v>2848</v>
      </c>
      <c r="B320" s="162" t="s">
        <v>10398</v>
      </c>
      <c r="D320" s="187" t="s">
        <v>67</v>
      </c>
      <c r="E320" s="168" t="s">
        <v>10393</v>
      </c>
      <c r="F320" s="168" t="s">
        <v>10396</v>
      </c>
      <c r="G320" s="176">
        <v>2713</v>
      </c>
      <c r="H320" s="167" t="s">
        <v>10101</v>
      </c>
      <c r="I320" s="167" t="str">
        <f>IF(Plan_Comptable[[#This Row],[Sous-compte]]="","",LEFT(Plan_Comptable[[#This Row],[Sous-compte]]&amp;"00",4))</f>
        <v>2713</v>
      </c>
      <c r="J320" s="167" t="s">
        <v>1279</v>
      </c>
    </row>
    <row r="321" spans="1:10" ht="15" customHeight="1">
      <c r="A321" s="162">
        <v>2911</v>
      </c>
      <c r="B321" s="162" t="s">
        <v>10399</v>
      </c>
      <c r="D321" s="187" t="s">
        <v>67</v>
      </c>
      <c r="E321" s="168" t="s">
        <v>10393</v>
      </c>
      <c r="F321" s="168" t="s">
        <v>10396</v>
      </c>
      <c r="G321" s="172">
        <v>2714</v>
      </c>
      <c r="H321" s="179" t="s">
        <v>10314</v>
      </c>
      <c r="I321" s="167" t="str">
        <f>IF(Plan_Comptable[[#This Row],[Sous-compte]]="","",LEFT(Plan_Comptable[[#This Row],[Sous-compte]]&amp;"00",4))</f>
        <v>2714</v>
      </c>
      <c r="J321" s="167" t="s">
        <v>1279</v>
      </c>
    </row>
    <row r="322" spans="1:10" ht="15" customHeight="1">
      <c r="A322" s="162">
        <v>2912</v>
      </c>
      <c r="B322" s="162" t="s">
        <v>10400</v>
      </c>
      <c r="D322" s="187" t="s">
        <v>67</v>
      </c>
      <c r="E322" s="168" t="s">
        <v>10393</v>
      </c>
      <c r="F322" s="168" t="s">
        <v>10396</v>
      </c>
      <c r="G322" s="172">
        <v>2715</v>
      </c>
      <c r="H322" s="179" t="s">
        <v>10316</v>
      </c>
      <c r="I322" s="167" t="str">
        <f>IF(Plan_Comptable[[#This Row],[Sous-compte]]="","",LEFT(Plan_Comptable[[#This Row],[Sous-compte]]&amp;"00",4))</f>
        <v>2715</v>
      </c>
      <c r="J322" s="167" t="s">
        <v>1279</v>
      </c>
    </row>
    <row r="323" spans="1:10" ht="15" customHeight="1">
      <c r="A323" s="162">
        <v>2913</v>
      </c>
      <c r="B323" s="162" t="s">
        <v>10401</v>
      </c>
      <c r="D323" s="187" t="s">
        <v>67</v>
      </c>
      <c r="E323" s="168" t="s">
        <v>10393</v>
      </c>
      <c r="F323" s="168" t="s">
        <v>10396</v>
      </c>
      <c r="G323" s="173">
        <v>2718</v>
      </c>
      <c r="H323" s="174" t="s">
        <v>10319</v>
      </c>
      <c r="I323" s="167" t="str">
        <f>IF(Plan_Comptable[[#This Row],[Sous-compte]]="","",LEFT(Plan_Comptable[[#This Row],[Sous-compte]]&amp;"00",4))</f>
        <v>2718</v>
      </c>
      <c r="J323" s="167" t="s">
        <v>1279</v>
      </c>
    </row>
    <row r="324" spans="1:10" ht="15" customHeight="1">
      <c r="A324" s="162">
        <v>2914</v>
      </c>
      <c r="B324" s="162" t="s">
        <v>10402</v>
      </c>
      <c r="D324" s="187" t="s">
        <v>67</v>
      </c>
      <c r="E324" s="168" t="s">
        <v>10393</v>
      </c>
      <c r="F324" s="168">
        <v>272</v>
      </c>
      <c r="G324" s="176"/>
      <c r="H324" s="167" t="s">
        <v>10403</v>
      </c>
      <c r="I324" s="167" t="str">
        <f>IF(Plan_Comptable[[#This Row],[Sous-compte]]="","",LEFT(Plan_Comptable[[#This Row],[Sous-compte]]&amp;"00",4))</f>
        <v/>
      </c>
      <c r="J324" s="167"/>
    </row>
    <row r="325" spans="1:10" ht="15" customHeight="1">
      <c r="A325" s="162">
        <v>2915</v>
      </c>
      <c r="B325" s="162" t="s">
        <v>10404</v>
      </c>
      <c r="D325" s="187" t="s">
        <v>67</v>
      </c>
      <c r="E325" s="168" t="s">
        <v>10393</v>
      </c>
      <c r="F325" s="168" t="s">
        <v>10405</v>
      </c>
      <c r="G325" s="176">
        <v>2721</v>
      </c>
      <c r="H325" s="167" t="s">
        <v>10321</v>
      </c>
      <c r="I325" s="167" t="str">
        <f>IF(Plan_Comptable[[#This Row],[Sous-compte]]="","",LEFT(Plan_Comptable[[#This Row],[Sous-compte]]&amp;"00",4))</f>
        <v>2721</v>
      </c>
      <c r="J325" s="167" t="s">
        <v>1279</v>
      </c>
    </row>
    <row r="326" spans="1:10" ht="15" customHeight="1">
      <c r="A326" s="162">
        <v>2916</v>
      </c>
      <c r="B326" s="162" t="s">
        <v>10406</v>
      </c>
      <c r="D326" s="187" t="s">
        <v>67</v>
      </c>
      <c r="E326" s="168" t="s">
        <v>10393</v>
      </c>
      <c r="F326" s="168" t="s">
        <v>10405</v>
      </c>
      <c r="G326" s="176">
        <v>2722</v>
      </c>
      <c r="H326" s="167" t="s">
        <v>10322</v>
      </c>
      <c r="I326" s="167" t="str">
        <f>IF(Plan_Comptable[[#This Row],[Sous-compte]]="","",LEFT(Plan_Comptable[[#This Row],[Sous-compte]]&amp;"00",4))</f>
        <v>2722</v>
      </c>
      <c r="J326" s="167" t="s">
        <v>1279</v>
      </c>
    </row>
    <row r="327" spans="1:10" ht="15" customHeight="1">
      <c r="A327" s="162">
        <v>2917</v>
      </c>
      <c r="B327" s="162" t="s">
        <v>10407</v>
      </c>
      <c r="D327" s="187" t="s">
        <v>67</v>
      </c>
      <c r="E327" s="168" t="s">
        <v>10393</v>
      </c>
      <c r="F327" s="168" t="s">
        <v>10405</v>
      </c>
      <c r="G327" s="172">
        <v>2728</v>
      </c>
      <c r="H327" s="179" t="s">
        <v>10323</v>
      </c>
      <c r="I327" s="167" t="str">
        <f>IF(Plan_Comptable[[#This Row],[Sous-compte]]="","",LEFT(Plan_Comptable[[#This Row],[Sous-compte]]&amp;"00",4))</f>
        <v>2728</v>
      </c>
      <c r="J327" s="167" t="s">
        <v>1279</v>
      </c>
    </row>
    <row r="328" spans="1:10" ht="15" customHeight="1">
      <c r="A328" s="162">
        <v>2918</v>
      </c>
      <c r="B328" s="162" t="s">
        <v>10408</v>
      </c>
      <c r="D328" s="187" t="s">
        <v>67</v>
      </c>
      <c r="E328" s="168" t="s">
        <v>10393</v>
      </c>
      <c r="F328" s="168">
        <v>273</v>
      </c>
      <c r="G328" s="176"/>
      <c r="H328" s="167" t="s">
        <v>10409</v>
      </c>
      <c r="I328" s="167" t="str">
        <f>IF(Plan_Comptable[[#This Row],[Sous-compte]]="","",LEFT(Plan_Comptable[[#This Row],[Sous-compte]]&amp;"00",4))</f>
        <v/>
      </c>
      <c r="J328" s="167"/>
    </row>
    <row r="329" spans="1:10" ht="15" customHeight="1">
      <c r="A329" s="162">
        <v>2919</v>
      </c>
      <c r="B329" s="162" t="s">
        <v>10410</v>
      </c>
      <c r="D329" s="187" t="s">
        <v>67</v>
      </c>
      <c r="E329" s="168" t="s">
        <v>10393</v>
      </c>
      <c r="F329" s="168" t="s">
        <v>10411</v>
      </c>
      <c r="G329" s="176">
        <v>2731</v>
      </c>
      <c r="H329" s="167" t="s">
        <v>10324</v>
      </c>
      <c r="I329" s="167" t="str">
        <f>IF(Plan_Comptable[[#This Row],[Sous-compte]]="","",LEFT(Plan_Comptable[[#This Row],[Sous-compte]]&amp;"00",4))</f>
        <v>2731</v>
      </c>
      <c r="J329" s="167" t="s">
        <v>1279</v>
      </c>
    </row>
    <row r="330" spans="1:10" ht="15" customHeight="1">
      <c r="A330" s="162">
        <v>2921</v>
      </c>
      <c r="B330" s="162" t="s">
        <v>10412</v>
      </c>
      <c r="D330" s="187" t="s">
        <v>67</v>
      </c>
      <c r="E330" s="168" t="s">
        <v>10393</v>
      </c>
      <c r="F330" s="168" t="s">
        <v>10411</v>
      </c>
      <c r="G330" s="176">
        <v>2733</v>
      </c>
      <c r="H330" s="167" t="s">
        <v>10325</v>
      </c>
      <c r="I330" s="167" t="str">
        <f>IF(Plan_Comptable[[#This Row],[Sous-compte]]="","",LEFT(Plan_Comptable[[#This Row],[Sous-compte]]&amp;"00",4))</f>
        <v>2733</v>
      </c>
      <c r="J330" s="167" t="s">
        <v>1279</v>
      </c>
    </row>
    <row r="331" spans="1:10" ht="15" customHeight="1">
      <c r="A331" s="162">
        <v>2922</v>
      </c>
      <c r="B331" s="162" t="s">
        <v>10413</v>
      </c>
      <c r="D331" s="187" t="s">
        <v>67</v>
      </c>
      <c r="E331" s="168" t="s">
        <v>10393</v>
      </c>
      <c r="F331" s="168" t="s">
        <v>10411</v>
      </c>
      <c r="G331" s="173">
        <v>2734</v>
      </c>
      <c r="H331" s="175" t="s">
        <v>10327</v>
      </c>
      <c r="I331" s="167" t="str">
        <f>IF(Plan_Comptable[[#This Row],[Sous-compte]]="","",LEFT(Plan_Comptable[[#This Row],[Sous-compte]]&amp;"00",4))</f>
        <v>2734</v>
      </c>
      <c r="J331" s="167" t="s">
        <v>1279</v>
      </c>
    </row>
    <row r="332" spans="1:10" ht="15" customHeight="1">
      <c r="A332" s="162">
        <v>2923</v>
      </c>
      <c r="B332" s="162" t="s">
        <v>10414</v>
      </c>
      <c r="D332" s="187" t="s">
        <v>67</v>
      </c>
      <c r="E332" s="168" t="s">
        <v>10393</v>
      </c>
      <c r="F332" s="168" t="s">
        <v>10411</v>
      </c>
      <c r="G332" s="172">
        <v>2738</v>
      </c>
      <c r="H332" s="179" t="s">
        <v>10329</v>
      </c>
      <c r="I332" s="167" t="str">
        <f>IF(Plan_Comptable[[#This Row],[Sous-compte]]="","",LEFT(Plan_Comptable[[#This Row],[Sous-compte]]&amp;"00",4))</f>
        <v>2738</v>
      </c>
      <c r="J332" s="167" t="s">
        <v>1279</v>
      </c>
    </row>
    <row r="333" spans="1:10" ht="15" customHeight="1">
      <c r="A333" s="162">
        <v>2924</v>
      </c>
      <c r="B333" s="162" t="s">
        <v>10415</v>
      </c>
      <c r="D333" s="187" t="s">
        <v>67</v>
      </c>
      <c r="E333" s="168" t="s">
        <v>10393</v>
      </c>
      <c r="F333" s="168">
        <v>274</v>
      </c>
      <c r="G333" s="176"/>
      <c r="H333" s="167" t="s">
        <v>10416</v>
      </c>
      <c r="I333" s="167" t="str">
        <f>IF(Plan_Comptable[[#This Row],[Sous-compte]]="","",LEFT(Plan_Comptable[[#This Row],[Sous-compte]]&amp;"00",4))</f>
        <v/>
      </c>
      <c r="J333" s="167"/>
    </row>
    <row r="334" spans="1:10" ht="15" customHeight="1">
      <c r="A334" s="162">
        <v>2925</v>
      </c>
      <c r="B334" s="162" t="s">
        <v>10417</v>
      </c>
      <c r="D334" s="187" t="s">
        <v>67</v>
      </c>
      <c r="E334" s="168" t="s">
        <v>10393</v>
      </c>
      <c r="F334" s="168" t="s">
        <v>10418</v>
      </c>
      <c r="G334" s="176">
        <v>2741</v>
      </c>
      <c r="H334" s="167" t="s">
        <v>10330</v>
      </c>
      <c r="I334" s="167" t="str">
        <f>IF(Plan_Comptable[[#This Row],[Sous-compte]]="","",LEFT(Plan_Comptable[[#This Row],[Sous-compte]]&amp;"00",4))</f>
        <v>2741</v>
      </c>
      <c r="J334" s="167" t="s">
        <v>1279</v>
      </c>
    </row>
    <row r="335" spans="1:10" ht="15" customHeight="1">
      <c r="A335" s="162">
        <v>2926</v>
      </c>
      <c r="B335" s="162" t="s">
        <v>10419</v>
      </c>
      <c r="D335" s="187" t="s">
        <v>67</v>
      </c>
      <c r="E335" s="168" t="s">
        <v>10393</v>
      </c>
      <c r="F335" s="168" t="s">
        <v>10418</v>
      </c>
      <c r="G335" s="176">
        <v>2742</v>
      </c>
      <c r="H335" s="167" t="s">
        <v>1948</v>
      </c>
      <c r="I335" s="167" t="str">
        <f>IF(Plan_Comptable[[#This Row],[Sous-compte]]="","",LEFT(Plan_Comptable[[#This Row],[Sous-compte]]&amp;"00",4))</f>
        <v>2742</v>
      </c>
      <c r="J335" s="167" t="s">
        <v>1279</v>
      </c>
    </row>
    <row r="336" spans="1:10" ht="15" customHeight="1">
      <c r="A336" s="162">
        <v>2927</v>
      </c>
      <c r="B336" s="162" t="s">
        <v>10420</v>
      </c>
      <c r="D336" s="187" t="s">
        <v>67</v>
      </c>
      <c r="E336" s="168" t="s">
        <v>10393</v>
      </c>
      <c r="F336" s="168" t="s">
        <v>10418</v>
      </c>
      <c r="G336" s="176">
        <v>2743</v>
      </c>
      <c r="H336" s="167" t="s">
        <v>10331</v>
      </c>
      <c r="I336" s="167" t="str">
        <f>IF(Plan_Comptable[[#This Row],[Sous-compte]]="","",LEFT(Plan_Comptable[[#This Row],[Sous-compte]]&amp;"00",4))</f>
        <v>2743</v>
      </c>
      <c r="J336" s="167" t="s">
        <v>1279</v>
      </c>
    </row>
    <row r="337" spans="1:10" ht="15" customHeight="1">
      <c r="A337" s="162">
        <v>2928</v>
      </c>
      <c r="B337" s="162" t="s">
        <v>10421</v>
      </c>
      <c r="D337" s="187" t="s">
        <v>67</v>
      </c>
      <c r="E337" s="168" t="s">
        <v>10393</v>
      </c>
      <c r="F337" s="168" t="s">
        <v>10418</v>
      </c>
      <c r="G337" s="176">
        <v>2744</v>
      </c>
      <c r="H337" s="167" t="s">
        <v>10333</v>
      </c>
      <c r="I337" s="167" t="str">
        <f>IF(Plan_Comptable[[#This Row],[Sous-compte]]="","",LEFT(Plan_Comptable[[#This Row],[Sous-compte]]&amp;"00",4))</f>
        <v>2744</v>
      </c>
      <c r="J337" s="167" t="s">
        <v>1279</v>
      </c>
    </row>
    <row r="338" spans="1:10" ht="15" customHeight="1">
      <c r="A338" s="162">
        <v>2929</v>
      </c>
      <c r="B338" s="162" t="s">
        <v>10422</v>
      </c>
      <c r="D338" s="187" t="s">
        <v>67</v>
      </c>
      <c r="E338" s="168" t="s">
        <v>10393</v>
      </c>
      <c r="F338" s="168" t="s">
        <v>10418</v>
      </c>
      <c r="G338" s="173">
        <v>2745</v>
      </c>
      <c r="H338" s="174" t="s">
        <v>1822</v>
      </c>
      <c r="I338" s="167" t="str">
        <f>IF(Plan_Comptable[[#This Row],[Sous-compte]]="","",LEFT(Plan_Comptable[[#This Row],[Sous-compte]]&amp;"00",4))</f>
        <v>2745</v>
      </c>
      <c r="J338" s="167" t="s">
        <v>1279</v>
      </c>
    </row>
    <row r="339" spans="1:10" ht="15" customHeight="1">
      <c r="A339" s="162">
        <v>2931</v>
      </c>
      <c r="B339" s="162" t="s">
        <v>10423</v>
      </c>
      <c r="D339" s="187" t="s">
        <v>67</v>
      </c>
      <c r="E339" s="168" t="s">
        <v>10393</v>
      </c>
      <c r="F339" s="168" t="s">
        <v>10418</v>
      </c>
      <c r="G339" s="173">
        <v>2746</v>
      </c>
      <c r="H339" s="174" t="s">
        <v>10335</v>
      </c>
      <c r="I339" s="167" t="str">
        <f>IF(Plan_Comptable[[#This Row],[Sous-compte]]="","",LEFT(Plan_Comptable[[#This Row],[Sous-compte]]&amp;"00",4))</f>
        <v>2746</v>
      </c>
      <c r="J339" s="167" t="s">
        <v>1279</v>
      </c>
    </row>
    <row r="340" spans="1:10" ht="15" customHeight="1">
      <c r="A340" s="162">
        <v>2932</v>
      </c>
      <c r="B340" s="162" t="s">
        <v>10424</v>
      </c>
      <c r="D340" s="187" t="s">
        <v>67</v>
      </c>
      <c r="E340" s="168" t="s">
        <v>10393</v>
      </c>
      <c r="F340" s="168" t="s">
        <v>10418</v>
      </c>
      <c r="G340" s="176">
        <v>2748</v>
      </c>
      <c r="H340" s="167" t="s">
        <v>10336</v>
      </c>
      <c r="I340" s="167" t="str">
        <f>IF(Plan_Comptable[[#This Row],[Sous-compte]]="","",LEFT(Plan_Comptable[[#This Row],[Sous-compte]]&amp;"00",4))</f>
        <v>2748</v>
      </c>
      <c r="J340" s="167" t="s">
        <v>1279</v>
      </c>
    </row>
    <row r="341" spans="1:10" ht="15" customHeight="1">
      <c r="A341" s="162">
        <v>2933</v>
      </c>
      <c r="B341" s="162" t="s">
        <v>10425</v>
      </c>
      <c r="D341" s="187" t="s">
        <v>67</v>
      </c>
      <c r="E341" s="168" t="s">
        <v>10393</v>
      </c>
      <c r="F341" s="168">
        <v>275</v>
      </c>
      <c r="G341" s="176"/>
      <c r="H341" s="167" t="s">
        <v>10426</v>
      </c>
      <c r="I341" s="167" t="str">
        <f>IF(Plan_Comptable[[#This Row],[Sous-compte]]="","",LEFT(Plan_Comptable[[#This Row],[Sous-compte]]&amp;"00",4))</f>
        <v/>
      </c>
      <c r="J341" s="167"/>
    </row>
    <row r="342" spans="1:10" ht="15" customHeight="1">
      <c r="A342" s="162">
        <v>2934</v>
      </c>
      <c r="B342" s="162" t="s">
        <v>10427</v>
      </c>
      <c r="D342" s="187" t="s">
        <v>67</v>
      </c>
      <c r="E342" s="168" t="s">
        <v>10393</v>
      </c>
      <c r="F342" s="168" t="s">
        <v>10428</v>
      </c>
      <c r="G342" s="176">
        <v>2751</v>
      </c>
      <c r="H342" s="167" t="s">
        <v>10337</v>
      </c>
      <c r="I342" s="167" t="str">
        <f>IF(Plan_Comptable[[#This Row],[Sous-compte]]="","",LEFT(Plan_Comptable[[#This Row],[Sous-compte]]&amp;"00",4))</f>
        <v>2751</v>
      </c>
      <c r="J342" s="167" t="s">
        <v>1279</v>
      </c>
    </row>
    <row r="343" spans="1:10" ht="15" customHeight="1">
      <c r="A343" s="162">
        <v>2935</v>
      </c>
      <c r="B343" s="162" t="s">
        <v>10429</v>
      </c>
      <c r="D343" s="187" t="s">
        <v>67</v>
      </c>
      <c r="E343" s="168" t="s">
        <v>10393</v>
      </c>
      <c r="F343" s="168" t="s">
        <v>10428</v>
      </c>
      <c r="G343" s="176">
        <v>2752</v>
      </c>
      <c r="H343" s="167" t="s">
        <v>10338</v>
      </c>
      <c r="I343" s="167" t="str">
        <f>IF(Plan_Comptable[[#This Row],[Sous-compte]]="","",LEFT(Plan_Comptable[[#This Row],[Sous-compte]]&amp;"00",4))</f>
        <v>2752</v>
      </c>
      <c r="J343" s="167" t="s">
        <v>1279</v>
      </c>
    </row>
    <row r="344" spans="1:10" ht="15" customHeight="1">
      <c r="A344" s="162">
        <v>2937</v>
      </c>
      <c r="B344" s="162" t="s">
        <v>10430</v>
      </c>
      <c r="D344" s="187" t="s">
        <v>67</v>
      </c>
      <c r="E344" s="168" t="s">
        <v>10393</v>
      </c>
      <c r="F344" s="168" t="s">
        <v>10428</v>
      </c>
      <c r="G344" s="176">
        <v>2753</v>
      </c>
      <c r="H344" s="167" t="s">
        <v>10339</v>
      </c>
      <c r="I344" s="167" t="str">
        <f>IF(Plan_Comptable[[#This Row],[Sous-compte]]="","",LEFT(Plan_Comptable[[#This Row],[Sous-compte]]&amp;"00",4))</f>
        <v>2753</v>
      </c>
      <c r="J344" s="167" t="s">
        <v>1279</v>
      </c>
    </row>
    <row r="345" spans="1:10" ht="15" customHeight="1">
      <c r="A345" s="162">
        <v>2938</v>
      </c>
      <c r="B345" s="162" t="s">
        <v>10431</v>
      </c>
      <c r="D345" s="187" t="s">
        <v>67</v>
      </c>
      <c r="E345" s="168" t="s">
        <v>10393</v>
      </c>
      <c r="F345" s="168" t="s">
        <v>10428</v>
      </c>
      <c r="G345" s="176">
        <v>2754</v>
      </c>
      <c r="H345" s="167" t="s">
        <v>10340</v>
      </c>
      <c r="I345" s="167" t="str">
        <f>IF(Plan_Comptable[[#This Row],[Sous-compte]]="","",LEFT(Plan_Comptable[[#This Row],[Sous-compte]]&amp;"00",4))</f>
        <v>2754</v>
      </c>
      <c r="J345" s="167" t="s">
        <v>1279</v>
      </c>
    </row>
    <row r="346" spans="1:10" ht="15" customHeight="1">
      <c r="A346" s="162">
        <v>2939</v>
      </c>
      <c r="B346" s="162" t="s">
        <v>10432</v>
      </c>
      <c r="D346" s="187" t="s">
        <v>67</v>
      </c>
      <c r="E346" s="168" t="s">
        <v>10393</v>
      </c>
      <c r="F346" s="168" t="s">
        <v>10428</v>
      </c>
      <c r="G346" s="176">
        <v>2755</v>
      </c>
      <c r="H346" s="167" t="s">
        <v>10342</v>
      </c>
      <c r="I346" s="167" t="str">
        <f>IF(Plan_Comptable[[#This Row],[Sous-compte]]="","",LEFT(Plan_Comptable[[#This Row],[Sous-compte]]&amp;"00",4))</f>
        <v>2755</v>
      </c>
      <c r="J346" s="167" t="s">
        <v>1279</v>
      </c>
    </row>
    <row r="347" spans="1:10" ht="15" customHeight="1">
      <c r="A347" s="162">
        <v>2941</v>
      </c>
      <c r="B347" s="162" t="s">
        <v>10433</v>
      </c>
      <c r="D347" s="187" t="s">
        <v>67</v>
      </c>
      <c r="E347" s="168" t="s">
        <v>10393</v>
      </c>
      <c r="F347" s="168" t="s">
        <v>10428</v>
      </c>
      <c r="G347" s="176">
        <v>2756</v>
      </c>
      <c r="H347" s="167" t="s">
        <v>10344</v>
      </c>
      <c r="I347" s="167" t="str">
        <f>IF(Plan_Comptable[[#This Row],[Sous-compte]]="","",LEFT(Plan_Comptable[[#This Row],[Sous-compte]]&amp;"00",4))</f>
        <v>2756</v>
      </c>
      <c r="J347" s="167" t="s">
        <v>1279</v>
      </c>
    </row>
    <row r="348" spans="1:10" ht="15" customHeight="1">
      <c r="A348" s="162">
        <v>2942</v>
      </c>
      <c r="B348" s="162" t="s">
        <v>10434</v>
      </c>
      <c r="D348" s="187" t="s">
        <v>67</v>
      </c>
      <c r="E348" s="168" t="s">
        <v>10393</v>
      </c>
      <c r="F348" s="168" t="s">
        <v>10428</v>
      </c>
      <c r="G348" s="176">
        <v>2757</v>
      </c>
      <c r="H348" s="167" t="s">
        <v>10345</v>
      </c>
      <c r="I348" s="167" t="str">
        <f>IF(Plan_Comptable[[#This Row],[Sous-compte]]="","",LEFT(Plan_Comptable[[#This Row],[Sous-compte]]&amp;"00",4))</f>
        <v>2757</v>
      </c>
      <c r="J348" s="167" t="s">
        <v>1279</v>
      </c>
    </row>
    <row r="349" spans="1:10" ht="15" customHeight="1">
      <c r="A349" s="162">
        <v>2943</v>
      </c>
      <c r="B349" s="162" t="s">
        <v>10435</v>
      </c>
      <c r="D349" s="187" t="s">
        <v>67</v>
      </c>
      <c r="E349" s="168" t="s">
        <v>10393</v>
      </c>
      <c r="F349" s="168" t="s">
        <v>10428</v>
      </c>
      <c r="G349" s="176">
        <v>2758</v>
      </c>
      <c r="H349" s="167" t="s">
        <v>10346</v>
      </c>
      <c r="I349" s="167" t="str">
        <f>IF(Plan_Comptable[[#This Row],[Sous-compte]]="","",LEFT(Plan_Comptable[[#This Row],[Sous-compte]]&amp;"00",4))</f>
        <v>2758</v>
      </c>
      <c r="J349" s="167" t="s">
        <v>1279</v>
      </c>
    </row>
    <row r="350" spans="1:10" ht="15" customHeight="1">
      <c r="A350" s="162">
        <v>2944</v>
      </c>
      <c r="B350" s="162" t="s">
        <v>10436</v>
      </c>
      <c r="D350" s="187" t="s">
        <v>67</v>
      </c>
      <c r="E350" s="168" t="s">
        <v>10393</v>
      </c>
      <c r="F350" s="168">
        <v>276</v>
      </c>
      <c r="G350" s="176"/>
      <c r="H350" s="167" t="s">
        <v>10114</v>
      </c>
      <c r="I350" s="167" t="str">
        <f>IF(Plan_Comptable[[#This Row],[Sous-compte]]="","",LEFT(Plan_Comptable[[#This Row],[Sous-compte]]&amp;"00",4))</f>
        <v/>
      </c>
      <c r="J350" s="167"/>
    </row>
    <row r="351" spans="1:10" ht="15" customHeight="1">
      <c r="A351" s="162">
        <v>2945</v>
      </c>
      <c r="B351" s="162" t="s">
        <v>10437</v>
      </c>
      <c r="D351" s="187" t="s">
        <v>67</v>
      </c>
      <c r="E351" s="168" t="s">
        <v>10393</v>
      </c>
      <c r="F351" s="168" t="s">
        <v>10438</v>
      </c>
      <c r="G351" s="176">
        <v>2761</v>
      </c>
      <c r="H351" s="167" t="s">
        <v>10347</v>
      </c>
      <c r="I351" s="167" t="str">
        <f>IF(Plan_Comptable[[#This Row],[Sous-compte]]="","",LEFT(Plan_Comptable[[#This Row],[Sous-compte]]&amp;"00",4))</f>
        <v>2761</v>
      </c>
      <c r="J351" s="167" t="s">
        <v>1279</v>
      </c>
    </row>
    <row r="352" spans="1:10" ht="15" customHeight="1">
      <c r="A352" s="162">
        <v>2946</v>
      </c>
      <c r="B352" s="162" t="s">
        <v>10439</v>
      </c>
      <c r="D352" s="187" t="s">
        <v>67</v>
      </c>
      <c r="E352" s="168" t="s">
        <v>10393</v>
      </c>
      <c r="F352" s="168" t="s">
        <v>10438</v>
      </c>
      <c r="G352" s="176">
        <v>2762</v>
      </c>
      <c r="H352" s="167" t="s">
        <v>10348</v>
      </c>
      <c r="I352" s="167" t="str">
        <f>IF(Plan_Comptable[[#This Row],[Sous-compte]]="","",LEFT(Plan_Comptable[[#This Row],[Sous-compte]]&amp;"00",4))</f>
        <v>2762</v>
      </c>
      <c r="J352" s="167" t="s">
        <v>1279</v>
      </c>
    </row>
    <row r="353" spans="1:10" ht="15" customHeight="1">
      <c r="A353" s="162">
        <v>2947</v>
      </c>
      <c r="B353" s="162" t="s">
        <v>10440</v>
      </c>
      <c r="D353" s="187" t="s">
        <v>67</v>
      </c>
      <c r="E353" s="168" t="s">
        <v>10393</v>
      </c>
      <c r="F353" s="168" t="s">
        <v>10438</v>
      </c>
      <c r="G353" s="176">
        <v>2763</v>
      </c>
      <c r="H353" s="167" t="s">
        <v>10349</v>
      </c>
      <c r="I353" s="167" t="str">
        <f>IF(Plan_Comptable[[#This Row],[Sous-compte]]="","",LEFT(Plan_Comptable[[#This Row],[Sous-compte]]&amp;"00",4))</f>
        <v>2763</v>
      </c>
      <c r="J353" s="167" t="s">
        <v>1279</v>
      </c>
    </row>
    <row r="354" spans="1:10" ht="15" customHeight="1">
      <c r="A354" s="162">
        <v>2948</v>
      </c>
      <c r="B354" s="162" t="s">
        <v>10441</v>
      </c>
      <c r="D354" s="187" t="s">
        <v>67</v>
      </c>
      <c r="E354" s="168" t="s">
        <v>10393</v>
      </c>
      <c r="F354" s="168" t="s">
        <v>10438</v>
      </c>
      <c r="G354" s="176">
        <v>2764</v>
      </c>
      <c r="H354" s="167" t="s">
        <v>1702</v>
      </c>
      <c r="I354" s="167" t="str">
        <f>IF(Plan_Comptable[[#This Row],[Sous-compte]]="","",LEFT(Plan_Comptable[[#This Row],[Sous-compte]]&amp;"00",4))</f>
        <v>2764</v>
      </c>
      <c r="J354" s="167" t="s">
        <v>1279</v>
      </c>
    </row>
    <row r="355" spans="1:10" ht="15" customHeight="1">
      <c r="A355" s="162">
        <v>2949</v>
      </c>
      <c r="B355" s="162" t="s">
        <v>10442</v>
      </c>
      <c r="D355" s="187" t="s">
        <v>67</v>
      </c>
      <c r="E355" s="168" t="s">
        <v>10393</v>
      </c>
      <c r="F355" s="168" t="s">
        <v>10438</v>
      </c>
      <c r="G355" s="176">
        <v>2765</v>
      </c>
      <c r="H355" s="167" t="s">
        <v>10350</v>
      </c>
      <c r="I355" s="167" t="str">
        <f>IF(Plan_Comptable[[#This Row],[Sous-compte]]="","",LEFT(Plan_Comptable[[#This Row],[Sous-compte]]&amp;"00",4))</f>
        <v>2765</v>
      </c>
      <c r="J355" s="167" t="s">
        <v>1279</v>
      </c>
    </row>
    <row r="356" spans="1:10" ht="15" customHeight="1">
      <c r="A356" s="162">
        <v>2951</v>
      </c>
      <c r="B356" s="162" t="s">
        <v>10443</v>
      </c>
      <c r="D356" s="187" t="s">
        <v>67</v>
      </c>
      <c r="E356" s="168" t="s">
        <v>10393</v>
      </c>
      <c r="F356" s="168" t="s">
        <v>10438</v>
      </c>
      <c r="G356" s="173">
        <v>2766</v>
      </c>
      <c r="H356" s="175" t="s">
        <v>10314</v>
      </c>
      <c r="I356" s="167" t="str">
        <f>IF(Plan_Comptable[[#This Row],[Sous-compte]]="","",LEFT(Plan_Comptable[[#This Row],[Sous-compte]]&amp;"00",4))</f>
        <v>2766</v>
      </c>
      <c r="J356" s="167" t="s">
        <v>1279</v>
      </c>
    </row>
    <row r="357" spans="1:10" ht="15" customHeight="1">
      <c r="A357" s="162">
        <v>2952</v>
      </c>
      <c r="B357" s="162" t="s">
        <v>10444</v>
      </c>
      <c r="D357" s="187" t="s">
        <v>67</v>
      </c>
      <c r="E357" s="168" t="s">
        <v>10393</v>
      </c>
      <c r="F357" s="168" t="s">
        <v>10438</v>
      </c>
      <c r="G357" s="176">
        <v>2767</v>
      </c>
      <c r="H357" s="167" t="s">
        <v>10353</v>
      </c>
      <c r="I357" s="167" t="str">
        <f>IF(Plan_Comptable[[#This Row],[Sous-compte]]="","",LEFT(Plan_Comptable[[#This Row],[Sous-compte]]&amp;"00",4))</f>
        <v>2767</v>
      </c>
      <c r="J357" s="167" t="s">
        <v>1279</v>
      </c>
    </row>
    <row r="358" spans="1:10" ht="15" customHeight="1">
      <c r="A358" s="162">
        <v>2961</v>
      </c>
      <c r="B358" s="162" t="s">
        <v>10445</v>
      </c>
      <c r="D358" s="187" t="s">
        <v>67</v>
      </c>
      <c r="E358" s="168" t="s">
        <v>10393</v>
      </c>
      <c r="F358" s="168" t="s">
        <v>10438</v>
      </c>
      <c r="G358" s="176">
        <v>2768</v>
      </c>
      <c r="H358" s="167" t="s">
        <v>1706</v>
      </c>
      <c r="I358" s="167" t="str">
        <f>IF(Plan_Comptable[[#This Row],[Sous-compte]]="","",LEFT(Plan_Comptable[[#This Row],[Sous-compte]]&amp;"00",4))</f>
        <v>2768</v>
      </c>
      <c r="J358" s="167" t="s">
        <v>1279</v>
      </c>
    </row>
    <row r="359" spans="1:10" ht="15" customHeight="1">
      <c r="A359" s="162">
        <v>2962</v>
      </c>
      <c r="B359" s="162" t="s">
        <v>10446</v>
      </c>
      <c r="D359" s="187" t="s">
        <v>67</v>
      </c>
      <c r="E359" s="168" t="s">
        <v>10393</v>
      </c>
      <c r="F359" s="168">
        <v>277</v>
      </c>
      <c r="G359" s="176"/>
      <c r="H359" s="167" t="s">
        <v>10447</v>
      </c>
      <c r="I359" s="167" t="str">
        <f>IF(Plan_Comptable[[#This Row],[Sous-compte]]="","",LEFT(Plan_Comptable[[#This Row],[Sous-compte]]&amp;"00",4))</f>
        <v/>
      </c>
      <c r="J359" s="167"/>
    </row>
    <row r="360" spans="1:10" ht="15" customHeight="1">
      <c r="A360" s="162">
        <v>2963</v>
      </c>
      <c r="B360" s="162" t="s">
        <v>10448</v>
      </c>
      <c r="D360" s="187" t="s">
        <v>67</v>
      </c>
      <c r="E360" s="168" t="s">
        <v>10393</v>
      </c>
      <c r="F360" s="168" t="s">
        <v>10449</v>
      </c>
      <c r="G360" s="176">
        <v>2771</v>
      </c>
      <c r="H360" s="167" t="s">
        <v>10354</v>
      </c>
      <c r="I360" s="167" t="str">
        <f>IF(Plan_Comptable[[#This Row],[Sous-compte]]="","",LEFT(Plan_Comptable[[#This Row],[Sous-compte]]&amp;"00",4))</f>
        <v>2771</v>
      </c>
      <c r="J360" s="167" t="s">
        <v>1279</v>
      </c>
    </row>
    <row r="361" spans="1:10" ht="15" customHeight="1">
      <c r="A361" s="162">
        <v>2965</v>
      </c>
      <c r="B361" s="162" t="s">
        <v>10450</v>
      </c>
      <c r="D361" s="187" t="s">
        <v>67</v>
      </c>
      <c r="E361" s="168" t="s">
        <v>10393</v>
      </c>
      <c r="F361" s="168" t="s">
        <v>10449</v>
      </c>
      <c r="G361" s="176">
        <v>2772</v>
      </c>
      <c r="H361" s="167" t="s">
        <v>10355</v>
      </c>
      <c r="I361" s="167" t="str">
        <f>IF(Plan_Comptable[[#This Row],[Sous-compte]]="","",LEFT(Plan_Comptable[[#This Row],[Sous-compte]]&amp;"00",4))</f>
        <v>2772</v>
      </c>
      <c r="J361" s="167" t="s">
        <v>1279</v>
      </c>
    </row>
    <row r="362" spans="1:10" ht="15" customHeight="1">
      <c r="A362" s="162">
        <v>2966</v>
      </c>
      <c r="B362" s="162" t="s">
        <v>10451</v>
      </c>
      <c r="D362" s="187" t="s">
        <v>67</v>
      </c>
      <c r="E362" s="168" t="s">
        <v>10393</v>
      </c>
      <c r="F362" s="168" t="s">
        <v>10449</v>
      </c>
      <c r="G362" s="176">
        <v>2773</v>
      </c>
      <c r="H362" s="167" t="s">
        <v>10356</v>
      </c>
      <c r="I362" s="167" t="str">
        <f>IF(Plan_Comptable[[#This Row],[Sous-compte]]="","",LEFT(Plan_Comptable[[#This Row],[Sous-compte]]&amp;"00",4))</f>
        <v>2773</v>
      </c>
      <c r="J362" s="167" t="s">
        <v>1279</v>
      </c>
    </row>
    <row r="363" spans="1:10" ht="15" customHeight="1">
      <c r="A363" s="162">
        <v>2968</v>
      </c>
      <c r="B363" s="162" t="s">
        <v>10452</v>
      </c>
      <c r="D363" s="187" t="s">
        <v>67</v>
      </c>
      <c r="E363" s="168" t="s">
        <v>10393</v>
      </c>
      <c r="F363" s="168" t="s">
        <v>10449</v>
      </c>
      <c r="G363" s="176">
        <v>2774</v>
      </c>
      <c r="H363" s="167" t="s">
        <v>10358</v>
      </c>
      <c r="I363" s="167" t="str">
        <f>IF(Plan_Comptable[[#This Row],[Sous-compte]]="","",LEFT(Plan_Comptable[[#This Row],[Sous-compte]]&amp;"00",4))</f>
        <v>2774</v>
      </c>
      <c r="J363" s="167" t="s">
        <v>1279</v>
      </c>
    </row>
    <row r="364" spans="1:10" ht="15" customHeight="1">
      <c r="A364" s="162">
        <v>2971</v>
      </c>
      <c r="B364" s="162" t="s">
        <v>10453</v>
      </c>
      <c r="D364" s="187" t="s">
        <v>67</v>
      </c>
      <c r="E364" s="168" t="s">
        <v>10393</v>
      </c>
      <c r="F364" s="168">
        <v>278</v>
      </c>
      <c r="G364" s="176"/>
      <c r="H364" s="167" t="s">
        <v>10454</v>
      </c>
      <c r="I364" s="167" t="str">
        <f>IF(Plan_Comptable[[#This Row],[Sous-compte]]="","",LEFT(Plan_Comptable[[#This Row],[Sous-compte]]&amp;"00",4))</f>
        <v/>
      </c>
      <c r="J364" s="167"/>
    </row>
    <row r="365" spans="1:10" ht="15" customHeight="1">
      <c r="A365" s="162">
        <v>2972</v>
      </c>
      <c r="B365" s="162" t="s">
        <v>10455</v>
      </c>
      <c r="D365" s="187" t="s">
        <v>67</v>
      </c>
      <c r="E365" s="168" t="s">
        <v>10393</v>
      </c>
      <c r="F365" s="168" t="s">
        <v>10456</v>
      </c>
      <c r="G365" s="176">
        <v>2781</v>
      </c>
      <c r="H365" s="167" t="s">
        <v>10360</v>
      </c>
      <c r="I365" s="167" t="str">
        <f>IF(Plan_Comptable[[#This Row],[Sous-compte]]="","",LEFT(Plan_Comptable[[#This Row],[Sous-compte]]&amp;"00",4))</f>
        <v>2781</v>
      </c>
      <c r="J365" s="167" t="s">
        <v>1279</v>
      </c>
    </row>
    <row r="366" spans="1:10" ht="15" customHeight="1">
      <c r="A366" s="162">
        <v>2973</v>
      </c>
      <c r="B366" s="162" t="s">
        <v>10457</v>
      </c>
      <c r="D366" s="187" t="s">
        <v>67</v>
      </c>
      <c r="E366" s="168" t="s">
        <v>10393</v>
      </c>
      <c r="F366" s="168" t="s">
        <v>10456</v>
      </c>
      <c r="G366" s="172">
        <v>2782</v>
      </c>
      <c r="H366" s="179" t="s">
        <v>10361</v>
      </c>
      <c r="I366" s="167" t="str">
        <f>IF(Plan_Comptable[[#This Row],[Sous-compte]]="","",LEFT(Plan_Comptable[[#This Row],[Sous-compte]]&amp;"00",4))</f>
        <v>2782</v>
      </c>
      <c r="J366" s="167" t="s">
        <v>1279</v>
      </c>
    </row>
    <row r="367" spans="1:10" ht="15" customHeight="1">
      <c r="A367" s="162">
        <v>2974</v>
      </c>
      <c r="B367" s="162" t="s">
        <v>10458</v>
      </c>
      <c r="D367" s="187" t="s">
        <v>67</v>
      </c>
      <c r="E367" s="168" t="s">
        <v>10393</v>
      </c>
      <c r="F367" s="168" t="s">
        <v>10456</v>
      </c>
      <c r="G367" s="173">
        <v>2784</v>
      </c>
      <c r="H367" s="175" t="s">
        <v>10362</v>
      </c>
      <c r="I367" s="167" t="str">
        <f>IF(Plan_Comptable[[#This Row],[Sous-compte]]="","",LEFT(Plan_Comptable[[#This Row],[Sous-compte]]&amp;"00",4))</f>
        <v>2784</v>
      </c>
      <c r="J367" s="167" t="s">
        <v>1279</v>
      </c>
    </row>
    <row r="368" spans="1:10" ht="15" customHeight="1">
      <c r="A368" s="162">
        <v>2975</v>
      </c>
      <c r="B368" s="162" t="s">
        <v>10459</v>
      </c>
      <c r="D368" s="187" t="s">
        <v>67</v>
      </c>
      <c r="E368" s="168" t="s">
        <v>10393</v>
      </c>
      <c r="F368" s="168" t="s">
        <v>10456</v>
      </c>
      <c r="G368" s="176">
        <v>2785</v>
      </c>
      <c r="H368" s="167" t="s">
        <v>10460</v>
      </c>
      <c r="I368" s="167" t="str">
        <f>IF(Plan_Comptable[[#This Row],[Sous-compte]]="","",LEFT(Plan_Comptable[[#This Row],[Sous-compte]]&amp;"00",4))</f>
        <v>2785</v>
      </c>
      <c r="J368" s="167" t="s">
        <v>1279</v>
      </c>
    </row>
    <row r="369" spans="1:10" ht="15" customHeight="1">
      <c r="A369" s="162">
        <v>2977</v>
      </c>
      <c r="B369" s="162" t="s">
        <v>10461</v>
      </c>
      <c r="D369" s="187" t="s">
        <v>67</v>
      </c>
      <c r="E369" s="168" t="s">
        <v>10393</v>
      </c>
      <c r="F369" s="168" t="s">
        <v>10456</v>
      </c>
      <c r="G369" s="173">
        <v>2788</v>
      </c>
      <c r="H369" s="175" t="s">
        <v>1242</v>
      </c>
      <c r="I369" s="167" t="str">
        <f>IF(Plan_Comptable[[#This Row],[Sous-compte]]="","",LEFT(Plan_Comptable[[#This Row],[Sous-compte]]&amp;"00",4))</f>
        <v>2788</v>
      </c>
      <c r="J369" s="167" t="s">
        <v>1279</v>
      </c>
    </row>
    <row r="370" spans="1:10" ht="15" customHeight="1">
      <c r="A370" s="162">
        <v>2978</v>
      </c>
      <c r="B370" s="162" t="s">
        <v>10462</v>
      </c>
      <c r="D370" s="187" t="s">
        <v>67</v>
      </c>
      <c r="E370" s="185">
        <v>28</v>
      </c>
      <c r="F370" s="165" t="s">
        <v>9941</v>
      </c>
      <c r="G370" s="165"/>
      <c r="H370" s="166" t="s">
        <v>2902</v>
      </c>
      <c r="I370" s="167" t="str">
        <f>IF(Plan_Comptable[[#This Row],[Sous-compte]]="","",LEFT(Plan_Comptable[[#This Row],[Sous-compte]]&amp;"00",4))</f>
        <v/>
      </c>
      <c r="J370" s="167"/>
    </row>
    <row r="371" spans="1:10" ht="15" customHeight="1">
      <c r="A371" s="162">
        <v>3111</v>
      </c>
      <c r="B371" s="162" t="s">
        <v>10463</v>
      </c>
      <c r="D371" s="187" t="s">
        <v>67</v>
      </c>
      <c r="E371" s="168" t="s">
        <v>10464</v>
      </c>
      <c r="F371" s="168">
        <v>281</v>
      </c>
      <c r="G371" s="176"/>
      <c r="H371" s="167" t="s">
        <v>10465</v>
      </c>
      <c r="I371" s="167" t="str">
        <f>IF(Plan_Comptable[[#This Row],[Sous-compte]]="","",LEFT(Plan_Comptable[[#This Row],[Sous-compte]]&amp;"00",4))</f>
        <v/>
      </c>
      <c r="J371" s="167"/>
    </row>
    <row r="372" spans="1:10" ht="15" customHeight="1">
      <c r="A372" s="162">
        <v>3112</v>
      </c>
      <c r="B372" s="162" t="s">
        <v>10466</v>
      </c>
      <c r="D372" s="187" t="s">
        <v>67</v>
      </c>
      <c r="E372" s="168" t="s">
        <v>10464</v>
      </c>
      <c r="F372" s="168" t="s">
        <v>10467</v>
      </c>
      <c r="G372" s="172">
        <v>2811</v>
      </c>
      <c r="H372" s="179" t="s">
        <v>10366</v>
      </c>
      <c r="I372" s="167" t="str">
        <f>IF(Plan_Comptable[[#This Row],[Sous-compte]]="","",LEFT(Plan_Comptable[[#This Row],[Sous-compte]]&amp;"00",4))</f>
        <v>2811</v>
      </c>
      <c r="J372" s="167" t="s">
        <v>1276</v>
      </c>
    </row>
    <row r="373" spans="1:10" ht="15" customHeight="1">
      <c r="A373" s="162">
        <v>3121</v>
      </c>
      <c r="B373" s="162" t="s">
        <v>10468</v>
      </c>
      <c r="D373" s="187" t="s">
        <v>67</v>
      </c>
      <c r="E373" s="168" t="s">
        <v>10464</v>
      </c>
      <c r="F373" s="168" t="s">
        <v>10467</v>
      </c>
      <c r="G373" s="176">
        <v>2812</v>
      </c>
      <c r="H373" s="167" t="s">
        <v>10368</v>
      </c>
      <c r="I373" s="167" t="str">
        <f>IF(Plan_Comptable[[#This Row],[Sous-compte]]="","",LEFT(Plan_Comptable[[#This Row],[Sous-compte]]&amp;"00",4))</f>
        <v>2812</v>
      </c>
      <c r="J373" s="167" t="s">
        <v>1276</v>
      </c>
    </row>
    <row r="374" spans="1:10" ht="15" customHeight="1">
      <c r="A374" s="162">
        <v>3122</v>
      </c>
      <c r="B374" s="162" t="s">
        <v>10469</v>
      </c>
      <c r="D374" s="187" t="s">
        <v>67</v>
      </c>
      <c r="E374" s="168" t="s">
        <v>10464</v>
      </c>
      <c r="F374" s="168" t="s">
        <v>10467</v>
      </c>
      <c r="G374" s="172">
        <v>2813</v>
      </c>
      <c r="H374" s="179" t="s">
        <v>10370</v>
      </c>
      <c r="I374" s="167" t="str">
        <f>IF(Plan_Comptable[[#This Row],[Sous-compte]]="","",LEFT(Plan_Comptable[[#This Row],[Sous-compte]]&amp;"00",4))</f>
        <v>2813</v>
      </c>
      <c r="J374" s="167" t="s">
        <v>1276</v>
      </c>
    </row>
    <row r="375" spans="1:10" ht="15" customHeight="1">
      <c r="A375" s="162">
        <v>3131</v>
      </c>
      <c r="B375" s="162" t="s">
        <v>10470</v>
      </c>
      <c r="D375" s="187" t="s">
        <v>67</v>
      </c>
      <c r="E375" s="168" t="s">
        <v>10464</v>
      </c>
      <c r="F375" s="168" t="s">
        <v>10467</v>
      </c>
      <c r="G375" s="176">
        <v>2814</v>
      </c>
      <c r="H375" s="167" t="s">
        <v>10371</v>
      </c>
      <c r="I375" s="167" t="str">
        <f>IF(Plan_Comptable[[#This Row],[Sous-compte]]="","",LEFT(Plan_Comptable[[#This Row],[Sous-compte]]&amp;"00",4))</f>
        <v>2814</v>
      </c>
      <c r="J375" s="167" t="s">
        <v>1276</v>
      </c>
    </row>
    <row r="376" spans="1:10" ht="15" customHeight="1">
      <c r="A376" s="162">
        <v>3132</v>
      </c>
      <c r="B376" s="162" t="s">
        <v>10471</v>
      </c>
      <c r="D376" s="187" t="s">
        <v>67</v>
      </c>
      <c r="E376" s="168" t="s">
        <v>10464</v>
      </c>
      <c r="F376" s="168" t="s">
        <v>10467</v>
      </c>
      <c r="G376" s="176">
        <v>2815</v>
      </c>
      <c r="H376" s="167" t="s">
        <v>10372</v>
      </c>
      <c r="I376" s="167" t="str">
        <f>IF(Plan_Comptable[[#This Row],[Sous-compte]]="","",LEFT(Plan_Comptable[[#This Row],[Sous-compte]]&amp;"00",4))</f>
        <v>2815</v>
      </c>
      <c r="J376" s="167" t="s">
        <v>1276</v>
      </c>
    </row>
    <row r="377" spans="1:10" ht="15" customHeight="1">
      <c r="A377" s="162">
        <v>318</v>
      </c>
      <c r="B377" s="162" t="s">
        <v>10472</v>
      </c>
      <c r="D377" s="187" t="s">
        <v>67</v>
      </c>
      <c r="E377" s="168" t="s">
        <v>10464</v>
      </c>
      <c r="F377" s="168" t="s">
        <v>10467</v>
      </c>
      <c r="G377" s="176">
        <v>2816</v>
      </c>
      <c r="H377" s="167" t="s">
        <v>10373</v>
      </c>
      <c r="I377" s="167" t="str">
        <f>IF(Plan_Comptable[[#This Row],[Sous-compte]]="","",LEFT(Plan_Comptable[[#This Row],[Sous-compte]]&amp;"00",4))</f>
        <v>2816</v>
      </c>
      <c r="J377" s="167" t="s">
        <v>1276</v>
      </c>
    </row>
    <row r="378" spans="1:10" ht="15" customHeight="1">
      <c r="A378" s="162">
        <v>321</v>
      </c>
      <c r="B378" s="162" t="s">
        <v>10473</v>
      </c>
      <c r="D378" s="187" t="s">
        <v>67</v>
      </c>
      <c r="E378" s="168" t="s">
        <v>10464</v>
      </c>
      <c r="F378" s="168" t="s">
        <v>10467</v>
      </c>
      <c r="G378" s="176">
        <v>2817</v>
      </c>
      <c r="H378" s="167" t="s">
        <v>10374</v>
      </c>
      <c r="I378" s="167" t="str">
        <f>IF(Plan_Comptable[[#This Row],[Sous-compte]]="","",LEFT(Plan_Comptable[[#This Row],[Sous-compte]]&amp;"00",4))</f>
        <v>2817</v>
      </c>
      <c r="J378" s="167" t="s">
        <v>1276</v>
      </c>
    </row>
    <row r="379" spans="1:10" ht="15" customHeight="1">
      <c r="A379" s="162">
        <v>322</v>
      </c>
      <c r="B379" s="162" t="s">
        <v>10474</v>
      </c>
      <c r="D379" s="187" t="s">
        <v>67</v>
      </c>
      <c r="E379" s="168" t="s">
        <v>10464</v>
      </c>
      <c r="F379" s="168" t="s">
        <v>10467</v>
      </c>
      <c r="G379" s="176">
        <v>2818</v>
      </c>
      <c r="H379" s="167" t="s">
        <v>10375</v>
      </c>
      <c r="I379" s="167" t="str">
        <f>IF(Plan_Comptable[[#This Row],[Sous-compte]]="","",LEFT(Plan_Comptable[[#This Row],[Sous-compte]]&amp;"00",4))</f>
        <v>2818</v>
      </c>
      <c r="J379" s="167" t="s">
        <v>1276</v>
      </c>
    </row>
    <row r="380" spans="1:10" ht="15" customHeight="1">
      <c r="A380" s="162">
        <v>323</v>
      </c>
      <c r="B380" s="162" t="s">
        <v>10475</v>
      </c>
      <c r="D380" s="187" t="s">
        <v>67</v>
      </c>
      <c r="E380" s="168" t="s">
        <v>10464</v>
      </c>
      <c r="F380" s="168">
        <v>282</v>
      </c>
      <c r="G380" s="176"/>
      <c r="H380" s="167" t="s">
        <v>10476</v>
      </c>
      <c r="I380" s="167" t="str">
        <f>IF(Plan_Comptable[[#This Row],[Sous-compte]]="","",LEFT(Plan_Comptable[[#This Row],[Sous-compte]]&amp;"00",4))</f>
        <v/>
      </c>
      <c r="J380" s="167"/>
    </row>
    <row r="381" spans="1:10" ht="15" customHeight="1">
      <c r="A381" s="162">
        <v>331</v>
      </c>
      <c r="B381" s="162" t="s">
        <v>10477</v>
      </c>
      <c r="D381" s="187" t="s">
        <v>67</v>
      </c>
      <c r="E381" s="168" t="s">
        <v>10464</v>
      </c>
      <c r="F381" s="168" t="s">
        <v>10478</v>
      </c>
      <c r="G381" s="176">
        <v>2824</v>
      </c>
      <c r="H381" s="167" t="s">
        <v>10376</v>
      </c>
      <c r="I381" s="167" t="str">
        <f>IF(Plan_Comptable[[#This Row],[Sous-compte]]="","",LEFT(Plan_Comptable[[#This Row],[Sous-compte]]&amp;"00",4))</f>
        <v>2824</v>
      </c>
      <c r="J381" s="167" t="s">
        <v>1276</v>
      </c>
    </row>
    <row r="382" spans="1:10" ht="15" customHeight="1">
      <c r="A382" s="162">
        <v>332</v>
      </c>
      <c r="B382" s="162" t="s">
        <v>10479</v>
      </c>
      <c r="D382" s="187" t="s">
        <v>67</v>
      </c>
      <c r="E382" s="168" t="s">
        <v>10464</v>
      </c>
      <c r="F382" s="168">
        <v>283</v>
      </c>
      <c r="G382" s="176"/>
      <c r="H382" s="167" t="s">
        <v>10480</v>
      </c>
      <c r="I382" s="167" t="str">
        <f>IF(Plan_Comptable[[#This Row],[Sous-compte]]="","",LEFT(Plan_Comptable[[#This Row],[Sous-compte]]&amp;"00",4))</f>
        <v/>
      </c>
      <c r="J382" s="167"/>
    </row>
    <row r="383" spans="1:10" ht="15" customHeight="1">
      <c r="A383" s="162">
        <v>333</v>
      </c>
      <c r="B383" s="162" t="s">
        <v>10481</v>
      </c>
      <c r="D383" s="187" t="s">
        <v>67</v>
      </c>
      <c r="E383" s="168" t="s">
        <v>10464</v>
      </c>
      <c r="F383" s="168" t="s">
        <v>10482</v>
      </c>
      <c r="G383" s="176">
        <v>2831</v>
      </c>
      <c r="H383" s="167" t="s">
        <v>10377</v>
      </c>
      <c r="I383" s="167" t="str">
        <f>IF(Plan_Comptable[[#This Row],[Sous-compte]]="","",LEFT(Plan_Comptable[[#This Row],[Sous-compte]]&amp;"00",4))</f>
        <v>2831</v>
      </c>
      <c r="J383" s="167" t="s">
        <v>1276</v>
      </c>
    </row>
    <row r="384" spans="1:10" ht="15" customHeight="1">
      <c r="A384" s="162">
        <v>334</v>
      </c>
      <c r="B384" s="162" t="s">
        <v>10483</v>
      </c>
      <c r="D384" s="187" t="s">
        <v>67</v>
      </c>
      <c r="E384" s="168" t="s">
        <v>10464</v>
      </c>
      <c r="F384" s="168" t="s">
        <v>10482</v>
      </c>
      <c r="G384" s="176">
        <v>2832</v>
      </c>
      <c r="H384" s="167" t="s">
        <v>10378</v>
      </c>
      <c r="I384" s="167" t="str">
        <f>IF(Plan_Comptable[[#This Row],[Sous-compte]]="","",LEFT(Plan_Comptable[[#This Row],[Sous-compte]]&amp;"00",4))</f>
        <v>2832</v>
      </c>
      <c r="J384" s="167" t="s">
        <v>1276</v>
      </c>
    </row>
    <row r="385" spans="1:10" ht="15" customHeight="1">
      <c r="A385" s="162">
        <v>3351</v>
      </c>
      <c r="B385" s="162" t="s">
        <v>2653</v>
      </c>
      <c r="D385" s="187" t="s">
        <v>67</v>
      </c>
      <c r="E385" s="168" t="s">
        <v>10464</v>
      </c>
      <c r="F385" s="168" t="s">
        <v>10482</v>
      </c>
      <c r="G385" s="176">
        <v>2833</v>
      </c>
      <c r="H385" s="167" t="s">
        <v>10380</v>
      </c>
      <c r="I385" s="167" t="str">
        <f>IF(Plan_Comptable[[#This Row],[Sous-compte]]="","",LEFT(Plan_Comptable[[#This Row],[Sous-compte]]&amp;"00",4))</f>
        <v>2833</v>
      </c>
      <c r="J385" s="167" t="s">
        <v>1276</v>
      </c>
    </row>
    <row r="386" spans="1:10" ht="15" customHeight="1">
      <c r="A386" s="162">
        <v>3352</v>
      </c>
      <c r="B386" s="162" t="s">
        <v>2654</v>
      </c>
      <c r="D386" s="187" t="s">
        <v>67</v>
      </c>
      <c r="E386" s="168" t="s">
        <v>10464</v>
      </c>
      <c r="F386" s="168" t="s">
        <v>10482</v>
      </c>
      <c r="G386" s="172">
        <v>2834</v>
      </c>
      <c r="H386" s="179" t="s">
        <v>10381</v>
      </c>
      <c r="I386" s="167" t="str">
        <f>IF(Plan_Comptable[[#This Row],[Sous-compte]]="","",LEFT(Plan_Comptable[[#This Row],[Sous-compte]]&amp;"00",4))</f>
        <v>2834</v>
      </c>
      <c r="J386" s="167" t="s">
        <v>1276</v>
      </c>
    </row>
    <row r="387" spans="1:10" ht="15" customHeight="1">
      <c r="A387" s="162">
        <v>3353</v>
      </c>
      <c r="B387" s="162" t="s">
        <v>2655</v>
      </c>
      <c r="D387" s="187" t="s">
        <v>67</v>
      </c>
      <c r="E387" s="168" t="s">
        <v>10464</v>
      </c>
      <c r="F387" s="168" t="s">
        <v>10482</v>
      </c>
      <c r="G387" s="176">
        <v>2835</v>
      </c>
      <c r="H387" s="167" t="s">
        <v>10383</v>
      </c>
      <c r="I387" s="167" t="str">
        <f>IF(Plan_Comptable[[#This Row],[Sous-compte]]="","",LEFT(Plan_Comptable[[#This Row],[Sous-compte]]&amp;"00",4))</f>
        <v>2835</v>
      </c>
      <c r="J387" s="167" t="s">
        <v>1276</v>
      </c>
    </row>
    <row r="388" spans="1:10" ht="15" customHeight="1">
      <c r="A388" s="162">
        <v>3358</v>
      </c>
      <c r="B388" s="162" t="s">
        <v>10484</v>
      </c>
      <c r="D388" s="187" t="s">
        <v>67</v>
      </c>
      <c r="E388" s="168" t="s">
        <v>10464</v>
      </c>
      <c r="F388" s="168" t="s">
        <v>10482</v>
      </c>
      <c r="G388" s="176">
        <v>2837</v>
      </c>
      <c r="H388" s="167" t="s">
        <v>10385</v>
      </c>
      <c r="I388" s="167" t="str">
        <f>IF(Plan_Comptable[[#This Row],[Sous-compte]]="","",LEFT(Plan_Comptable[[#This Row],[Sous-compte]]&amp;"00",4))</f>
        <v>2837</v>
      </c>
      <c r="J388" s="167" t="s">
        <v>1276</v>
      </c>
    </row>
    <row r="389" spans="1:10" ht="15" customHeight="1">
      <c r="A389" s="162">
        <v>338</v>
      </c>
      <c r="B389" s="162" t="s">
        <v>10485</v>
      </c>
      <c r="D389" s="187" t="s">
        <v>67</v>
      </c>
      <c r="E389" s="168" t="s">
        <v>10464</v>
      </c>
      <c r="F389" s="168" t="s">
        <v>10482</v>
      </c>
      <c r="G389" s="176">
        <v>2838</v>
      </c>
      <c r="H389" s="167" t="s">
        <v>10386</v>
      </c>
      <c r="I389" s="167" t="str">
        <f>IF(Plan_Comptable[[#This Row],[Sous-compte]]="","",LEFT(Plan_Comptable[[#This Row],[Sous-compte]]&amp;"00",4))</f>
        <v>2838</v>
      </c>
      <c r="J389" s="167" t="s">
        <v>1276</v>
      </c>
    </row>
    <row r="390" spans="1:10" ht="15" customHeight="1">
      <c r="A390" s="162">
        <v>3411</v>
      </c>
      <c r="B390" s="162" t="s">
        <v>10486</v>
      </c>
      <c r="D390" s="187" t="s">
        <v>67</v>
      </c>
      <c r="E390" s="168" t="s">
        <v>10464</v>
      </c>
      <c r="F390" s="168">
        <v>284</v>
      </c>
      <c r="G390" s="176"/>
      <c r="H390" s="167" t="s">
        <v>10487</v>
      </c>
      <c r="I390" s="167" t="str">
        <f>IF(Plan_Comptable[[#This Row],[Sous-compte]]="","",LEFT(Plan_Comptable[[#This Row],[Sous-compte]]&amp;"00",4))</f>
        <v/>
      </c>
      <c r="J390" s="167"/>
    </row>
    <row r="391" spans="1:10" ht="15" customHeight="1">
      <c r="A391" s="162">
        <v>3412</v>
      </c>
      <c r="B391" s="162" t="s">
        <v>10488</v>
      </c>
      <c r="D391" s="187" t="s">
        <v>67</v>
      </c>
      <c r="E391" s="168" t="s">
        <v>10464</v>
      </c>
      <c r="F391" s="168" t="s">
        <v>10489</v>
      </c>
      <c r="G391" s="176">
        <v>2841</v>
      </c>
      <c r="H391" s="167" t="s">
        <v>10387</v>
      </c>
      <c r="I391" s="167" t="str">
        <f>IF(Plan_Comptable[[#This Row],[Sous-compte]]="","",LEFT(Plan_Comptable[[#This Row],[Sous-compte]]&amp;"00",4))</f>
        <v>2841</v>
      </c>
      <c r="J391" s="167" t="s">
        <v>1276</v>
      </c>
    </row>
    <row r="392" spans="1:10" ht="15" customHeight="1">
      <c r="A392" s="162">
        <v>3421</v>
      </c>
      <c r="B392" s="162" t="s">
        <v>10490</v>
      </c>
      <c r="D392" s="187" t="s">
        <v>67</v>
      </c>
      <c r="E392" s="168" t="s">
        <v>10464</v>
      </c>
      <c r="F392" s="168" t="s">
        <v>10489</v>
      </c>
      <c r="G392" s="176">
        <v>2842</v>
      </c>
      <c r="H392" s="167" t="s">
        <v>10388</v>
      </c>
      <c r="I392" s="167" t="str">
        <f>IF(Plan_Comptable[[#This Row],[Sous-compte]]="","",LEFT(Plan_Comptable[[#This Row],[Sous-compte]]&amp;"00",4))</f>
        <v>2842</v>
      </c>
      <c r="J392" s="167" t="s">
        <v>1276</v>
      </c>
    </row>
    <row r="393" spans="1:10" ht="15" customHeight="1">
      <c r="A393" s="162">
        <v>3422</v>
      </c>
      <c r="B393" s="162" t="s">
        <v>10491</v>
      </c>
      <c r="D393" s="187" t="s">
        <v>67</v>
      </c>
      <c r="E393" s="168" t="s">
        <v>10464</v>
      </c>
      <c r="F393" s="168" t="s">
        <v>10489</v>
      </c>
      <c r="G393" s="176">
        <v>2843</v>
      </c>
      <c r="H393" s="167" t="s">
        <v>10389</v>
      </c>
      <c r="I393" s="167" t="str">
        <f>IF(Plan_Comptable[[#This Row],[Sous-compte]]="","",LEFT(Plan_Comptable[[#This Row],[Sous-compte]]&amp;"00",4))</f>
        <v>2843</v>
      </c>
      <c r="J393" s="167" t="s">
        <v>1276</v>
      </c>
    </row>
    <row r="394" spans="1:10" ht="15" customHeight="1">
      <c r="A394" s="162">
        <v>3431</v>
      </c>
      <c r="B394" s="162" t="s">
        <v>10492</v>
      </c>
      <c r="D394" s="187" t="s">
        <v>67</v>
      </c>
      <c r="E394" s="168" t="s">
        <v>10464</v>
      </c>
      <c r="F394" s="168" t="s">
        <v>10489</v>
      </c>
      <c r="G394" s="176">
        <v>2844</v>
      </c>
      <c r="H394" s="167" t="s">
        <v>10390</v>
      </c>
      <c r="I394" s="167" t="str">
        <f>IF(Plan_Comptable[[#This Row],[Sous-compte]]="","",LEFT(Plan_Comptable[[#This Row],[Sous-compte]]&amp;"00",4))</f>
        <v>2844</v>
      </c>
      <c r="J394" s="167" t="s">
        <v>1276</v>
      </c>
    </row>
    <row r="395" spans="1:10" ht="15" customHeight="1">
      <c r="A395" s="162">
        <v>3432</v>
      </c>
      <c r="B395" s="162" t="s">
        <v>10493</v>
      </c>
      <c r="D395" s="187" t="s">
        <v>67</v>
      </c>
      <c r="E395" s="168" t="s">
        <v>10464</v>
      </c>
      <c r="F395" s="168" t="s">
        <v>10489</v>
      </c>
      <c r="G395" s="176">
        <v>2845</v>
      </c>
      <c r="H395" s="167" t="s">
        <v>10392</v>
      </c>
      <c r="I395" s="167" t="str">
        <f>IF(Plan_Comptable[[#This Row],[Sous-compte]]="","",LEFT(Plan_Comptable[[#This Row],[Sous-compte]]&amp;"00",4))</f>
        <v>2845</v>
      </c>
      <c r="J395" s="167" t="s">
        <v>1276</v>
      </c>
    </row>
    <row r="396" spans="1:10" ht="15" customHeight="1">
      <c r="A396" s="162">
        <v>3441</v>
      </c>
      <c r="B396" s="162" t="s">
        <v>10494</v>
      </c>
      <c r="D396" s="187" t="s">
        <v>67</v>
      </c>
      <c r="E396" s="168" t="s">
        <v>10464</v>
      </c>
      <c r="F396" s="168" t="s">
        <v>10489</v>
      </c>
      <c r="G396" s="172">
        <v>2846</v>
      </c>
      <c r="H396" s="179" t="s">
        <v>10395</v>
      </c>
      <c r="I396" s="167" t="str">
        <f>IF(Plan_Comptable[[#This Row],[Sous-compte]]="","",LEFT(Plan_Comptable[[#This Row],[Sous-compte]]&amp;"00",4))</f>
        <v>2846</v>
      </c>
      <c r="J396" s="167" t="s">
        <v>1276</v>
      </c>
    </row>
    <row r="397" spans="1:10" ht="15" customHeight="1">
      <c r="A397" s="162">
        <v>3442</v>
      </c>
      <c r="B397" s="162" t="s">
        <v>10495</v>
      </c>
      <c r="D397" s="187" t="s">
        <v>67</v>
      </c>
      <c r="E397" s="168" t="s">
        <v>10464</v>
      </c>
      <c r="F397" s="168" t="s">
        <v>10489</v>
      </c>
      <c r="G397" s="172">
        <v>2847</v>
      </c>
      <c r="H397" s="179" t="s">
        <v>10397</v>
      </c>
      <c r="I397" s="167" t="str">
        <f>IF(Plan_Comptable[[#This Row],[Sous-compte]]="","",LEFT(Plan_Comptable[[#This Row],[Sous-compte]]&amp;"00",4))</f>
        <v>2847</v>
      </c>
      <c r="J397" s="167" t="s">
        <v>1276</v>
      </c>
    </row>
    <row r="398" spans="1:10" ht="15" customHeight="1">
      <c r="A398" s="162">
        <v>3451</v>
      </c>
      <c r="B398" s="162" t="s">
        <v>10496</v>
      </c>
      <c r="D398" s="187" t="s">
        <v>67</v>
      </c>
      <c r="E398" s="168" t="s">
        <v>10464</v>
      </c>
      <c r="F398" s="168" t="s">
        <v>10489</v>
      </c>
      <c r="G398" s="176">
        <v>2848</v>
      </c>
      <c r="H398" s="167" t="s">
        <v>10398</v>
      </c>
      <c r="I398" s="167" t="str">
        <f>IF(Plan_Comptable[[#This Row],[Sous-compte]]="","",LEFT(Plan_Comptable[[#This Row],[Sous-compte]]&amp;"00",4))</f>
        <v>2848</v>
      </c>
      <c r="J398" s="167" t="s">
        <v>1276</v>
      </c>
    </row>
    <row r="399" spans="1:10" ht="15" customHeight="1">
      <c r="A399" s="162">
        <v>3452</v>
      </c>
      <c r="B399" s="162" t="s">
        <v>10497</v>
      </c>
      <c r="D399" s="187" t="s">
        <v>67</v>
      </c>
      <c r="E399" s="186">
        <v>29</v>
      </c>
      <c r="F399" s="171" t="s">
        <v>9941</v>
      </c>
      <c r="G399" s="171"/>
      <c r="H399" s="183" t="s">
        <v>10498</v>
      </c>
      <c r="I399" s="167" t="str">
        <f>IF(Plan_Comptable[[#This Row],[Sous-compte]]="","",LEFT(Plan_Comptable[[#This Row],[Sous-compte]]&amp;"00",4))</f>
        <v/>
      </c>
      <c r="J399" s="167"/>
    </row>
    <row r="400" spans="1:10" ht="15" customHeight="1">
      <c r="A400" s="162">
        <v>3511</v>
      </c>
      <c r="B400" s="162" t="s">
        <v>10499</v>
      </c>
      <c r="D400" s="187" t="s">
        <v>67</v>
      </c>
      <c r="E400" s="168" t="s">
        <v>10500</v>
      </c>
      <c r="F400" s="171">
        <v>291</v>
      </c>
      <c r="G400" s="172"/>
      <c r="H400" s="179" t="s">
        <v>10501</v>
      </c>
      <c r="I400" s="167" t="str">
        <f>IF(Plan_Comptable[[#This Row],[Sous-compte]]="","",LEFT(Plan_Comptable[[#This Row],[Sous-compte]]&amp;"00",4))</f>
        <v/>
      </c>
      <c r="J400" s="167"/>
    </row>
    <row r="401" spans="1:10" ht="15" customHeight="1">
      <c r="A401" s="162">
        <v>3512</v>
      </c>
      <c r="B401" s="162" t="s">
        <v>10502</v>
      </c>
      <c r="D401" s="187" t="s">
        <v>67</v>
      </c>
      <c r="E401" s="168" t="s">
        <v>10500</v>
      </c>
      <c r="F401" s="168" t="s">
        <v>10503</v>
      </c>
      <c r="G401" s="173">
        <v>2911</v>
      </c>
      <c r="H401" s="175" t="s">
        <v>10399</v>
      </c>
      <c r="I401" s="167" t="str">
        <f>IF(Plan_Comptable[[#This Row],[Sous-compte]]="","",LEFT(Plan_Comptable[[#This Row],[Sous-compte]]&amp;"00",4))</f>
        <v>2911</v>
      </c>
      <c r="J401" s="167" t="s">
        <v>1276</v>
      </c>
    </row>
    <row r="402" spans="1:10" ht="15" customHeight="1">
      <c r="A402" s="162">
        <v>3521</v>
      </c>
      <c r="B402" s="162" t="s">
        <v>10504</v>
      </c>
      <c r="D402" s="187" t="s">
        <v>67</v>
      </c>
      <c r="E402" s="168" t="s">
        <v>10500</v>
      </c>
      <c r="F402" s="168" t="s">
        <v>10503</v>
      </c>
      <c r="G402" s="172">
        <v>2912</v>
      </c>
      <c r="H402" s="179" t="s">
        <v>10400</v>
      </c>
      <c r="I402" s="167" t="str">
        <f>IF(Plan_Comptable[[#This Row],[Sous-compte]]="","",LEFT(Plan_Comptable[[#This Row],[Sous-compte]]&amp;"00",4))</f>
        <v>2912</v>
      </c>
      <c r="J402" s="167" t="s">
        <v>1276</v>
      </c>
    </row>
    <row r="403" spans="1:10" ht="15" customHeight="1">
      <c r="A403" s="162">
        <v>3522</v>
      </c>
      <c r="B403" s="162" t="s">
        <v>10505</v>
      </c>
      <c r="D403" s="187" t="s">
        <v>67</v>
      </c>
      <c r="E403" s="168" t="s">
        <v>10500</v>
      </c>
      <c r="F403" s="168" t="s">
        <v>10503</v>
      </c>
      <c r="G403" s="172">
        <v>2913</v>
      </c>
      <c r="H403" s="179" t="s">
        <v>10401</v>
      </c>
      <c r="I403" s="167" t="str">
        <f>IF(Plan_Comptable[[#This Row],[Sous-compte]]="","",LEFT(Plan_Comptable[[#This Row],[Sous-compte]]&amp;"00",4))</f>
        <v>2913</v>
      </c>
      <c r="J403" s="167" t="s">
        <v>1276</v>
      </c>
    </row>
    <row r="404" spans="1:10" ht="15" customHeight="1">
      <c r="A404" s="162">
        <v>361</v>
      </c>
      <c r="B404" s="162" t="s">
        <v>10506</v>
      </c>
      <c r="D404" s="187" t="s">
        <v>67</v>
      </c>
      <c r="E404" s="168" t="s">
        <v>10500</v>
      </c>
      <c r="F404" s="168" t="s">
        <v>10503</v>
      </c>
      <c r="G404" s="172">
        <v>2914</v>
      </c>
      <c r="H404" s="179" t="s">
        <v>10402</v>
      </c>
      <c r="I404" s="167" t="str">
        <f>IF(Plan_Comptable[[#This Row],[Sous-compte]]="","",LEFT(Plan_Comptable[[#This Row],[Sous-compte]]&amp;"00",4))</f>
        <v>2914</v>
      </c>
      <c r="J404" s="167" t="s">
        <v>1276</v>
      </c>
    </row>
    <row r="405" spans="1:10" ht="15" customHeight="1">
      <c r="A405" s="162">
        <v>362</v>
      </c>
      <c r="B405" s="162" t="s">
        <v>10507</v>
      </c>
      <c r="D405" s="187" t="s">
        <v>67</v>
      </c>
      <c r="E405" s="168" t="s">
        <v>10500</v>
      </c>
      <c r="F405" s="168" t="s">
        <v>10503</v>
      </c>
      <c r="G405" s="172">
        <v>2915</v>
      </c>
      <c r="H405" s="179" t="s">
        <v>10404</v>
      </c>
      <c r="I405" s="167" t="str">
        <f>IF(Plan_Comptable[[#This Row],[Sous-compte]]="","",LEFT(Plan_Comptable[[#This Row],[Sous-compte]]&amp;"00",4))</f>
        <v>2915</v>
      </c>
      <c r="J405" s="167" t="s">
        <v>1276</v>
      </c>
    </row>
    <row r="406" spans="1:10" ht="15" customHeight="1">
      <c r="A406" s="162">
        <v>3631</v>
      </c>
      <c r="B406" s="162" t="s">
        <v>10496</v>
      </c>
      <c r="D406" s="187" t="s">
        <v>67</v>
      </c>
      <c r="E406" s="168" t="s">
        <v>10500</v>
      </c>
      <c r="F406" s="168" t="s">
        <v>10503</v>
      </c>
      <c r="G406" s="172">
        <v>2916</v>
      </c>
      <c r="H406" s="179" t="s">
        <v>10406</v>
      </c>
      <c r="I406" s="167" t="str">
        <f>IF(Plan_Comptable[[#This Row],[Sous-compte]]="","",LEFT(Plan_Comptable[[#This Row],[Sous-compte]]&amp;"00",4))</f>
        <v>2916</v>
      </c>
      <c r="J406" s="167" t="s">
        <v>1276</v>
      </c>
    </row>
    <row r="407" spans="1:10" ht="15" customHeight="1">
      <c r="A407" s="162">
        <v>3632</v>
      </c>
      <c r="B407" s="162" t="s">
        <v>10471</v>
      </c>
      <c r="D407" s="187" t="s">
        <v>67</v>
      </c>
      <c r="E407" s="168" t="s">
        <v>10500</v>
      </c>
      <c r="F407" s="168" t="s">
        <v>10503</v>
      </c>
      <c r="G407" s="172">
        <v>2917</v>
      </c>
      <c r="H407" s="179" t="s">
        <v>10407</v>
      </c>
      <c r="I407" s="167" t="str">
        <f>IF(Plan_Comptable[[#This Row],[Sous-compte]]="","",LEFT(Plan_Comptable[[#This Row],[Sous-compte]]&amp;"00",4))</f>
        <v>2917</v>
      </c>
      <c r="J407" s="167" t="s">
        <v>1276</v>
      </c>
    </row>
    <row r="408" spans="1:10" ht="15" customHeight="1">
      <c r="A408" s="162">
        <v>3638</v>
      </c>
      <c r="B408" s="162" t="s">
        <v>10508</v>
      </c>
      <c r="D408" s="187" t="s">
        <v>67</v>
      </c>
      <c r="E408" s="168" t="s">
        <v>10500</v>
      </c>
      <c r="F408" s="168" t="s">
        <v>10503</v>
      </c>
      <c r="G408" s="172">
        <v>2918</v>
      </c>
      <c r="H408" s="179" t="s">
        <v>10408</v>
      </c>
      <c r="I408" s="167" t="str">
        <f>IF(Plan_Comptable[[#This Row],[Sous-compte]]="","",LEFT(Plan_Comptable[[#This Row],[Sous-compte]]&amp;"00",4))</f>
        <v>2918</v>
      </c>
      <c r="J408" s="167" t="s">
        <v>1276</v>
      </c>
    </row>
    <row r="409" spans="1:10" ht="15" customHeight="1">
      <c r="A409" s="162">
        <v>3711</v>
      </c>
      <c r="B409" s="162" t="s">
        <v>10492</v>
      </c>
      <c r="D409" s="187" t="s">
        <v>67</v>
      </c>
      <c r="E409" s="168" t="s">
        <v>10500</v>
      </c>
      <c r="F409" s="168" t="s">
        <v>10503</v>
      </c>
      <c r="G409" s="172">
        <v>2919</v>
      </c>
      <c r="H409" s="179" t="s">
        <v>10410</v>
      </c>
      <c r="I409" s="167" t="str">
        <f>IF(Plan_Comptable[[#This Row],[Sous-compte]]="","",LEFT(Plan_Comptable[[#This Row],[Sous-compte]]&amp;"00",4))</f>
        <v>2919</v>
      </c>
      <c r="J409" s="167" t="s">
        <v>1276</v>
      </c>
    </row>
    <row r="410" spans="1:10" ht="15" customHeight="1">
      <c r="A410" s="162">
        <v>3712</v>
      </c>
      <c r="B410" s="162" t="s">
        <v>10493</v>
      </c>
      <c r="D410" s="187" t="s">
        <v>67</v>
      </c>
      <c r="E410" s="168" t="s">
        <v>10500</v>
      </c>
      <c r="F410" s="171">
        <v>292</v>
      </c>
      <c r="G410" s="172"/>
      <c r="H410" s="179" t="s">
        <v>10509</v>
      </c>
      <c r="I410" s="167" t="str">
        <f>IF(Plan_Comptable[[#This Row],[Sous-compte]]="","",LEFT(Plan_Comptable[[#This Row],[Sous-compte]]&amp;"00",4))</f>
        <v/>
      </c>
      <c r="J410" s="167"/>
    </row>
    <row r="411" spans="1:10">
      <c r="A411" s="162">
        <v>3721</v>
      </c>
      <c r="B411" s="162" t="s">
        <v>10510</v>
      </c>
      <c r="D411" s="187" t="s">
        <v>67</v>
      </c>
      <c r="E411" s="168" t="s">
        <v>10500</v>
      </c>
      <c r="F411" s="168" t="s">
        <v>10511</v>
      </c>
      <c r="G411" s="172">
        <v>2921</v>
      </c>
      <c r="H411" s="179" t="s">
        <v>10412</v>
      </c>
      <c r="I411" s="167" t="str">
        <f>IF(Plan_Comptable[[#This Row],[Sous-compte]]="","",LEFT(Plan_Comptable[[#This Row],[Sous-compte]]&amp;"00",4))</f>
        <v>2921</v>
      </c>
      <c r="J411" s="167" t="s">
        <v>1276</v>
      </c>
    </row>
    <row r="412" spans="1:10" ht="15" customHeight="1">
      <c r="A412" s="162">
        <v>3722</v>
      </c>
      <c r="B412" s="162" t="s">
        <v>10512</v>
      </c>
      <c r="D412" s="187" t="s">
        <v>67</v>
      </c>
      <c r="E412" s="168" t="s">
        <v>10500</v>
      </c>
      <c r="F412" s="168" t="s">
        <v>10511</v>
      </c>
      <c r="G412" s="172">
        <v>2922</v>
      </c>
      <c r="H412" s="179" t="s">
        <v>10413</v>
      </c>
      <c r="I412" s="167" t="str">
        <f>IF(Plan_Comptable[[#This Row],[Sous-compte]]="","",LEFT(Plan_Comptable[[#This Row],[Sous-compte]]&amp;"00",4))</f>
        <v>2922</v>
      </c>
      <c r="J412" s="167" t="s">
        <v>1276</v>
      </c>
    </row>
    <row r="413" spans="1:10" ht="15" customHeight="1">
      <c r="A413" s="162">
        <v>3723</v>
      </c>
      <c r="B413" s="162" t="s">
        <v>10513</v>
      </c>
      <c r="D413" s="187" t="s">
        <v>67</v>
      </c>
      <c r="E413" s="168" t="s">
        <v>10500</v>
      </c>
      <c r="F413" s="168" t="s">
        <v>10511</v>
      </c>
      <c r="G413" s="172">
        <v>2923</v>
      </c>
      <c r="H413" s="179" t="s">
        <v>10414</v>
      </c>
      <c r="I413" s="167" t="str">
        <f>IF(Plan_Comptable[[#This Row],[Sous-compte]]="","",LEFT(Plan_Comptable[[#This Row],[Sous-compte]]&amp;"00",4))</f>
        <v>2923</v>
      </c>
      <c r="J413" s="167" t="s">
        <v>1276</v>
      </c>
    </row>
    <row r="414" spans="1:10" ht="15" customHeight="1">
      <c r="A414" s="162">
        <v>3731</v>
      </c>
      <c r="B414" s="162" t="s">
        <v>10496</v>
      </c>
      <c r="D414" s="187" t="s">
        <v>67</v>
      </c>
      <c r="E414" s="168" t="s">
        <v>10500</v>
      </c>
      <c r="F414" s="168" t="s">
        <v>10511</v>
      </c>
      <c r="G414" s="172">
        <v>2924</v>
      </c>
      <c r="H414" s="179" t="s">
        <v>10415</v>
      </c>
      <c r="I414" s="167" t="str">
        <f>IF(Plan_Comptable[[#This Row],[Sous-compte]]="","",LEFT(Plan_Comptable[[#This Row],[Sous-compte]]&amp;"00",4))</f>
        <v>2924</v>
      </c>
      <c r="J414" s="167" t="s">
        <v>1276</v>
      </c>
    </row>
    <row r="415" spans="1:10" ht="15" customHeight="1">
      <c r="A415" s="162">
        <v>3732</v>
      </c>
      <c r="B415" s="162" t="s">
        <v>10471</v>
      </c>
      <c r="D415" s="187" t="s">
        <v>67</v>
      </c>
      <c r="E415" s="168" t="s">
        <v>10500</v>
      </c>
      <c r="F415" s="168" t="s">
        <v>10511</v>
      </c>
      <c r="G415" s="172">
        <v>2925</v>
      </c>
      <c r="H415" s="179" t="s">
        <v>10417</v>
      </c>
      <c r="I415" s="167" t="str">
        <f>IF(Plan_Comptable[[#This Row],[Sous-compte]]="","",LEFT(Plan_Comptable[[#This Row],[Sous-compte]]&amp;"00",4))</f>
        <v>2925</v>
      </c>
      <c r="J415" s="167" t="s">
        <v>1276</v>
      </c>
    </row>
    <row r="416" spans="1:10" ht="15" customHeight="1">
      <c r="A416" s="162">
        <v>3738</v>
      </c>
      <c r="B416" s="162" t="s">
        <v>10508</v>
      </c>
      <c r="D416" s="187" t="s">
        <v>67</v>
      </c>
      <c r="E416" s="168" t="s">
        <v>10500</v>
      </c>
      <c r="F416" s="168" t="s">
        <v>10511</v>
      </c>
      <c r="G416" s="172">
        <v>2926</v>
      </c>
      <c r="H416" s="179" t="s">
        <v>10419</v>
      </c>
      <c r="I416" s="167" t="str">
        <f>IF(Plan_Comptable[[#This Row],[Sous-compte]]="","",LEFT(Plan_Comptable[[#This Row],[Sous-compte]]&amp;"00",4))</f>
        <v>2926</v>
      </c>
      <c r="J416" s="167" t="s">
        <v>1276</v>
      </c>
    </row>
    <row r="417" spans="1:10" ht="15" customHeight="1">
      <c r="A417" s="162">
        <v>381</v>
      </c>
      <c r="B417" s="162" t="s">
        <v>10514</v>
      </c>
      <c r="D417" s="187" t="s">
        <v>67</v>
      </c>
      <c r="E417" s="168" t="s">
        <v>10500</v>
      </c>
      <c r="F417" s="168" t="s">
        <v>10511</v>
      </c>
      <c r="G417" s="172">
        <v>2927</v>
      </c>
      <c r="H417" s="179" t="s">
        <v>10420</v>
      </c>
      <c r="I417" s="167" t="str">
        <f>IF(Plan_Comptable[[#This Row],[Sous-compte]]="","",LEFT(Plan_Comptable[[#This Row],[Sous-compte]]&amp;"00",4))</f>
        <v>2927</v>
      </c>
      <c r="J417" s="167" t="s">
        <v>1276</v>
      </c>
    </row>
    <row r="418" spans="1:10" ht="15" customHeight="1">
      <c r="A418" s="162">
        <v>382</v>
      </c>
      <c r="B418" s="162" t="s">
        <v>10515</v>
      </c>
      <c r="D418" s="187" t="s">
        <v>67</v>
      </c>
      <c r="E418" s="168" t="s">
        <v>10500</v>
      </c>
      <c r="F418" s="168" t="s">
        <v>10511</v>
      </c>
      <c r="G418" s="172">
        <v>2928</v>
      </c>
      <c r="H418" s="179" t="s">
        <v>10421</v>
      </c>
      <c r="I418" s="167" t="str">
        <f>IF(Plan_Comptable[[#This Row],[Sous-compte]]="","",LEFT(Plan_Comptable[[#This Row],[Sous-compte]]&amp;"00",4))</f>
        <v>2928</v>
      </c>
      <c r="J418" s="167" t="s">
        <v>1276</v>
      </c>
    </row>
    <row r="419" spans="1:10" ht="15" customHeight="1">
      <c r="A419" s="162">
        <v>383</v>
      </c>
      <c r="B419" s="162" t="s">
        <v>10516</v>
      </c>
      <c r="D419" s="187" t="s">
        <v>67</v>
      </c>
      <c r="E419" s="168" t="s">
        <v>10500</v>
      </c>
      <c r="F419" s="168" t="s">
        <v>10511</v>
      </c>
      <c r="G419" s="172">
        <v>2929</v>
      </c>
      <c r="H419" s="179" t="s">
        <v>10422</v>
      </c>
      <c r="I419" s="167" t="str">
        <f>IF(Plan_Comptable[[#This Row],[Sous-compte]]="","",LEFT(Plan_Comptable[[#This Row],[Sous-compte]]&amp;"00",4))</f>
        <v>2929</v>
      </c>
      <c r="J419" s="167" t="s">
        <v>1276</v>
      </c>
    </row>
    <row r="420" spans="1:10" ht="15" customHeight="1">
      <c r="A420" s="162">
        <v>386</v>
      </c>
      <c r="B420" s="162" t="s">
        <v>10517</v>
      </c>
      <c r="D420" s="187" t="s">
        <v>67</v>
      </c>
      <c r="E420" s="168" t="s">
        <v>10500</v>
      </c>
      <c r="F420" s="171">
        <v>293</v>
      </c>
      <c r="G420" s="172"/>
      <c r="H420" s="179" t="s">
        <v>10518</v>
      </c>
      <c r="I420" s="167" t="str">
        <f>IF(Plan_Comptable[[#This Row],[Sous-compte]]="","",LEFT(Plan_Comptable[[#This Row],[Sous-compte]]&amp;"00",4))</f>
        <v/>
      </c>
      <c r="J420" s="167"/>
    </row>
    <row r="421" spans="1:10" ht="15" customHeight="1">
      <c r="A421" s="162">
        <v>3871</v>
      </c>
      <c r="B421" s="162" t="s">
        <v>10519</v>
      </c>
      <c r="D421" s="187" t="s">
        <v>67</v>
      </c>
      <c r="E421" s="168" t="s">
        <v>10500</v>
      </c>
      <c r="F421" s="168" t="s">
        <v>10520</v>
      </c>
      <c r="G421" s="172">
        <v>2931</v>
      </c>
      <c r="H421" s="179" t="s">
        <v>10423</v>
      </c>
      <c r="I421" s="167" t="str">
        <f>IF(Plan_Comptable[[#This Row],[Sous-compte]]="","",LEFT(Plan_Comptable[[#This Row],[Sous-compte]]&amp;"00",4))</f>
        <v>2931</v>
      </c>
      <c r="J421" s="167" t="s">
        <v>1276</v>
      </c>
    </row>
    <row r="422" spans="1:10" ht="15" customHeight="1">
      <c r="A422" s="162">
        <v>3872</v>
      </c>
      <c r="B422" s="162" t="s">
        <v>10521</v>
      </c>
      <c r="D422" s="187" t="s">
        <v>67</v>
      </c>
      <c r="E422" s="168" t="s">
        <v>10500</v>
      </c>
      <c r="F422" s="168" t="s">
        <v>10520</v>
      </c>
      <c r="G422" s="172">
        <v>2932</v>
      </c>
      <c r="H422" s="179" t="s">
        <v>10424</v>
      </c>
      <c r="I422" s="167" t="str">
        <f>IF(Plan_Comptable[[#This Row],[Sous-compte]]="","",LEFT(Plan_Comptable[[#This Row],[Sous-compte]]&amp;"00",4))</f>
        <v>2932</v>
      </c>
      <c r="J422" s="167" t="s">
        <v>1276</v>
      </c>
    </row>
    <row r="423" spans="1:10" ht="15" customHeight="1">
      <c r="A423" s="162">
        <v>388</v>
      </c>
      <c r="B423" s="162" t="s">
        <v>10522</v>
      </c>
      <c r="D423" s="187" t="s">
        <v>67</v>
      </c>
      <c r="E423" s="168" t="s">
        <v>10500</v>
      </c>
      <c r="F423" s="168" t="s">
        <v>10520</v>
      </c>
      <c r="G423" s="172">
        <v>2933</v>
      </c>
      <c r="H423" s="179" t="s">
        <v>10425</v>
      </c>
      <c r="I423" s="167" t="str">
        <f>IF(Plan_Comptable[[#This Row],[Sous-compte]]="","",LEFT(Plan_Comptable[[#This Row],[Sous-compte]]&amp;"00",4))</f>
        <v>2933</v>
      </c>
      <c r="J423" s="167" t="s">
        <v>1276</v>
      </c>
    </row>
    <row r="424" spans="1:10" ht="15" customHeight="1">
      <c r="A424" s="162">
        <v>391</v>
      </c>
      <c r="B424" s="162" t="s">
        <v>10523</v>
      </c>
      <c r="D424" s="187" t="s">
        <v>67</v>
      </c>
      <c r="E424" s="168" t="s">
        <v>10500</v>
      </c>
      <c r="F424" s="168" t="s">
        <v>10520</v>
      </c>
      <c r="G424" s="172">
        <v>2934</v>
      </c>
      <c r="H424" s="179" t="s">
        <v>10427</v>
      </c>
      <c r="I424" s="167" t="str">
        <f>IF(Plan_Comptable[[#This Row],[Sous-compte]]="","",LEFT(Plan_Comptable[[#This Row],[Sous-compte]]&amp;"00",4))</f>
        <v>2934</v>
      </c>
      <c r="J424" s="167" t="s">
        <v>1276</v>
      </c>
    </row>
    <row r="425" spans="1:10" ht="15" customHeight="1">
      <c r="A425" s="162">
        <v>392</v>
      </c>
      <c r="B425" s="162" t="s">
        <v>10524</v>
      </c>
      <c r="D425" s="187" t="s">
        <v>67</v>
      </c>
      <c r="E425" s="168" t="s">
        <v>10500</v>
      </c>
      <c r="F425" s="168" t="s">
        <v>10520</v>
      </c>
      <c r="G425" s="172">
        <v>2935</v>
      </c>
      <c r="H425" s="179" t="s">
        <v>10429</v>
      </c>
      <c r="I425" s="167" t="str">
        <f>IF(Plan_Comptable[[#This Row],[Sous-compte]]="","",LEFT(Plan_Comptable[[#This Row],[Sous-compte]]&amp;"00",4))</f>
        <v>2935</v>
      </c>
      <c r="J425" s="167" t="s">
        <v>1276</v>
      </c>
    </row>
    <row r="426" spans="1:10" ht="15" customHeight="1">
      <c r="A426" s="162">
        <v>393</v>
      </c>
      <c r="B426" s="162" t="s">
        <v>10525</v>
      </c>
      <c r="D426" s="187" t="s">
        <v>67</v>
      </c>
      <c r="E426" s="168" t="s">
        <v>10500</v>
      </c>
      <c r="F426" s="168" t="s">
        <v>10520</v>
      </c>
      <c r="G426" s="172">
        <v>2937</v>
      </c>
      <c r="H426" s="179" t="s">
        <v>10430</v>
      </c>
      <c r="I426" s="167" t="str">
        <f>IF(Plan_Comptable[[#This Row],[Sous-compte]]="","",LEFT(Plan_Comptable[[#This Row],[Sous-compte]]&amp;"00",4))</f>
        <v>2937</v>
      </c>
      <c r="J426" s="167" t="s">
        <v>1276</v>
      </c>
    </row>
    <row r="427" spans="1:10" ht="15" customHeight="1">
      <c r="A427" s="162">
        <v>394</v>
      </c>
      <c r="B427" s="162" t="s">
        <v>10526</v>
      </c>
      <c r="D427" s="187" t="s">
        <v>67</v>
      </c>
      <c r="E427" s="168" t="s">
        <v>10500</v>
      </c>
      <c r="F427" s="168" t="s">
        <v>10520</v>
      </c>
      <c r="G427" s="172">
        <v>2938</v>
      </c>
      <c r="H427" s="179" t="s">
        <v>10431</v>
      </c>
      <c r="I427" s="167" t="str">
        <f>IF(Plan_Comptable[[#This Row],[Sous-compte]]="","",LEFT(Plan_Comptable[[#This Row],[Sous-compte]]&amp;"00",4))</f>
        <v>2938</v>
      </c>
      <c r="J427" s="167" t="s">
        <v>1276</v>
      </c>
    </row>
    <row r="428" spans="1:10" ht="15" customHeight="1">
      <c r="A428" s="162">
        <v>395</v>
      </c>
      <c r="B428" s="162" t="s">
        <v>10527</v>
      </c>
      <c r="D428" s="187" t="s">
        <v>67</v>
      </c>
      <c r="E428" s="168" t="s">
        <v>10500</v>
      </c>
      <c r="F428" s="168" t="s">
        <v>10520</v>
      </c>
      <c r="G428" s="172">
        <v>2939</v>
      </c>
      <c r="H428" s="179" t="s">
        <v>10432</v>
      </c>
      <c r="I428" s="167" t="str">
        <f>IF(Plan_Comptable[[#This Row],[Sous-compte]]="","",LEFT(Plan_Comptable[[#This Row],[Sous-compte]]&amp;"00",4))</f>
        <v>2939</v>
      </c>
      <c r="J428" s="167" t="s">
        <v>1276</v>
      </c>
    </row>
    <row r="429" spans="1:10" ht="15" customHeight="1">
      <c r="A429" s="162">
        <v>396</v>
      </c>
      <c r="B429" s="162" t="s">
        <v>10528</v>
      </c>
      <c r="D429" s="187" t="s">
        <v>67</v>
      </c>
      <c r="E429" s="168" t="s">
        <v>10500</v>
      </c>
      <c r="F429" s="171">
        <v>294</v>
      </c>
      <c r="G429" s="172"/>
      <c r="H429" s="179" t="s">
        <v>10529</v>
      </c>
      <c r="I429" s="167" t="str">
        <f>IF(Plan_Comptable[[#This Row],[Sous-compte]]="","",LEFT(Plan_Comptable[[#This Row],[Sous-compte]]&amp;"00",4))</f>
        <v/>
      </c>
      <c r="J429" s="167"/>
    </row>
    <row r="430" spans="1:10" ht="15" customHeight="1">
      <c r="A430" s="162">
        <v>397</v>
      </c>
      <c r="B430" s="162" t="s">
        <v>10530</v>
      </c>
      <c r="D430" s="187" t="s">
        <v>67</v>
      </c>
      <c r="E430" s="168" t="s">
        <v>10500</v>
      </c>
      <c r="F430" s="168" t="s">
        <v>10531</v>
      </c>
      <c r="G430" s="172">
        <v>2941</v>
      </c>
      <c r="H430" s="179" t="s">
        <v>10433</v>
      </c>
      <c r="I430" s="167" t="str">
        <f>IF(Plan_Comptable[[#This Row],[Sous-compte]]="","",LEFT(Plan_Comptable[[#This Row],[Sous-compte]]&amp;"00",4))</f>
        <v>2941</v>
      </c>
      <c r="J430" s="167" t="s">
        <v>1276</v>
      </c>
    </row>
    <row r="431" spans="1:10" ht="15" customHeight="1">
      <c r="A431" s="162">
        <v>398</v>
      </c>
      <c r="B431" s="162" t="s">
        <v>10532</v>
      </c>
      <c r="D431" s="187" t="s">
        <v>67</v>
      </c>
      <c r="E431" s="168" t="s">
        <v>10500</v>
      </c>
      <c r="F431" s="168" t="s">
        <v>10531</v>
      </c>
      <c r="G431" s="172">
        <v>2942</v>
      </c>
      <c r="H431" s="179" t="s">
        <v>10434</v>
      </c>
      <c r="I431" s="167" t="str">
        <f>IF(Plan_Comptable[[#This Row],[Sous-compte]]="","",LEFT(Plan_Comptable[[#This Row],[Sous-compte]]&amp;"00",4))</f>
        <v>2942</v>
      </c>
      <c r="J431" s="167" t="s">
        <v>1276</v>
      </c>
    </row>
    <row r="432" spans="1:10" ht="15" customHeight="1">
      <c r="A432" s="162">
        <v>4011</v>
      </c>
      <c r="B432" s="162" t="s">
        <v>10533</v>
      </c>
      <c r="D432" s="187" t="s">
        <v>67</v>
      </c>
      <c r="E432" s="168" t="s">
        <v>10500</v>
      </c>
      <c r="F432" s="168" t="s">
        <v>10531</v>
      </c>
      <c r="G432" s="172">
        <v>2943</v>
      </c>
      <c r="H432" s="179" t="s">
        <v>10435</v>
      </c>
      <c r="I432" s="167" t="str">
        <f>IF(Plan_Comptable[[#This Row],[Sous-compte]]="","",LEFT(Plan_Comptable[[#This Row],[Sous-compte]]&amp;"00",4))</f>
        <v>2943</v>
      </c>
      <c r="J432" s="167" t="s">
        <v>1276</v>
      </c>
    </row>
    <row r="433" spans="1:10" ht="15" customHeight="1">
      <c r="A433" s="162">
        <v>4012</v>
      </c>
      <c r="B433" s="162" t="s">
        <v>10534</v>
      </c>
      <c r="D433" s="187" t="s">
        <v>67</v>
      </c>
      <c r="E433" s="168" t="s">
        <v>10500</v>
      </c>
      <c r="F433" s="168" t="s">
        <v>10531</v>
      </c>
      <c r="G433" s="172">
        <v>2944</v>
      </c>
      <c r="H433" s="179" t="s">
        <v>10436</v>
      </c>
      <c r="I433" s="167" t="str">
        <f>IF(Plan_Comptable[[#This Row],[Sous-compte]]="","",LEFT(Plan_Comptable[[#This Row],[Sous-compte]]&amp;"00",4))</f>
        <v>2944</v>
      </c>
      <c r="J433" s="167" t="s">
        <v>1276</v>
      </c>
    </row>
    <row r="434" spans="1:10" ht="15" customHeight="1">
      <c r="A434" s="162">
        <v>4013</v>
      </c>
      <c r="B434" s="162" t="s">
        <v>10535</v>
      </c>
      <c r="D434" s="187" t="s">
        <v>67</v>
      </c>
      <c r="E434" s="168" t="s">
        <v>10500</v>
      </c>
      <c r="F434" s="168" t="s">
        <v>10531</v>
      </c>
      <c r="G434" s="172">
        <v>2945</v>
      </c>
      <c r="H434" s="179" t="s">
        <v>10437</v>
      </c>
      <c r="I434" s="167" t="str">
        <f>IF(Plan_Comptable[[#This Row],[Sous-compte]]="","",LEFT(Plan_Comptable[[#This Row],[Sous-compte]]&amp;"00",4))</f>
        <v>2945</v>
      </c>
      <c r="J434" s="167" t="s">
        <v>1276</v>
      </c>
    </row>
    <row r="435" spans="1:10" ht="15" customHeight="1">
      <c r="A435" s="162">
        <v>4016</v>
      </c>
      <c r="B435" s="162" t="s">
        <v>2051</v>
      </c>
      <c r="D435" s="187" t="s">
        <v>67</v>
      </c>
      <c r="E435" s="168" t="s">
        <v>10500</v>
      </c>
      <c r="F435" s="168" t="s">
        <v>10531</v>
      </c>
      <c r="G435" s="172">
        <v>2946</v>
      </c>
      <c r="H435" s="179" t="s">
        <v>10439</v>
      </c>
      <c r="I435" s="167" t="str">
        <f>IF(Plan_Comptable[[#This Row],[Sous-compte]]="","",LEFT(Plan_Comptable[[#This Row],[Sous-compte]]&amp;"00",4))</f>
        <v>2946</v>
      </c>
      <c r="J435" s="167" t="s">
        <v>1276</v>
      </c>
    </row>
    <row r="436" spans="1:10" ht="15" customHeight="1">
      <c r="A436" s="162">
        <v>4017</v>
      </c>
      <c r="B436" s="162" t="s">
        <v>10536</v>
      </c>
      <c r="D436" s="187" t="s">
        <v>67</v>
      </c>
      <c r="E436" s="168" t="s">
        <v>10500</v>
      </c>
      <c r="F436" s="168" t="s">
        <v>10531</v>
      </c>
      <c r="G436" s="172">
        <v>2947</v>
      </c>
      <c r="H436" s="179" t="s">
        <v>10440</v>
      </c>
      <c r="I436" s="167" t="str">
        <f>IF(Plan_Comptable[[#This Row],[Sous-compte]]="","",LEFT(Plan_Comptable[[#This Row],[Sous-compte]]&amp;"00",4))</f>
        <v>2947</v>
      </c>
      <c r="J436" s="167" t="s">
        <v>1276</v>
      </c>
    </row>
    <row r="437" spans="1:10" ht="15" customHeight="1">
      <c r="A437" s="162">
        <v>4021</v>
      </c>
      <c r="B437" s="162" t="s">
        <v>10537</v>
      </c>
      <c r="D437" s="187" t="s">
        <v>67</v>
      </c>
      <c r="E437" s="168" t="s">
        <v>10500</v>
      </c>
      <c r="F437" s="168" t="s">
        <v>10531</v>
      </c>
      <c r="G437" s="172">
        <v>2948</v>
      </c>
      <c r="H437" s="179" t="s">
        <v>10441</v>
      </c>
      <c r="I437" s="167" t="str">
        <f>IF(Plan_Comptable[[#This Row],[Sous-compte]]="","",LEFT(Plan_Comptable[[#This Row],[Sous-compte]]&amp;"00",4))</f>
        <v>2948</v>
      </c>
      <c r="J437" s="167" t="s">
        <v>1276</v>
      </c>
    </row>
    <row r="438" spans="1:10" ht="15" customHeight="1">
      <c r="A438" s="162">
        <v>4022</v>
      </c>
      <c r="B438" s="162" t="s">
        <v>10538</v>
      </c>
      <c r="D438" s="187" t="s">
        <v>67</v>
      </c>
      <c r="E438" s="168" t="s">
        <v>10500</v>
      </c>
      <c r="F438" s="168" t="s">
        <v>10531</v>
      </c>
      <c r="G438" s="172">
        <v>2949</v>
      </c>
      <c r="H438" s="179" t="s">
        <v>10442</v>
      </c>
      <c r="I438" s="167" t="str">
        <f>IF(Plan_Comptable[[#This Row],[Sous-compte]]="","",LEFT(Plan_Comptable[[#This Row],[Sous-compte]]&amp;"00",4))</f>
        <v>2949</v>
      </c>
      <c r="J438" s="167" t="s">
        <v>1276</v>
      </c>
    </row>
    <row r="439" spans="1:10" ht="15" customHeight="1">
      <c r="A439" s="162">
        <v>4023</v>
      </c>
      <c r="B439" s="162" t="s">
        <v>10539</v>
      </c>
      <c r="D439" s="187" t="s">
        <v>67</v>
      </c>
      <c r="E439" s="168" t="s">
        <v>10500</v>
      </c>
      <c r="F439" s="171">
        <v>295</v>
      </c>
      <c r="G439" s="172"/>
      <c r="H439" s="179" t="s">
        <v>10540</v>
      </c>
      <c r="I439" s="167" t="str">
        <f>IF(Plan_Comptable[[#This Row],[Sous-compte]]="","",LEFT(Plan_Comptable[[#This Row],[Sous-compte]]&amp;"00",4))</f>
        <v/>
      </c>
      <c r="J439" s="167"/>
    </row>
    <row r="440" spans="1:10" ht="15" customHeight="1">
      <c r="A440" s="162">
        <v>4041</v>
      </c>
      <c r="B440" s="162" t="s">
        <v>10541</v>
      </c>
      <c r="D440" s="187" t="s">
        <v>67</v>
      </c>
      <c r="E440" s="168" t="s">
        <v>10500</v>
      </c>
      <c r="F440" s="171" t="s">
        <v>10542</v>
      </c>
      <c r="G440" s="172">
        <v>2951</v>
      </c>
      <c r="H440" s="179" t="s">
        <v>10443</v>
      </c>
      <c r="I440" s="167" t="str">
        <f>IF(Plan_Comptable[[#This Row],[Sous-compte]]="","",LEFT(Plan_Comptable[[#This Row],[Sous-compte]]&amp;"00",4))</f>
        <v>2951</v>
      </c>
      <c r="J440" s="167" t="s">
        <v>1276</v>
      </c>
    </row>
    <row r="441" spans="1:10" ht="15" customHeight="1">
      <c r="A441" s="162">
        <v>4042</v>
      </c>
      <c r="B441" s="162" t="s">
        <v>10543</v>
      </c>
      <c r="D441" s="187" t="s">
        <v>67</v>
      </c>
      <c r="E441" s="168" t="s">
        <v>10500</v>
      </c>
      <c r="F441" s="171" t="s">
        <v>10542</v>
      </c>
      <c r="G441" s="172">
        <v>2952</v>
      </c>
      <c r="H441" s="179" t="s">
        <v>10444</v>
      </c>
      <c r="I441" s="167" t="str">
        <f>IF(Plan_Comptable[[#This Row],[Sous-compte]]="","",LEFT(Plan_Comptable[[#This Row],[Sous-compte]]&amp;"00",4))</f>
        <v>2952</v>
      </c>
      <c r="J441" s="167" t="s">
        <v>1276</v>
      </c>
    </row>
    <row r="442" spans="1:10" ht="15" customHeight="1">
      <c r="A442" s="162">
        <v>4046</v>
      </c>
      <c r="B442" s="162" t="s">
        <v>10544</v>
      </c>
      <c r="D442" s="187" t="s">
        <v>67</v>
      </c>
      <c r="E442" s="168" t="s">
        <v>10500</v>
      </c>
      <c r="F442" s="171">
        <v>296</v>
      </c>
      <c r="G442" s="172"/>
      <c r="H442" s="179" t="s">
        <v>10545</v>
      </c>
      <c r="I442" s="167" t="str">
        <f>IF(Plan_Comptable[[#This Row],[Sous-compte]]="","",LEFT(Plan_Comptable[[#This Row],[Sous-compte]]&amp;"00",4))</f>
        <v/>
      </c>
      <c r="J442" s="167"/>
    </row>
    <row r="443" spans="1:10" ht="15" customHeight="1">
      <c r="A443" s="162">
        <v>4047</v>
      </c>
      <c r="B443" s="162" t="s">
        <v>10546</v>
      </c>
      <c r="D443" s="187" t="s">
        <v>67</v>
      </c>
      <c r="E443" s="168" t="s">
        <v>10500</v>
      </c>
      <c r="F443" s="171" t="s">
        <v>10547</v>
      </c>
      <c r="G443" s="172">
        <v>2961</v>
      </c>
      <c r="H443" s="179" t="s">
        <v>10445</v>
      </c>
      <c r="I443" s="167" t="str">
        <f>IF(Plan_Comptable[[#This Row],[Sous-compte]]="","",LEFT(Plan_Comptable[[#This Row],[Sous-compte]]&amp;"00",4))</f>
        <v>2961</v>
      </c>
      <c r="J443" s="167" t="s">
        <v>1276</v>
      </c>
    </row>
    <row r="444" spans="1:10" ht="15" customHeight="1">
      <c r="A444" s="162">
        <v>4081</v>
      </c>
      <c r="B444" s="162" t="s">
        <v>10548</v>
      </c>
      <c r="D444" s="187" t="s">
        <v>67</v>
      </c>
      <c r="E444" s="168" t="s">
        <v>10500</v>
      </c>
      <c r="F444" s="171" t="s">
        <v>10547</v>
      </c>
      <c r="G444" s="172">
        <v>2962</v>
      </c>
      <c r="H444" s="179" t="s">
        <v>10446</v>
      </c>
      <c r="I444" s="167" t="str">
        <f>IF(Plan_Comptable[[#This Row],[Sous-compte]]="","",LEFT(Plan_Comptable[[#This Row],[Sous-compte]]&amp;"00",4))</f>
        <v>2962</v>
      </c>
      <c r="J444" s="167" t="s">
        <v>1276</v>
      </c>
    </row>
    <row r="445" spans="1:10" ht="15" customHeight="1">
      <c r="A445" s="162">
        <v>4082</v>
      </c>
      <c r="B445" s="162" t="s">
        <v>10549</v>
      </c>
      <c r="D445" s="187" t="s">
        <v>67</v>
      </c>
      <c r="E445" s="168" t="s">
        <v>10500</v>
      </c>
      <c r="F445" s="171" t="s">
        <v>10547</v>
      </c>
      <c r="G445" s="172">
        <v>2963</v>
      </c>
      <c r="H445" s="179" t="s">
        <v>10448</v>
      </c>
      <c r="I445" s="167" t="str">
        <f>IF(Plan_Comptable[[#This Row],[Sous-compte]]="","",LEFT(Plan_Comptable[[#This Row],[Sous-compte]]&amp;"00",4))</f>
        <v>2963</v>
      </c>
      <c r="J445" s="167" t="s">
        <v>1276</v>
      </c>
    </row>
    <row r="446" spans="1:10" ht="15" customHeight="1">
      <c r="A446" s="162">
        <v>4083</v>
      </c>
      <c r="B446" s="162" t="s">
        <v>10535</v>
      </c>
      <c r="D446" s="187" t="s">
        <v>67</v>
      </c>
      <c r="E446" s="168" t="s">
        <v>10500</v>
      </c>
      <c r="F446" s="171" t="s">
        <v>10547</v>
      </c>
      <c r="G446" s="172">
        <v>2965</v>
      </c>
      <c r="H446" s="179" t="s">
        <v>10450</v>
      </c>
      <c r="I446" s="167" t="str">
        <f>IF(Plan_Comptable[[#This Row],[Sous-compte]]="","",LEFT(Plan_Comptable[[#This Row],[Sous-compte]]&amp;"00",4))</f>
        <v>2965</v>
      </c>
      <c r="J446" s="167" t="s">
        <v>1276</v>
      </c>
    </row>
    <row r="447" spans="1:10" ht="15" customHeight="1">
      <c r="A447" s="162">
        <v>4086</v>
      </c>
      <c r="B447" s="162" t="s">
        <v>10550</v>
      </c>
      <c r="D447" s="187" t="s">
        <v>67</v>
      </c>
      <c r="E447" s="168" t="s">
        <v>10500</v>
      </c>
      <c r="F447" s="171" t="s">
        <v>10547</v>
      </c>
      <c r="G447" s="172">
        <v>2966</v>
      </c>
      <c r="H447" s="179" t="s">
        <v>10451</v>
      </c>
      <c r="I447" s="167" t="str">
        <f>IF(Plan_Comptable[[#This Row],[Sous-compte]]="","",LEFT(Plan_Comptable[[#This Row],[Sous-compte]]&amp;"00",4))</f>
        <v>2966</v>
      </c>
      <c r="J447" s="167" t="s">
        <v>1276</v>
      </c>
    </row>
    <row r="448" spans="1:10" ht="15" customHeight="1">
      <c r="A448" s="162">
        <v>4091</v>
      </c>
      <c r="B448" s="162" t="s">
        <v>10551</v>
      </c>
      <c r="D448" s="187" t="s">
        <v>67</v>
      </c>
      <c r="E448" s="168" t="s">
        <v>10500</v>
      </c>
      <c r="F448" s="171" t="s">
        <v>10547</v>
      </c>
      <c r="G448" s="172">
        <v>2968</v>
      </c>
      <c r="H448" s="179" t="s">
        <v>10452</v>
      </c>
      <c r="I448" s="167" t="str">
        <f>IF(Plan_Comptable[[#This Row],[Sous-compte]]="","",LEFT(Plan_Comptable[[#This Row],[Sous-compte]]&amp;"00",4))</f>
        <v>2968</v>
      </c>
      <c r="J448" s="167" t="s">
        <v>1276</v>
      </c>
    </row>
    <row r="449" spans="1:10" ht="15" customHeight="1">
      <c r="A449" s="162">
        <v>4092</v>
      </c>
      <c r="B449" s="162" t="s">
        <v>10552</v>
      </c>
      <c r="D449" s="187" t="s">
        <v>67</v>
      </c>
      <c r="E449" s="168" t="s">
        <v>10500</v>
      </c>
      <c r="F449" s="171">
        <v>297</v>
      </c>
      <c r="G449" s="172"/>
      <c r="H449" s="179" t="s">
        <v>10553</v>
      </c>
      <c r="I449" s="167" t="str">
        <f>IF(Plan_Comptable[[#This Row],[Sous-compte]]="","",LEFT(Plan_Comptable[[#This Row],[Sous-compte]]&amp;"00",4))</f>
        <v/>
      </c>
      <c r="J449" s="167"/>
    </row>
    <row r="450" spans="1:10" ht="15" customHeight="1">
      <c r="A450" s="162">
        <v>4093</v>
      </c>
      <c r="B450" s="162" t="s">
        <v>10554</v>
      </c>
      <c r="D450" s="187" t="s">
        <v>67</v>
      </c>
      <c r="E450" s="168" t="s">
        <v>10500</v>
      </c>
      <c r="F450" s="171" t="s">
        <v>10555</v>
      </c>
      <c r="G450" s="172">
        <v>2971</v>
      </c>
      <c r="H450" s="179" t="s">
        <v>10453</v>
      </c>
      <c r="I450" s="167" t="str">
        <f>IF(Plan_Comptable[[#This Row],[Sous-compte]]="","",LEFT(Plan_Comptable[[#This Row],[Sous-compte]]&amp;"00",4))</f>
        <v>2971</v>
      </c>
      <c r="J450" s="167" t="s">
        <v>1276</v>
      </c>
    </row>
    <row r="451" spans="1:10" ht="15" customHeight="1">
      <c r="A451" s="162">
        <v>4094</v>
      </c>
      <c r="B451" s="162" t="s">
        <v>10556</v>
      </c>
      <c r="D451" s="187" t="s">
        <v>67</v>
      </c>
      <c r="E451" s="168" t="s">
        <v>10500</v>
      </c>
      <c r="F451" s="171" t="s">
        <v>10555</v>
      </c>
      <c r="G451" s="172">
        <v>2972</v>
      </c>
      <c r="H451" s="179" t="s">
        <v>10455</v>
      </c>
      <c r="I451" s="167" t="str">
        <f>IF(Plan_Comptable[[#This Row],[Sous-compte]]="","",LEFT(Plan_Comptable[[#This Row],[Sous-compte]]&amp;"00",4))</f>
        <v>2972</v>
      </c>
      <c r="J451" s="167" t="s">
        <v>1276</v>
      </c>
    </row>
    <row r="452" spans="1:10" ht="15" customHeight="1">
      <c r="A452" s="162">
        <v>4098</v>
      </c>
      <c r="B452" s="162" t="s">
        <v>10557</v>
      </c>
      <c r="D452" s="187" t="s">
        <v>67</v>
      </c>
      <c r="E452" s="168" t="s">
        <v>10500</v>
      </c>
      <c r="F452" s="171" t="s">
        <v>10555</v>
      </c>
      <c r="G452" s="172">
        <v>2973</v>
      </c>
      <c r="H452" s="179" t="s">
        <v>10457</v>
      </c>
      <c r="I452" s="167" t="str">
        <f>IF(Plan_Comptable[[#This Row],[Sous-compte]]="","",LEFT(Plan_Comptable[[#This Row],[Sous-compte]]&amp;"00",4))</f>
        <v>2973</v>
      </c>
      <c r="J452" s="167" t="s">
        <v>1276</v>
      </c>
    </row>
    <row r="453" spans="1:10" ht="15" customHeight="1">
      <c r="A453" s="162">
        <v>4111</v>
      </c>
      <c r="B453" s="162" t="s">
        <v>1202</v>
      </c>
      <c r="D453" s="187" t="s">
        <v>67</v>
      </c>
      <c r="E453" s="168" t="s">
        <v>10500</v>
      </c>
      <c r="F453" s="171" t="s">
        <v>10555</v>
      </c>
      <c r="G453" s="172">
        <v>2974</v>
      </c>
      <c r="H453" s="179" t="s">
        <v>10458</v>
      </c>
      <c r="I453" s="167" t="str">
        <f>IF(Plan_Comptable[[#This Row],[Sous-compte]]="","",LEFT(Plan_Comptable[[#This Row],[Sous-compte]]&amp;"00",4))</f>
        <v>2974</v>
      </c>
      <c r="J453" s="167" t="s">
        <v>1276</v>
      </c>
    </row>
    <row r="454" spans="1:10" ht="15" customHeight="1">
      <c r="A454" s="162">
        <v>4112</v>
      </c>
      <c r="B454" s="162" t="s">
        <v>10558</v>
      </c>
      <c r="D454" s="187" t="s">
        <v>67</v>
      </c>
      <c r="E454" s="168" t="s">
        <v>10500</v>
      </c>
      <c r="F454" s="171" t="s">
        <v>10555</v>
      </c>
      <c r="G454" s="172">
        <v>2975</v>
      </c>
      <c r="H454" s="179" t="s">
        <v>10459</v>
      </c>
      <c r="I454" s="167" t="str">
        <f>IF(Plan_Comptable[[#This Row],[Sous-compte]]="","",LEFT(Plan_Comptable[[#This Row],[Sous-compte]]&amp;"00",4))</f>
        <v>2975</v>
      </c>
      <c r="J454" s="167" t="s">
        <v>1276</v>
      </c>
    </row>
    <row r="455" spans="1:10" ht="15" customHeight="1">
      <c r="A455" s="162">
        <v>4114</v>
      </c>
      <c r="B455" s="162" t="s">
        <v>10559</v>
      </c>
      <c r="D455" s="187" t="s">
        <v>67</v>
      </c>
      <c r="E455" s="168" t="s">
        <v>10500</v>
      </c>
      <c r="F455" s="171" t="s">
        <v>10555</v>
      </c>
      <c r="G455" s="172">
        <v>2977</v>
      </c>
      <c r="H455" s="179" t="s">
        <v>10461</v>
      </c>
      <c r="I455" s="167" t="str">
        <f>IF(Plan_Comptable[[#This Row],[Sous-compte]]="","",LEFT(Plan_Comptable[[#This Row],[Sous-compte]]&amp;"00",4))</f>
        <v>2977</v>
      </c>
      <c r="J455" s="167" t="s">
        <v>1276</v>
      </c>
    </row>
    <row r="456" spans="1:10" ht="15" customHeight="1">
      <c r="A456" s="162">
        <v>4115</v>
      </c>
      <c r="B456" s="162" t="s">
        <v>10560</v>
      </c>
      <c r="D456" s="187" t="s">
        <v>67</v>
      </c>
      <c r="E456" s="168" t="s">
        <v>10500</v>
      </c>
      <c r="F456" s="171" t="s">
        <v>10555</v>
      </c>
      <c r="G456" s="172">
        <v>2978</v>
      </c>
      <c r="H456" s="179" t="s">
        <v>10462</v>
      </c>
      <c r="I456" s="167" t="str">
        <f>IF(Plan_Comptable[[#This Row],[Sous-compte]]="","",LEFT(Plan_Comptable[[#This Row],[Sous-compte]]&amp;"00",4))</f>
        <v>2978</v>
      </c>
      <c r="J456" s="167" t="s">
        <v>1276</v>
      </c>
    </row>
    <row r="457" spans="1:10" ht="15" customHeight="1">
      <c r="A457" s="162">
        <v>4116</v>
      </c>
      <c r="B457" s="162" t="s">
        <v>10561</v>
      </c>
      <c r="D457" s="187" t="s">
        <v>70</v>
      </c>
      <c r="E457" s="189">
        <v>31</v>
      </c>
      <c r="F457" s="165" t="s">
        <v>9941</v>
      </c>
      <c r="G457" s="165"/>
      <c r="H457" s="166" t="s">
        <v>10562</v>
      </c>
      <c r="I457" s="167" t="str">
        <f>IF(Plan_Comptable[[#This Row],[Sous-compte]]="","",LEFT(Plan_Comptable[[#This Row],[Sous-compte]]&amp;"00",4))</f>
        <v/>
      </c>
      <c r="J457" s="167"/>
    </row>
    <row r="458" spans="1:10" ht="15" customHeight="1">
      <c r="A458" s="162">
        <v>4117</v>
      </c>
      <c r="B458" s="162" t="s">
        <v>10563</v>
      </c>
      <c r="D458" s="187" t="s">
        <v>70</v>
      </c>
      <c r="E458" s="168" t="s">
        <v>10564</v>
      </c>
      <c r="F458" s="168">
        <v>311</v>
      </c>
      <c r="G458" s="176"/>
      <c r="H458" s="167" t="s">
        <v>10565</v>
      </c>
      <c r="I458" s="167" t="str">
        <f>IF(Plan_Comptable[[#This Row],[Sous-compte]]="","",LEFT(Plan_Comptable[[#This Row],[Sous-compte]]&amp;"00",4))</f>
        <v/>
      </c>
      <c r="J458" s="167"/>
    </row>
    <row r="459" spans="1:10" ht="15" customHeight="1">
      <c r="A459" s="162">
        <v>4118</v>
      </c>
      <c r="B459" s="162" t="s">
        <v>10566</v>
      </c>
      <c r="D459" s="187" t="s">
        <v>70</v>
      </c>
      <c r="E459" s="168" t="s">
        <v>10564</v>
      </c>
      <c r="F459" s="168" t="s">
        <v>10567</v>
      </c>
      <c r="G459" s="176">
        <v>3111</v>
      </c>
      <c r="H459" s="167" t="s">
        <v>10463</v>
      </c>
      <c r="I459" s="167" t="str">
        <f>IF(Plan_Comptable[[#This Row],[Sous-compte]]="","",LEFT(Plan_Comptable[[#This Row],[Sous-compte]]&amp;"00",4))</f>
        <v>3111</v>
      </c>
      <c r="J459" s="167" t="s">
        <v>1279</v>
      </c>
    </row>
    <row r="460" spans="1:10" ht="15" customHeight="1">
      <c r="A460" s="162">
        <v>4121</v>
      </c>
      <c r="B460" s="162" t="s">
        <v>10568</v>
      </c>
      <c r="D460" s="187" t="s">
        <v>70</v>
      </c>
      <c r="E460" s="168" t="s">
        <v>10564</v>
      </c>
      <c r="F460" s="168" t="s">
        <v>10567</v>
      </c>
      <c r="G460" s="176">
        <v>3112</v>
      </c>
      <c r="H460" s="167" t="s">
        <v>10466</v>
      </c>
      <c r="I460" s="167" t="str">
        <f>IF(Plan_Comptable[[#This Row],[Sous-compte]]="","",LEFT(Plan_Comptable[[#This Row],[Sous-compte]]&amp;"00",4))</f>
        <v>3112</v>
      </c>
      <c r="J460" s="167" t="s">
        <v>1279</v>
      </c>
    </row>
    <row r="461" spans="1:10" ht="15" customHeight="1">
      <c r="A461" s="162">
        <v>4122</v>
      </c>
      <c r="B461" s="162" t="s">
        <v>10569</v>
      </c>
      <c r="D461" s="187" t="s">
        <v>70</v>
      </c>
      <c r="E461" s="168" t="s">
        <v>10564</v>
      </c>
      <c r="F461" s="168">
        <v>312</v>
      </c>
      <c r="G461" s="176"/>
      <c r="H461" s="167" t="s">
        <v>10570</v>
      </c>
      <c r="I461" s="167" t="str">
        <f>IF(Plan_Comptable[[#This Row],[Sous-compte]]="","",LEFT(Plan_Comptable[[#This Row],[Sous-compte]]&amp;"00",4))</f>
        <v/>
      </c>
      <c r="J461" s="167"/>
    </row>
    <row r="462" spans="1:10" ht="15" customHeight="1">
      <c r="A462" s="162">
        <v>4124</v>
      </c>
      <c r="B462" s="162" t="s">
        <v>10571</v>
      </c>
      <c r="D462" s="187" t="s">
        <v>70</v>
      </c>
      <c r="E462" s="168" t="s">
        <v>10564</v>
      </c>
      <c r="F462" s="168" t="s">
        <v>10572</v>
      </c>
      <c r="G462" s="176">
        <v>3121</v>
      </c>
      <c r="H462" s="167" t="s">
        <v>10468</v>
      </c>
      <c r="I462" s="167" t="str">
        <f>IF(Plan_Comptable[[#This Row],[Sous-compte]]="","",LEFT(Plan_Comptable[[#This Row],[Sous-compte]]&amp;"00",4))</f>
        <v>3121</v>
      </c>
      <c r="J462" s="167" t="s">
        <v>1279</v>
      </c>
    </row>
    <row r="463" spans="1:10" ht="15" customHeight="1">
      <c r="A463" s="162">
        <v>4125</v>
      </c>
      <c r="B463" s="162" t="s">
        <v>10573</v>
      </c>
      <c r="D463" s="187" t="s">
        <v>70</v>
      </c>
      <c r="E463" s="168" t="s">
        <v>10564</v>
      </c>
      <c r="F463" s="168" t="s">
        <v>10572</v>
      </c>
      <c r="G463" s="176">
        <v>3122</v>
      </c>
      <c r="H463" s="167" t="s">
        <v>10469</v>
      </c>
      <c r="I463" s="167" t="str">
        <f>IF(Plan_Comptable[[#This Row],[Sous-compte]]="","",LEFT(Plan_Comptable[[#This Row],[Sous-compte]]&amp;"00",4))</f>
        <v>3122</v>
      </c>
      <c r="J463" s="167" t="s">
        <v>1279</v>
      </c>
    </row>
    <row r="464" spans="1:10" ht="15" customHeight="1">
      <c r="A464" s="162">
        <v>4131</v>
      </c>
      <c r="B464" s="162" t="s">
        <v>10574</v>
      </c>
      <c r="D464" s="187" t="s">
        <v>70</v>
      </c>
      <c r="E464" s="168" t="s">
        <v>10564</v>
      </c>
      <c r="F464" s="184">
        <v>313</v>
      </c>
      <c r="G464" s="195"/>
      <c r="H464" s="175" t="s">
        <v>10575</v>
      </c>
      <c r="I464" s="167" t="str">
        <f>IF(Plan_Comptable[[#This Row],[Sous-compte]]="","",LEFT(Plan_Comptable[[#This Row],[Sous-compte]]&amp;"00",4))</f>
        <v/>
      </c>
      <c r="J464" s="167"/>
    </row>
    <row r="465" spans="1:10" ht="15" customHeight="1">
      <c r="A465" s="162">
        <v>4132</v>
      </c>
      <c r="B465" s="162" t="s">
        <v>10576</v>
      </c>
      <c r="D465" s="187" t="s">
        <v>70</v>
      </c>
      <c r="E465" s="168" t="s">
        <v>10564</v>
      </c>
      <c r="F465" s="184" t="s">
        <v>10577</v>
      </c>
      <c r="G465" s="173">
        <v>3131</v>
      </c>
      <c r="H465" s="188" t="s">
        <v>10470</v>
      </c>
      <c r="I465" s="167" t="str">
        <f>IF(Plan_Comptable[[#This Row],[Sous-compte]]="","",LEFT(Plan_Comptable[[#This Row],[Sous-compte]]&amp;"00",4))</f>
        <v>3131</v>
      </c>
      <c r="J465" s="167" t="s">
        <v>1279</v>
      </c>
    </row>
    <row r="466" spans="1:10" ht="15" customHeight="1">
      <c r="A466" s="162">
        <v>4133</v>
      </c>
      <c r="B466" s="162" t="s">
        <v>10578</v>
      </c>
      <c r="D466" s="187" t="s">
        <v>70</v>
      </c>
      <c r="E466" s="168" t="s">
        <v>10564</v>
      </c>
      <c r="F466" s="184" t="s">
        <v>10577</v>
      </c>
      <c r="G466" s="173">
        <v>3132</v>
      </c>
      <c r="H466" s="188" t="s">
        <v>10471</v>
      </c>
      <c r="I466" s="167" t="str">
        <f>IF(Plan_Comptable[[#This Row],[Sous-compte]]="","",LEFT(Plan_Comptable[[#This Row],[Sous-compte]]&amp;"00",4))</f>
        <v>3132</v>
      </c>
      <c r="J466" s="167" t="s">
        <v>1279</v>
      </c>
    </row>
    <row r="467" spans="1:10" ht="15" customHeight="1">
      <c r="A467" s="162">
        <v>4138</v>
      </c>
      <c r="B467" s="162" t="s">
        <v>10579</v>
      </c>
      <c r="D467" s="187" t="s">
        <v>70</v>
      </c>
      <c r="E467" s="168" t="s">
        <v>10564</v>
      </c>
      <c r="F467" s="168">
        <v>318</v>
      </c>
      <c r="G467" s="176">
        <v>318</v>
      </c>
      <c r="H467" s="167" t="s">
        <v>10472</v>
      </c>
      <c r="I467" s="167" t="str">
        <f>IF(Plan_Comptable[[#This Row],[Sous-compte]]="","",LEFT(Plan_Comptable[[#This Row],[Sous-compte]]&amp;"00",4))</f>
        <v>3180</v>
      </c>
      <c r="J467" s="167" t="s">
        <v>1279</v>
      </c>
    </row>
    <row r="468" spans="1:10" ht="15" customHeight="1">
      <c r="A468" s="162">
        <v>4141</v>
      </c>
      <c r="B468" s="162" t="s">
        <v>10580</v>
      </c>
      <c r="D468" s="187" t="s">
        <v>70</v>
      </c>
      <c r="E468" s="189">
        <v>32</v>
      </c>
      <c r="F468" s="165" t="s">
        <v>9941</v>
      </c>
      <c r="G468" s="165"/>
      <c r="H468" s="166" t="s">
        <v>10581</v>
      </c>
      <c r="I468" s="167" t="str">
        <f>IF(Plan_Comptable[[#This Row],[Sous-compte]]="","",LEFT(Plan_Comptable[[#This Row],[Sous-compte]]&amp;"00",4))</f>
        <v/>
      </c>
      <c r="J468" s="167"/>
    </row>
    <row r="469" spans="1:10" ht="15" customHeight="1">
      <c r="A469" s="162">
        <v>4142</v>
      </c>
      <c r="B469" s="162" t="s">
        <v>10582</v>
      </c>
      <c r="D469" s="187" t="s">
        <v>70</v>
      </c>
      <c r="E469" s="168" t="s">
        <v>10583</v>
      </c>
      <c r="F469" s="168">
        <v>321</v>
      </c>
      <c r="G469" s="176">
        <v>321</v>
      </c>
      <c r="H469" s="167" t="s">
        <v>10473</v>
      </c>
      <c r="I469" s="167" t="str">
        <f>IF(Plan_Comptable[[#This Row],[Sous-compte]]="","",LEFT(Plan_Comptable[[#This Row],[Sous-compte]]&amp;"00",4))</f>
        <v>3210</v>
      </c>
      <c r="J469" s="167" t="s">
        <v>1279</v>
      </c>
    </row>
    <row r="470" spans="1:10" ht="15" customHeight="1">
      <c r="A470" s="162">
        <v>4146</v>
      </c>
      <c r="B470" s="162" t="s">
        <v>10584</v>
      </c>
      <c r="D470" s="187" t="s">
        <v>70</v>
      </c>
      <c r="E470" s="168" t="s">
        <v>10583</v>
      </c>
      <c r="F470" s="168">
        <v>322</v>
      </c>
      <c r="G470" s="176">
        <v>322</v>
      </c>
      <c r="H470" s="167" t="s">
        <v>10474</v>
      </c>
      <c r="I470" s="167" t="str">
        <f>IF(Plan_Comptable[[#This Row],[Sous-compte]]="","",LEFT(Plan_Comptable[[#This Row],[Sous-compte]]&amp;"00",4))</f>
        <v>3220</v>
      </c>
      <c r="J470" s="167" t="s">
        <v>1279</v>
      </c>
    </row>
    <row r="471" spans="1:10" ht="15" customHeight="1">
      <c r="A471" s="162">
        <v>4147</v>
      </c>
      <c r="B471" s="162" t="s">
        <v>10585</v>
      </c>
      <c r="D471" s="187" t="s">
        <v>70</v>
      </c>
      <c r="E471" s="168" t="s">
        <v>10583</v>
      </c>
      <c r="F471" s="168">
        <v>323</v>
      </c>
      <c r="G471" s="176">
        <v>323</v>
      </c>
      <c r="H471" s="167" t="s">
        <v>10475</v>
      </c>
      <c r="I471" s="167" t="str">
        <f>IF(Plan_Comptable[[#This Row],[Sous-compte]]="","",LEFT(Plan_Comptable[[#This Row],[Sous-compte]]&amp;"00",4))</f>
        <v>3230</v>
      </c>
      <c r="J471" s="167" t="s">
        <v>1279</v>
      </c>
    </row>
    <row r="472" spans="1:10" ht="15" customHeight="1">
      <c r="A472" s="162">
        <v>415</v>
      </c>
      <c r="B472" s="162" t="s">
        <v>10586</v>
      </c>
      <c r="D472" s="187" t="s">
        <v>70</v>
      </c>
      <c r="E472" s="189">
        <v>33</v>
      </c>
      <c r="F472" s="165" t="s">
        <v>9941</v>
      </c>
      <c r="G472" s="165"/>
      <c r="H472" s="166" t="s">
        <v>10587</v>
      </c>
      <c r="I472" s="167" t="str">
        <f>IF(Plan_Comptable[[#This Row],[Sous-compte]]="","",LEFT(Plan_Comptable[[#This Row],[Sous-compte]]&amp;"00",4))</f>
        <v/>
      </c>
      <c r="J472" s="167"/>
    </row>
    <row r="473" spans="1:10" ht="15" customHeight="1">
      <c r="A473" s="162">
        <v>4161</v>
      </c>
      <c r="B473" s="162" t="s">
        <v>10588</v>
      </c>
      <c r="D473" s="187" t="s">
        <v>70</v>
      </c>
      <c r="E473" s="168" t="s">
        <v>10589</v>
      </c>
      <c r="F473" s="168">
        <v>331</v>
      </c>
      <c r="G473" s="176">
        <v>331</v>
      </c>
      <c r="H473" s="167" t="s">
        <v>10477</v>
      </c>
      <c r="I473" s="167" t="str">
        <f>IF(Plan_Comptable[[#This Row],[Sous-compte]]="","",LEFT(Plan_Comptable[[#This Row],[Sous-compte]]&amp;"00",4))</f>
        <v>3310</v>
      </c>
      <c r="J473" s="167" t="s">
        <v>1279</v>
      </c>
    </row>
    <row r="474" spans="1:10" ht="15" customHeight="1">
      <c r="A474" s="162">
        <v>4162</v>
      </c>
      <c r="B474" s="162" t="s">
        <v>10590</v>
      </c>
      <c r="D474" s="187" t="s">
        <v>70</v>
      </c>
      <c r="E474" s="168" t="s">
        <v>10589</v>
      </c>
      <c r="F474" s="168">
        <v>332</v>
      </c>
      <c r="G474" s="176">
        <v>332</v>
      </c>
      <c r="H474" s="167" t="s">
        <v>10479</v>
      </c>
      <c r="I474" s="167" t="str">
        <f>IF(Plan_Comptable[[#This Row],[Sous-compte]]="","",LEFT(Plan_Comptable[[#This Row],[Sous-compte]]&amp;"00",4))</f>
        <v>3320</v>
      </c>
      <c r="J474" s="167" t="s">
        <v>1279</v>
      </c>
    </row>
    <row r="475" spans="1:10" ht="15" customHeight="1">
      <c r="A475" s="162">
        <v>4181</v>
      </c>
      <c r="B475" s="162" t="s">
        <v>10591</v>
      </c>
      <c r="D475" s="187" t="s">
        <v>70</v>
      </c>
      <c r="E475" s="168" t="s">
        <v>10589</v>
      </c>
      <c r="F475" s="168">
        <v>333</v>
      </c>
      <c r="G475" s="176">
        <v>333</v>
      </c>
      <c r="H475" s="167" t="s">
        <v>10481</v>
      </c>
      <c r="I475" s="167" t="str">
        <f>IF(Plan_Comptable[[#This Row],[Sous-compte]]="","",LEFT(Plan_Comptable[[#This Row],[Sous-compte]]&amp;"00",4))</f>
        <v>3330</v>
      </c>
      <c r="J475" s="167" t="s">
        <v>1279</v>
      </c>
    </row>
    <row r="476" spans="1:10" ht="15" customHeight="1">
      <c r="A476" s="162">
        <v>4186</v>
      </c>
      <c r="B476" s="162" t="s">
        <v>10592</v>
      </c>
      <c r="D476" s="187" t="s">
        <v>70</v>
      </c>
      <c r="E476" s="168" t="s">
        <v>10589</v>
      </c>
      <c r="F476" s="168">
        <v>334</v>
      </c>
      <c r="G476" s="176">
        <v>334</v>
      </c>
      <c r="H476" s="167" t="s">
        <v>10483</v>
      </c>
      <c r="I476" s="167" t="str">
        <f>IF(Plan_Comptable[[#This Row],[Sous-compte]]="","",LEFT(Plan_Comptable[[#This Row],[Sous-compte]]&amp;"00",4))</f>
        <v>3340</v>
      </c>
      <c r="J476" s="167" t="s">
        <v>1279</v>
      </c>
    </row>
    <row r="477" spans="1:10" ht="15" customHeight="1">
      <c r="A477" s="162">
        <v>4191</v>
      </c>
      <c r="B477" s="162" t="s">
        <v>10593</v>
      </c>
      <c r="D477" s="187" t="s">
        <v>70</v>
      </c>
      <c r="E477" s="168" t="s">
        <v>10589</v>
      </c>
      <c r="F477" s="168">
        <v>335</v>
      </c>
      <c r="G477" s="176"/>
      <c r="H477" s="167" t="s">
        <v>10594</v>
      </c>
      <c r="I477" s="167" t="str">
        <f>IF(Plan_Comptable[[#This Row],[Sous-compte]]="","",LEFT(Plan_Comptable[[#This Row],[Sous-compte]]&amp;"00",4))</f>
        <v/>
      </c>
      <c r="J477" s="167"/>
    </row>
    <row r="478" spans="1:10" ht="15" customHeight="1">
      <c r="A478" s="162">
        <v>4192</v>
      </c>
      <c r="B478" s="162" t="s">
        <v>10595</v>
      </c>
      <c r="D478" s="187" t="s">
        <v>70</v>
      </c>
      <c r="E478" s="168" t="s">
        <v>10589</v>
      </c>
      <c r="F478" s="168" t="s">
        <v>10596</v>
      </c>
      <c r="G478" s="176">
        <v>3351</v>
      </c>
      <c r="H478" s="167" t="s">
        <v>2653</v>
      </c>
      <c r="I478" s="167" t="str">
        <f>IF(Plan_Comptable[[#This Row],[Sous-compte]]="","",LEFT(Plan_Comptable[[#This Row],[Sous-compte]]&amp;"00",4))</f>
        <v>3351</v>
      </c>
      <c r="J478" s="167" t="s">
        <v>1279</v>
      </c>
    </row>
    <row r="479" spans="1:10" ht="15" customHeight="1">
      <c r="A479" s="162">
        <v>4194</v>
      </c>
      <c r="B479" s="162" t="s">
        <v>10597</v>
      </c>
      <c r="D479" s="187" t="s">
        <v>70</v>
      </c>
      <c r="E479" s="168" t="s">
        <v>10589</v>
      </c>
      <c r="F479" s="168" t="s">
        <v>10596</v>
      </c>
      <c r="G479" s="176">
        <v>3352</v>
      </c>
      <c r="H479" s="167" t="s">
        <v>2654</v>
      </c>
      <c r="I479" s="167" t="str">
        <f>IF(Plan_Comptable[[#This Row],[Sous-compte]]="","",LEFT(Plan_Comptable[[#This Row],[Sous-compte]]&amp;"00",4))</f>
        <v>3352</v>
      </c>
      <c r="J479" s="167" t="s">
        <v>1279</v>
      </c>
    </row>
    <row r="480" spans="1:10" ht="15" customHeight="1">
      <c r="A480" s="162">
        <v>4198</v>
      </c>
      <c r="B480" s="162" t="s">
        <v>10598</v>
      </c>
      <c r="D480" s="187" t="s">
        <v>70</v>
      </c>
      <c r="E480" s="168" t="s">
        <v>10589</v>
      </c>
      <c r="F480" s="168" t="s">
        <v>10596</v>
      </c>
      <c r="G480" s="176">
        <v>3353</v>
      </c>
      <c r="H480" s="167" t="s">
        <v>2655</v>
      </c>
      <c r="I480" s="167" t="str">
        <f>IF(Plan_Comptable[[#This Row],[Sous-compte]]="","",LEFT(Plan_Comptable[[#This Row],[Sous-compte]]&amp;"00",4))</f>
        <v>3353</v>
      </c>
      <c r="J480" s="167" t="s">
        <v>1279</v>
      </c>
    </row>
    <row r="481" spans="1:10" ht="15" customHeight="1">
      <c r="A481" s="162">
        <v>4211</v>
      </c>
      <c r="B481" s="162" t="s">
        <v>10599</v>
      </c>
      <c r="D481" s="187" t="s">
        <v>70</v>
      </c>
      <c r="E481" s="168" t="s">
        <v>10589</v>
      </c>
      <c r="F481" s="168" t="s">
        <v>10596</v>
      </c>
      <c r="G481" s="176">
        <v>3358</v>
      </c>
      <c r="H481" s="167" t="s">
        <v>10484</v>
      </c>
      <c r="I481" s="167" t="str">
        <f>IF(Plan_Comptable[[#This Row],[Sous-compte]]="","",LEFT(Plan_Comptable[[#This Row],[Sous-compte]]&amp;"00",4))</f>
        <v>3358</v>
      </c>
      <c r="J481" s="167" t="s">
        <v>1279</v>
      </c>
    </row>
    <row r="482" spans="1:10" ht="15" customHeight="1">
      <c r="A482" s="162">
        <v>4212</v>
      </c>
      <c r="B482" s="162" t="s">
        <v>10600</v>
      </c>
      <c r="D482" s="187" t="s">
        <v>70</v>
      </c>
      <c r="E482" s="168" t="s">
        <v>10589</v>
      </c>
      <c r="F482" s="168">
        <v>338</v>
      </c>
      <c r="G482" s="176">
        <v>338</v>
      </c>
      <c r="H482" s="167" t="s">
        <v>10485</v>
      </c>
      <c r="I482" s="167" t="str">
        <f>IF(Plan_Comptable[[#This Row],[Sous-compte]]="","",LEFT(Plan_Comptable[[#This Row],[Sous-compte]]&amp;"00",4))</f>
        <v>3380</v>
      </c>
      <c r="J482" s="167" t="s">
        <v>1279</v>
      </c>
    </row>
    <row r="483" spans="1:10" ht="15" customHeight="1">
      <c r="A483" s="162">
        <v>4213</v>
      </c>
      <c r="B483" s="162" t="s">
        <v>10601</v>
      </c>
      <c r="D483" s="187" t="s">
        <v>70</v>
      </c>
      <c r="E483" s="185">
        <v>34</v>
      </c>
      <c r="F483" s="165" t="s">
        <v>9941</v>
      </c>
      <c r="G483" s="165"/>
      <c r="H483" s="166" t="s">
        <v>10602</v>
      </c>
      <c r="I483" s="167" t="str">
        <f>IF(Plan_Comptable[[#This Row],[Sous-compte]]="","",LEFT(Plan_Comptable[[#This Row],[Sous-compte]]&amp;"00",4))</f>
        <v/>
      </c>
      <c r="J483" s="167"/>
    </row>
    <row r="484" spans="1:10" ht="15" customHeight="1">
      <c r="A484" s="162">
        <v>422</v>
      </c>
      <c r="B484" s="162" t="s">
        <v>10603</v>
      </c>
      <c r="D484" s="187" t="s">
        <v>70</v>
      </c>
      <c r="E484" s="168" t="s">
        <v>10604</v>
      </c>
      <c r="F484" s="168">
        <v>341</v>
      </c>
      <c r="G484" s="176"/>
      <c r="H484" s="167" t="s">
        <v>10602</v>
      </c>
      <c r="I484" s="167" t="str">
        <f>IF(Plan_Comptable[[#This Row],[Sous-compte]]="","",LEFT(Plan_Comptable[[#This Row],[Sous-compte]]&amp;"00",4))</f>
        <v/>
      </c>
      <c r="J484" s="167"/>
    </row>
    <row r="485" spans="1:10" ht="15" customHeight="1">
      <c r="A485" s="162">
        <v>4231</v>
      </c>
      <c r="B485" s="162" t="s">
        <v>10605</v>
      </c>
      <c r="D485" s="187" t="s">
        <v>70</v>
      </c>
      <c r="E485" s="168" t="s">
        <v>10604</v>
      </c>
      <c r="F485" s="168" t="s">
        <v>10606</v>
      </c>
      <c r="G485" s="176">
        <v>3411</v>
      </c>
      <c r="H485" s="167" t="s">
        <v>10486</v>
      </c>
      <c r="I485" s="167" t="str">
        <f>IF(Plan_Comptable[[#This Row],[Sous-compte]]="","",LEFT(Plan_Comptable[[#This Row],[Sous-compte]]&amp;"00",4))</f>
        <v>3411</v>
      </c>
      <c r="J485" s="167" t="s">
        <v>1279</v>
      </c>
    </row>
    <row r="486" spans="1:10" ht="15" customHeight="1">
      <c r="A486" s="162">
        <v>4232</v>
      </c>
      <c r="B486" s="162" t="s">
        <v>10607</v>
      </c>
      <c r="D486" s="187" t="s">
        <v>70</v>
      </c>
      <c r="E486" s="168" t="s">
        <v>10604</v>
      </c>
      <c r="F486" s="168" t="s">
        <v>10606</v>
      </c>
      <c r="G486" s="176">
        <v>3412</v>
      </c>
      <c r="H486" s="167" t="s">
        <v>10488</v>
      </c>
      <c r="I486" s="167" t="str">
        <f>IF(Plan_Comptable[[#This Row],[Sous-compte]]="","",LEFT(Plan_Comptable[[#This Row],[Sous-compte]]&amp;"00",4))</f>
        <v>3412</v>
      </c>
      <c r="J486" s="167" t="s">
        <v>1279</v>
      </c>
    </row>
    <row r="487" spans="1:10" ht="15" customHeight="1">
      <c r="A487" s="162">
        <v>4233</v>
      </c>
      <c r="B487" s="162" t="s">
        <v>10608</v>
      </c>
      <c r="D487" s="187" t="s">
        <v>70</v>
      </c>
      <c r="E487" s="168" t="s">
        <v>10604</v>
      </c>
      <c r="F487" s="168">
        <v>342</v>
      </c>
      <c r="G487" s="176"/>
      <c r="H487" s="167" t="s">
        <v>10609</v>
      </c>
      <c r="I487" s="167" t="str">
        <f>IF(Plan_Comptable[[#This Row],[Sous-compte]]="","",LEFT(Plan_Comptable[[#This Row],[Sous-compte]]&amp;"00",4))</f>
        <v/>
      </c>
      <c r="J487" s="167"/>
    </row>
    <row r="488" spans="1:10" ht="15" customHeight="1">
      <c r="A488" s="162">
        <v>4241</v>
      </c>
      <c r="B488" s="162" t="s">
        <v>10610</v>
      </c>
      <c r="D488" s="187" t="s">
        <v>70</v>
      </c>
      <c r="E488" s="168" t="s">
        <v>10604</v>
      </c>
      <c r="F488" s="168" t="s">
        <v>10611</v>
      </c>
      <c r="G488" s="176">
        <v>3421</v>
      </c>
      <c r="H488" s="167" t="s">
        <v>10490</v>
      </c>
      <c r="I488" s="167" t="str">
        <f>IF(Plan_Comptable[[#This Row],[Sous-compte]]="","",LEFT(Plan_Comptable[[#This Row],[Sous-compte]]&amp;"00",4))</f>
        <v>3421</v>
      </c>
      <c r="J488" s="167" t="s">
        <v>1279</v>
      </c>
    </row>
    <row r="489" spans="1:10" ht="15" customHeight="1">
      <c r="A489" s="162">
        <v>4242</v>
      </c>
      <c r="B489" s="162" t="s">
        <v>10612</v>
      </c>
      <c r="D489" s="187" t="s">
        <v>70</v>
      </c>
      <c r="E489" s="168" t="s">
        <v>10604</v>
      </c>
      <c r="F489" s="168" t="s">
        <v>10611</v>
      </c>
      <c r="G489" s="176">
        <v>3422</v>
      </c>
      <c r="H489" s="167" t="s">
        <v>10491</v>
      </c>
      <c r="I489" s="167" t="str">
        <f>IF(Plan_Comptable[[#This Row],[Sous-compte]]="","",LEFT(Plan_Comptable[[#This Row],[Sous-compte]]&amp;"00",4))</f>
        <v>3422</v>
      </c>
      <c r="J489" s="167" t="s">
        <v>1279</v>
      </c>
    </row>
    <row r="490" spans="1:10" ht="15" customHeight="1">
      <c r="A490" s="162">
        <v>4245</v>
      </c>
      <c r="B490" s="162" t="s">
        <v>10613</v>
      </c>
      <c r="D490" s="187" t="s">
        <v>70</v>
      </c>
      <c r="E490" s="168" t="s">
        <v>10604</v>
      </c>
      <c r="F490" s="168">
        <v>343</v>
      </c>
      <c r="G490" s="176"/>
      <c r="H490" s="167" t="s">
        <v>10614</v>
      </c>
      <c r="I490" s="167" t="str">
        <f>IF(Plan_Comptable[[#This Row],[Sous-compte]]="","",LEFT(Plan_Comptable[[#This Row],[Sous-compte]]&amp;"00",4))</f>
        <v/>
      </c>
      <c r="J490" s="167"/>
    </row>
    <row r="491" spans="1:10" ht="15" customHeight="1">
      <c r="A491" s="162">
        <v>4248</v>
      </c>
      <c r="B491" s="162" t="s">
        <v>10615</v>
      </c>
      <c r="D491" s="187" t="s">
        <v>70</v>
      </c>
      <c r="E491" s="168" t="s">
        <v>10604</v>
      </c>
      <c r="F491" s="168" t="s">
        <v>10616</v>
      </c>
      <c r="G491" s="176">
        <v>3431</v>
      </c>
      <c r="H491" s="167" t="s">
        <v>10492</v>
      </c>
      <c r="I491" s="167" t="str">
        <f>IF(Plan_Comptable[[#This Row],[Sous-compte]]="","",LEFT(Plan_Comptable[[#This Row],[Sous-compte]]&amp;"00",4))</f>
        <v>3431</v>
      </c>
      <c r="J491" s="167" t="s">
        <v>1279</v>
      </c>
    </row>
    <row r="492" spans="1:10" ht="15" customHeight="1">
      <c r="A492" s="162">
        <v>4251</v>
      </c>
      <c r="B492" s="162" t="s">
        <v>10617</v>
      </c>
      <c r="D492" s="187" t="s">
        <v>70</v>
      </c>
      <c r="E492" s="168" t="s">
        <v>10604</v>
      </c>
      <c r="F492" s="168" t="s">
        <v>10616</v>
      </c>
      <c r="G492" s="176">
        <v>3432</v>
      </c>
      <c r="H492" s="167" t="s">
        <v>10493</v>
      </c>
      <c r="I492" s="167" t="str">
        <f>IF(Plan_Comptable[[#This Row],[Sous-compte]]="","",LEFT(Plan_Comptable[[#This Row],[Sous-compte]]&amp;"00",4))</f>
        <v>3432</v>
      </c>
      <c r="J492" s="167" t="s">
        <v>1279</v>
      </c>
    </row>
    <row r="493" spans="1:10" ht="15" customHeight="1">
      <c r="A493" s="162">
        <v>4252</v>
      </c>
      <c r="B493" s="162" t="s">
        <v>10618</v>
      </c>
      <c r="D493" s="187" t="s">
        <v>70</v>
      </c>
      <c r="E493" s="168" t="s">
        <v>10604</v>
      </c>
      <c r="F493" s="168">
        <v>344</v>
      </c>
      <c r="G493" s="176"/>
      <c r="H493" s="167" t="s">
        <v>10619</v>
      </c>
      <c r="I493" s="167" t="str">
        <f>IF(Plan_Comptable[[#This Row],[Sous-compte]]="","",LEFT(Plan_Comptable[[#This Row],[Sous-compte]]&amp;"00",4))</f>
        <v/>
      </c>
      <c r="J493" s="167"/>
    </row>
    <row r="494" spans="1:10" ht="15" customHeight="1">
      <c r="A494" s="162">
        <v>4258</v>
      </c>
      <c r="B494" s="162" t="s">
        <v>10620</v>
      </c>
      <c r="D494" s="187" t="s">
        <v>70</v>
      </c>
      <c r="E494" s="168" t="s">
        <v>10604</v>
      </c>
      <c r="F494" s="168" t="s">
        <v>10621</v>
      </c>
      <c r="G494" s="176">
        <v>3441</v>
      </c>
      <c r="H494" s="167" t="s">
        <v>10494</v>
      </c>
      <c r="I494" s="167" t="str">
        <f>IF(Plan_Comptable[[#This Row],[Sous-compte]]="","",LEFT(Plan_Comptable[[#This Row],[Sous-compte]]&amp;"00",4))</f>
        <v>3441</v>
      </c>
      <c r="J494" s="167" t="s">
        <v>1279</v>
      </c>
    </row>
    <row r="495" spans="1:10" ht="15" customHeight="1">
      <c r="A495" s="162">
        <v>4261</v>
      </c>
      <c r="B495" s="162" t="s">
        <v>10622</v>
      </c>
      <c r="D495" s="187" t="s">
        <v>70</v>
      </c>
      <c r="E495" s="168" t="s">
        <v>10604</v>
      </c>
      <c r="F495" s="168" t="s">
        <v>10621</v>
      </c>
      <c r="G495" s="176">
        <v>3442</v>
      </c>
      <c r="H495" s="167" t="s">
        <v>10495</v>
      </c>
      <c r="I495" s="167" t="str">
        <f>IF(Plan_Comptable[[#This Row],[Sous-compte]]="","",LEFT(Plan_Comptable[[#This Row],[Sous-compte]]&amp;"00",4))</f>
        <v>3442</v>
      </c>
      <c r="J495" s="167" t="s">
        <v>1279</v>
      </c>
    </row>
    <row r="496" spans="1:10" ht="15" customHeight="1">
      <c r="A496" s="162">
        <v>4264</v>
      </c>
      <c r="B496" s="162" t="s">
        <v>10623</v>
      </c>
      <c r="D496" s="187" t="s">
        <v>70</v>
      </c>
      <c r="E496" s="168" t="s">
        <v>10604</v>
      </c>
      <c r="F496" s="184">
        <v>345</v>
      </c>
      <c r="G496" s="195"/>
      <c r="H496" s="175" t="s">
        <v>10351</v>
      </c>
      <c r="I496" s="167" t="str">
        <f>IF(Plan_Comptable[[#This Row],[Sous-compte]]="","",LEFT(Plan_Comptable[[#This Row],[Sous-compte]]&amp;"00",4))</f>
        <v/>
      </c>
      <c r="J496" s="167"/>
    </row>
    <row r="497" spans="1:10" ht="15" customHeight="1">
      <c r="A497" s="162">
        <v>427</v>
      </c>
      <c r="B497" s="162" t="s">
        <v>10624</v>
      </c>
      <c r="D497" s="187" t="s">
        <v>70</v>
      </c>
      <c r="E497" s="168" t="s">
        <v>10604</v>
      </c>
      <c r="F497" s="184" t="s">
        <v>10625</v>
      </c>
      <c r="G497" s="173">
        <v>3451</v>
      </c>
      <c r="H497" s="174" t="s">
        <v>10496</v>
      </c>
      <c r="I497" s="167" t="str">
        <f>IF(Plan_Comptable[[#This Row],[Sous-compte]]="","",LEFT(Plan_Comptable[[#This Row],[Sous-compte]]&amp;"00",4))</f>
        <v>3451</v>
      </c>
      <c r="J497" s="167" t="s">
        <v>1279</v>
      </c>
    </row>
    <row r="498" spans="1:10" ht="15" customHeight="1">
      <c r="A498" s="162">
        <v>4281</v>
      </c>
      <c r="B498" s="162" t="s">
        <v>10626</v>
      </c>
      <c r="D498" s="187" t="s">
        <v>70</v>
      </c>
      <c r="E498" s="168" t="s">
        <v>10604</v>
      </c>
      <c r="F498" s="184" t="s">
        <v>10625</v>
      </c>
      <c r="G498" s="173">
        <v>3452</v>
      </c>
      <c r="H498" s="188" t="s">
        <v>10497</v>
      </c>
      <c r="I498" s="167" t="str">
        <f>IF(Plan_Comptable[[#This Row],[Sous-compte]]="","",LEFT(Plan_Comptable[[#This Row],[Sous-compte]]&amp;"00",4))</f>
        <v>3452</v>
      </c>
      <c r="J498" s="167" t="s">
        <v>1279</v>
      </c>
    </row>
    <row r="499" spans="1:10" ht="15" customHeight="1">
      <c r="A499" s="162">
        <v>4286</v>
      </c>
      <c r="B499" s="162" t="s">
        <v>10627</v>
      </c>
      <c r="D499" s="187" t="s">
        <v>70</v>
      </c>
      <c r="E499" s="189">
        <v>35</v>
      </c>
      <c r="F499" s="165" t="s">
        <v>9941</v>
      </c>
      <c r="G499" s="165"/>
      <c r="H499" s="166" t="s">
        <v>10628</v>
      </c>
      <c r="I499" s="167" t="str">
        <f>IF(Plan_Comptable[[#This Row],[Sous-compte]]="","",LEFT(Plan_Comptable[[#This Row],[Sous-compte]]&amp;"00",4))</f>
        <v/>
      </c>
      <c r="J499" s="167"/>
    </row>
    <row r="500" spans="1:10" ht="15" customHeight="1">
      <c r="A500" s="162">
        <v>4287</v>
      </c>
      <c r="B500" s="162" t="s">
        <v>10629</v>
      </c>
      <c r="D500" s="187" t="s">
        <v>70</v>
      </c>
      <c r="E500" s="168" t="s">
        <v>10630</v>
      </c>
      <c r="F500" s="168">
        <v>351</v>
      </c>
      <c r="G500" s="176"/>
      <c r="H500" s="170" t="s">
        <v>10631</v>
      </c>
      <c r="I500" s="167" t="str">
        <f>IF(Plan_Comptable[[#This Row],[Sous-compte]]="","",LEFT(Plan_Comptable[[#This Row],[Sous-compte]]&amp;"00",4))</f>
        <v/>
      </c>
      <c r="J500" s="167"/>
    </row>
    <row r="501" spans="1:10" ht="15" customHeight="1">
      <c r="A501" s="162">
        <v>4311</v>
      </c>
      <c r="B501" s="162" t="s">
        <v>10632</v>
      </c>
      <c r="D501" s="187" t="s">
        <v>70</v>
      </c>
      <c r="E501" s="168" t="s">
        <v>10630</v>
      </c>
      <c r="F501" s="168" t="s">
        <v>10633</v>
      </c>
      <c r="G501" s="176">
        <v>3511</v>
      </c>
      <c r="H501" s="167" t="s">
        <v>10499</v>
      </c>
      <c r="I501" s="167" t="str">
        <f>IF(Plan_Comptable[[#This Row],[Sous-compte]]="","",LEFT(Plan_Comptable[[#This Row],[Sous-compte]]&amp;"00",4))</f>
        <v>3511</v>
      </c>
      <c r="J501" s="167" t="s">
        <v>1279</v>
      </c>
    </row>
    <row r="502" spans="1:10" ht="15" customHeight="1">
      <c r="A502" s="162">
        <v>4312</v>
      </c>
      <c r="B502" s="162" t="s">
        <v>10634</v>
      </c>
      <c r="D502" s="187" t="s">
        <v>70</v>
      </c>
      <c r="E502" s="168" t="s">
        <v>10630</v>
      </c>
      <c r="F502" s="168" t="s">
        <v>10633</v>
      </c>
      <c r="G502" s="176">
        <v>3512</v>
      </c>
      <c r="H502" s="167" t="s">
        <v>10502</v>
      </c>
      <c r="I502" s="167" t="str">
        <f>IF(Plan_Comptable[[#This Row],[Sous-compte]]="","",LEFT(Plan_Comptable[[#This Row],[Sous-compte]]&amp;"00",4))</f>
        <v>3512</v>
      </c>
      <c r="J502" s="167" t="s">
        <v>1279</v>
      </c>
    </row>
    <row r="503" spans="1:10" ht="15" customHeight="1">
      <c r="A503" s="162">
        <v>4313</v>
      </c>
      <c r="B503" s="162" t="s">
        <v>10635</v>
      </c>
      <c r="D503" s="187" t="s">
        <v>70</v>
      </c>
      <c r="E503" s="168" t="s">
        <v>10630</v>
      </c>
      <c r="F503" s="168">
        <v>352</v>
      </c>
      <c r="G503" s="176"/>
      <c r="H503" s="167" t="s">
        <v>10636</v>
      </c>
      <c r="I503" s="167" t="str">
        <f>IF(Plan_Comptable[[#This Row],[Sous-compte]]="","",LEFT(Plan_Comptable[[#This Row],[Sous-compte]]&amp;"00",4))</f>
        <v/>
      </c>
      <c r="J503" s="167"/>
    </row>
    <row r="504" spans="1:10" ht="15" customHeight="1">
      <c r="A504" s="162">
        <v>4314</v>
      </c>
      <c r="B504" s="162" t="s">
        <v>10637</v>
      </c>
      <c r="D504" s="187" t="s">
        <v>70</v>
      </c>
      <c r="E504" s="168" t="s">
        <v>10630</v>
      </c>
      <c r="F504" s="168" t="s">
        <v>10638</v>
      </c>
      <c r="G504" s="176">
        <v>3521</v>
      </c>
      <c r="H504" s="167" t="s">
        <v>10504</v>
      </c>
      <c r="I504" s="167" t="str">
        <f>IF(Plan_Comptable[[#This Row],[Sous-compte]]="","",LEFT(Plan_Comptable[[#This Row],[Sous-compte]]&amp;"00",4))</f>
        <v>3521</v>
      </c>
      <c r="J504" s="167" t="s">
        <v>1279</v>
      </c>
    </row>
    <row r="505" spans="1:10" ht="15" customHeight="1">
      <c r="A505" s="162">
        <v>4318</v>
      </c>
      <c r="B505" s="162" t="s">
        <v>10639</v>
      </c>
      <c r="D505" s="187" t="s">
        <v>70</v>
      </c>
      <c r="E505" s="168" t="s">
        <v>10630</v>
      </c>
      <c r="F505" s="168" t="s">
        <v>10638</v>
      </c>
      <c r="G505" s="176">
        <v>3522</v>
      </c>
      <c r="H505" s="167" t="s">
        <v>10505</v>
      </c>
      <c r="I505" s="167" t="str">
        <f>IF(Plan_Comptable[[#This Row],[Sous-compte]]="","",LEFT(Plan_Comptable[[#This Row],[Sous-compte]]&amp;"00",4))</f>
        <v>3522</v>
      </c>
      <c r="J505" s="167" t="s">
        <v>1279</v>
      </c>
    </row>
    <row r="506" spans="1:10" ht="15" customHeight="1">
      <c r="A506" s="162">
        <v>432</v>
      </c>
      <c r="B506" s="162" t="s">
        <v>10640</v>
      </c>
      <c r="D506" s="187" t="s">
        <v>70</v>
      </c>
      <c r="E506" s="189">
        <v>36</v>
      </c>
      <c r="F506" s="165" t="s">
        <v>9941</v>
      </c>
      <c r="G506" s="165"/>
      <c r="H506" s="166" t="s">
        <v>10641</v>
      </c>
      <c r="I506" s="167" t="str">
        <f>IF(Plan_Comptable[[#This Row],[Sous-compte]]="","",LEFT(Plan_Comptable[[#This Row],[Sous-compte]]&amp;"00",4))</f>
        <v/>
      </c>
      <c r="J506" s="167"/>
    </row>
    <row r="507" spans="1:10" ht="15" customHeight="1">
      <c r="A507" s="162">
        <v>4331</v>
      </c>
      <c r="B507" s="162" t="s">
        <v>10642</v>
      </c>
      <c r="D507" s="187" t="s">
        <v>70</v>
      </c>
      <c r="E507" s="168" t="s">
        <v>10643</v>
      </c>
      <c r="F507" s="168">
        <v>361</v>
      </c>
      <c r="G507" s="176">
        <v>361</v>
      </c>
      <c r="H507" s="167" t="s">
        <v>10506</v>
      </c>
      <c r="I507" s="167" t="str">
        <f>IF(Plan_Comptable[[#This Row],[Sous-compte]]="","",LEFT(Plan_Comptable[[#This Row],[Sous-compte]]&amp;"00",4))</f>
        <v>3610</v>
      </c>
      <c r="J507" s="167" t="s">
        <v>1279</v>
      </c>
    </row>
    <row r="508" spans="1:10" ht="15" customHeight="1">
      <c r="A508" s="162">
        <v>4332</v>
      </c>
      <c r="B508" s="162" t="s">
        <v>10644</v>
      </c>
      <c r="D508" s="187" t="s">
        <v>70</v>
      </c>
      <c r="E508" s="168" t="s">
        <v>10643</v>
      </c>
      <c r="F508" s="168">
        <v>362</v>
      </c>
      <c r="G508" s="176">
        <v>362</v>
      </c>
      <c r="H508" s="167" t="s">
        <v>10507</v>
      </c>
      <c r="I508" s="167" t="str">
        <f>IF(Plan_Comptable[[#This Row],[Sous-compte]]="","",LEFT(Plan_Comptable[[#This Row],[Sous-compte]]&amp;"00",4))</f>
        <v>3620</v>
      </c>
      <c r="J508" s="167" t="s">
        <v>1279</v>
      </c>
    </row>
    <row r="509" spans="1:10" ht="15" customHeight="1">
      <c r="A509" s="162">
        <v>4333</v>
      </c>
      <c r="B509" s="162" t="s">
        <v>2788</v>
      </c>
      <c r="D509" s="187" t="s">
        <v>70</v>
      </c>
      <c r="E509" s="168" t="s">
        <v>10643</v>
      </c>
      <c r="F509" s="184">
        <v>363</v>
      </c>
      <c r="G509" s="196"/>
      <c r="H509" s="175" t="s">
        <v>10351</v>
      </c>
      <c r="I509" s="167" t="str">
        <f>IF(Plan_Comptable[[#This Row],[Sous-compte]]="","",LEFT(Plan_Comptable[[#This Row],[Sous-compte]]&amp;"00",4))</f>
        <v/>
      </c>
      <c r="J509" s="167"/>
    </row>
    <row r="510" spans="1:10" ht="15" customHeight="1">
      <c r="A510" s="162">
        <v>4381</v>
      </c>
      <c r="B510" s="162" t="s">
        <v>10645</v>
      </c>
      <c r="D510" s="187" t="s">
        <v>70</v>
      </c>
      <c r="E510" s="168" t="s">
        <v>10643</v>
      </c>
      <c r="F510" s="184" t="s">
        <v>10646</v>
      </c>
      <c r="G510" s="173">
        <v>3631</v>
      </c>
      <c r="H510" s="188" t="s">
        <v>10496</v>
      </c>
      <c r="I510" s="167" t="str">
        <f>IF(Plan_Comptable[[#This Row],[Sous-compte]]="","",LEFT(Plan_Comptable[[#This Row],[Sous-compte]]&amp;"00",4))</f>
        <v>3631</v>
      </c>
      <c r="J510" s="167" t="s">
        <v>1279</v>
      </c>
    </row>
    <row r="511" spans="1:10" ht="15" customHeight="1">
      <c r="A511" s="162">
        <v>4382</v>
      </c>
      <c r="B511" s="162" t="s">
        <v>5290</v>
      </c>
      <c r="D511" s="187" t="s">
        <v>70</v>
      </c>
      <c r="E511" s="197" t="s">
        <v>10643</v>
      </c>
      <c r="F511" s="198" t="s">
        <v>10646</v>
      </c>
      <c r="G511" s="195">
        <v>3632</v>
      </c>
      <c r="H511" s="188" t="s">
        <v>10471</v>
      </c>
      <c r="I511" s="167" t="str">
        <f>IF(Plan_Comptable[[#This Row],[Sous-compte]]="","",LEFT(Plan_Comptable[[#This Row],[Sous-compte]]&amp;"00",4))</f>
        <v>3632</v>
      </c>
      <c r="J511" s="167" t="s">
        <v>1279</v>
      </c>
    </row>
    <row r="512" spans="1:10" ht="15" customHeight="1">
      <c r="A512" s="162">
        <v>4386</v>
      </c>
      <c r="B512" s="162" t="s">
        <v>10627</v>
      </c>
      <c r="D512" s="187" t="s">
        <v>70</v>
      </c>
      <c r="E512" s="197" t="s">
        <v>10643</v>
      </c>
      <c r="F512" s="198" t="s">
        <v>10646</v>
      </c>
      <c r="G512" s="195">
        <v>3638</v>
      </c>
      <c r="H512" s="174" t="s">
        <v>10508</v>
      </c>
      <c r="I512" s="167" t="str">
        <f>IF(Plan_Comptable[[#This Row],[Sous-compte]]="","",LEFT(Plan_Comptable[[#This Row],[Sous-compte]]&amp;"00",4))</f>
        <v>3638</v>
      </c>
      <c r="J512" s="167" t="s">
        <v>1279</v>
      </c>
    </row>
    <row r="513" spans="1:10" ht="15" customHeight="1">
      <c r="A513" s="162">
        <v>4387</v>
      </c>
      <c r="B513" s="162" t="s">
        <v>10629</v>
      </c>
      <c r="D513" s="187" t="s">
        <v>70</v>
      </c>
      <c r="E513" s="189">
        <v>37</v>
      </c>
      <c r="F513" s="165" t="s">
        <v>9941</v>
      </c>
      <c r="G513" s="165"/>
      <c r="H513" s="166" t="s">
        <v>10647</v>
      </c>
      <c r="I513" s="167" t="str">
        <f>IF(Plan_Comptable[[#This Row],[Sous-compte]]="","",LEFT(Plan_Comptable[[#This Row],[Sous-compte]]&amp;"00",4))</f>
        <v/>
      </c>
      <c r="J513" s="167"/>
    </row>
    <row r="514" spans="1:10" ht="15" customHeight="1">
      <c r="A514" s="162">
        <v>441</v>
      </c>
      <c r="B514" s="162" t="s">
        <v>10648</v>
      </c>
      <c r="D514" s="187" t="s">
        <v>70</v>
      </c>
      <c r="E514" s="168" t="s">
        <v>10649</v>
      </c>
      <c r="F514" s="168">
        <v>371</v>
      </c>
      <c r="G514" s="176"/>
      <c r="H514" s="167" t="s">
        <v>10650</v>
      </c>
      <c r="I514" s="167" t="str">
        <f>IF(Plan_Comptable[[#This Row],[Sous-compte]]="","",LEFT(Plan_Comptable[[#This Row],[Sous-compte]]&amp;"00",4))</f>
        <v/>
      </c>
      <c r="J514" s="167"/>
    </row>
    <row r="515" spans="1:10" ht="15" customHeight="1">
      <c r="A515" s="162">
        <v>4421</v>
      </c>
      <c r="B515" s="162" t="s">
        <v>10651</v>
      </c>
      <c r="D515" s="187" t="s">
        <v>70</v>
      </c>
      <c r="E515" s="168" t="s">
        <v>10649</v>
      </c>
      <c r="F515" s="168" t="s">
        <v>10652</v>
      </c>
      <c r="G515" s="176">
        <v>3711</v>
      </c>
      <c r="H515" s="167" t="s">
        <v>10492</v>
      </c>
      <c r="I515" s="167" t="str">
        <f>IF(Plan_Comptable[[#This Row],[Sous-compte]]="","",LEFT(Plan_Comptable[[#This Row],[Sous-compte]]&amp;"00",4))</f>
        <v>3711</v>
      </c>
      <c r="J515" s="167" t="s">
        <v>1279</v>
      </c>
    </row>
    <row r="516" spans="1:10" ht="15" customHeight="1">
      <c r="A516" s="162">
        <v>4422</v>
      </c>
      <c r="B516" s="162" t="s">
        <v>10653</v>
      </c>
      <c r="D516" s="187" t="s">
        <v>70</v>
      </c>
      <c r="E516" s="168" t="s">
        <v>10649</v>
      </c>
      <c r="F516" s="168" t="s">
        <v>10652</v>
      </c>
      <c r="G516" s="176">
        <v>3712</v>
      </c>
      <c r="H516" s="167" t="s">
        <v>10493</v>
      </c>
      <c r="I516" s="167" t="str">
        <f>IF(Plan_Comptable[[#This Row],[Sous-compte]]="","",LEFT(Plan_Comptable[[#This Row],[Sous-compte]]&amp;"00",4))</f>
        <v>3712</v>
      </c>
      <c r="J516" s="167" t="s">
        <v>1279</v>
      </c>
    </row>
    <row r="517" spans="1:10" ht="15" customHeight="1">
      <c r="A517" s="162">
        <v>4423</v>
      </c>
      <c r="B517" s="162" t="s">
        <v>10654</v>
      </c>
      <c r="D517" s="187" t="s">
        <v>70</v>
      </c>
      <c r="E517" s="168" t="s">
        <v>10649</v>
      </c>
      <c r="F517" s="168">
        <v>372</v>
      </c>
      <c r="G517" s="176"/>
      <c r="H517" s="167" t="s">
        <v>10655</v>
      </c>
      <c r="I517" s="167" t="str">
        <f>IF(Plan_Comptable[[#This Row],[Sous-compte]]="","",LEFT(Plan_Comptable[[#This Row],[Sous-compte]]&amp;"00",4))</f>
        <v/>
      </c>
      <c r="J517" s="167"/>
    </row>
    <row r="518" spans="1:10" ht="15" customHeight="1">
      <c r="A518" s="162">
        <v>4424</v>
      </c>
      <c r="B518" s="162" t="s">
        <v>10656</v>
      </c>
      <c r="D518" s="187" t="s">
        <v>70</v>
      </c>
      <c r="E518" s="168" t="s">
        <v>10649</v>
      </c>
      <c r="F518" s="168" t="s">
        <v>10657</v>
      </c>
      <c r="G518" s="176">
        <v>3721</v>
      </c>
      <c r="H518" s="167" t="s">
        <v>10510</v>
      </c>
      <c r="I518" s="167" t="str">
        <f>IF(Plan_Comptable[[#This Row],[Sous-compte]]="","",LEFT(Plan_Comptable[[#This Row],[Sous-compte]]&amp;"00",4))</f>
        <v>3721</v>
      </c>
      <c r="J518" s="167" t="s">
        <v>1279</v>
      </c>
    </row>
    <row r="519" spans="1:10" ht="15" customHeight="1">
      <c r="A519" s="162">
        <v>4426</v>
      </c>
      <c r="B519" s="162" t="s">
        <v>2915</v>
      </c>
      <c r="D519" s="187" t="s">
        <v>70</v>
      </c>
      <c r="E519" s="168" t="s">
        <v>10649</v>
      </c>
      <c r="F519" s="168" t="s">
        <v>10657</v>
      </c>
      <c r="G519" s="176">
        <v>3722</v>
      </c>
      <c r="H519" s="167" t="s">
        <v>10512</v>
      </c>
      <c r="I519" s="167" t="str">
        <f>IF(Plan_Comptable[[#This Row],[Sous-compte]]="","",LEFT(Plan_Comptable[[#This Row],[Sous-compte]]&amp;"00",4))</f>
        <v>3722</v>
      </c>
      <c r="J519" s="167" t="s">
        <v>1279</v>
      </c>
    </row>
    <row r="520" spans="1:10" ht="15" customHeight="1">
      <c r="A520" s="162">
        <v>4428</v>
      </c>
      <c r="B520" s="162" t="s">
        <v>2217</v>
      </c>
      <c r="D520" s="187" t="s">
        <v>70</v>
      </c>
      <c r="E520" s="168" t="s">
        <v>10649</v>
      </c>
      <c r="F520" s="168" t="s">
        <v>10657</v>
      </c>
      <c r="G520" s="176">
        <v>3723</v>
      </c>
      <c r="H520" s="167" t="s">
        <v>10513</v>
      </c>
      <c r="I520" s="167" t="str">
        <f>IF(Plan_Comptable[[#This Row],[Sous-compte]]="","",LEFT(Plan_Comptable[[#This Row],[Sous-compte]]&amp;"00",4))</f>
        <v>3723</v>
      </c>
      <c r="J520" s="167" t="s">
        <v>1279</v>
      </c>
    </row>
    <row r="521" spans="1:10" ht="15" customHeight="1">
      <c r="A521" s="162">
        <v>4431</v>
      </c>
      <c r="B521" s="162" t="s">
        <v>10658</v>
      </c>
      <c r="D521" s="187" t="s">
        <v>70</v>
      </c>
      <c r="E521" s="168" t="s">
        <v>10649</v>
      </c>
      <c r="F521" s="184">
        <v>373</v>
      </c>
      <c r="G521" s="195"/>
      <c r="H521" s="175" t="s">
        <v>10351</v>
      </c>
      <c r="I521" s="167" t="str">
        <f>IF(Plan_Comptable[[#This Row],[Sous-compte]]="","",LEFT(Plan_Comptable[[#This Row],[Sous-compte]]&amp;"00",4))</f>
        <v/>
      </c>
      <c r="J521" s="167"/>
    </row>
    <row r="522" spans="1:10" ht="15" customHeight="1">
      <c r="A522" s="162">
        <v>4432</v>
      </c>
      <c r="B522" s="162" t="s">
        <v>10659</v>
      </c>
      <c r="D522" s="187" t="s">
        <v>70</v>
      </c>
      <c r="E522" s="168" t="s">
        <v>10649</v>
      </c>
      <c r="F522" s="184" t="s">
        <v>10660</v>
      </c>
      <c r="G522" s="173">
        <v>3731</v>
      </c>
      <c r="H522" s="188" t="s">
        <v>10496</v>
      </c>
      <c r="I522" s="167" t="str">
        <f>IF(Plan_Comptable[[#This Row],[Sous-compte]]="","",LEFT(Plan_Comptable[[#This Row],[Sous-compte]]&amp;"00",4))</f>
        <v>3731</v>
      </c>
      <c r="J522" s="167" t="s">
        <v>1279</v>
      </c>
    </row>
    <row r="523" spans="1:10" ht="15" customHeight="1">
      <c r="A523" s="162">
        <v>4433</v>
      </c>
      <c r="B523" s="162" t="s">
        <v>10661</v>
      </c>
      <c r="D523" s="187" t="s">
        <v>70</v>
      </c>
      <c r="E523" s="168" t="s">
        <v>10649</v>
      </c>
      <c r="F523" s="184" t="s">
        <v>10660</v>
      </c>
      <c r="G523" s="173">
        <v>3732</v>
      </c>
      <c r="H523" s="174" t="s">
        <v>10471</v>
      </c>
      <c r="I523" s="167" t="str">
        <f>IF(Plan_Comptable[[#This Row],[Sous-compte]]="","",LEFT(Plan_Comptable[[#This Row],[Sous-compte]]&amp;"00",4))</f>
        <v>3732</v>
      </c>
      <c r="J523" s="167" t="s">
        <v>1279</v>
      </c>
    </row>
    <row r="524" spans="1:10" ht="15" customHeight="1">
      <c r="A524" s="162">
        <v>4334</v>
      </c>
      <c r="B524" s="162" t="s">
        <v>10662</v>
      </c>
      <c r="D524" s="187" t="s">
        <v>70</v>
      </c>
      <c r="E524" s="168" t="s">
        <v>10649</v>
      </c>
      <c r="F524" s="184" t="s">
        <v>10660</v>
      </c>
      <c r="G524" s="173">
        <v>3738</v>
      </c>
      <c r="H524" s="174" t="s">
        <v>10508</v>
      </c>
      <c r="I524" s="167" t="str">
        <f>IF(Plan_Comptable[[#This Row],[Sous-compte]]="","",LEFT(Plan_Comptable[[#This Row],[Sous-compte]]&amp;"00",4))</f>
        <v>3738</v>
      </c>
      <c r="J524" s="167" t="s">
        <v>1279</v>
      </c>
    </row>
    <row r="525" spans="1:10" ht="15" customHeight="1">
      <c r="A525" s="162">
        <v>4335</v>
      </c>
      <c r="B525" s="162" t="s">
        <v>10663</v>
      </c>
      <c r="D525" s="187" t="s">
        <v>70</v>
      </c>
      <c r="E525" s="189">
        <v>38</v>
      </c>
      <c r="F525" s="165" t="s">
        <v>9941</v>
      </c>
      <c r="G525" s="165"/>
      <c r="H525" s="166" t="s">
        <v>10664</v>
      </c>
      <c r="I525" s="167" t="str">
        <f>IF(Plan_Comptable[[#This Row],[Sous-compte]]="","",LEFT(Plan_Comptable[[#This Row],[Sous-compte]]&amp;"00",4))</f>
        <v/>
      </c>
      <c r="J525" s="167"/>
    </row>
    <row r="526" spans="1:10" ht="15" customHeight="1">
      <c r="A526" s="162">
        <v>4441</v>
      </c>
      <c r="B526" s="162" t="s">
        <v>10665</v>
      </c>
      <c r="D526" s="187" t="s">
        <v>70</v>
      </c>
      <c r="E526" s="168" t="s">
        <v>10666</v>
      </c>
      <c r="F526" s="168">
        <v>381</v>
      </c>
      <c r="G526" s="176">
        <v>381</v>
      </c>
      <c r="H526" s="167" t="s">
        <v>10514</v>
      </c>
      <c r="I526" s="167" t="str">
        <f>IF(Plan_Comptable[[#This Row],[Sous-compte]]="","",LEFT(Plan_Comptable[[#This Row],[Sous-compte]]&amp;"00",4))</f>
        <v>3810</v>
      </c>
      <c r="J526" s="167" t="s">
        <v>1279</v>
      </c>
    </row>
    <row r="527" spans="1:10" ht="15" customHeight="1">
      <c r="A527" s="162">
        <v>4445</v>
      </c>
      <c r="B527" s="162" t="s">
        <v>10667</v>
      </c>
      <c r="D527" s="187" t="s">
        <v>70</v>
      </c>
      <c r="E527" s="168" t="s">
        <v>10666</v>
      </c>
      <c r="F527" s="168">
        <v>382</v>
      </c>
      <c r="G527" s="176">
        <v>382</v>
      </c>
      <c r="H527" s="167" t="s">
        <v>10515</v>
      </c>
      <c r="I527" s="167" t="str">
        <f>IF(Plan_Comptable[[#This Row],[Sous-compte]]="","",LEFT(Plan_Comptable[[#This Row],[Sous-compte]]&amp;"00",4))</f>
        <v>3820</v>
      </c>
      <c r="J527" s="167" t="s">
        <v>1279</v>
      </c>
    </row>
    <row r="528" spans="1:10" ht="15" customHeight="1">
      <c r="A528" s="162">
        <v>4449</v>
      </c>
      <c r="B528" s="162" t="s">
        <v>10668</v>
      </c>
      <c r="D528" s="187" t="s">
        <v>70</v>
      </c>
      <c r="E528" s="168" t="s">
        <v>10666</v>
      </c>
      <c r="F528" s="168">
        <v>383</v>
      </c>
      <c r="G528" s="176">
        <v>383</v>
      </c>
      <c r="H528" s="167" t="s">
        <v>10516</v>
      </c>
      <c r="I528" s="167" t="str">
        <f>IF(Plan_Comptable[[#This Row],[Sous-compte]]="","",LEFT(Plan_Comptable[[#This Row],[Sous-compte]]&amp;"00",4))</f>
        <v>3830</v>
      </c>
      <c r="J528" s="167" t="s">
        <v>1279</v>
      </c>
    </row>
    <row r="529" spans="1:10" ht="15" customHeight="1">
      <c r="A529" s="162">
        <v>4451</v>
      </c>
      <c r="B529" s="162" t="s">
        <v>10669</v>
      </c>
      <c r="D529" s="187" t="s">
        <v>70</v>
      </c>
      <c r="E529" s="168" t="s">
        <v>10666</v>
      </c>
      <c r="F529" s="168">
        <v>386</v>
      </c>
      <c r="G529" s="176">
        <v>386</v>
      </c>
      <c r="H529" s="167" t="s">
        <v>10517</v>
      </c>
      <c r="I529" s="167" t="str">
        <f>IF(Plan_Comptable[[#This Row],[Sous-compte]]="","",LEFT(Plan_Comptable[[#This Row],[Sous-compte]]&amp;"00",4))</f>
        <v>3860</v>
      </c>
      <c r="J529" s="167" t="s">
        <v>1279</v>
      </c>
    </row>
    <row r="530" spans="1:10" ht="15" customHeight="1">
      <c r="A530" s="162">
        <v>4452</v>
      </c>
      <c r="B530" s="162" t="s">
        <v>10670</v>
      </c>
      <c r="D530" s="187" t="s">
        <v>70</v>
      </c>
      <c r="E530" s="168" t="s">
        <v>10666</v>
      </c>
      <c r="F530" s="168">
        <v>387</v>
      </c>
      <c r="G530" s="176"/>
      <c r="H530" s="167" t="s">
        <v>10671</v>
      </c>
      <c r="I530" s="167" t="str">
        <f>IF(Plan_Comptable[[#This Row],[Sous-compte]]="","",LEFT(Plan_Comptable[[#This Row],[Sous-compte]]&amp;"00",4))</f>
        <v/>
      </c>
      <c r="J530" s="167"/>
    </row>
    <row r="531" spans="1:10" ht="15" customHeight="1">
      <c r="A531" s="162">
        <v>4453</v>
      </c>
      <c r="B531" s="162" t="s">
        <v>10672</v>
      </c>
      <c r="D531" s="187" t="s">
        <v>70</v>
      </c>
      <c r="E531" s="168" t="s">
        <v>10666</v>
      </c>
      <c r="F531" s="168" t="s">
        <v>10673</v>
      </c>
      <c r="G531" s="176">
        <v>3871</v>
      </c>
      <c r="H531" s="167" t="s">
        <v>10519</v>
      </c>
      <c r="I531" s="167" t="str">
        <f>IF(Plan_Comptable[[#This Row],[Sous-compte]]="","",LEFT(Plan_Comptable[[#This Row],[Sous-compte]]&amp;"00",4))</f>
        <v>3871</v>
      </c>
      <c r="J531" s="167" t="s">
        <v>1279</v>
      </c>
    </row>
    <row r="532" spans="1:10" ht="15" customHeight="1">
      <c r="A532" s="162">
        <v>4454</v>
      </c>
      <c r="B532" s="162" t="s">
        <v>10674</v>
      </c>
      <c r="D532" s="187" t="s">
        <v>70</v>
      </c>
      <c r="E532" s="168" t="s">
        <v>10666</v>
      </c>
      <c r="F532" s="168" t="s">
        <v>10673</v>
      </c>
      <c r="G532" s="176">
        <v>3872</v>
      </c>
      <c r="H532" s="167" t="s">
        <v>10521</v>
      </c>
      <c r="I532" s="167" t="str">
        <f>IF(Plan_Comptable[[#This Row],[Sous-compte]]="","",LEFT(Plan_Comptable[[#This Row],[Sous-compte]]&amp;"00",4))</f>
        <v>3872</v>
      </c>
      <c r="J532" s="167" t="s">
        <v>1279</v>
      </c>
    </row>
    <row r="533" spans="1:10" ht="15" customHeight="1">
      <c r="A533" s="162">
        <v>4455</v>
      </c>
      <c r="B533" s="162" t="s">
        <v>10675</v>
      </c>
      <c r="D533" s="187" t="s">
        <v>70</v>
      </c>
      <c r="E533" s="168" t="s">
        <v>10666</v>
      </c>
      <c r="F533" s="168">
        <v>388</v>
      </c>
      <c r="G533" s="176">
        <v>388</v>
      </c>
      <c r="H533" s="167" t="s">
        <v>10522</v>
      </c>
      <c r="I533" s="167" t="str">
        <f>IF(Plan_Comptable[[#This Row],[Sous-compte]]="","",LEFT(Plan_Comptable[[#This Row],[Sous-compte]]&amp;"00",4))</f>
        <v>3880</v>
      </c>
      <c r="J533" s="167" t="s">
        <v>1279</v>
      </c>
    </row>
    <row r="534" spans="1:10" ht="15" customHeight="1">
      <c r="A534" s="162">
        <v>4456</v>
      </c>
      <c r="B534" s="162" t="s">
        <v>10676</v>
      </c>
      <c r="D534" s="187" t="s">
        <v>70</v>
      </c>
      <c r="E534" s="182">
        <v>39</v>
      </c>
      <c r="F534" s="171" t="s">
        <v>9941</v>
      </c>
      <c r="G534" s="171"/>
      <c r="H534" s="183" t="s">
        <v>10677</v>
      </c>
      <c r="I534" s="167" t="str">
        <f>IF(Plan_Comptable[[#This Row],[Sous-compte]]="","",LEFT(Plan_Comptable[[#This Row],[Sous-compte]]&amp;"00",4))</f>
        <v/>
      </c>
      <c r="J534" s="167"/>
    </row>
    <row r="535" spans="1:10" ht="15" customHeight="1">
      <c r="A535" s="162">
        <v>446</v>
      </c>
      <c r="B535" s="162" t="s">
        <v>10678</v>
      </c>
      <c r="D535" s="187" t="s">
        <v>70</v>
      </c>
      <c r="E535" s="168" t="s">
        <v>10679</v>
      </c>
      <c r="F535" s="168">
        <v>391</v>
      </c>
      <c r="G535" s="176">
        <v>391</v>
      </c>
      <c r="H535" s="167" t="s">
        <v>10523</v>
      </c>
      <c r="I535" s="167" t="str">
        <f>IF(Plan_Comptable[[#This Row],[Sous-compte]]="","",LEFT(Plan_Comptable[[#This Row],[Sous-compte]]&amp;"00",4))</f>
        <v>3910</v>
      </c>
      <c r="J535" s="167" t="s">
        <v>1276</v>
      </c>
    </row>
    <row r="536" spans="1:10" ht="15" customHeight="1">
      <c r="A536" s="162">
        <v>4471</v>
      </c>
      <c r="B536" s="162" t="s">
        <v>10680</v>
      </c>
      <c r="D536" s="187" t="s">
        <v>70</v>
      </c>
      <c r="E536" s="168" t="s">
        <v>10679</v>
      </c>
      <c r="F536" s="168">
        <v>392</v>
      </c>
      <c r="G536" s="176">
        <v>392</v>
      </c>
      <c r="H536" s="167" t="s">
        <v>10524</v>
      </c>
      <c r="I536" s="167" t="str">
        <f>IF(Plan_Comptable[[#This Row],[Sous-compte]]="","",LEFT(Plan_Comptable[[#This Row],[Sous-compte]]&amp;"00",4))</f>
        <v>3920</v>
      </c>
      <c r="J536" s="167" t="s">
        <v>1276</v>
      </c>
    </row>
    <row r="537" spans="1:10" ht="15" customHeight="1">
      <c r="A537" s="162">
        <v>4472</v>
      </c>
      <c r="B537" s="162" t="s">
        <v>10681</v>
      </c>
      <c r="D537" s="187" t="s">
        <v>70</v>
      </c>
      <c r="E537" s="168" t="s">
        <v>10679</v>
      </c>
      <c r="F537" s="171">
        <v>393</v>
      </c>
      <c r="G537" s="172">
        <v>393</v>
      </c>
      <c r="H537" s="179" t="s">
        <v>10525</v>
      </c>
      <c r="I537" s="167" t="str">
        <f>IF(Plan_Comptable[[#This Row],[Sous-compte]]="","",LEFT(Plan_Comptable[[#This Row],[Sous-compte]]&amp;"00",4))</f>
        <v>3930</v>
      </c>
      <c r="J537" s="167" t="s">
        <v>1276</v>
      </c>
    </row>
    <row r="538" spans="1:10" ht="15" customHeight="1">
      <c r="A538" s="162">
        <v>4473</v>
      </c>
      <c r="B538" s="162" t="s">
        <v>10682</v>
      </c>
      <c r="D538" s="187" t="s">
        <v>70</v>
      </c>
      <c r="E538" s="168" t="s">
        <v>10679</v>
      </c>
      <c r="F538" s="168">
        <v>394</v>
      </c>
      <c r="G538" s="176">
        <v>394</v>
      </c>
      <c r="H538" s="167" t="s">
        <v>10526</v>
      </c>
      <c r="I538" s="167" t="str">
        <f>IF(Plan_Comptable[[#This Row],[Sous-compte]]="","",LEFT(Plan_Comptable[[#This Row],[Sous-compte]]&amp;"00",4))</f>
        <v>3940</v>
      </c>
      <c r="J538" s="167" t="s">
        <v>1276</v>
      </c>
    </row>
    <row r="539" spans="1:10" ht="15" customHeight="1">
      <c r="A539" s="162">
        <v>4474</v>
      </c>
      <c r="B539" s="162" t="s">
        <v>10683</v>
      </c>
      <c r="D539" s="187" t="s">
        <v>70</v>
      </c>
      <c r="E539" s="168" t="s">
        <v>10679</v>
      </c>
      <c r="F539" s="168">
        <v>395</v>
      </c>
      <c r="G539" s="176">
        <v>395</v>
      </c>
      <c r="H539" s="167" t="s">
        <v>10527</v>
      </c>
      <c r="I539" s="167" t="str">
        <f>IF(Plan_Comptable[[#This Row],[Sous-compte]]="","",LEFT(Plan_Comptable[[#This Row],[Sous-compte]]&amp;"00",4))</f>
        <v>3950</v>
      </c>
      <c r="J539" s="167" t="s">
        <v>1276</v>
      </c>
    </row>
    <row r="540" spans="1:10" ht="15" customHeight="1">
      <c r="A540" s="162">
        <v>4478</v>
      </c>
      <c r="B540" s="162" t="s">
        <v>10684</v>
      </c>
      <c r="D540" s="187" t="s">
        <v>70</v>
      </c>
      <c r="E540" s="168" t="s">
        <v>10679</v>
      </c>
      <c r="F540" s="168">
        <v>396</v>
      </c>
      <c r="G540" s="176">
        <v>396</v>
      </c>
      <c r="H540" s="167" t="s">
        <v>10528</v>
      </c>
      <c r="I540" s="167" t="str">
        <f>IF(Plan_Comptable[[#This Row],[Sous-compte]]="","",LEFT(Plan_Comptable[[#This Row],[Sous-compte]]&amp;"00",4))</f>
        <v>3960</v>
      </c>
      <c r="J540" s="167" t="s">
        <v>1276</v>
      </c>
    </row>
    <row r="541" spans="1:10" ht="15" customHeight="1">
      <c r="A541" s="162">
        <v>4486</v>
      </c>
      <c r="B541" s="162" t="s">
        <v>10685</v>
      </c>
      <c r="D541" s="187" t="s">
        <v>70</v>
      </c>
      <c r="E541" s="168" t="s">
        <v>10679</v>
      </c>
      <c r="F541" s="168">
        <v>397</v>
      </c>
      <c r="G541" s="176">
        <v>397</v>
      </c>
      <c r="H541" s="167" t="s">
        <v>10530</v>
      </c>
      <c r="I541" s="167" t="str">
        <f>IF(Plan_Comptable[[#This Row],[Sous-compte]]="","",LEFT(Plan_Comptable[[#This Row],[Sous-compte]]&amp;"00",4))</f>
        <v>3970</v>
      </c>
      <c r="J541" s="167" t="s">
        <v>1276</v>
      </c>
    </row>
    <row r="542" spans="1:10" ht="15" customHeight="1">
      <c r="A542" s="162">
        <v>4487</v>
      </c>
      <c r="B542" s="162" t="s">
        <v>10629</v>
      </c>
      <c r="D542" s="187" t="s">
        <v>70</v>
      </c>
      <c r="E542" s="168" t="s">
        <v>10679</v>
      </c>
      <c r="F542" s="168">
        <v>398</v>
      </c>
      <c r="G542" s="176">
        <v>398</v>
      </c>
      <c r="H542" s="167" t="s">
        <v>10532</v>
      </c>
      <c r="I542" s="167" t="str">
        <f>IF(Plan_Comptable[[#This Row],[Sous-compte]]="","",LEFT(Plan_Comptable[[#This Row],[Sous-compte]]&amp;"00",4))</f>
        <v>3980</v>
      </c>
      <c r="J542" s="167" t="s">
        <v>1276</v>
      </c>
    </row>
    <row r="543" spans="1:10" ht="15" customHeight="1">
      <c r="A543" s="162">
        <v>4491</v>
      </c>
      <c r="B543" s="162" t="s">
        <v>10686</v>
      </c>
      <c r="D543" s="187" t="s">
        <v>74</v>
      </c>
      <c r="E543" s="189">
        <v>40</v>
      </c>
      <c r="F543" s="165" t="s">
        <v>9941</v>
      </c>
      <c r="G543" s="165"/>
      <c r="H543" s="166" t="s">
        <v>10687</v>
      </c>
      <c r="I543" s="167" t="str">
        <f>IF(Plan_Comptable[[#This Row],[Sous-compte]]="","",LEFT(Plan_Comptable[[#This Row],[Sous-compte]]&amp;"00",4))</f>
        <v/>
      </c>
      <c r="J543" s="167"/>
    </row>
    <row r="544" spans="1:10" ht="15" customHeight="1">
      <c r="A544" s="162">
        <v>4492</v>
      </c>
      <c r="B544" s="162" t="s">
        <v>10688</v>
      </c>
      <c r="D544" s="187" t="s">
        <v>74</v>
      </c>
      <c r="E544" s="168" t="s">
        <v>10689</v>
      </c>
      <c r="F544" s="168">
        <v>401</v>
      </c>
      <c r="G544" s="176"/>
      <c r="H544" s="167" t="s">
        <v>10690</v>
      </c>
      <c r="I544" s="167" t="str">
        <f>IF(Plan_Comptable[[#This Row],[Sous-compte]]="","",LEFT(Plan_Comptable[[#This Row],[Sous-compte]]&amp;"00",4))</f>
        <v/>
      </c>
      <c r="J544" s="167"/>
    </row>
    <row r="545" spans="1:10" ht="15" customHeight="1">
      <c r="A545" s="162">
        <v>4493</v>
      </c>
      <c r="B545" s="162" t="s">
        <v>10691</v>
      </c>
      <c r="D545" s="187" t="s">
        <v>74</v>
      </c>
      <c r="E545" s="168" t="s">
        <v>10689</v>
      </c>
      <c r="F545" s="168" t="s">
        <v>10692</v>
      </c>
      <c r="G545" s="176">
        <v>4011</v>
      </c>
      <c r="H545" s="167" t="s">
        <v>10533</v>
      </c>
      <c r="I545" s="167" t="str">
        <f>IF(Plan_Comptable[[#This Row],[Sous-compte]]="","",LEFT(Plan_Comptable[[#This Row],[Sous-compte]]&amp;"00",4))</f>
        <v>4011</v>
      </c>
      <c r="J545" s="167" t="s">
        <v>1276</v>
      </c>
    </row>
    <row r="546" spans="1:10" ht="15" customHeight="1">
      <c r="A546" s="162">
        <v>4494</v>
      </c>
      <c r="B546" s="162" t="s">
        <v>10693</v>
      </c>
      <c r="D546" s="187" t="s">
        <v>74</v>
      </c>
      <c r="E546" s="168" t="s">
        <v>10689</v>
      </c>
      <c r="F546" s="168" t="s">
        <v>10692</v>
      </c>
      <c r="G546" s="176">
        <v>4012</v>
      </c>
      <c r="H546" s="167" t="s">
        <v>10534</v>
      </c>
      <c r="I546" s="167" t="str">
        <f>IF(Plan_Comptable[[#This Row],[Sous-compte]]="","",LEFT(Plan_Comptable[[#This Row],[Sous-compte]]&amp;"00",4))</f>
        <v>4012</v>
      </c>
      <c r="J546" s="167" t="s">
        <v>1276</v>
      </c>
    </row>
    <row r="547" spans="1:10" ht="15" customHeight="1">
      <c r="A547" s="162">
        <v>4495</v>
      </c>
      <c r="B547" s="162" t="s">
        <v>10694</v>
      </c>
      <c r="D547" s="187" t="s">
        <v>74</v>
      </c>
      <c r="E547" s="168" t="s">
        <v>10689</v>
      </c>
      <c r="F547" s="168" t="s">
        <v>10692</v>
      </c>
      <c r="G547" s="176">
        <v>4013</v>
      </c>
      <c r="H547" s="167" t="s">
        <v>10535</v>
      </c>
      <c r="I547" s="167" t="str">
        <f>IF(Plan_Comptable[[#This Row],[Sous-compte]]="","",LEFT(Plan_Comptable[[#This Row],[Sous-compte]]&amp;"00",4))</f>
        <v>4013</v>
      </c>
      <c r="J547" s="167" t="s">
        <v>1276</v>
      </c>
    </row>
    <row r="548" spans="1:10" ht="15" customHeight="1">
      <c r="A548" s="162">
        <v>4496</v>
      </c>
      <c r="B548" s="162" t="s">
        <v>10695</v>
      </c>
      <c r="D548" s="187" t="s">
        <v>74</v>
      </c>
      <c r="E548" s="168" t="s">
        <v>10689</v>
      </c>
      <c r="F548" s="168" t="s">
        <v>10692</v>
      </c>
      <c r="G548" s="173">
        <v>4016</v>
      </c>
      <c r="H548" s="188" t="s">
        <v>2051</v>
      </c>
      <c r="I548" s="167" t="str">
        <f>IF(Plan_Comptable[[#This Row],[Sous-compte]]="","",LEFT(Plan_Comptable[[#This Row],[Sous-compte]]&amp;"00",4))</f>
        <v>4016</v>
      </c>
      <c r="J548" s="167" t="s">
        <v>1276</v>
      </c>
    </row>
    <row r="549" spans="1:10" ht="15" customHeight="1">
      <c r="A549" s="162">
        <v>4497</v>
      </c>
      <c r="B549" s="162" t="s">
        <v>10696</v>
      </c>
      <c r="D549" s="187" t="s">
        <v>74</v>
      </c>
      <c r="E549" s="168" t="s">
        <v>10689</v>
      </c>
      <c r="F549" s="168" t="s">
        <v>10692</v>
      </c>
      <c r="G549" s="176">
        <v>4017</v>
      </c>
      <c r="H549" s="167" t="s">
        <v>10536</v>
      </c>
      <c r="I549" s="167" t="str">
        <f>IF(Plan_Comptable[[#This Row],[Sous-compte]]="","",LEFT(Plan_Comptable[[#This Row],[Sous-compte]]&amp;"00",4))</f>
        <v>4017</v>
      </c>
      <c r="J549" s="167" t="s">
        <v>1276</v>
      </c>
    </row>
    <row r="550" spans="1:10" ht="15" customHeight="1">
      <c r="A550" s="162">
        <v>4499</v>
      </c>
      <c r="B550" s="162" t="s">
        <v>10697</v>
      </c>
      <c r="D550" s="187" t="s">
        <v>74</v>
      </c>
      <c r="E550" s="168" t="s">
        <v>10689</v>
      </c>
      <c r="F550" s="168">
        <v>402</v>
      </c>
      <c r="G550" s="176"/>
      <c r="H550" s="167" t="s">
        <v>10698</v>
      </c>
      <c r="I550" s="167" t="str">
        <f>IF(Plan_Comptable[[#This Row],[Sous-compte]]="","",LEFT(Plan_Comptable[[#This Row],[Sous-compte]]&amp;"00",4))</f>
        <v/>
      </c>
      <c r="J550" s="167"/>
    </row>
    <row r="551" spans="1:10" ht="15" customHeight="1">
      <c r="A551" s="162">
        <v>451</v>
      </c>
      <c r="B551" s="162" t="s">
        <v>10699</v>
      </c>
      <c r="D551" s="187" t="s">
        <v>74</v>
      </c>
      <c r="E551" s="168" t="s">
        <v>10689</v>
      </c>
      <c r="F551" s="168" t="s">
        <v>10700</v>
      </c>
      <c r="G551" s="176">
        <v>4021</v>
      </c>
      <c r="H551" s="167" t="s">
        <v>10537</v>
      </c>
      <c r="I551" s="167" t="str">
        <f>IF(Plan_Comptable[[#This Row],[Sous-compte]]="","",LEFT(Plan_Comptable[[#This Row],[Sous-compte]]&amp;"00",4))</f>
        <v>4021</v>
      </c>
      <c r="J551" s="167" t="s">
        <v>1276</v>
      </c>
    </row>
    <row r="552" spans="1:10" ht="15" customHeight="1">
      <c r="A552" s="162">
        <v>452</v>
      </c>
      <c r="B552" s="162" t="s">
        <v>10701</v>
      </c>
      <c r="D552" s="187" t="s">
        <v>74</v>
      </c>
      <c r="E552" s="168" t="s">
        <v>10689</v>
      </c>
      <c r="F552" s="168" t="s">
        <v>10700</v>
      </c>
      <c r="G552" s="176">
        <v>4022</v>
      </c>
      <c r="H552" s="167" t="s">
        <v>10538</v>
      </c>
      <c r="I552" s="167" t="str">
        <f>IF(Plan_Comptable[[#This Row],[Sous-compte]]="","",LEFT(Plan_Comptable[[#This Row],[Sous-compte]]&amp;"00",4))</f>
        <v>4022</v>
      </c>
      <c r="J552" s="167" t="s">
        <v>1276</v>
      </c>
    </row>
    <row r="553" spans="1:10" ht="15" customHeight="1">
      <c r="A553" s="162">
        <v>4581</v>
      </c>
      <c r="B553" s="162" t="s">
        <v>10702</v>
      </c>
      <c r="D553" s="187" t="s">
        <v>74</v>
      </c>
      <c r="E553" s="168" t="s">
        <v>10689</v>
      </c>
      <c r="F553" s="168" t="s">
        <v>10700</v>
      </c>
      <c r="G553" s="176">
        <v>4023</v>
      </c>
      <c r="H553" s="167" t="s">
        <v>10539</v>
      </c>
      <c r="I553" s="167" t="str">
        <f>IF(Plan_Comptable[[#This Row],[Sous-compte]]="","",LEFT(Plan_Comptable[[#This Row],[Sous-compte]]&amp;"00",4))</f>
        <v>4023</v>
      </c>
      <c r="J553" s="167" t="s">
        <v>1276</v>
      </c>
    </row>
    <row r="554" spans="1:10" ht="15" customHeight="1">
      <c r="A554" s="162">
        <v>4582</v>
      </c>
      <c r="B554" s="162" t="s">
        <v>10703</v>
      </c>
      <c r="D554" s="187" t="s">
        <v>74</v>
      </c>
      <c r="E554" s="168" t="s">
        <v>10689</v>
      </c>
      <c r="F554" s="184">
        <v>404</v>
      </c>
      <c r="G554" s="196"/>
      <c r="H554" s="175" t="s">
        <v>10704</v>
      </c>
      <c r="I554" s="167" t="str">
        <f>IF(Plan_Comptable[[#This Row],[Sous-compte]]="","",LEFT(Plan_Comptable[[#This Row],[Sous-compte]]&amp;"00",4))</f>
        <v/>
      </c>
      <c r="J554" s="167"/>
    </row>
    <row r="555" spans="1:10" ht="15" customHeight="1">
      <c r="A555" s="162">
        <v>4611</v>
      </c>
      <c r="B555" s="162" t="s">
        <v>10705</v>
      </c>
      <c r="D555" s="187" t="s">
        <v>74</v>
      </c>
      <c r="E555" s="168" t="s">
        <v>10689</v>
      </c>
      <c r="F555" s="184" t="s">
        <v>10706</v>
      </c>
      <c r="G555" s="173">
        <v>4041</v>
      </c>
      <c r="H555" s="174" t="s">
        <v>10541</v>
      </c>
      <c r="I555" s="167" t="str">
        <f>IF(Plan_Comptable[[#This Row],[Sous-compte]]="","",LEFT(Plan_Comptable[[#This Row],[Sous-compte]]&amp;"00",4))</f>
        <v>4041</v>
      </c>
      <c r="J555" s="167" t="s">
        <v>1276</v>
      </c>
    </row>
    <row r="556" spans="1:10" ht="15" customHeight="1">
      <c r="A556" s="162">
        <v>4612</v>
      </c>
      <c r="B556" s="162" t="s">
        <v>10707</v>
      </c>
      <c r="D556" s="187" t="s">
        <v>74</v>
      </c>
      <c r="E556" s="168" t="s">
        <v>10689</v>
      </c>
      <c r="F556" s="184" t="s">
        <v>10706</v>
      </c>
      <c r="G556" s="173">
        <v>4042</v>
      </c>
      <c r="H556" s="174" t="s">
        <v>10543</v>
      </c>
      <c r="I556" s="167" t="str">
        <f>IF(Plan_Comptable[[#This Row],[Sous-compte]]="","",LEFT(Plan_Comptable[[#This Row],[Sous-compte]]&amp;"00",4))</f>
        <v>4042</v>
      </c>
      <c r="J556" s="167" t="s">
        <v>1276</v>
      </c>
    </row>
    <row r="557" spans="1:10" ht="15" customHeight="1">
      <c r="A557" s="162">
        <v>4613</v>
      </c>
      <c r="B557" s="162" t="s">
        <v>10708</v>
      </c>
      <c r="D557" s="187" t="s">
        <v>74</v>
      </c>
      <c r="E557" s="168" t="s">
        <v>10689</v>
      </c>
      <c r="F557" s="184" t="s">
        <v>10706</v>
      </c>
      <c r="G557" s="173">
        <v>4046</v>
      </c>
      <c r="H557" s="174" t="s">
        <v>10544</v>
      </c>
      <c r="I557" s="167" t="str">
        <f>IF(Plan_Comptable[[#This Row],[Sous-compte]]="","",LEFT(Plan_Comptable[[#This Row],[Sous-compte]]&amp;"00",4))</f>
        <v>4046</v>
      </c>
      <c r="J557" s="167" t="s">
        <v>1276</v>
      </c>
    </row>
    <row r="558" spans="1:10" ht="15" customHeight="1">
      <c r="A558" s="162">
        <v>4614</v>
      </c>
      <c r="B558" s="162" t="s">
        <v>10709</v>
      </c>
      <c r="D558" s="187" t="s">
        <v>74</v>
      </c>
      <c r="E558" s="168" t="s">
        <v>10689</v>
      </c>
      <c r="F558" s="184" t="s">
        <v>10706</v>
      </c>
      <c r="G558" s="173">
        <v>4047</v>
      </c>
      <c r="H558" s="174" t="s">
        <v>10546</v>
      </c>
      <c r="I558" s="167" t="str">
        <f>IF(Plan_Comptable[[#This Row],[Sous-compte]]="","",LEFT(Plan_Comptable[[#This Row],[Sous-compte]]&amp;"00",4))</f>
        <v>4047</v>
      </c>
      <c r="J558" s="167" t="s">
        <v>1276</v>
      </c>
    </row>
    <row r="559" spans="1:10" ht="15" customHeight="1">
      <c r="A559" s="162">
        <v>4615</v>
      </c>
      <c r="B559" s="162" t="s">
        <v>10710</v>
      </c>
      <c r="D559" s="187" t="s">
        <v>74</v>
      </c>
      <c r="E559" s="168" t="s">
        <v>10689</v>
      </c>
      <c r="F559" s="168">
        <v>408</v>
      </c>
      <c r="G559" s="176"/>
      <c r="H559" s="167" t="s">
        <v>10711</v>
      </c>
      <c r="I559" s="167" t="str">
        <f>IF(Plan_Comptable[[#This Row],[Sous-compte]]="","",LEFT(Plan_Comptable[[#This Row],[Sous-compte]]&amp;"00",4))</f>
        <v/>
      </c>
      <c r="J559" s="167"/>
    </row>
    <row r="560" spans="1:10" ht="15" customHeight="1">
      <c r="A560" s="162">
        <v>4616</v>
      </c>
      <c r="B560" s="162" t="s">
        <v>10712</v>
      </c>
      <c r="D560" s="187" t="s">
        <v>74</v>
      </c>
      <c r="E560" s="168" t="s">
        <v>10689</v>
      </c>
      <c r="F560" s="168" t="s">
        <v>10713</v>
      </c>
      <c r="G560" s="176">
        <v>4081</v>
      </c>
      <c r="H560" s="167" t="s">
        <v>10548</v>
      </c>
      <c r="I560" s="167" t="str">
        <f>IF(Plan_Comptable[[#This Row],[Sous-compte]]="","",LEFT(Plan_Comptable[[#This Row],[Sous-compte]]&amp;"00",4))</f>
        <v>4081</v>
      </c>
      <c r="J560" s="167" t="s">
        <v>1276</v>
      </c>
    </row>
    <row r="561" spans="1:10" ht="15" customHeight="1">
      <c r="A561" s="162">
        <v>4617</v>
      </c>
      <c r="B561" s="162" t="s">
        <v>10714</v>
      </c>
      <c r="D561" s="187" t="s">
        <v>74</v>
      </c>
      <c r="E561" s="168" t="s">
        <v>10689</v>
      </c>
      <c r="F561" s="168" t="s">
        <v>10713</v>
      </c>
      <c r="G561" s="176">
        <v>4082</v>
      </c>
      <c r="H561" s="167" t="s">
        <v>10549</v>
      </c>
      <c r="I561" s="167" t="str">
        <f>IF(Plan_Comptable[[#This Row],[Sous-compte]]="","",LEFT(Plan_Comptable[[#This Row],[Sous-compte]]&amp;"00",4))</f>
        <v>4082</v>
      </c>
      <c r="J561" s="167" t="s">
        <v>1276</v>
      </c>
    </row>
    <row r="562" spans="1:10" ht="15" customHeight="1">
      <c r="A562" s="162">
        <v>4618</v>
      </c>
      <c r="B562" s="162" t="s">
        <v>10715</v>
      </c>
      <c r="D562" s="187" t="s">
        <v>74</v>
      </c>
      <c r="E562" s="168" t="s">
        <v>10689</v>
      </c>
      <c r="F562" s="168" t="s">
        <v>10713</v>
      </c>
      <c r="G562" s="176">
        <v>4083</v>
      </c>
      <c r="H562" s="167" t="s">
        <v>10535</v>
      </c>
      <c r="I562" s="167" t="str">
        <f>IF(Plan_Comptable[[#This Row],[Sous-compte]]="","",LEFT(Plan_Comptable[[#This Row],[Sous-compte]]&amp;"00",4))</f>
        <v>4083</v>
      </c>
      <c r="J562" s="167" t="s">
        <v>1276</v>
      </c>
    </row>
    <row r="563" spans="1:10" ht="15" customHeight="1">
      <c r="A563" s="162">
        <v>4619</v>
      </c>
      <c r="B563" s="162" t="s">
        <v>10716</v>
      </c>
      <c r="D563" s="187" t="s">
        <v>74</v>
      </c>
      <c r="E563" s="168" t="s">
        <v>10689</v>
      </c>
      <c r="F563" s="168" t="s">
        <v>10713</v>
      </c>
      <c r="G563" s="176">
        <v>4086</v>
      </c>
      <c r="H563" s="167" t="s">
        <v>10550</v>
      </c>
      <c r="I563" s="167" t="str">
        <f>IF(Plan_Comptable[[#This Row],[Sous-compte]]="","",LEFT(Plan_Comptable[[#This Row],[Sous-compte]]&amp;"00",4))</f>
        <v>4086</v>
      </c>
      <c r="J563" s="167" t="s">
        <v>1276</v>
      </c>
    </row>
    <row r="564" spans="1:10" ht="15" customHeight="1">
      <c r="A564" s="162">
        <v>4621</v>
      </c>
      <c r="B564" s="162" t="s">
        <v>10717</v>
      </c>
      <c r="D564" s="187" t="s">
        <v>74</v>
      </c>
      <c r="E564" s="168" t="s">
        <v>10689</v>
      </c>
      <c r="F564" s="168">
        <v>409</v>
      </c>
      <c r="G564" s="176"/>
      <c r="H564" s="167" t="s">
        <v>10718</v>
      </c>
      <c r="I564" s="167" t="str">
        <f>IF(Plan_Comptable[[#This Row],[Sous-compte]]="","",LEFT(Plan_Comptable[[#This Row],[Sous-compte]]&amp;"00",4))</f>
        <v/>
      </c>
      <c r="J564" s="167"/>
    </row>
    <row r="565" spans="1:10" ht="15" customHeight="1">
      <c r="A565" s="162">
        <v>4626</v>
      </c>
      <c r="B565" s="162" t="s">
        <v>1704</v>
      </c>
      <c r="D565" s="187" t="s">
        <v>74</v>
      </c>
      <c r="E565" s="168" t="s">
        <v>10689</v>
      </c>
      <c r="F565" s="168" t="s">
        <v>10719</v>
      </c>
      <c r="G565" s="176">
        <v>4091</v>
      </c>
      <c r="H565" s="167" t="s">
        <v>10551</v>
      </c>
      <c r="I565" s="167" t="str">
        <f>IF(Plan_Comptable[[#This Row],[Sous-compte]]="","",LEFT(Plan_Comptable[[#This Row],[Sous-compte]]&amp;"00",4))</f>
        <v>4091</v>
      </c>
      <c r="J565" s="167" t="s">
        <v>1279</v>
      </c>
    </row>
    <row r="566" spans="1:10" ht="15" customHeight="1">
      <c r="A566" s="162">
        <v>4631</v>
      </c>
      <c r="B566" s="162" t="s">
        <v>10005</v>
      </c>
      <c r="D566" s="187" t="s">
        <v>74</v>
      </c>
      <c r="E566" s="168" t="s">
        <v>10689</v>
      </c>
      <c r="F566" s="168" t="s">
        <v>10719</v>
      </c>
      <c r="G566" s="176">
        <v>4092</v>
      </c>
      <c r="H566" s="167" t="s">
        <v>10552</v>
      </c>
      <c r="I566" s="167" t="str">
        <f>IF(Plan_Comptable[[#This Row],[Sous-compte]]="","",LEFT(Plan_Comptable[[#This Row],[Sous-compte]]&amp;"00",4))</f>
        <v>4092</v>
      </c>
      <c r="J566" s="167" t="s">
        <v>1279</v>
      </c>
    </row>
    <row r="567" spans="1:10" ht="15" customHeight="1">
      <c r="A567" s="162">
        <v>4636</v>
      </c>
      <c r="B567" s="162" t="s">
        <v>1704</v>
      </c>
      <c r="D567" s="187" t="s">
        <v>74</v>
      </c>
      <c r="E567" s="168" t="s">
        <v>10689</v>
      </c>
      <c r="F567" s="168" t="s">
        <v>10719</v>
      </c>
      <c r="G567" s="176">
        <v>4093</v>
      </c>
      <c r="H567" s="167" t="s">
        <v>10554</v>
      </c>
      <c r="I567" s="167" t="str">
        <f>IF(Plan_Comptable[[#This Row],[Sous-compte]]="","",LEFT(Plan_Comptable[[#This Row],[Sous-compte]]&amp;"00",4))</f>
        <v>4093</v>
      </c>
      <c r="J567" s="167" t="s">
        <v>1279</v>
      </c>
    </row>
    <row r="568" spans="1:10" ht="15" customHeight="1">
      <c r="A568" s="162">
        <v>465</v>
      </c>
      <c r="B568" s="162" t="s">
        <v>10720</v>
      </c>
      <c r="D568" s="187" t="s">
        <v>74</v>
      </c>
      <c r="E568" s="168" t="s">
        <v>10689</v>
      </c>
      <c r="F568" s="168" t="s">
        <v>10719</v>
      </c>
      <c r="G568" s="176">
        <v>4094</v>
      </c>
      <c r="H568" s="167" t="s">
        <v>10556</v>
      </c>
      <c r="I568" s="167" t="str">
        <f>IF(Plan_Comptable[[#This Row],[Sous-compte]]="","",LEFT(Plan_Comptable[[#This Row],[Sous-compte]]&amp;"00",4))</f>
        <v>4094</v>
      </c>
      <c r="J568" s="167" t="s">
        <v>1279</v>
      </c>
    </row>
    <row r="569" spans="1:10" ht="15" customHeight="1">
      <c r="A569" s="162">
        <v>466</v>
      </c>
      <c r="B569" s="162" t="s">
        <v>10721</v>
      </c>
      <c r="D569" s="187" t="s">
        <v>74</v>
      </c>
      <c r="E569" s="168" t="s">
        <v>10689</v>
      </c>
      <c r="F569" s="168" t="s">
        <v>10719</v>
      </c>
      <c r="G569" s="172">
        <v>4098</v>
      </c>
      <c r="H569" s="179" t="s">
        <v>10557</v>
      </c>
      <c r="I569" s="167" t="str">
        <f>IF(Plan_Comptable[[#This Row],[Sous-compte]]="","",LEFT(Plan_Comptable[[#This Row],[Sous-compte]]&amp;"00",4))</f>
        <v>4098</v>
      </c>
      <c r="J569" s="167" t="s">
        <v>1279</v>
      </c>
    </row>
    <row r="570" spans="1:10" ht="15" customHeight="1">
      <c r="A570" s="162">
        <v>467</v>
      </c>
      <c r="B570" s="162" t="s">
        <v>10722</v>
      </c>
      <c r="D570" s="187" t="s">
        <v>74</v>
      </c>
      <c r="E570" s="189">
        <v>41</v>
      </c>
      <c r="F570" s="165" t="s">
        <v>9941</v>
      </c>
      <c r="G570" s="165"/>
      <c r="H570" s="166" t="s">
        <v>10723</v>
      </c>
      <c r="I570" s="167" t="str">
        <f>IF(Plan_Comptable[[#This Row],[Sous-compte]]="","",LEFT(Plan_Comptable[[#This Row],[Sous-compte]]&amp;"00",4))</f>
        <v/>
      </c>
      <c r="J570" s="167"/>
    </row>
    <row r="571" spans="1:10" ht="15" customHeight="1">
      <c r="A571" s="162">
        <v>469</v>
      </c>
      <c r="B571" s="162" t="s">
        <v>10724</v>
      </c>
      <c r="D571" s="187" t="s">
        <v>74</v>
      </c>
      <c r="E571" s="168" t="s">
        <v>10725</v>
      </c>
      <c r="F571" s="168">
        <v>411</v>
      </c>
      <c r="G571" s="176"/>
      <c r="H571" s="167" t="s">
        <v>1447</v>
      </c>
      <c r="I571" s="167" t="str">
        <f>IF(Plan_Comptable[[#This Row],[Sous-compte]]="","",LEFT(Plan_Comptable[[#This Row],[Sous-compte]]&amp;"00",4))</f>
        <v/>
      </c>
      <c r="J571" s="167"/>
    </row>
    <row r="572" spans="1:10" ht="15" customHeight="1">
      <c r="A572" s="162">
        <v>4711</v>
      </c>
      <c r="B572" s="162" t="s">
        <v>10726</v>
      </c>
      <c r="D572" s="187" t="s">
        <v>74</v>
      </c>
      <c r="E572" s="168" t="s">
        <v>10725</v>
      </c>
      <c r="F572" s="168" t="s">
        <v>10727</v>
      </c>
      <c r="G572" s="176">
        <v>4111</v>
      </c>
      <c r="H572" s="167" t="s">
        <v>1202</v>
      </c>
      <c r="I572" s="167" t="str">
        <f>IF(Plan_Comptable[[#This Row],[Sous-compte]]="","",LEFT(Plan_Comptable[[#This Row],[Sous-compte]]&amp;"00",4))</f>
        <v>4111</v>
      </c>
      <c r="J572" s="167" t="s">
        <v>1279</v>
      </c>
    </row>
    <row r="573" spans="1:10" ht="15" customHeight="1">
      <c r="A573" s="162">
        <v>4712</v>
      </c>
      <c r="B573" s="162" t="s">
        <v>1560</v>
      </c>
      <c r="D573" s="187" t="s">
        <v>74</v>
      </c>
      <c r="E573" s="168" t="s">
        <v>10725</v>
      </c>
      <c r="F573" s="168" t="s">
        <v>10727</v>
      </c>
      <c r="G573" s="169">
        <v>4112</v>
      </c>
      <c r="H573" s="170" t="s">
        <v>10558</v>
      </c>
      <c r="I573" s="167" t="str">
        <f>IF(Plan_Comptable[[#This Row],[Sous-compte]]="","",LEFT(Plan_Comptable[[#This Row],[Sous-compte]]&amp;"00",4))</f>
        <v>4112</v>
      </c>
      <c r="J573" s="167" t="s">
        <v>1279</v>
      </c>
    </row>
    <row r="574" spans="1:10" ht="15" customHeight="1">
      <c r="A574" s="162">
        <v>4713</v>
      </c>
      <c r="B574" s="162" t="s">
        <v>10728</v>
      </c>
      <c r="D574" s="187" t="s">
        <v>74</v>
      </c>
      <c r="E574" s="168" t="s">
        <v>10725</v>
      </c>
      <c r="F574" s="168" t="s">
        <v>10727</v>
      </c>
      <c r="G574" s="169">
        <v>4114</v>
      </c>
      <c r="H574" s="170" t="s">
        <v>10559</v>
      </c>
      <c r="I574" s="167" t="str">
        <f>IF(Plan_Comptable[[#This Row],[Sous-compte]]="","",LEFT(Plan_Comptable[[#This Row],[Sous-compte]]&amp;"00",4))</f>
        <v>4114</v>
      </c>
      <c r="J574" s="167" t="s">
        <v>1279</v>
      </c>
    </row>
    <row r="575" spans="1:10" ht="15" customHeight="1">
      <c r="A575" s="162">
        <v>4715</v>
      </c>
      <c r="B575" s="162" t="s">
        <v>10729</v>
      </c>
      <c r="D575" s="187" t="s">
        <v>74</v>
      </c>
      <c r="E575" s="168" t="s">
        <v>10725</v>
      </c>
      <c r="F575" s="168" t="s">
        <v>10727</v>
      </c>
      <c r="G575" s="169">
        <v>4115</v>
      </c>
      <c r="H575" s="170" t="s">
        <v>10560</v>
      </c>
      <c r="I575" s="167" t="str">
        <f>IF(Plan_Comptable[[#This Row],[Sous-compte]]="","",LEFT(Plan_Comptable[[#This Row],[Sous-compte]]&amp;"00",4))</f>
        <v>4115</v>
      </c>
      <c r="J575" s="167" t="s">
        <v>1279</v>
      </c>
    </row>
    <row r="576" spans="1:10" ht="15" customHeight="1">
      <c r="A576" s="162">
        <v>4716</v>
      </c>
      <c r="B576" s="162" t="s">
        <v>10730</v>
      </c>
      <c r="D576" s="187" t="s">
        <v>74</v>
      </c>
      <c r="E576" s="168" t="s">
        <v>10725</v>
      </c>
      <c r="F576" s="168" t="s">
        <v>10727</v>
      </c>
      <c r="G576" s="173">
        <v>4116</v>
      </c>
      <c r="H576" s="188" t="s">
        <v>10561</v>
      </c>
      <c r="I576" s="167" t="str">
        <f>IF(Plan_Comptable[[#This Row],[Sous-compte]]="","",LEFT(Plan_Comptable[[#This Row],[Sous-compte]]&amp;"00",4))</f>
        <v>4116</v>
      </c>
      <c r="J576" s="167" t="s">
        <v>1279</v>
      </c>
    </row>
    <row r="577" spans="1:10" ht="15" customHeight="1">
      <c r="A577" s="162">
        <v>4717</v>
      </c>
      <c r="B577" s="162" t="s">
        <v>10731</v>
      </c>
      <c r="D577" s="187" t="s">
        <v>74</v>
      </c>
      <c r="E577" s="168" t="s">
        <v>10725</v>
      </c>
      <c r="F577" s="168" t="s">
        <v>10727</v>
      </c>
      <c r="G577" s="169">
        <v>4117</v>
      </c>
      <c r="H577" s="167" t="s">
        <v>10563</v>
      </c>
      <c r="I577" s="167" t="str">
        <f>IF(Plan_Comptable[[#This Row],[Sous-compte]]="","",LEFT(Plan_Comptable[[#This Row],[Sous-compte]]&amp;"00",4))</f>
        <v>4117</v>
      </c>
      <c r="J577" s="167" t="s">
        <v>1279</v>
      </c>
    </row>
    <row r="578" spans="1:10" ht="15" customHeight="1">
      <c r="A578" s="162">
        <v>4718</v>
      </c>
      <c r="B578" s="162" t="s">
        <v>10732</v>
      </c>
      <c r="D578" s="187" t="s">
        <v>74</v>
      </c>
      <c r="E578" s="168" t="s">
        <v>10725</v>
      </c>
      <c r="F578" s="168" t="s">
        <v>10727</v>
      </c>
      <c r="G578" s="169">
        <v>4118</v>
      </c>
      <c r="H578" s="170" t="s">
        <v>10566</v>
      </c>
      <c r="I578" s="167" t="str">
        <f>IF(Plan_Comptable[[#This Row],[Sous-compte]]="","",LEFT(Plan_Comptable[[#This Row],[Sous-compte]]&amp;"00",4))</f>
        <v>4118</v>
      </c>
      <c r="J578" s="167" t="s">
        <v>1279</v>
      </c>
    </row>
    <row r="579" spans="1:10" ht="15" customHeight="1">
      <c r="A579" s="162">
        <v>4719</v>
      </c>
      <c r="B579" s="162" t="s">
        <v>10733</v>
      </c>
      <c r="D579" s="187" t="s">
        <v>74</v>
      </c>
      <c r="E579" s="168" t="s">
        <v>10725</v>
      </c>
      <c r="F579" s="168">
        <v>412</v>
      </c>
      <c r="G579" s="176"/>
      <c r="H579" s="167" t="s">
        <v>10734</v>
      </c>
      <c r="I579" s="167" t="str">
        <f>IF(Plan_Comptable[[#This Row],[Sous-compte]]="","",LEFT(Plan_Comptable[[#This Row],[Sous-compte]]&amp;"00",4))</f>
        <v/>
      </c>
      <c r="J579" s="167"/>
    </row>
    <row r="580" spans="1:10" ht="15" customHeight="1">
      <c r="A580" s="162">
        <v>4721</v>
      </c>
      <c r="B580" s="162" t="s">
        <v>10735</v>
      </c>
      <c r="D580" s="187" t="s">
        <v>74</v>
      </c>
      <c r="E580" s="168" t="s">
        <v>10725</v>
      </c>
      <c r="F580" s="168" t="s">
        <v>10736</v>
      </c>
      <c r="G580" s="176">
        <v>4121</v>
      </c>
      <c r="H580" s="167" t="s">
        <v>10568</v>
      </c>
      <c r="I580" s="167" t="str">
        <f>IF(Plan_Comptable[[#This Row],[Sous-compte]]="","",LEFT(Plan_Comptable[[#This Row],[Sous-compte]]&amp;"00",4))</f>
        <v>4121</v>
      </c>
      <c r="J580" s="167" t="s">
        <v>1279</v>
      </c>
    </row>
    <row r="581" spans="1:10" ht="15" customHeight="1">
      <c r="A581" s="162">
        <v>4726</v>
      </c>
      <c r="B581" s="162" t="s">
        <v>5480</v>
      </c>
      <c r="D581" s="187" t="s">
        <v>74</v>
      </c>
      <c r="E581" s="168" t="s">
        <v>10725</v>
      </c>
      <c r="F581" s="168" t="s">
        <v>10736</v>
      </c>
      <c r="G581" s="176">
        <v>4122</v>
      </c>
      <c r="H581" s="167" t="s">
        <v>10569</v>
      </c>
      <c r="I581" s="167" t="str">
        <f>IF(Plan_Comptable[[#This Row],[Sous-compte]]="","",LEFT(Plan_Comptable[[#This Row],[Sous-compte]]&amp;"00",4))</f>
        <v>4122</v>
      </c>
      <c r="J581" s="167" t="s">
        <v>1279</v>
      </c>
    </row>
    <row r="582" spans="1:10" ht="15" customHeight="1">
      <c r="A582" s="162">
        <v>4731</v>
      </c>
      <c r="B582" s="162" t="s">
        <v>10737</v>
      </c>
      <c r="D582" s="187" t="s">
        <v>74</v>
      </c>
      <c r="E582" s="168" t="s">
        <v>10725</v>
      </c>
      <c r="F582" s="168" t="s">
        <v>10736</v>
      </c>
      <c r="G582" s="176">
        <v>4124</v>
      </c>
      <c r="H582" s="167" t="s">
        <v>10571</v>
      </c>
      <c r="I582" s="167" t="str">
        <f>IF(Plan_Comptable[[#This Row],[Sous-compte]]="","",LEFT(Plan_Comptable[[#This Row],[Sous-compte]]&amp;"00",4))</f>
        <v>4124</v>
      </c>
      <c r="J582" s="167" t="s">
        <v>1279</v>
      </c>
    </row>
    <row r="583" spans="1:10" ht="15" customHeight="1">
      <c r="A583" s="162">
        <v>4732</v>
      </c>
      <c r="B583" s="162" t="s">
        <v>10738</v>
      </c>
      <c r="D583" s="187" t="s">
        <v>74</v>
      </c>
      <c r="E583" s="168" t="s">
        <v>10725</v>
      </c>
      <c r="F583" s="168" t="s">
        <v>10736</v>
      </c>
      <c r="G583" s="176">
        <v>4125</v>
      </c>
      <c r="H583" s="167" t="s">
        <v>10573</v>
      </c>
      <c r="I583" s="167" t="str">
        <f>IF(Plan_Comptable[[#This Row],[Sous-compte]]="","",LEFT(Plan_Comptable[[#This Row],[Sous-compte]]&amp;"00",4))</f>
        <v>4125</v>
      </c>
      <c r="J583" s="167" t="s">
        <v>1279</v>
      </c>
    </row>
    <row r="584" spans="1:10" ht="15" customHeight="1">
      <c r="A584" s="162">
        <v>4733</v>
      </c>
      <c r="B584" s="162" t="s">
        <v>10739</v>
      </c>
      <c r="D584" s="187" t="s">
        <v>74</v>
      </c>
      <c r="E584" s="168" t="s">
        <v>10725</v>
      </c>
      <c r="F584" s="184">
        <v>413</v>
      </c>
      <c r="G584" s="196"/>
      <c r="H584" s="175" t="s">
        <v>10740</v>
      </c>
      <c r="I584" s="167" t="str">
        <f>IF(Plan_Comptable[[#This Row],[Sous-compte]]="","",LEFT(Plan_Comptable[[#This Row],[Sous-compte]]&amp;"00",4))</f>
        <v/>
      </c>
      <c r="J584" s="167"/>
    </row>
    <row r="585" spans="1:10" ht="15" customHeight="1">
      <c r="A585" s="162">
        <v>4734</v>
      </c>
      <c r="B585" s="162" t="s">
        <v>10741</v>
      </c>
      <c r="D585" s="187" t="s">
        <v>74</v>
      </c>
      <c r="E585" s="168" t="s">
        <v>10725</v>
      </c>
      <c r="F585" s="184" t="s">
        <v>10742</v>
      </c>
      <c r="G585" s="173">
        <v>4131</v>
      </c>
      <c r="H585" s="188" t="s">
        <v>10574</v>
      </c>
      <c r="I585" s="167" t="str">
        <f>IF(Plan_Comptable[[#This Row],[Sous-compte]]="","",LEFT(Plan_Comptable[[#This Row],[Sous-compte]]&amp;"00",4))</f>
        <v>4131</v>
      </c>
      <c r="J585" s="167" t="s">
        <v>1279</v>
      </c>
    </row>
    <row r="586" spans="1:10" ht="15" customHeight="1">
      <c r="A586" s="162">
        <v>4739</v>
      </c>
      <c r="B586" s="162" t="s">
        <v>10743</v>
      </c>
      <c r="D586" s="187" t="s">
        <v>74</v>
      </c>
      <c r="E586" s="168" t="s">
        <v>10725</v>
      </c>
      <c r="F586" s="184" t="s">
        <v>10742</v>
      </c>
      <c r="G586" s="173">
        <v>4132</v>
      </c>
      <c r="H586" s="174" t="s">
        <v>10576</v>
      </c>
      <c r="I586" s="167" t="str">
        <f>IF(Plan_Comptable[[#This Row],[Sous-compte]]="","",LEFT(Plan_Comptable[[#This Row],[Sous-compte]]&amp;"00",4))</f>
        <v>4132</v>
      </c>
      <c r="J586" s="167" t="s">
        <v>1279</v>
      </c>
    </row>
    <row r="587" spans="1:10" ht="15" customHeight="1">
      <c r="A587" s="162">
        <v>4746</v>
      </c>
      <c r="B587" s="162" t="s">
        <v>10744</v>
      </c>
      <c r="D587" s="187" t="s">
        <v>74</v>
      </c>
      <c r="E587" s="168" t="s">
        <v>10725</v>
      </c>
      <c r="F587" s="184" t="s">
        <v>10742</v>
      </c>
      <c r="G587" s="173">
        <v>4133</v>
      </c>
      <c r="H587" s="174" t="s">
        <v>10578</v>
      </c>
      <c r="I587" s="167" t="str">
        <f>IF(Plan_Comptable[[#This Row],[Sous-compte]]="","",LEFT(Plan_Comptable[[#This Row],[Sous-compte]]&amp;"00",4))</f>
        <v>4133</v>
      </c>
      <c r="J587" s="167" t="s">
        <v>1279</v>
      </c>
    </row>
    <row r="588" spans="1:10" ht="15" customHeight="1">
      <c r="A588" s="162">
        <v>4747</v>
      </c>
      <c r="B588" s="162" t="s">
        <v>10745</v>
      </c>
      <c r="D588" s="187" t="s">
        <v>74</v>
      </c>
      <c r="E588" s="168" t="s">
        <v>10725</v>
      </c>
      <c r="F588" s="184" t="s">
        <v>10742</v>
      </c>
      <c r="G588" s="173">
        <v>4138</v>
      </c>
      <c r="H588" s="174" t="s">
        <v>10579</v>
      </c>
      <c r="I588" s="167" t="str">
        <f>IF(Plan_Comptable[[#This Row],[Sous-compte]]="","",LEFT(Plan_Comptable[[#This Row],[Sous-compte]]&amp;"00",4))</f>
        <v>4138</v>
      </c>
      <c r="J588" s="167" t="s">
        <v>1279</v>
      </c>
    </row>
    <row r="589" spans="1:10" ht="15" customHeight="1">
      <c r="A589" s="162">
        <v>4751</v>
      </c>
      <c r="B589" s="162" t="s">
        <v>10746</v>
      </c>
      <c r="D589" s="187" t="s">
        <v>74</v>
      </c>
      <c r="E589" s="168" t="s">
        <v>10725</v>
      </c>
      <c r="F589" s="171">
        <v>414</v>
      </c>
      <c r="G589" s="172"/>
      <c r="H589" s="179" t="s">
        <v>10747</v>
      </c>
      <c r="I589" s="167" t="str">
        <f>IF(Plan_Comptable[[#This Row],[Sous-compte]]="","",LEFT(Plan_Comptable[[#This Row],[Sous-compte]]&amp;"00",4))</f>
        <v/>
      </c>
      <c r="J589" s="167"/>
    </row>
    <row r="590" spans="1:10" ht="15" customHeight="1">
      <c r="A590" s="162">
        <v>4752</v>
      </c>
      <c r="B590" s="162" t="s">
        <v>10748</v>
      </c>
      <c r="D590" s="187" t="s">
        <v>74</v>
      </c>
      <c r="E590" s="168" t="s">
        <v>10725</v>
      </c>
      <c r="F590" s="168" t="s">
        <v>10749</v>
      </c>
      <c r="G590" s="172">
        <v>4141</v>
      </c>
      <c r="H590" s="192" t="s">
        <v>10580</v>
      </c>
      <c r="I590" s="167" t="str">
        <f>IF(Plan_Comptable[[#This Row],[Sous-compte]]="","",LEFT(Plan_Comptable[[#This Row],[Sous-compte]]&amp;"00",4))</f>
        <v>4141</v>
      </c>
      <c r="J590" s="167" t="s">
        <v>1279</v>
      </c>
    </row>
    <row r="591" spans="1:10" ht="15" customHeight="1">
      <c r="A591" s="162">
        <v>476</v>
      </c>
      <c r="B591" s="162" t="s">
        <v>10750</v>
      </c>
      <c r="D591" s="187" t="s">
        <v>74</v>
      </c>
      <c r="E591" s="168" t="s">
        <v>10725</v>
      </c>
      <c r="F591" s="168" t="s">
        <v>10749</v>
      </c>
      <c r="G591" s="172">
        <v>4142</v>
      </c>
      <c r="H591" s="199" t="s">
        <v>10582</v>
      </c>
      <c r="I591" s="167" t="str">
        <f>IF(Plan_Comptable[[#This Row],[Sous-compte]]="","",LEFT(Plan_Comptable[[#This Row],[Sous-compte]]&amp;"00",4))</f>
        <v>4142</v>
      </c>
      <c r="J591" s="167" t="s">
        <v>1279</v>
      </c>
    </row>
    <row r="592" spans="1:10" ht="15" customHeight="1">
      <c r="A592" s="162">
        <v>477</v>
      </c>
      <c r="B592" s="162" t="s">
        <v>10751</v>
      </c>
      <c r="D592" s="187" t="s">
        <v>74</v>
      </c>
      <c r="E592" s="168" t="s">
        <v>10725</v>
      </c>
      <c r="F592" s="168" t="s">
        <v>10749</v>
      </c>
      <c r="G592" s="173">
        <v>4146</v>
      </c>
      <c r="H592" s="188" t="s">
        <v>10584</v>
      </c>
      <c r="I592" s="167" t="str">
        <f>IF(Plan_Comptable[[#This Row],[Sous-compte]]="","",LEFT(Plan_Comptable[[#This Row],[Sous-compte]]&amp;"00",4))</f>
        <v>4146</v>
      </c>
      <c r="J592" s="167" t="s">
        <v>1279</v>
      </c>
    </row>
    <row r="593" spans="1:10" ht="15" customHeight="1">
      <c r="A593" s="162">
        <v>4781</v>
      </c>
      <c r="B593" s="162" t="s">
        <v>10752</v>
      </c>
      <c r="D593" s="187" t="s">
        <v>74</v>
      </c>
      <c r="E593" s="168" t="s">
        <v>10725</v>
      </c>
      <c r="F593" s="168" t="s">
        <v>10749</v>
      </c>
      <c r="G593" s="173">
        <v>4147</v>
      </c>
      <c r="H593" s="188" t="s">
        <v>10585</v>
      </c>
      <c r="I593" s="167" t="str">
        <f>IF(Plan_Comptable[[#This Row],[Sous-compte]]="","",LEFT(Plan_Comptable[[#This Row],[Sous-compte]]&amp;"00",4))</f>
        <v>4147</v>
      </c>
      <c r="J593" s="167" t="s">
        <v>1279</v>
      </c>
    </row>
    <row r="594" spans="1:10" ht="15" customHeight="1">
      <c r="A594" s="162">
        <v>47811</v>
      </c>
      <c r="B594" s="162" t="s">
        <v>10753</v>
      </c>
      <c r="D594" s="187" t="s">
        <v>74</v>
      </c>
      <c r="E594" s="168" t="s">
        <v>10725</v>
      </c>
      <c r="F594" s="168">
        <v>415</v>
      </c>
      <c r="G594" s="176">
        <v>415</v>
      </c>
      <c r="H594" s="167" t="s">
        <v>10586</v>
      </c>
      <c r="I594" s="167" t="str">
        <f>IF(Plan_Comptable[[#This Row],[Sous-compte]]="","",LEFT(Plan_Comptable[[#This Row],[Sous-compte]]&amp;"00",4))</f>
        <v>4150</v>
      </c>
      <c r="J594" s="167" t="s">
        <v>1279</v>
      </c>
    </row>
    <row r="595" spans="1:10" ht="15" customHeight="1">
      <c r="A595" s="162">
        <v>47818</v>
      </c>
      <c r="B595" s="162" t="s">
        <v>10754</v>
      </c>
      <c r="D595" s="187" t="s">
        <v>74</v>
      </c>
      <c r="E595" s="168" t="s">
        <v>10725</v>
      </c>
      <c r="F595" s="168">
        <v>416</v>
      </c>
      <c r="G595" s="176"/>
      <c r="H595" s="167" t="s">
        <v>10755</v>
      </c>
      <c r="I595" s="167" t="str">
        <f>IF(Plan_Comptable[[#This Row],[Sous-compte]]="","",LEFT(Plan_Comptable[[#This Row],[Sous-compte]]&amp;"00",4))</f>
        <v/>
      </c>
      <c r="J595" s="167"/>
    </row>
    <row r="596" spans="1:10" ht="15" customHeight="1">
      <c r="A596" s="162">
        <v>4782</v>
      </c>
      <c r="B596" s="162" t="s">
        <v>10756</v>
      </c>
      <c r="D596" s="187" t="s">
        <v>74</v>
      </c>
      <c r="E596" s="168" t="s">
        <v>10725</v>
      </c>
      <c r="F596" s="168" t="s">
        <v>10757</v>
      </c>
      <c r="G596" s="176">
        <v>4161</v>
      </c>
      <c r="H596" s="167" t="s">
        <v>10588</v>
      </c>
      <c r="I596" s="167" t="str">
        <f>IF(Plan_Comptable[[#This Row],[Sous-compte]]="","",LEFT(Plan_Comptable[[#This Row],[Sous-compte]]&amp;"00",4))</f>
        <v>4161</v>
      </c>
      <c r="J596" s="167" t="s">
        <v>1279</v>
      </c>
    </row>
    <row r="597" spans="1:10" ht="15" customHeight="1">
      <c r="A597" s="162">
        <v>4783</v>
      </c>
      <c r="B597" s="162" t="s">
        <v>10758</v>
      </c>
      <c r="D597" s="187" t="s">
        <v>74</v>
      </c>
      <c r="E597" s="168" t="s">
        <v>10725</v>
      </c>
      <c r="F597" s="168" t="s">
        <v>10757</v>
      </c>
      <c r="G597" s="176">
        <v>4162</v>
      </c>
      <c r="H597" s="167" t="s">
        <v>10590</v>
      </c>
      <c r="I597" s="167" t="str">
        <f>IF(Plan_Comptable[[#This Row],[Sous-compte]]="","",LEFT(Plan_Comptable[[#This Row],[Sous-compte]]&amp;"00",4))</f>
        <v>4162</v>
      </c>
      <c r="J597" s="167" t="s">
        <v>1279</v>
      </c>
    </row>
    <row r="598" spans="1:10" ht="15" customHeight="1">
      <c r="A598" s="162">
        <v>47831</v>
      </c>
      <c r="B598" s="162" t="s">
        <v>10759</v>
      </c>
      <c r="D598" s="187" t="s">
        <v>74</v>
      </c>
      <c r="E598" s="168" t="s">
        <v>10725</v>
      </c>
      <c r="F598" s="168">
        <v>418</v>
      </c>
      <c r="G598" s="176"/>
      <c r="H598" s="167" t="s">
        <v>10760</v>
      </c>
      <c r="I598" s="167" t="str">
        <f>IF(Plan_Comptable[[#This Row],[Sous-compte]]="","",LEFT(Plan_Comptable[[#This Row],[Sous-compte]]&amp;"00",4))</f>
        <v/>
      </c>
      <c r="J598" s="167"/>
    </row>
    <row r="599" spans="1:10" ht="15" customHeight="1">
      <c r="A599" s="162">
        <v>47838</v>
      </c>
      <c r="B599" s="162" t="s">
        <v>10761</v>
      </c>
      <c r="D599" s="187" t="s">
        <v>74</v>
      </c>
      <c r="E599" s="168" t="s">
        <v>10725</v>
      </c>
      <c r="F599" s="168" t="s">
        <v>10762</v>
      </c>
      <c r="G599" s="176">
        <v>4181</v>
      </c>
      <c r="H599" s="167" t="s">
        <v>10591</v>
      </c>
      <c r="I599" s="167" t="str">
        <f>IF(Plan_Comptable[[#This Row],[Sous-compte]]="","",LEFT(Plan_Comptable[[#This Row],[Sous-compte]]&amp;"00",4))</f>
        <v>4181</v>
      </c>
      <c r="J599" s="167" t="s">
        <v>1279</v>
      </c>
    </row>
    <row r="600" spans="1:10" ht="15" customHeight="1">
      <c r="A600" s="162">
        <v>4784</v>
      </c>
      <c r="B600" s="162" t="s">
        <v>10763</v>
      </c>
      <c r="D600" s="187" t="s">
        <v>74</v>
      </c>
      <c r="E600" s="168" t="s">
        <v>10725</v>
      </c>
      <c r="F600" s="168" t="s">
        <v>10762</v>
      </c>
      <c r="G600" s="169">
        <v>4186</v>
      </c>
      <c r="H600" s="170" t="s">
        <v>10592</v>
      </c>
      <c r="I600" s="167" t="str">
        <f>IF(Plan_Comptable[[#This Row],[Sous-compte]]="","",LEFT(Plan_Comptable[[#This Row],[Sous-compte]]&amp;"00",4))</f>
        <v>4186</v>
      </c>
      <c r="J600" s="167" t="s">
        <v>1279</v>
      </c>
    </row>
    <row r="601" spans="1:10" ht="15" customHeight="1">
      <c r="A601" s="162">
        <v>4786</v>
      </c>
      <c r="B601" s="162" t="s">
        <v>10764</v>
      </c>
      <c r="D601" s="187" t="s">
        <v>74</v>
      </c>
      <c r="E601" s="168" t="s">
        <v>10725</v>
      </c>
      <c r="F601" s="168">
        <v>419</v>
      </c>
      <c r="G601" s="176"/>
      <c r="H601" s="167" t="s">
        <v>10765</v>
      </c>
      <c r="I601" s="167" t="str">
        <f>IF(Plan_Comptable[[#This Row],[Sous-compte]]="","",LEFT(Plan_Comptable[[#This Row],[Sous-compte]]&amp;"00",4))</f>
        <v/>
      </c>
      <c r="J601" s="167"/>
    </row>
    <row r="602" spans="1:10" ht="15" customHeight="1">
      <c r="A602" s="162">
        <v>4788</v>
      </c>
      <c r="B602" s="162" t="s">
        <v>10766</v>
      </c>
      <c r="D602" s="187" t="s">
        <v>74</v>
      </c>
      <c r="E602" s="168" t="s">
        <v>10725</v>
      </c>
      <c r="F602" s="168" t="s">
        <v>10767</v>
      </c>
      <c r="G602" s="176">
        <v>4191</v>
      </c>
      <c r="H602" s="167" t="s">
        <v>10593</v>
      </c>
      <c r="I602" s="167" t="str">
        <f>IF(Plan_Comptable[[#This Row],[Sous-compte]]="","",LEFT(Plan_Comptable[[#This Row],[Sous-compte]]&amp;"00",4))</f>
        <v>4191</v>
      </c>
      <c r="J602" s="167" t="s">
        <v>1276</v>
      </c>
    </row>
    <row r="603" spans="1:10" ht="15" customHeight="1">
      <c r="A603" s="162">
        <v>4791</v>
      </c>
      <c r="B603" s="162" t="s">
        <v>10768</v>
      </c>
      <c r="D603" s="187" t="s">
        <v>74</v>
      </c>
      <c r="E603" s="168" t="s">
        <v>10725</v>
      </c>
      <c r="F603" s="168" t="s">
        <v>10767</v>
      </c>
      <c r="G603" s="176">
        <v>4192</v>
      </c>
      <c r="H603" s="167" t="s">
        <v>10595</v>
      </c>
      <c r="I603" s="167" t="str">
        <f>IF(Plan_Comptable[[#This Row],[Sous-compte]]="","",LEFT(Plan_Comptable[[#This Row],[Sous-compte]]&amp;"00",4))</f>
        <v>4192</v>
      </c>
      <c r="J603" s="167" t="s">
        <v>1276</v>
      </c>
    </row>
    <row r="604" spans="1:10" ht="15" customHeight="1">
      <c r="A604" s="162">
        <v>47911</v>
      </c>
      <c r="B604" s="162" t="s">
        <v>10769</v>
      </c>
      <c r="D604" s="187" t="s">
        <v>74</v>
      </c>
      <c r="E604" s="168" t="s">
        <v>10725</v>
      </c>
      <c r="F604" s="168" t="s">
        <v>10767</v>
      </c>
      <c r="G604" s="176">
        <v>4194</v>
      </c>
      <c r="H604" s="167" t="s">
        <v>10597</v>
      </c>
      <c r="I604" s="167" t="str">
        <f>IF(Plan_Comptable[[#This Row],[Sous-compte]]="","",LEFT(Plan_Comptable[[#This Row],[Sous-compte]]&amp;"00",4))</f>
        <v>4194</v>
      </c>
      <c r="J604" s="167" t="s">
        <v>1276</v>
      </c>
    </row>
    <row r="605" spans="1:10" ht="15" customHeight="1">
      <c r="A605" s="162">
        <v>47918</v>
      </c>
      <c r="B605" s="162" t="s">
        <v>10770</v>
      </c>
      <c r="D605" s="187" t="s">
        <v>74</v>
      </c>
      <c r="E605" s="168" t="s">
        <v>10725</v>
      </c>
      <c r="F605" s="168" t="s">
        <v>10767</v>
      </c>
      <c r="G605" s="172">
        <v>4198</v>
      </c>
      <c r="H605" s="179" t="s">
        <v>10598</v>
      </c>
      <c r="I605" s="167" t="str">
        <f>IF(Plan_Comptable[[#This Row],[Sous-compte]]="","",LEFT(Plan_Comptable[[#This Row],[Sous-compte]]&amp;"00",4))</f>
        <v>4198</v>
      </c>
      <c r="J605" s="167" t="s">
        <v>1276</v>
      </c>
    </row>
    <row r="606" spans="1:10" ht="15" customHeight="1">
      <c r="A606" s="162">
        <v>4792</v>
      </c>
      <c r="B606" s="162" t="s">
        <v>10771</v>
      </c>
      <c r="D606" s="187" t="s">
        <v>74</v>
      </c>
      <c r="E606" s="189">
        <v>42</v>
      </c>
      <c r="F606" s="165" t="s">
        <v>9941</v>
      </c>
      <c r="G606" s="165"/>
      <c r="H606" s="166" t="s">
        <v>10772</v>
      </c>
      <c r="I606" s="167" t="str">
        <f>IF(Plan_Comptable[[#This Row],[Sous-compte]]="","",LEFT(Plan_Comptable[[#This Row],[Sous-compte]]&amp;"00",4))</f>
        <v/>
      </c>
      <c r="J606" s="167"/>
    </row>
    <row r="607" spans="1:10" ht="15" customHeight="1">
      <c r="A607" s="162">
        <v>4793</v>
      </c>
      <c r="B607" s="162" t="s">
        <v>10773</v>
      </c>
      <c r="D607" s="187" t="s">
        <v>74</v>
      </c>
      <c r="E607" s="168" t="s">
        <v>10774</v>
      </c>
      <c r="F607" s="168">
        <v>421</v>
      </c>
      <c r="G607" s="176"/>
      <c r="H607" s="167" t="s">
        <v>10775</v>
      </c>
      <c r="I607" s="167" t="str">
        <f>IF(Plan_Comptable[[#This Row],[Sous-compte]]="","",LEFT(Plan_Comptable[[#This Row],[Sous-compte]]&amp;"00",4))</f>
        <v/>
      </c>
      <c r="J607" s="167"/>
    </row>
    <row r="608" spans="1:10" ht="15" customHeight="1">
      <c r="A608" s="162">
        <v>47931</v>
      </c>
      <c r="B608" s="162" t="s">
        <v>10776</v>
      </c>
      <c r="D608" s="187" t="s">
        <v>74</v>
      </c>
      <c r="E608" s="168" t="s">
        <v>10774</v>
      </c>
      <c r="F608" s="168" t="s">
        <v>10777</v>
      </c>
      <c r="G608" s="176">
        <v>4211</v>
      </c>
      <c r="H608" s="167" t="s">
        <v>10599</v>
      </c>
      <c r="I608" s="167" t="str">
        <f>IF(Plan_Comptable[[#This Row],[Sous-compte]]="","",LEFT(Plan_Comptable[[#This Row],[Sous-compte]]&amp;"00",4))</f>
        <v>4211</v>
      </c>
      <c r="J608" s="167" t="s">
        <v>1279</v>
      </c>
    </row>
    <row r="609" spans="1:10" ht="15" customHeight="1">
      <c r="A609" s="162">
        <v>47938</v>
      </c>
      <c r="B609" s="162" t="s">
        <v>10778</v>
      </c>
      <c r="D609" s="187" t="s">
        <v>74</v>
      </c>
      <c r="E609" s="168" t="s">
        <v>10774</v>
      </c>
      <c r="F609" s="168" t="s">
        <v>10777</v>
      </c>
      <c r="G609" s="176">
        <v>4212</v>
      </c>
      <c r="H609" s="167" t="s">
        <v>10600</v>
      </c>
      <c r="I609" s="167" t="str">
        <f>IF(Plan_Comptable[[#This Row],[Sous-compte]]="","",LEFT(Plan_Comptable[[#This Row],[Sous-compte]]&amp;"00",4))</f>
        <v>4212</v>
      </c>
      <c r="J609" s="167" t="s">
        <v>1279</v>
      </c>
    </row>
    <row r="610" spans="1:10" ht="15" customHeight="1">
      <c r="A610" s="162">
        <v>4794</v>
      </c>
      <c r="B610" s="162" t="s">
        <v>10779</v>
      </c>
      <c r="D610" s="187" t="s">
        <v>74</v>
      </c>
      <c r="E610" s="168" t="s">
        <v>10774</v>
      </c>
      <c r="F610" s="168" t="s">
        <v>10777</v>
      </c>
      <c r="G610" s="176">
        <v>4213</v>
      </c>
      <c r="H610" s="167" t="s">
        <v>10601</v>
      </c>
      <c r="I610" s="167" t="str">
        <f>IF(Plan_Comptable[[#This Row],[Sous-compte]]="","",LEFT(Plan_Comptable[[#This Row],[Sous-compte]]&amp;"00",4))</f>
        <v>4213</v>
      </c>
      <c r="J610" s="167" t="s">
        <v>1279</v>
      </c>
    </row>
    <row r="611" spans="1:10" ht="15" customHeight="1">
      <c r="A611" s="162">
        <v>4797</v>
      </c>
      <c r="B611" s="162" t="s">
        <v>10764</v>
      </c>
      <c r="D611" s="187" t="s">
        <v>74</v>
      </c>
      <c r="E611" s="168" t="s">
        <v>10774</v>
      </c>
      <c r="F611" s="168">
        <v>422</v>
      </c>
      <c r="G611" s="176">
        <v>422</v>
      </c>
      <c r="H611" s="167" t="s">
        <v>10603</v>
      </c>
      <c r="I611" s="167" t="str">
        <f>IF(Plan_Comptable[[#This Row],[Sous-compte]]="","",LEFT(Plan_Comptable[[#This Row],[Sous-compte]]&amp;"00",4))</f>
        <v>4220</v>
      </c>
      <c r="J611" s="167" t="s">
        <v>1276</v>
      </c>
    </row>
    <row r="612" spans="1:10" ht="15" customHeight="1">
      <c r="A612" s="162">
        <v>4798</v>
      </c>
      <c r="B612" s="162" t="s">
        <v>10766</v>
      </c>
      <c r="D612" s="187" t="s">
        <v>74</v>
      </c>
      <c r="E612" s="168" t="s">
        <v>10774</v>
      </c>
      <c r="F612" s="168">
        <v>423</v>
      </c>
      <c r="G612" s="176"/>
      <c r="H612" s="167" t="s">
        <v>10780</v>
      </c>
      <c r="I612" s="167" t="str">
        <f>IF(Plan_Comptable[[#This Row],[Sous-compte]]="","",LEFT(Plan_Comptable[[#This Row],[Sous-compte]]&amp;"00",4))</f>
        <v/>
      </c>
      <c r="J612" s="167"/>
    </row>
    <row r="613" spans="1:10" ht="15" customHeight="1">
      <c r="A613" s="162">
        <v>4811</v>
      </c>
      <c r="B613" s="162" t="s">
        <v>10781</v>
      </c>
      <c r="D613" s="187" t="s">
        <v>74</v>
      </c>
      <c r="E613" s="168" t="s">
        <v>10774</v>
      </c>
      <c r="F613" s="168" t="s">
        <v>10782</v>
      </c>
      <c r="G613" s="176">
        <v>4231</v>
      </c>
      <c r="H613" s="167" t="s">
        <v>10605</v>
      </c>
      <c r="I613" s="167" t="str">
        <f>IF(Plan_Comptable[[#This Row],[Sous-compte]]="","",LEFT(Plan_Comptable[[#This Row],[Sous-compte]]&amp;"00",4))</f>
        <v>4231</v>
      </c>
      <c r="J613" s="167"/>
    </row>
    <row r="614" spans="1:10" ht="15" customHeight="1">
      <c r="A614" s="162">
        <v>4812</v>
      </c>
      <c r="B614" s="162" t="s">
        <v>10783</v>
      </c>
      <c r="D614" s="187" t="s">
        <v>74</v>
      </c>
      <c r="E614" s="168" t="s">
        <v>10774</v>
      </c>
      <c r="F614" s="168" t="s">
        <v>10782</v>
      </c>
      <c r="G614" s="176">
        <v>4232</v>
      </c>
      <c r="H614" s="167" t="s">
        <v>10607</v>
      </c>
      <c r="I614" s="167" t="str">
        <f>IF(Plan_Comptable[[#This Row],[Sous-compte]]="","",LEFT(Plan_Comptable[[#This Row],[Sous-compte]]&amp;"00",4))</f>
        <v>4232</v>
      </c>
      <c r="J614" s="167"/>
    </row>
    <row r="615" spans="1:10" ht="15" customHeight="1">
      <c r="A615" s="162">
        <v>4813</v>
      </c>
      <c r="B615" s="162" t="s">
        <v>10784</v>
      </c>
      <c r="D615" s="187" t="s">
        <v>74</v>
      </c>
      <c r="E615" s="168" t="s">
        <v>10774</v>
      </c>
      <c r="F615" s="168" t="s">
        <v>10782</v>
      </c>
      <c r="G615" s="176">
        <v>4233</v>
      </c>
      <c r="H615" s="167" t="s">
        <v>10608</v>
      </c>
      <c r="I615" s="167" t="str">
        <f>IF(Plan_Comptable[[#This Row],[Sous-compte]]="","",LEFT(Plan_Comptable[[#This Row],[Sous-compte]]&amp;"00",4))</f>
        <v>4233</v>
      </c>
      <c r="J615" s="167"/>
    </row>
    <row r="616" spans="1:10" ht="15" customHeight="1">
      <c r="A616" s="162">
        <v>4816</v>
      </c>
      <c r="B616" s="162" t="s">
        <v>10785</v>
      </c>
      <c r="D616" s="187" t="s">
        <v>74</v>
      </c>
      <c r="E616" s="168" t="s">
        <v>10774</v>
      </c>
      <c r="F616" s="168">
        <v>424</v>
      </c>
      <c r="G616" s="176"/>
      <c r="H616" s="167" t="s">
        <v>10786</v>
      </c>
      <c r="I616" s="167" t="str">
        <f>IF(Plan_Comptable[[#This Row],[Sous-compte]]="","",LEFT(Plan_Comptable[[#This Row],[Sous-compte]]&amp;"00",4))</f>
        <v/>
      </c>
      <c r="J616" s="167"/>
    </row>
    <row r="617" spans="1:10" ht="15" customHeight="1">
      <c r="A617" s="162">
        <v>48161</v>
      </c>
      <c r="B617" s="162" t="s">
        <v>10787</v>
      </c>
      <c r="D617" s="187" t="s">
        <v>74</v>
      </c>
      <c r="E617" s="168" t="s">
        <v>10774</v>
      </c>
      <c r="F617" s="168" t="s">
        <v>10788</v>
      </c>
      <c r="G617" s="176">
        <v>4241</v>
      </c>
      <c r="H617" s="167" t="s">
        <v>10610</v>
      </c>
      <c r="I617" s="167" t="str">
        <f>IF(Plan_Comptable[[#This Row],[Sous-compte]]="","",LEFT(Plan_Comptable[[#This Row],[Sous-compte]]&amp;"00",4))</f>
        <v>4241</v>
      </c>
      <c r="J617" s="167"/>
    </row>
    <row r="618" spans="1:10" ht="15" customHeight="1">
      <c r="A618" s="162">
        <v>48162</v>
      </c>
      <c r="B618" s="162" t="s">
        <v>10789</v>
      </c>
      <c r="D618" s="187" t="s">
        <v>74</v>
      </c>
      <c r="E618" s="168" t="s">
        <v>10774</v>
      </c>
      <c r="F618" s="168" t="s">
        <v>10788</v>
      </c>
      <c r="G618" s="176">
        <v>4242</v>
      </c>
      <c r="H618" s="167" t="s">
        <v>10612</v>
      </c>
      <c r="I618" s="167" t="str">
        <f>IF(Plan_Comptable[[#This Row],[Sous-compte]]="","",LEFT(Plan_Comptable[[#This Row],[Sous-compte]]&amp;"00",4))</f>
        <v>4242</v>
      </c>
      <c r="J618" s="167"/>
    </row>
    <row r="619" spans="1:10" ht="15" customHeight="1">
      <c r="A619" s="162">
        <v>4817</v>
      </c>
      <c r="B619" s="162" t="s">
        <v>10790</v>
      </c>
      <c r="D619" s="187" t="s">
        <v>74</v>
      </c>
      <c r="E619" s="168" t="s">
        <v>10774</v>
      </c>
      <c r="F619" s="168" t="s">
        <v>10788</v>
      </c>
      <c r="G619" s="172">
        <v>4245</v>
      </c>
      <c r="H619" s="179" t="s">
        <v>10613</v>
      </c>
      <c r="I619" s="167" t="str">
        <f>IF(Plan_Comptable[[#This Row],[Sous-compte]]="","",LEFT(Plan_Comptable[[#This Row],[Sous-compte]]&amp;"00",4))</f>
        <v>4245</v>
      </c>
      <c r="J619" s="167"/>
    </row>
    <row r="620" spans="1:10" ht="15" customHeight="1">
      <c r="A620" s="162">
        <v>48171</v>
      </c>
      <c r="B620" s="162" t="s">
        <v>10791</v>
      </c>
      <c r="D620" s="187" t="s">
        <v>74</v>
      </c>
      <c r="E620" s="168" t="s">
        <v>10774</v>
      </c>
      <c r="F620" s="168" t="s">
        <v>10788</v>
      </c>
      <c r="G620" s="176">
        <v>4248</v>
      </c>
      <c r="H620" s="167" t="s">
        <v>10615</v>
      </c>
      <c r="I620" s="167" t="str">
        <f>IF(Plan_Comptable[[#This Row],[Sous-compte]]="","",LEFT(Plan_Comptable[[#This Row],[Sous-compte]]&amp;"00",4))</f>
        <v>4248</v>
      </c>
      <c r="J620" s="167"/>
    </row>
    <row r="621" spans="1:10" ht="15" customHeight="1">
      <c r="A621" s="162">
        <v>48172</v>
      </c>
      <c r="B621" s="162" t="s">
        <v>10791</v>
      </c>
      <c r="D621" s="187" t="s">
        <v>74</v>
      </c>
      <c r="E621" s="168" t="s">
        <v>10774</v>
      </c>
      <c r="F621" s="168">
        <v>425</v>
      </c>
      <c r="G621" s="176"/>
      <c r="H621" s="167" t="s">
        <v>10792</v>
      </c>
      <c r="I621" s="167" t="str">
        <f>IF(Plan_Comptable[[#This Row],[Sous-compte]]="","",LEFT(Plan_Comptable[[#This Row],[Sous-compte]]&amp;"00",4))</f>
        <v/>
      </c>
      <c r="J621" s="167"/>
    </row>
    <row r="622" spans="1:10" ht="15" customHeight="1">
      <c r="A622" s="162">
        <v>4818</v>
      </c>
      <c r="B622" s="162" t="s">
        <v>10793</v>
      </c>
      <c r="D622" s="187" t="s">
        <v>74</v>
      </c>
      <c r="E622" s="168" t="s">
        <v>10774</v>
      </c>
      <c r="F622" s="168" t="s">
        <v>10794</v>
      </c>
      <c r="G622" s="176">
        <v>4251</v>
      </c>
      <c r="H622" s="167" t="s">
        <v>10617</v>
      </c>
      <c r="I622" s="167" t="str">
        <f>IF(Plan_Comptable[[#This Row],[Sous-compte]]="","",LEFT(Plan_Comptable[[#This Row],[Sous-compte]]&amp;"00",4))</f>
        <v>4251</v>
      </c>
      <c r="J622" s="167"/>
    </row>
    <row r="623" spans="1:10" ht="15" customHeight="1">
      <c r="A623" s="162">
        <v>48181</v>
      </c>
      <c r="B623" s="162" t="s">
        <v>10795</v>
      </c>
      <c r="D623" s="187" t="s">
        <v>74</v>
      </c>
      <c r="E623" s="168" t="s">
        <v>10774</v>
      </c>
      <c r="F623" s="168" t="s">
        <v>10794</v>
      </c>
      <c r="G623" s="176">
        <v>4252</v>
      </c>
      <c r="H623" s="167" t="s">
        <v>10618</v>
      </c>
      <c r="I623" s="167" t="str">
        <f>IF(Plan_Comptable[[#This Row],[Sous-compte]]="","",LEFT(Plan_Comptable[[#This Row],[Sous-compte]]&amp;"00",4))</f>
        <v>4252</v>
      </c>
      <c r="J623" s="167"/>
    </row>
    <row r="624" spans="1:10" ht="15" customHeight="1">
      <c r="A624" s="162">
        <v>48182</v>
      </c>
      <c r="B624" s="162" t="s">
        <v>10796</v>
      </c>
      <c r="D624" s="187" t="s">
        <v>74</v>
      </c>
      <c r="E624" s="168" t="s">
        <v>10774</v>
      </c>
      <c r="F624" s="168" t="s">
        <v>10794</v>
      </c>
      <c r="G624" s="176">
        <v>4258</v>
      </c>
      <c r="H624" s="167" t="s">
        <v>10620</v>
      </c>
      <c r="I624" s="167" t="str">
        <f>IF(Plan_Comptable[[#This Row],[Sous-compte]]="","",LEFT(Plan_Comptable[[#This Row],[Sous-compte]]&amp;"00",4))</f>
        <v>4258</v>
      </c>
      <c r="J624" s="167"/>
    </row>
    <row r="625" spans="1:10" ht="15" customHeight="1">
      <c r="A625" s="162">
        <v>4821</v>
      </c>
      <c r="B625" s="162" t="s">
        <v>10781</v>
      </c>
      <c r="D625" s="187" t="s">
        <v>74</v>
      </c>
      <c r="E625" s="168" t="s">
        <v>10774</v>
      </c>
      <c r="F625" s="171">
        <v>426</v>
      </c>
      <c r="G625" s="172"/>
      <c r="H625" s="179" t="s">
        <v>10797</v>
      </c>
      <c r="I625" s="167" t="str">
        <f>IF(Plan_Comptable[[#This Row],[Sous-compte]]="","",LEFT(Plan_Comptable[[#This Row],[Sous-compte]]&amp;"00",4))</f>
        <v/>
      </c>
      <c r="J625" s="167"/>
    </row>
    <row r="626" spans="1:10" ht="15" customHeight="1">
      <c r="A626" s="162">
        <v>4822</v>
      </c>
      <c r="B626" s="162" t="s">
        <v>10783</v>
      </c>
      <c r="D626" s="187" t="s">
        <v>74</v>
      </c>
      <c r="E626" s="168" t="s">
        <v>10774</v>
      </c>
      <c r="F626" s="168" t="s">
        <v>10798</v>
      </c>
      <c r="G626" s="173">
        <v>4261</v>
      </c>
      <c r="H626" s="174" t="s">
        <v>10622</v>
      </c>
      <c r="I626" s="167" t="str">
        <f>IF(Plan_Comptable[[#This Row],[Sous-compte]]="","",LEFT(Plan_Comptable[[#This Row],[Sous-compte]]&amp;"00",4))</f>
        <v>4261</v>
      </c>
      <c r="J626" s="167"/>
    </row>
    <row r="627" spans="1:10" ht="15" customHeight="1">
      <c r="A627" s="162">
        <v>484</v>
      </c>
      <c r="B627" s="162" t="s">
        <v>10799</v>
      </c>
      <c r="D627" s="187" t="s">
        <v>74</v>
      </c>
      <c r="E627" s="168" t="s">
        <v>10774</v>
      </c>
      <c r="F627" s="168" t="s">
        <v>10798</v>
      </c>
      <c r="G627" s="173">
        <v>4264</v>
      </c>
      <c r="H627" s="188" t="s">
        <v>10623</v>
      </c>
      <c r="I627" s="167" t="str">
        <f>IF(Plan_Comptable[[#This Row],[Sous-compte]]="","",LEFT(Plan_Comptable[[#This Row],[Sous-compte]]&amp;"00",4))</f>
        <v>4264</v>
      </c>
      <c r="J627" s="167"/>
    </row>
    <row r="628" spans="1:10" ht="15" customHeight="1">
      <c r="A628" s="162">
        <v>4851</v>
      </c>
      <c r="B628" s="162" t="s">
        <v>10800</v>
      </c>
      <c r="D628" s="187" t="s">
        <v>74</v>
      </c>
      <c r="E628" s="168" t="s">
        <v>10774</v>
      </c>
      <c r="F628" s="168">
        <v>427</v>
      </c>
      <c r="G628" s="176">
        <v>427</v>
      </c>
      <c r="H628" s="167" t="s">
        <v>10624</v>
      </c>
      <c r="I628" s="167" t="str">
        <f>IF(Plan_Comptable[[#This Row],[Sous-compte]]="","",LEFT(Plan_Comptable[[#This Row],[Sous-compte]]&amp;"00",4))</f>
        <v>4270</v>
      </c>
      <c r="J628" s="167"/>
    </row>
    <row r="629" spans="1:10" ht="15" customHeight="1">
      <c r="A629" s="162">
        <v>4852</v>
      </c>
      <c r="B629" s="162" t="s">
        <v>10801</v>
      </c>
      <c r="D629" s="187" t="s">
        <v>74</v>
      </c>
      <c r="E629" s="168" t="s">
        <v>10774</v>
      </c>
      <c r="F629" s="168">
        <v>428</v>
      </c>
      <c r="G629" s="176"/>
      <c r="H629" s="167" t="s">
        <v>10802</v>
      </c>
      <c r="I629" s="167" t="str">
        <f>IF(Plan_Comptable[[#This Row],[Sous-compte]]="","",LEFT(Plan_Comptable[[#This Row],[Sous-compte]]&amp;"00",4))</f>
        <v/>
      </c>
      <c r="J629" s="167"/>
    </row>
    <row r="630" spans="1:10" ht="15" customHeight="1">
      <c r="A630" s="162">
        <v>4853</v>
      </c>
      <c r="B630" s="162" t="s">
        <v>10584</v>
      </c>
      <c r="D630" s="187" t="s">
        <v>74</v>
      </c>
      <c r="E630" s="168" t="s">
        <v>10774</v>
      </c>
      <c r="F630" s="168" t="s">
        <v>10803</v>
      </c>
      <c r="G630" s="176">
        <v>4281</v>
      </c>
      <c r="H630" s="167" t="s">
        <v>10626</v>
      </c>
      <c r="I630" s="167" t="str">
        <f>IF(Plan_Comptable[[#This Row],[Sous-compte]]="","",LEFT(Plan_Comptable[[#This Row],[Sous-compte]]&amp;"00",4))</f>
        <v>4281</v>
      </c>
      <c r="J630" s="167"/>
    </row>
    <row r="631" spans="1:10" ht="15" customHeight="1">
      <c r="A631" s="162">
        <v>4854</v>
      </c>
      <c r="B631" s="162" t="s">
        <v>10585</v>
      </c>
      <c r="D631" s="187" t="s">
        <v>74</v>
      </c>
      <c r="E631" s="168" t="s">
        <v>10774</v>
      </c>
      <c r="F631" s="168" t="s">
        <v>10803</v>
      </c>
      <c r="G631" s="176">
        <v>4286</v>
      </c>
      <c r="H631" s="167" t="s">
        <v>10627</v>
      </c>
      <c r="I631" s="167" t="str">
        <f>IF(Plan_Comptable[[#This Row],[Sous-compte]]="","",LEFT(Plan_Comptable[[#This Row],[Sous-compte]]&amp;"00",4))</f>
        <v>4286</v>
      </c>
      <c r="J631" s="167"/>
    </row>
    <row r="632" spans="1:10" ht="15" customHeight="1">
      <c r="A632" s="162">
        <v>4855</v>
      </c>
      <c r="B632" s="162" t="s">
        <v>1571</v>
      </c>
      <c r="D632" s="187" t="s">
        <v>74</v>
      </c>
      <c r="E632" s="168" t="s">
        <v>10774</v>
      </c>
      <c r="F632" s="168" t="s">
        <v>10803</v>
      </c>
      <c r="G632" s="176">
        <v>4287</v>
      </c>
      <c r="H632" s="167" t="s">
        <v>10629</v>
      </c>
      <c r="I632" s="167" t="str">
        <f>IF(Plan_Comptable[[#This Row],[Sous-compte]]="","",LEFT(Plan_Comptable[[#This Row],[Sous-compte]]&amp;"00",4))</f>
        <v>4287</v>
      </c>
      <c r="J632" s="167"/>
    </row>
    <row r="633" spans="1:10" ht="15" customHeight="1">
      <c r="A633" s="162">
        <v>4856</v>
      </c>
      <c r="B633" s="162" t="s">
        <v>3559</v>
      </c>
      <c r="D633" s="187" t="s">
        <v>74</v>
      </c>
      <c r="E633" s="189">
        <v>43</v>
      </c>
      <c r="F633" s="165" t="s">
        <v>9941</v>
      </c>
      <c r="G633" s="165"/>
      <c r="H633" s="166" t="s">
        <v>10804</v>
      </c>
      <c r="I633" s="167" t="str">
        <f>IF(Plan_Comptable[[#This Row],[Sous-compte]]="","",LEFT(Plan_Comptable[[#This Row],[Sous-compte]]&amp;"00",4))</f>
        <v/>
      </c>
      <c r="J633" s="167"/>
    </row>
    <row r="634" spans="1:10" ht="15" customHeight="1">
      <c r="A634" s="162">
        <v>4857</v>
      </c>
      <c r="B634" s="162" t="s">
        <v>10805</v>
      </c>
      <c r="D634" s="187" t="s">
        <v>74</v>
      </c>
      <c r="E634" s="168" t="s">
        <v>10806</v>
      </c>
      <c r="F634" s="168">
        <v>431</v>
      </c>
      <c r="G634" s="176"/>
      <c r="H634" s="167" t="s">
        <v>10807</v>
      </c>
      <c r="I634" s="167" t="str">
        <f>IF(Plan_Comptable[[#This Row],[Sous-compte]]="","",LEFT(Plan_Comptable[[#This Row],[Sous-compte]]&amp;"00",4))</f>
        <v/>
      </c>
      <c r="J634" s="167"/>
    </row>
    <row r="635" spans="1:10" ht="15" customHeight="1">
      <c r="A635" s="162">
        <v>4858</v>
      </c>
      <c r="B635" s="162" t="s">
        <v>10808</v>
      </c>
      <c r="D635" s="187" t="s">
        <v>74</v>
      </c>
      <c r="E635" s="168" t="s">
        <v>10806</v>
      </c>
      <c r="F635" s="168" t="s">
        <v>10809</v>
      </c>
      <c r="G635" s="176">
        <v>4311</v>
      </c>
      <c r="H635" s="167" t="s">
        <v>10632</v>
      </c>
      <c r="I635" s="167" t="str">
        <f>IF(Plan_Comptable[[#This Row],[Sous-compte]]="","",LEFT(Plan_Comptable[[#This Row],[Sous-compte]]&amp;"00",4))</f>
        <v>4311</v>
      </c>
      <c r="J635" s="167"/>
    </row>
    <row r="636" spans="1:10" ht="15" customHeight="1">
      <c r="A636" s="162">
        <v>488</v>
      </c>
      <c r="B636" s="162" t="s">
        <v>10810</v>
      </c>
      <c r="D636" s="187" t="s">
        <v>74</v>
      </c>
      <c r="E636" s="168" t="s">
        <v>10806</v>
      </c>
      <c r="F636" s="168" t="s">
        <v>10809</v>
      </c>
      <c r="G636" s="176">
        <v>4312</v>
      </c>
      <c r="H636" s="167" t="s">
        <v>10634</v>
      </c>
      <c r="I636" s="167" t="str">
        <f>IF(Plan_Comptable[[#This Row],[Sous-compte]]="","",LEFT(Plan_Comptable[[#This Row],[Sous-compte]]&amp;"00",4))</f>
        <v>4312</v>
      </c>
      <c r="J636" s="167"/>
    </row>
    <row r="637" spans="1:10" ht="15" customHeight="1">
      <c r="A637" s="162">
        <v>490</v>
      </c>
      <c r="B637" s="162" t="s">
        <v>10811</v>
      </c>
      <c r="D637" s="187" t="s">
        <v>74</v>
      </c>
      <c r="E637" s="168" t="s">
        <v>10806</v>
      </c>
      <c r="F637" s="168" t="s">
        <v>10809</v>
      </c>
      <c r="G637" s="176">
        <v>4313</v>
      </c>
      <c r="H637" s="167" t="s">
        <v>10635</v>
      </c>
      <c r="I637" s="167" t="str">
        <f>IF(Plan_Comptable[[#This Row],[Sous-compte]]="","",LEFT(Plan_Comptable[[#This Row],[Sous-compte]]&amp;"00",4))</f>
        <v>4313</v>
      </c>
      <c r="J637" s="167"/>
    </row>
    <row r="638" spans="1:10" ht="15" customHeight="1">
      <c r="A638" s="162">
        <v>4911</v>
      </c>
      <c r="B638" s="162" t="s">
        <v>10588</v>
      </c>
      <c r="D638" s="187" t="s">
        <v>74</v>
      </c>
      <c r="E638" s="168" t="s">
        <v>10806</v>
      </c>
      <c r="F638" s="168" t="s">
        <v>10809</v>
      </c>
      <c r="G638" s="176">
        <v>4314</v>
      </c>
      <c r="H638" s="167" t="s">
        <v>10637</v>
      </c>
      <c r="I638" s="167" t="str">
        <f>IF(Plan_Comptable[[#This Row],[Sous-compte]]="","",LEFT(Plan_Comptable[[#This Row],[Sous-compte]]&amp;"00",4))</f>
        <v>4314</v>
      </c>
      <c r="J638" s="167"/>
    </row>
    <row r="639" spans="1:10" ht="15" customHeight="1">
      <c r="A639" s="162">
        <v>4912</v>
      </c>
      <c r="B639" s="162" t="s">
        <v>10590</v>
      </c>
      <c r="D639" s="187" t="s">
        <v>74</v>
      </c>
      <c r="E639" s="168" t="s">
        <v>10806</v>
      </c>
      <c r="F639" s="168" t="s">
        <v>10809</v>
      </c>
      <c r="G639" s="176">
        <v>4318</v>
      </c>
      <c r="H639" s="167" t="s">
        <v>10639</v>
      </c>
      <c r="I639" s="167" t="str">
        <f>IF(Plan_Comptable[[#This Row],[Sous-compte]]="","",LEFT(Plan_Comptable[[#This Row],[Sous-compte]]&amp;"00",4))</f>
        <v>4318</v>
      </c>
      <c r="J639" s="167"/>
    </row>
    <row r="640" spans="1:10" ht="15" customHeight="1">
      <c r="A640" s="162">
        <v>492</v>
      </c>
      <c r="B640" s="162" t="s">
        <v>10812</v>
      </c>
      <c r="D640" s="187" t="s">
        <v>74</v>
      </c>
      <c r="E640" s="168" t="s">
        <v>10806</v>
      </c>
      <c r="F640" s="168">
        <v>432</v>
      </c>
      <c r="G640" s="176">
        <v>432</v>
      </c>
      <c r="H640" s="167" t="s">
        <v>10640</v>
      </c>
      <c r="I640" s="167" t="str">
        <f>IF(Plan_Comptable[[#This Row],[Sous-compte]]="","",LEFT(Plan_Comptable[[#This Row],[Sous-compte]]&amp;"00",4))</f>
        <v>4320</v>
      </c>
      <c r="J640" s="167"/>
    </row>
    <row r="641" spans="1:10" ht="15" customHeight="1">
      <c r="A641" s="162">
        <v>493</v>
      </c>
      <c r="B641" s="162" t="s">
        <v>10813</v>
      </c>
      <c r="D641" s="187" t="s">
        <v>74</v>
      </c>
      <c r="E641" s="168" t="s">
        <v>10806</v>
      </c>
      <c r="F641" s="168">
        <v>433</v>
      </c>
      <c r="G641" s="176"/>
      <c r="H641" s="167" t="s">
        <v>10814</v>
      </c>
      <c r="I641" s="167" t="str">
        <f>IF(Plan_Comptable[[#This Row],[Sous-compte]]="","",LEFT(Plan_Comptable[[#This Row],[Sous-compte]]&amp;"00",4))</f>
        <v/>
      </c>
      <c r="J641" s="167"/>
    </row>
    <row r="642" spans="1:10" ht="15" customHeight="1">
      <c r="A642" s="162">
        <v>494</v>
      </c>
      <c r="B642" s="162" t="s">
        <v>10815</v>
      </c>
      <c r="D642" s="187" t="s">
        <v>74</v>
      </c>
      <c r="E642" s="168" t="s">
        <v>10806</v>
      </c>
      <c r="F642" s="168" t="s">
        <v>10816</v>
      </c>
      <c r="G642" s="176">
        <v>4331</v>
      </c>
      <c r="H642" s="167" t="s">
        <v>10642</v>
      </c>
      <c r="I642" s="167" t="str">
        <f>IF(Plan_Comptable[[#This Row],[Sous-compte]]="","",LEFT(Plan_Comptable[[#This Row],[Sous-compte]]&amp;"00",4))</f>
        <v>4331</v>
      </c>
      <c r="J642" s="167"/>
    </row>
    <row r="643" spans="1:10" ht="15" customHeight="1">
      <c r="A643" s="162">
        <v>495</v>
      </c>
      <c r="B643" s="162" t="s">
        <v>10817</v>
      </c>
      <c r="D643" s="187" t="s">
        <v>74</v>
      </c>
      <c r="E643" s="168" t="s">
        <v>10806</v>
      </c>
      <c r="F643" s="168" t="s">
        <v>10816</v>
      </c>
      <c r="G643" s="173">
        <v>4332</v>
      </c>
      <c r="H643" s="188" t="s">
        <v>10644</v>
      </c>
      <c r="I643" s="167" t="str">
        <f>IF(Plan_Comptable[[#This Row],[Sous-compte]]="","",LEFT(Plan_Comptable[[#This Row],[Sous-compte]]&amp;"00",4))</f>
        <v>4332</v>
      </c>
      <c r="J643" s="167"/>
    </row>
    <row r="644" spans="1:10" ht="15" customHeight="1">
      <c r="A644" s="162">
        <v>4962</v>
      </c>
      <c r="B644" s="162" t="s">
        <v>10818</v>
      </c>
      <c r="D644" s="187" t="s">
        <v>74</v>
      </c>
      <c r="E644" s="168" t="s">
        <v>10806</v>
      </c>
      <c r="F644" s="168" t="s">
        <v>10816</v>
      </c>
      <c r="G644" s="173">
        <v>4333</v>
      </c>
      <c r="H644" s="188" t="s">
        <v>2788</v>
      </c>
      <c r="I644" s="167" t="str">
        <f>IF(Plan_Comptable[[#This Row],[Sous-compte]]="","",LEFT(Plan_Comptable[[#This Row],[Sous-compte]]&amp;"00",4))</f>
        <v>4333</v>
      </c>
      <c r="J644" s="167"/>
    </row>
    <row r="645" spans="1:10" ht="15" customHeight="1">
      <c r="A645" s="162">
        <v>4963</v>
      </c>
      <c r="B645" s="162" t="s">
        <v>10819</v>
      </c>
      <c r="D645" s="187" t="s">
        <v>74</v>
      </c>
      <c r="E645" s="168" t="s">
        <v>10806</v>
      </c>
      <c r="F645" s="168">
        <v>438</v>
      </c>
      <c r="G645" s="176"/>
      <c r="H645" s="167" t="s">
        <v>10820</v>
      </c>
      <c r="I645" s="167" t="str">
        <f>IF(Plan_Comptable[[#This Row],[Sous-compte]]="","",LEFT(Plan_Comptable[[#This Row],[Sous-compte]]&amp;"00",4))</f>
        <v/>
      </c>
      <c r="J645" s="167"/>
    </row>
    <row r="646" spans="1:10" ht="15" customHeight="1">
      <c r="A646" s="162">
        <v>4966</v>
      </c>
      <c r="B646" s="162" t="s">
        <v>2096</v>
      </c>
      <c r="D646" s="187" t="s">
        <v>74</v>
      </c>
      <c r="E646" s="168" t="s">
        <v>10806</v>
      </c>
      <c r="F646" s="168" t="s">
        <v>10821</v>
      </c>
      <c r="G646" s="176">
        <v>4381</v>
      </c>
      <c r="H646" s="167" t="s">
        <v>10645</v>
      </c>
      <c r="I646" s="167" t="str">
        <f>IF(Plan_Comptable[[#This Row],[Sous-compte]]="","",LEFT(Plan_Comptable[[#This Row],[Sous-compte]]&amp;"00",4))</f>
        <v>4381</v>
      </c>
      <c r="J646" s="167"/>
    </row>
    <row r="647" spans="1:10" ht="15" customHeight="1">
      <c r="A647" s="162">
        <v>497</v>
      </c>
      <c r="B647" s="162" t="s">
        <v>10822</v>
      </c>
      <c r="D647" s="187" t="s">
        <v>74</v>
      </c>
      <c r="E647" s="168" t="s">
        <v>10806</v>
      </c>
      <c r="F647" s="168" t="s">
        <v>10821</v>
      </c>
      <c r="G647" s="176">
        <v>4382</v>
      </c>
      <c r="H647" s="167" t="s">
        <v>5290</v>
      </c>
      <c r="I647" s="167" t="str">
        <f>IF(Plan_Comptable[[#This Row],[Sous-compte]]="","",LEFT(Plan_Comptable[[#This Row],[Sous-compte]]&amp;"00",4))</f>
        <v>4382</v>
      </c>
      <c r="J647" s="167"/>
    </row>
    <row r="648" spans="1:10" ht="15" customHeight="1">
      <c r="A648" s="162">
        <v>4985</v>
      </c>
      <c r="B648" s="162" t="s">
        <v>10823</v>
      </c>
      <c r="D648" s="187" t="s">
        <v>74</v>
      </c>
      <c r="E648" s="168" t="s">
        <v>10806</v>
      </c>
      <c r="F648" s="168" t="s">
        <v>10821</v>
      </c>
      <c r="G648" s="176">
        <v>4386</v>
      </c>
      <c r="H648" s="167" t="s">
        <v>10627</v>
      </c>
      <c r="I648" s="167" t="str">
        <f>IF(Plan_Comptable[[#This Row],[Sous-compte]]="","",LEFT(Plan_Comptable[[#This Row],[Sous-compte]]&amp;"00",4))</f>
        <v>4386</v>
      </c>
      <c r="J648" s="167"/>
    </row>
    <row r="649" spans="1:10" ht="15" customHeight="1">
      <c r="A649" s="162">
        <v>4986</v>
      </c>
      <c r="B649" s="162" t="s">
        <v>10735</v>
      </c>
      <c r="D649" s="187" t="s">
        <v>74</v>
      </c>
      <c r="E649" s="168" t="s">
        <v>10806</v>
      </c>
      <c r="F649" s="168" t="s">
        <v>10821</v>
      </c>
      <c r="G649" s="176">
        <v>4387</v>
      </c>
      <c r="H649" s="167" t="s">
        <v>10629</v>
      </c>
      <c r="I649" s="167" t="str">
        <f>IF(Plan_Comptable[[#This Row],[Sous-compte]]="","",LEFT(Plan_Comptable[[#This Row],[Sous-compte]]&amp;"00",4))</f>
        <v>4387</v>
      </c>
      <c r="J649" s="167"/>
    </row>
    <row r="650" spans="1:10" ht="15" customHeight="1">
      <c r="A650" s="162">
        <v>4988</v>
      </c>
      <c r="B650" s="162" t="s">
        <v>10824</v>
      </c>
      <c r="D650" s="187" t="s">
        <v>74</v>
      </c>
      <c r="E650" s="189">
        <v>44</v>
      </c>
      <c r="F650" s="165" t="s">
        <v>9941</v>
      </c>
      <c r="G650" s="165"/>
      <c r="H650" s="166" t="s">
        <v>10825</v>
      </c>
      <c r="I650" s="167" t="str">
        <f>IF(Plan_Comptable[[#This Row],[Sous-compte]]="","",LEFT(Plan_Comptable[[#This Row],[Sous-compte]]&amp;"00",4))</f>
        <v/>
      </c>
      <c r="J650" s="167"/>
    </row>
    <row r="651" spans="1:10" ht="15" customHeight="1">
      <c r="A651" s="162">
        <v>4991</v>
      </c>
      <c r="B651" s="162" t="s">
        <v>10826</v>
      </c>
      <c r="D651" s="187" t="s">
        <v>74</v>
      </c>
      <c r="E651" s="168" t="s">
        <v>10827</v>
      </c>
      <c r="F651" s="168">
        <v>441</v>
      </c>
      <c r="G651" s="176">
        <v>441</v>
      </c>
      <c r="H651" s="167" t="s">
        <v>10648</v>
      </c>
      <c r="I651" s="167" t="str">
        <f>IF(Plan_Comptable[[#This Row],[Sous-compte]]="","",LEFT(Plan_Comptable[[#This Row],[Sous-compte]]&amp;"00",4))</f>
        <v>4410</v>
      </c>
      <c r="J651" s="167"/>
    </row>
    <row r="652" spans="1:10" ht="15" customHeight="1">
      <c r="A652" s="162">
        <v>4998</v>
      </c>
      <c r="B652" s="162" t="s">
        <v>10828</v>
      </c>
      <c r="D652" s="187" t="s">
        <v>74</v>
      </c>
      <c r="E652" s="168" t="s">
        <v>10827</v>
      </c>
      <c r="F652" s="168">
        <v>442</v>
      </c>
      <c r="G652" s="176"/>
      <c r="H652" s="167" t="s">
        <v>10829</v>
      </c>
      <c r="I652" s="167" t="str">
        <f>IF(Plan_Comptable[[#This Row],[Sous-compte]]="","",LEFT(Plan_Comptable[[#This Row],[Sous-compte]]&amp;"00",4))</f>
        <v/>
      </c>
      <c r="J652" s="167"/>
    </row>
    <row r="653" spans="1:10" ht="15" customHeight="1">
      <c r="A653" s="162">
        <v>5011</v>
      </c>
      <c r="B653" s="162" t="s">
        <v>10830</v>
      </c>
      <c r="D653" s="187" t="s">
        <v>74</v>
      </c>
      <c r="E653" s="168" t="s">
        <v>10827</v>
      </c>
      <c r="F653" s="168" t="s">
        <v>10831</v>
      </c>
      <c r="G653" s="176">
        <v>4421</v>
      </c>
      <c r="H653" s="167" t="s">
        <v>10651</v>
      </c>
      <c r="I653" s="167" t="str">
        <f>IF(Plan_Comptable[[#This Row],[Sous-compte]]="","",LEFT(Plan_Comptable[[#This Row],[Sous-compte]]&amp;"00",4))</f>
        <v>4421</v>
      </c>
      <c r="J653" s="167"/>
    </row>
    <row r="654" spans="1:10" ht="15" customHeight="1">
      <c r="A654" s="162">
        <v>5012</v>
      </c>
      <c r="B654" s="162" t="s">
        <v>10832</v>
      </c>
      <c r="D654" s="187" t="s">
        <v>74</v>
      </c>
      <c r="E654" s="168" t="s">
        <v>10827</v>
      </c>
      <c r="F654" s="168" t="s">
        <v>10831</v>
      </c>
      <c r="G654" s="176">
        <v>4422</v>
      </c>
      <c r="H654" s="167" t="s">
        <v>10653</v>
      </c>
      <c r="I654" s="167" t="str">
        <f>IF(Plan_Comptable[[#This Row],[Sous-compte]]="","",LEFT(Plan_Comptable[[#This Row],[Sous-compte]]&amp;"00",4))</f>
        <v>4422</v>
      </c>
      <c r="J654" s="167"/>
    </row>
    <row r="655" spans="1:10" ht="15" customHeight="1">
      <c r="A655" s="162">
        <v>5013</v>
      </c>
      <c r="B655" s="162" t="s">
        <v>10833</v>
      </c>
      <c r="D655" s="187" t="s">
        <v>74</v>
      </c>
      <c r="E655" s="168" t="s">
        <v>10827</v>
      </c>
      <c r="F655" s="168" t="s">
        <v>10831</v>
      </c>
      <c r="G655" s="176">
        <v>4423</v>
      </c>
      <c r="H655" s="167" t="s">
        <v>10654</v>
      </c>
      <c r="I655" s="167" t="str">
        <f>IF(Plan_Comptable[[#This Row],[Sous-compte]]="","",LEFT(Plan_Comptable[[#This Row],[Sous-compte]]&amp;"00",4))</f>
        <v>4423</v>
      </c>
      <c r="J655" s="167"/>
    </row>
    <row r="656" spans="1:10" ht="15" customHeight="1">
      <c r="A656" s="162">
        <v>5016</v>
      </c>
      <c r="B656" s="162" t="s">
        <v>10834</v>
      </c>
      <c r="D656" s="187" t="s">
        <v>74</v>
      </c>
      <c r="E656" s="168" t="s">
        <v>10827</v>
      </c>
      <c r="F656" s="168" t="s">
        <v>10831</v>
      </c>
      <c r="G656" s="176">
        <v>4424</v>
      </c>
      <c r="H656" s="167" t="s">
        <v>10656</v>
      </c>
      <c r="I656" s="167" t="str">
        <f>IF(Plan_Comptable[[#This Row],[Sous-compte]]="","",LEFT(Plan_Comptable[[#This Row],[Sous-compte]]&amp;"00",4))</f>
        <v>4424</v>
      </c>
      <c r="J656" s="167"/>
    </row>
    <row r="657" spans="1:10" ht="15" customHeight="1">
      <c r="A657" s="162">
        <v>5021</v>
      </c>
      <c r="B657" s="162" t="s">
        <v>10335</v>
      </c>
      <c r="D657" s="187" t="s">
        <v>74</v>
      </c>
      <c r="E657" s="168" t="s">
        <v>10827</v>
      </c>
      <c r="F657" s="168" t="s">
        <v>10831</v>
      </c>
      <c r="G657" s="176">
        <v>4426</v>
      </c>
      <c r="H657" s="167" t="s">
        <v>2915</v>
      </c>
      <c r="I657" s="167" t="str">
        <f>IF(Plan_Comptable[[#This Row],[Sous-compte]]="","",LEFT(Plan_Comptable[[#This Row],[Sous-compte]]&amp;"00",4))</f>
        <v>4426</v>
      </c>
      <c r="J657" s="167"/>
    </row>
    <row r="658" spans="1:10" ht="15" customHeight="1">
      <c r="A658" s="162">
        <v>5022</v>
      </c>
      <c r="B658" s="162" t="s">
        <v>10835</v>
      </c>
      <c r="D658" s="187" t="s">
        <v>74</v>
      </c>
      <c r="E658" s="168" t="s">
        <v>10827</v>
      </c>
      <c r="F658" s="168" t="s">
        <v>10831</v>
      </c>
      <c r="G658" s="176">
        <v>4428</v>
      </c>
      <c r="H658" s="167" t="s">
        <v>2217</v>
      </c>
      <c r="I658" s="167" t="str">
        <f>IF(Plan_Comptable[[#This Row],[Sous-compte]]="","",LEFT(Plan_Comptable[[#This Row],[Sous-compte]]&amp;"00",4))</f>
        <v>4428</v>
      </c>
      <c r="J658" s="167"/>
    </row>
    <row r="659" spans="1:10" ht="15" customHeight="1">
      <c r="A659" s="162">
        <v>5023</v>
      </c>
      <c r="B659" s="162" t="s">
        <v>10836</v>
      </c>
      <c r="D659" s="187" t="s">
        <v>74</v>
      </c>
      <c r="E659" s="168" t="s">
        <v>10827</v>
      </c>
      <c r="F659" s="168">
        <v>443</v>
      </c>
      <c r="G659" s="176"/>
      <c r="H659" s="167" t="s">
        <v>10837</v>
      </c>
      <c r="I659" s="167" t="str">
        <f>IF(Plan_Comptable[[#This Row],[Sous-compte]]="","",LEFT(Plan_Comptable[[#This Row],[Sous-compte]]&amp;"00",4))</f>
        <v/>
      </c>
      <c r="J659" s="167"/>
    </row>
    <row r="660" spans="1:10" ht="15" customHeight="1">
      <c r="A660" s="162">
        <v>5024</v>
      </c>
      <c r="B660" s="162" t="s">
        <v>10838</v>
      </c>
      <c r="D660" s="187" t="s">
        <v>74</v>
      </c>
      <c r="E660" s="168" t="s">
        <v>10827</v>
      </c>
      <c r="F660" s="168" t="s">
        <v>10839</v>
      </c>
      <c r="G660" s="176">
        <v>4431</v>
      </c>
      <c r="H660" s="167" t="s">
        <v>10658</v>
      </c>
      <c r="I660" s="167" t="str">
        <f>IF(Plan_Comptable[[#This Row],[Sous-compte]]="","",LEFT(Plan_Comptable[[#This Row],[Sous-compte]]&amp;"00",4))</f>
        <v>4431</v>
      </c>
      <c r="J660" s="167"/>
    </row>
    <row r="661" spans="1:10" ht="15" customHeight="1">
      <c r="A661" s="162">
        <v>5025</v>
      </c>
      <c r="B661" s="162" t="s">
        <v>10840</v>
      </c>
      <c r="D661" s="187" t="s">
        <v>74</v>
      </c>
      <c r="E661" s="168" t="s">
        <v>10827</v>
      </c>
      <c r="F661" s="168" t="s">
        <v>10839</v>
      </c>
      <c r="G661" s="176">
        <v>4432</v>
      </c>
      <c r="H661" s="167" t="s">
        <v>10659</v>
      </c>
      <c r="I661" s="167" t="str">
        <f>IF(Plan_Comptable[[#This Row],[Sous-compte]]="","",LEFT(Plan_Comptable[[#This Row],[Sous-compte]]&amp;"00",4))</f>
        <v>4432</v>
      </c>
      <c r="J661" s="167"/>
    </row>
    <row r="662" spans="1:10" ht="15" customHeight="1">
      <c r="A662" s="162">
        <v>5026</v>
      </c>
      <c r="B662" s="162" t="s">
        <v>10841</v>
      </c>
      <c r="D662" s="187" t="s">
        <v>74</v>
      </c>
      <c r="E662" s="168" t="s">
        <v>10827</v>
      </c>
      <c r="F662" s="168" t="s">
        <v>10839</v>
      </c>
      <c r="G662" s="176">
        <v>4433</v>
      </c>
      <c r="H662" s="167" t="s">
        <v>10661</v>
      </c>
      <c r="I662" s="167" t="str">
        <f>IF(Plan_Comptable[[#This Row],[Sous-compte]]="","",LEFT(Plan_Comptable[[#This Row],[Sous-compte]]&amp;"00",4))</f>
        <v>4433</v>
      </c>
      <c r="J662" s="167"/>
    </row>
    <row r="663" spans="1:10" ht="15" customHeight="1">
      <c r="A663" s="162">
        <v>5031</v>
      </c>
      <c r="B663" s="162" t="s">
        <v>10842</v>
      </c>
      <c r="D663" s="187" t="s">
        <v>74</v>
      </c>
      <c r="E663" s="168" t="s">
        <v>10806</v>
      </c>
      <c r="F663" s="168" t="s">
        <v>10816</v>
      </c>
      <c r="G663" s="176">
        <v>4334</v>
      </c>
      <c r="H663" s="167" t="s">
        <v>10662</v>
      </c>
      <c r="I663" s="167" t="str">
        <f>IF(Plan_Comptable[[#This Row],[Sous-compte]]="","",LEFT(Plan_Comptable[[#This Row],[Sous-compte]]&amp;"00",4))</f>
        <v>4334</v>
      </c>
      <c r="J663" s="167"/>
    </row>
    <row r="664" spans="1:10" ht="15" customHeight="1">
      <c r="A664" s="162">
        <v>5032</v>
      </c>
      <c r="B664" s="162" t="s">
        <v>10843</v>
      </c>
      <c r="D664" s="187" t="s">
        <v>74</v>
      </c>
      <c r="E664" s="168" t="s">
        <v>10806</v>
      </c>
      <c r="F664" s="168" t="s">
        <v>10816</v>
      </c>
      <c r="G664" s="176">
        <v>4335</v>
      </c>
      <c r="H664" s="167" t="s">
        <v>10663</v>
      </c>
      <c r="I664" s="167" t="str">
        <f>IF(Plan_Comptable[[#This Row],[Sous-compte]]="","",LEFT(Plan_Comptable[[#This Row],[Sous-compte]]&amp;"00",4))</f>
        <v>4335</v>
      </c>
      <c r="J664" s="167"/>
    </row>
    <row r="665" spans="1:10" ht="15" customHeight="1">
      <c r="A665" s="162">
        <v>5033</v>
      </c>
      <c r="B665" s="162" t="s">
        <v>10844</v>
      </c>
      <c r="D665" s="187" t="s">
        <v>74</v>
      </c>
      <c r="E665" s="168" t="s">
        <v>10827</v>
      </c>
      <c r="F665" s="165">
        <v>444</v>
      </c>
      <c r="G665" s="176"/>
      <c r="H665" s="167" t="s">
        <v>10845</v>
      </c>
      <c r="I665" s="167" t="str">
        <f>IF(Plan_Comptable[[#This Row],[Sous-compte]]="","",LEFT(Plan_Comptable[[#This Row],[Sous-compte]]&amp;"00",4))</f>
        <v/>
      </c>
      <c r="J665" s="167"/>
    </row>
    <row r="666" spans="1:10" ht="15" customHeight="1">
      <c r="A666" s="162">
        <v>5035</v>
      </c>
      <c r="B666" s="162" t="s">
        <v>10846</v>
      </c>
      <c r="D666" s="187" t="s">
        <v>74</v>
      </c>
      <c r="E666" s="168" t="s">
        <v>10827</v>
      </c>
      <c r="F666" s="168" t="s">
        <v>10847</v>
      </c>
      <c r="G666" s="176">
        <v>4441</v>
      </c>
      <c r="H666" s="167" t="s">
        <v>10665</v>
      </c>
      <c r="I666" s="167" t="str">
        <f>IF(Plan_Comptable[[#This Row],[Sous-compte]]="","",LEFT(Plan_Comptable[[#This Row],[Sous-compte]]&amp;"00",4))</f>
        <v>4441</v>
      </c>
      <c r="J666" s="167"/>
    </row>
    <row r="667" spans="1:10" ht="15" customHeight="1">
      <c r="A667" s="162">
        <v>5036</v>
      </c>
      <c r="B667" s="162" t="s">
        <v>10848</v>
      </c>
      <c r="D667" s="187" t="s">
        <v>74</v>
      </c>
      <c r="E667" s="168" t="s">
        <v>10827</v>
      </c>
      <c r="F667" s="168" t="s">
        <v>10847</v>
      </c>
      <c r="G667" s="173">
        <v>4445</v>
      </c>
      <c r="H667" s="175" t="s">
        <v>10667</v>
      </c>
      <c r="I667" s="167" t="str">
        <f>IF(Plan_Comptable[[#This Row],[Sous-compte]]="","",LEFT(Plan_Comptable[[#This Row],[Sous-compte]]&amp;"00",4))</f>
        <v>4445</v>
      </c>
      <c r="J667" s="167"/>
    </row>
    <row r="668" spans="1:10" ht="15" customHeight="1">
      <c r="A668" s="162">
        <v>5042</v>
      </c>
      <c r="B668" s="162" t="s">
        <v>10849</v>
      </c>
      <c r="D668" s="187" t="s">
        <v>74</v>
      </c>
      <c r="E668" s="168" t="s">
        <v>10827</v>
      </c>
      <c r="F668" s="168" t="s">
        <v>10847</v>
      </c>
      <c r="G668" s="176">
        <v>4449</v>
      </c>
      <c r="H668" s="167" t="s">
        <v>10668</v>
      </c>
      <c r="I668" s="167" t="str">
        <f>IF(Plan_Comptable[[#This Row],[Sous-compte]]="","",LEFT(Plan_Comptable[[#This Row],[Sous-compte]]&amp;"00",4))</f>
        <v>4449</v>
      </c>
      <c r="J668" s="167"/>
    </row>
    <row r="669" spans="1:10" ht="15" customHeight="1">
      <c r="A669" s="162">
        <v>5043</v>
      </c>
      <c r="B669" s="162" t="s">
        <v>10850</v>
      </c>
      <c r="D669" s="187" t="s">
        <v>74</v>
      </c>
      <c r="E669" s="168" t="s">
        <v>10827</v>
      </c>
      <c r="F669" s="168">
        <v>445</v>
      </c>
      <c r="G669" s="176"/>
      <c r="H669" s="167" t="s">
        <v>10851</v>
      </c>
      <c r="I669" s="167" t="str">
        <f>IF(Plan_Comptable[[#This Row],[Sous-compte]]="","",LEFT(Plan_Comptable[[#This Row],[Sous-compte]]&amp;"00",4))</f>
        <v/>
      </c>
      <c r="J669" s="167"/>
    </row>
    <row r="670" spans="1:10" ht="15" customHeight="1">
      <c r="A670" s="162">
        <v>505</v>
      </c>
      <c r="B670" s="162" t="s">
        <v>10852</v>
      </c>
      <c r="D670" s="187" t="s">
        <v>74</v>
      </c>
      <c r="E670" s="168" t="s">
        <v>10827</v>
      </c>
      <c r="F670" s="168" t="s">
        <v>10853</v>
      </c>
      <c r="G670" s="176">
        <v>4451</v>
      </c>
      <c r="H670" s="167" t="s">
        <v>10669</v>
      </c>
      <c r="I670" s="167" t="str">
        <f>IF(Plan_Comptable[[#This Row],[Sous-compte]]="","",LEFT(Plan_Comptable[[#This Row],[Sous-compte]]&amp;"00",4))</f>
        <v>4451</v>
      </c>
      <c r="J670" s="167"/>
    </row>
    <row r="671" spans="1:10" ht="15" customHeight="1">
      <c r="A671" s="162">
        <v>5061</v>
      </c>
      <c r="B671" s="162" t="s">
        <v>10854</v>
      </c>
      <c r="D671" s="187" t="s">
        <v>74</v>
      </c>
      <c r="E671" s="168" t="s">
        <v>10827</v>
      </c>
      <c r="F671" s="168" t="s">
        <v>10853</v>
      </c>
      <c r="G671" s="176">
        <v>4452</v>
      </c>
      <c r="H671" s="167" t="s">
        <v>10670</v>
      </c>
      <c r="I671" s="167" t="str">
        <f>IF(Plan_Comptable[[#This Row],[Sous-compte]]="","",LEFT(Plan_Comptable[[#This Row],[Sous-compte]]&amp;"00",4))</f>
        <v>4452</v>
      </c>
      <c r="J671" s="167"/>
    </row>
    <row r="672" spans="1:10" ht="15" customHeight="1">
      <c r="A672" s="162">
        <v>5062</v>
      </c>
      <c r="B672" s="162" t="s">
        <v>1821</v>
      </c>
      <c r="D672" s="187" t="s">
        <v>74</v>
      </c>
      <c r="E672" s="168" t="s">
        <v>10827</v>
      </c>
      <c r="F672" s="168" t="s">
        <v>10853</v>
      </c>
      <c r="G672" s="176">
        <v>4453</v>
      </c>
      <c r="H672" s="167" t="s">
        <v>10672</v>
      </c>
      <c r="I672" s="167" t="str">
        <f>IF(Plan_Comptable[[#This Row],[Sous-compte]]="","",LEFT(Plan_Comptable[[#This Row],[Sous-compte]]&amp;"00",4))</f>
        <v>4453</v>
      </c>
      <c r="J672" s="167"/>
    </row>
    <row r="673" spans="1:10" ht="15" customHeight="1">
      <c r="A673" s="162">
        <v>5063</v>
      </c>
      <c r="B673" s="162" t="s">
        <v>1822</v>
      </c>
      <c r="D673" s="187" t="s">
        <v>74</v>
      </c>
      <c r="E673" s="168" t="s">
        <v>10827</v>
      </c>
      <c r="F673" s="168" t="s">
        <v>10853</v>
      </c>
      <c r="G673" s="176">
        <v>4454</v>
      </c>
      <c r="H673" s="167" t="s">
        <v>10674</v>
      </c>
      <c r="I673" s="167" t="str">
        <f>IF(Plan_Comptable[[#This Row],[Sous-compte]]="","",LEFT(Plan_Comptable[[#This Row],[Sous-compte]]&amp;"00",4))</f>
        <v>4454</v>
      </c>
      <c r="J673" s="167"/>
    </row>
    <row r="674" spans="1:10" ht="15" customHeight="1">
      <c r="A674" s="162">
        <v>508</v>
      </c>
      <c r="B674" s="162" t="s">
        <v>10855</v>
      </c>
      <c r="D674" s="187" t="s">
        <v>74</v>
      </c>
      <c r="E674" s="168" t="s">
        <v>10827</v>
      </c>
      <c r="F674" s="168" t="s">
        <v>10853</v>
      </c>
      <c r="G674" s="176">
        <v>4455</v>
      </c>
      <c r="H674" s="167" t="s">
        <v>10675</v>
      </c>
      <c r="I674" s="167" t="str">
        <f>IF(Plan_Comptable[[#This Row],[Sous-compte]]="","",LEFT(Plan_Comptable[[#This Row],[Sous-compte]]&amp;"00",4))</f>
        <v>4455</v>
      </c>
      <c r="J674" s="167"/>
    </row>
    <row r="675" spans="1:10" ht="15" customHeight="1">
      <c r="A675" s="162">
        <v>511</v>
      </c>
      <c r="B675" s="162" t="s">
        <v>10856</v>
      </c>
      <c r="D675" s="187" t="s">
        <v>74</v>
      </c>
      <c r="E675" s="168" t="s">
        <v>10827</v>
      </c>
      <c r="F675" s="168" t="s">
        <v>10853</v>
      </c>
      <c r="G675" s="172">
        <v>4456</v>
      </c>
      <c r="H675" s="179" t="s">
        <v>10676</v>
      </c>
      <c r="I675" s="167" t="str">
        <f>IF(Plan_Comptable[[#This Row],[Sous-compte]]="","",LEFT(Plan_Comptable[[#This Row],[Sous-compte]]&amp;"00",4))</f>
        <v>4456</v>
      </c>
      <c r="J675" s="167"/>
    </row>
    <row r="676" spans="1:10" ht="15" customHeight="1">
      <c r="A676" s="162">
        <v>512</v>
      </c>
      <c r="B676" s="162" t="s">
        <v>10857</v>
      </c>
      <c r="D676" s="187" t="s">
        <v>74</v>
      </c>
      <c r="E676" s="168" t="s">
        <v>10827</v>
      </c>
      <c r="F676" s="168">
        <v>446</v>
      </c>
      <c r="G676" s="176">
        <v>446</v>
      </c>
      <c r="H676" s="167" t="s">
        <v>10678</v>
      </c>
      <c r="I676" s="167" t="str">
        <f>IF(Plan_Comptable[[#This Row],[Sous-compte]]="","",LEFT(Plan_Comptable[[#This Row],[Sous-compte]]&amp;"00",4))</f>
        <v>4460</v>
      </c>
      <c r="J676" s="167"/>
    </row>
    <row r="677" spans="1:10" ht="15" customHeight="1">
      <c r="A677" s="162">
        <v>513</v>
      </c>
      <c r="B677" s="162" t="s">
        <v>10858</v>
      </c>
      <c r="D677" s="187" t="s">
        <v>74</v>
      </c>
      <c r="E677" s="168" t="s">
        <v>10827</v>
      </c>
      <c r="F677" s="168">
        <v>447</v>
      </c>
      <c r="G677" s="176"/>
      <c r="H677" s="167" t="s">
        <v>10859</v>
      </c>
      <c r="I677" s="167" t="str">
        <f>IF(Plan_Comptable[[#This Row],[Sous-compte]]="","",LEFT(Plan_Comptable[[#This Row],[Sous-compte]]&amp;"00",4))</f>
        <v/>
      </c>
      <c r="J677" s="167"/>
    </row>
    <row r="678" spans="1:10" ht="15" customHeight="1">
      <c r="A678" s="162">
        <v>514</v>
      </c>
      <c r="B678" s="162" t="s">
        <v>10860</v>
      </c>
      <c r="D678" s="187" t="s">
        <v>74</v>
      </c>
      <c r="E678" s="168" t="s">
        <v>10827</v>
      </c>
      <c r="F678" s="168" t="s">
        <v>10861</v>
      </c>
      <c r="G678" s="176">
        <v>4471</v>
      </c>
      <c r="H678" s="167" t="s">
        <v>10680</v>
      </c>
      <c r="I678" s="167" t="str">
        <f>IF(Plan_Comptable[[#This Row],[Sous-compte]]="","",LEFT(Plan_Comptable[[#This Row],[Sous-compte]]&amp;"00",4))</f>
        <v>4471</v>
      </c>
      <c r="J678" s="167"/>
    </row>
    <row r="679" spans="1:10" ht="15" customHeight="1">
      <c r="A679" s="162">
        <v>515</v>
      </c>
      <c r="B679" s="162" t="s">
        <v>10862</v>
      </c>
      <c r="D679" s="187" t="s">
        <v>74</v>
      </c>
      <c r="E679" s="168" t="s">
        <v>10827</v>
      </c>
      <c r="F679" s="168" t="s">
        <v>10861</v>
      </c>
      <c r="G679" s="176">
        <v>4472</v>
      </c>
      <c r="H679" s="167" t="s">
        <v>10681</v>
      </c>
      <c r="I679" s="167" t="str">
        <f>IF(Plan_Comptable[[#This Row],[Sous-compte]]="","",LEFT(Plan_Comptable[[#This Row],[Sous-compte]]&amp;"00",4))</f>
        <v>4472</v>
      </c>
      <c r="J679" s="167"/>
    </row>
    <row r="680" spans="1:10" ht="15" customHeight="1">
      <c r="A680" s="162">
        <v>5181</v>
      </c>
      <c r="B680" s="162" t="s">
        <v>10863</v>
      </c>
      <c r="D680" s="187" t="s">
        <v>74</v>
      </c>
      <c r="E680" s="168" t="s">
        <v>10827</v>
      </c>
      <c r="F680" s="168" t="s">
        <v>10861</v>
      </c>
      <c r="G680" s="176">
        <v>4473</v>
      </c>
      <c r="H680" s="167" t="s">
        <v>10682</v>
      </c>
      <c r="I680" s="167" t="str">
        <f>IF(Plan_Comptable[[#This Row],[Sous-compte]]="","",LEFT(Plan_Comptable[[#This Row],[Sous-compte]]&amp;"00",4))</f>
        <v>4473</v>
      </c>
      <c r="J680" s="167"/>
    </row>
    <row r="681" spans="1:10" ht="15" customHeight="1">
      <c r="A681" s="162">
        <v>5182</v>
      </c>
      <c r="B681" s="162" t="s">
        <v>10101</v>
      </c>
      <c r="D681" s="187" t="s">
        <v>74</v>
      </c>
      <c r="E681" s="168" t="s">
        <v>10827</v>
      </c>
      <c r="F681" s="168" t="s">
        <v>10861</v>
      </c>
      <c r="G681" s="176">
        <v>4474</v>
      </c>
      <c r="H681" s="167" t="s">
        <v>10683</v>
      </c>
      <c r="I681" s="167" t="str">
        <f>IF(Plan_Comptable[[#This Row],[Sous-compte]]="","",LEFT(Plan_Comptable[[#This Row],[Sous-compte]]&amp;"00",4))</f>
        <v>4474</v>
      </c>
      <c r="J681" s="167"/>
    </row>
    <row r="682" spans="1:10" ht="15" customHeight="1">
      <c r="A682" s="162">
        <v>5185</v>
      </c>
      <c r="B682" s="162" t="s">
        <v>10864</v>
      </c>
      <c r="D682" s="187" t="s">
        <v>74</v>
      </c>
      <c r="E682" s="168" t="s">
        <v>10827</v>
      </c>
      <c r="F682" s="168" t="s">
        <v>10861</v>
      </c>
      <c r="G682" s="176">
        <v>4478</v>
      </c>
      <c r="H682" s="167" t="s">
        <v>10684</v>
      </c>
      <c r="I682" s="167" t="str">
        <f>IF(Plan_Comptable[[#This Row],[Sous-compte]]="","",LEFT(Plan_Comptable[[#This Row],[Sous-compte]]&amp;"00",4))</f>
        <v>4478</v>
      </c>
      <c r="J682" s="167"/>
    </row>
    <row r="683" spans="1:10" ht="15" customHeight="1">
      <c r="A683" s="162">
        <v>5186</v>
      </c>
      <c r="B683" s="162" t="s">
        <v>10865</v>
      </c>
      <c r="D683" s="187" t="s">
        <v>74</v>
      </c>
      <c r="E683" s="168" t="s">
        <v>10827</v>
      </c>
      <c r="F683" s="168">
        <v>448</v>
      </c>
      <c r="G683" s="176"/>
      <c r="H683" s="167" t="s">
        <v>10866</v>
      </c>
      <c r="I683" s="167" t="str">
        <f>IF(Plan_Comptable[[#This Row],[Sous-compte]]="","",LEFT(Plan_Comptable[[#This Row],[Sous-compte]]&amp;"00",4))</f>
        <v/>
      </c>
      <c r="J683" s="167"/>
    </row>
    <row r="684" spans="1:10" ht="15" customHeight="1">
      <c r="A684" s="162">
        <v>5187</v>
      </c>
      <c r="B684" s="162" t="s">
        <v>10867</v>
      </c>
      <c r="D684" s="187" t="s">
        <v>74</v>
      </c>
      <c r="E684" s="168" t="s">
        <v>10827</v>
      </c>
      <c r="F684" s="168" t="s">
        <v>10868</v>
      </c>
      <c r="G684" s="176">
        <v>4486</v>
      </c>
      <c r="H684" s="167" t="s">
        <v>10685</v>
      </c>
      <c r="I684" s="167" t="str">
        <f>IF(Plan_Comptable[[#This Row],[Sous-compte]]="","",LEFT(Plan_Comptable[[#This Row],[Sous-compte]]&amp;"00",4))</f>
        <v>4486</v>
      </c>
      <c r="J684" s="167"/>
    </row>
    <row r="685" spans="1:10" ht="15" customHeight="1">
      <c r="A685" s="162">
        <v>5211</v>
      </c>
      <c r="B685" s="162" t="s">
        <v>10869</v>
      </c>
      <c r="D685" s="187" t="s">
        <v>74</v>
      </c>
      <c r="E685" s="168" t="s">
        <v>10827</v>
      </c>
      <c r="F685" s="168" t="s">
        <v>10868</v>
      </c>
      <c r="G685" s="176">
        <v>4487</v>
      </c>
      <c r="H685" s="167" t="s">
        <v>10629</v>
      </c>
      <c r="I685" s="167" t="str">
        <f>IF(Plan_Comptable[[#This Row],[Sous-compte]]="","",LEFT(Plan_Comptable[[#This Row],[Sous-compte]]&amp;"00",4))</f>
        <v>4487</v>
      </c>
      <c r="J685" s="167"/>
    </row>
    <row r="686" spans="1:10" ht="15" customHeight="1">
      <c r="A686" s="162">
        <v>5215</v>
      </c>
      <c r="B686" s="162" t="s">
        <v>10870</v>
      </c>
      <c r="D686" s="187" t="s">
        <v>74</v>
      </c>
      <c r="E686" s="168" t="s">
        <v>10827</v>
      </c>
      <c r="F686" s="168">
        <v>449</v>
      </c>
      <c r="G686" s="176"/>
      <c r="H686" s="167" t="s">
        <v>10871</v>
      </c>
      <c r="I686" s="167" t="str">
        <f>IF(Plan_Comptable[[#This Row],[Sous-compte]]="","",LEFT(Plan_Comptable[[#This Row],[Sous-compte]]&amp;"00",4))</f>
        <v/>
      </c>
      <c r="J686" s="167"/>
    </row>
    <row r="687" spans="1:10" ht="15" customHeight="1">
      <c r="A687" s="162">
        <v>522</v>
      </c>
      <c r="B687" s="162" t="s">
        <v>10872</v>
      </c>
      <c r="D687" s="187" t="s">
        <v>74</v>
      </c>
      <c r="E687" s="168" t="s">
        <v>10827</v>
      </c>
      <c r="F687" s="168" t="s">
        <v>10873</v>
      </c>
      <c r="G687" s="176">
        <v>4491</v>
      </c>
      <c r="H687" s="167" t="s">
        <v>10686</v>
      </c>
      <c r="I687" s="167" t="str">
        <f>IF(Plan_Comptable[[#This Row],[Sous-compte]]="","",LEFT(Plan_Comptable[[#This Row],[Sous-compte]]&amp;"00",4))</f>
        <v>4491</v>
      </c>
      <c r="J687" s="167"/>
    </row>
    <row r="688" spans="1:10" ht="15" customHeight="1">
      <c r="A688" s="162">
        <v>523</v>
      </c>
      <c r="B688" s="162" t="s">
        <v>10874</v>
      </c>
      <c r="D688" s="187" t="s">
        <v>74</v>
      </c>
      <c r="E688" s="168" t="s">
        <v>10827</v>
      </c>
      <c r="F688" s="168" t="s">
        <v>10873</v>
      </c>
      <c r="G688" s="176">
        <v>4492</v>
      </c>
      <c r="H688" s="167" t="s">
        <v>10688</v>
      </c>
      <c r="I688" s="167" t="str">
        <f>IF(Plan_Comptable[[#This Row],[Sous-compte]]="","",LEFT(Plan_Comptable[[#This Row],[Sous-compte]]&amp;"00",4))</f>
        <v>4492</v>
      </c>
      <c r="J688" s="167"/>
    </row>
    <row r="689" spans="1:10" ht="15" customHeight="1">
      <c r="A689" s="162">
        <v>524</v>
      </c>
      <c r="B689" s="162" t="s">
        <v>10875</v>
      </c>
      <c r="D689" s="187" t="s">
        <v>74</v>
      </c>
      <c r="E689" s="168" t="s">
        <v>10827</v>
      </c>
      <c r="F689" s="168" t="s">
        <v>10873</v>
      </c>
      <c r="G689" s="176">
        <v>4493</v>
      </c>
      <c r="H689" s="167" t="s">
        <v>10691</v>
      </c>
      <c r="I689" s="167" t="str">
        <f>IF(Plan_Comptable[[#This Row],[Sous-compte]]="","",LEFT(Plan_Comptable[[#This Row],[Sous-compte]]&amp;"00",4))</f>
        <v>4493</v>
      </c>
      <c r="J689" s="167"/>
    </row>
    <row r="690" spans="1:10" ht="15" customHeight="1">
      <c r="A690" s="162">
        <v>525</v>
      </c>
      <c r="B690" s="162" t="s">
        <v>10876</v>
      </c>
      <c r="D690" s="187" t="s">
        <v>74</v>
      </c>
      <c r="E690" s="168" t="s">
        <v>10827</v>
      </c>
      <c r="F690" s="168" t="s">
        <v>10873</v>
      </c>
      <c r="G690" s="172">
        <v>4494</v>
      </c>
      <c r="H690" s="179" t="s">
        <v>10693</v>
      </c>
      <c r="I690" s="167" t="str">
        <f>IF(Plan_Comptable[[#This Row],[Sous-compte]]="","",LEFT(Plan_Comptable[[#This Row],[Sous-compte]]&amp;"00",4))</f>
        <v>4494</v>
      </c>
      <c r="J690" s="167"/>
    </row>
    <row r="691" spans="1:10" ht="15" customHeight="1">
      <c r="A691" s="162">
        <v>5261</v>
      </c>
      <c r="B691" s="162" t="s">
        <v>10877</v>
      </c>
      <c r="D691" s="187" t="s">
        <v>74</v>
      </c>
      <c r="E691" s="168" t="s">
        <v>10827</v>
      </c>
      <c r="F691" s="168" t="s">
        <v>10873</v>
      </c>
      <c r="G691" s="176">
        <v>4495</v>
      </c>
      <c r="H691" s="167" t="s">
        <v>10694</v>
      </c>
      <c r="I691" s="167" t="str">
        <f>IF(Plan_Comptable[[#This Row],[Sous-compte]]="","",LEFT(Plan_Comptable[[#This Row],[Sous-compte]]&amp;"00",4))</f>
        <v>4495</v>
      </c>
      <c r="J691" s="167"/>
    </row>
    <row r="692" spans="1:10" ht="15" customHeight="1">
      <c r="A692" s="162">
        <v>5267</v>
      </c>
      <c r="B692" s="162" t="s">
        <v>10878</v>
      </c>
      <c r="D692" s="187" t="s">
        <v>74</v>
      </c>
      <c r="E692" s="168" t="s">
        <v>10827</v>
      </c>
      <c r="F692" s="168" t="s">
        <v>10873</v>
      </c>
      <c r="G692" s="176">
        <v>4496</v>
      </c>
      <c r="H692" s="167" t="s">
        <v>10695</v>
      </c>
      <c r="I692" s="167" t="str">
        <f>IF(Plan_Comptable[[#This Row],[Sous-compte]]="","",LEFT(Plan_Comptable[[#This Row],[Sous-compte]]&amp;"00",4))</f>
        <v>4496</v>
      </c>
      <c r="J692" s="167"/>
    </row>
    <row r="693" spans="1:10" ht="15" customHeight="1">
      <c r="A693" s="162">
        <v>531</v>
      </c>
      <c r="B693" s="162" t="s">
        <v>10879</v>
      </c>
      <c r="D693" s="187" t="s">
        <v>74</v>
      </c>
      <c r="E693" s="168" t="s">
        <v>10827</v>
      </c>
      <c r="F693" s="168" t="s">
        <v>10873</v>
      </c>
      <c r="G693" s="173">
        <v>4497</v>
      </c>
      <c r="H693" s="174" t="s">
        <v>10696</v>
      </c>
      <c r="I693" s="167" t="str">
        <f>IF(Plan_Comptable[[#This Row],[Sous-compte]]="","",LEFT(Plan_Comptable[[#This Row],[Sous-compte]]&amp;"00",4))</f>
        <v>4497</v>
      </c>
      <c r="J693" s="167"/>
    </row>
    <row r="694" spans="1:10" ht="15" customHeight="1">
      <c r="A694" s="162">
        <v>532</v>
      </c>
      <c r="B694" s="162" t="s">
        <v>10880</v>
      </c>
      <c r="D694" s="187" t="s">
        <v>74</v>
      </c>
      <c r="E694" s="168" t="s">
        <v>10827</v>
      </c>
      <c r="F694" s="168" t="s">
        <v>10873</v>
      </c>
      <c r="G694" s="176">
        <v>4499</v>
      </c>
      <c r="H694" s="167" t="s">
        <v>10697</v>
      </c>
      <c r="I694" s="167" t="str">
        <f>IF(Plan_Comptable[[#This Row],[Sous-compte]]="","",LEFT(Plan_Comptable[[#This Row],[Sous-compte]]&amp;"00",4))</f>
        <v>4499</v>
      </c>
      <c r="J694" s="167"/>
    </row>
    <row r="695" spans="1:10" ht="15" customHeight="1">
      <c r="A695" s="162">
        <v>533</v>
      </c>
      <c r="B695" s="162" t="s">
        <v>10881</v>
      </c>
      <c r="D695" s="187" t="s">
        <v>74</v>
      </c>
      <c r="E695" s="185">
        <v>45</v>
      </c>
      <c r="F695" s="165" t="s">
        <v>9941</v>
      </c>
      <c r="G695" s="165"/>
      <c r="H695" s="166" t="s">
        <v>10882</v>
      </c>
      <c r="I695" s="167" t="str">
        <f>IF(Plan_Comptable[[#This Row],[Sous-compte]]="","",LEFT(Plan_Comptable[[#This Row],[Sous-compte]]&amp;"00",4))</f>
        <v/>
      </c>
      <c r="J695" s="167"/>
    </row>
    <row r="696" spans="1:10" ht="15" customHeight="1">
      <c r="A696" s="162">
        <v>536</v>
      </c>
      <c r="B696" s="162" t="s">
        <v>10883</v>
      </c>
      <c r="D696" s="187" t="s">
        <v>74</v>
      </c>
      <c r="E696" s="168" t="s">
        <v>10884</v>
      </c>
      <c r="F696" s="168">
        <v>451</v>
      </c>
      <c r="G696" s="176">
        <v>451</v>
      </c>
      <c r="H696" s="167" t="s">
        <v>10699</v>
      </c>
      <c r="I696" s="167" t="str">
        <f>IF(Plan_Comptable[[#This Row],[Sous-compte]]="","",LEFT(Plan_Comptable[[#This Row],[Sous-compte]]&amp;"00",4))</f>
        <v>4510</v>
      </c>
      <c r="J696" s="167"/>
    </row>
    <row r="697" spans="1:10" ht="15" customHeight="1">
      <c r="A697" s="162">
        <v>538</v>
      </c>
      <c r="B697" s="162" t="s">
        <v>10885</v>
      </c>
      <c r="D697" s="187" t="s">
        <v>74</v>
      </c>
      <c r="E697" s="168" t="s">
        <v>10884</v>
      </c>
      <c r="F697" s="168">
        <v>452</v>
      </c>
      <c r="G697" s="176">
        <v>452</v>
      </c>
      <c r="H697" s="167" t="s">
        <v>10701</v>
      </c>
      <c r="I697" s="167" t="str">
        <f>IF(Plan_Comptable[[#This Row],[Sous-compte]]="","",LEFT(Plan_Comptable[[#This Row],[Sous-compte]]&amp;"00",4))</f>
        <v>4520</v>
      </c>
      <c r="J697" s="167"/>
    </row>
    <row r="698" spans="1:10" ht="15" customHeight="1">
      <c r="A698" s="162">
        <v>541</v>
      </c>
      <c r="B698" s="162" t="s">
        <v>10886</v>
      </c>
      <c r="D698" s="187" t="s">
        <v>74</v>
      </c>
      <c r="E698" s="168" t="s">
        <v>10884</v>
      </c>
      <c r="F698" s="168">
        <v>458</v>
      </c>
      <c r="G698" s="176"/>
      <c r="H698" s="167" t="s">
        <v>10887</v>
      </c>
      <c r="I698" s="167" t="str">
        <f>IF(Plan_Comptable[[#This Row],[Sous-compte]]="","",LEFT(Plan_Comptable[[#This Row],[Sous-compte]]&amp;"00",4))</f>
        <v/>
      </c>
      <c r="J698" s="167"/>
    </row>
    <row r="699" spans="1:10" ht="15" customHeight="1">
      <c r="A699" s="162">
        <v>542</v>
      </c>
      <c r="B699" s="162" t="s">
        <v>10888</v>
      </c>
      <c r="D699" s="187" t="s">
        <v>74</v>
      </c>
      <c r="E699" s="168" t="s">
        <v>10884</v>
      </c>
      <c r="F699" s="168" t="s">
        <v>10889</v>
      </c>
      <c r="G699" s="176">
        <v>4581</v>
      </c>
      <c r="H699" s="167" t="s">
        <v>10702</v>
      </c>
      <c r="I699" s="167" t="str">
        <f>IF(Plan_Comptable[[#This Row],[Sous-compte]]="","",LEFT(Plan_Comptable[[#This Row],[Sous-compte]]&amp;"00",4))</f>
        <v>4581</v>
      </c>
      <c r="J699" s="167"/>
    </row>
    <row r="700" spans="1:10" ht="15" customHeight="1">
      <c r="A700" s="162">
        <v>543</v>
      </c>
      <c r="B700" s="162" t="s">
        <v>10890</v>
      </c>
      <c r="D700" s="187" t="s">
        <v>74</v>
      </c>
      <c r="E700" s="168" t="s">
        <v>10884</v>
      </c>
      <c r="F700" s="168" t="s">
        <v>10889</v>
      </c>
      <c r="G700" s="176">
        <v>4582</v>
      </c>
      <c r="H700" s="167" t="s">
        <v>10703</v>
      </c>
      <c r="I700" s="167" t="str">
        <f>IF(Plan_Comptable[[#This Row],[Sous-compte]]="","",LEFT(Plan_Comptable[[#This Row],[Sous-compte]]&amp;"00",4))</f>
        <v>4582</v>
      </c>
      <c r="J700" s="167"/>
    </row>
    <row r="701" spans="1:10" ht="15" customHeight="1">
      <c r="A701" s="162">
        <v>544</v>
      </c>
      <c r="B701" s="162" t="s">
        <v>10891</v>
      </c>
      <c r="D701" s="187" t="s">
        <v>74</v>
      </c>
      <c r="E701" s="182">
        <v>46</v>
      </c>
      <c r="F701" s="171" t="s">
        <v>9941</v>
      </c>
      <c r="G701" s="171"/>
      <c r="H701" s="183" t="s">
        <v>10892</v>
      </c>
      <c r="I701" s="167" t="str">
        <f>IF(Plan_Comptable[[#This Row],[Sous-compte]]="","",LEFT(Plan_Comptable[[#This Row],[Sous-compte]]&amp;"00",4))</f>
        <v/>
      </c>
      <c r="J701" s="167"/>
    </row>
    <row r="702" spans="1:10" ht="15" customHeight="1">
      <c r="A702" s="162">
        <v>545</v>
      </c>
      <c r="B702" s="162" t="s">
        <v>10893</v>
      </c>
      <c r="D702" s="187" t="s">
        <v>74</v>
      </c>
      <c r="E702" s="168" t="s">
        <v>10894</v>
      </c>
      <c r="F702" s="171">
        <v>461</v>
      </c>
      <c r="G702" s="172"/>
      <c r="H702" s="179" t="s">
        <v>10895</v>
      </c>
      <c r="I702" s="167" t="str">
        <f>IF(Plan_Comptable[[#This Row],[Sous-compte]]="","",LEFT(Plan_Comptable[[#This Row],[Sous-compte]]&amp;"00",4))</f>
        <v/>
      </c>
      <c r="J702" s="167"/>
    </row>
    <row r="703" spans="1:10" ht="15" customHeight="1">
      <c r="A703" s="162">
        <v>551</v>
      </c>
      <c r="B703" s="162" t="s">
        <v>10896</v>
      </c>
      <c r="D703" s="187" t="s">
        <v>74</v>
      </c>
      <c r="E703" s="168" t="s">
        <v>10894</v>
      </c>
      <c r="F703" s="171" t="s">
        <v>10897</v>
      </c>
      <c r="G703" s="172">
        <v>4611</v>
      </c>
      <c r="H703" s="179" t="s">
        <v>10705</v>
      </c>
      <c r="I703" s="167" t="str">
        <f>IF(Plan_Comptable[[#This Row],[Sous-compte]]="","",LEFT(Plan_Comptable[[#This Row],[Sous-compte]]&amp;"00",4))</f>
        <v>4611</v>
      </c>
      <c r="J703" s="167"/>
    </row>
    <row r="704" spans="1:10" ht="15" customHeight="1">
      <c r="A704" s="162">
        <v>552</v>
      </c>
      <c r="B704" s="162" t="s">
        <v>10898</v>
      </c>
      <c r="D704" s="187" t="s">
        <v>74</v>
      </c>
      <c r="E704" s="168" t="s">
        <v>10894</v>
      </c>
      <c r="F704" s="171" t="s">
        <v>10897</v>
      </c>
      <c r="G704" s="172">
        <v>4612</v>
      </c>
      <c r="H704" s="192" t="s">
        <v>10707</v>
      </c>
      <c r="I704" s="167" t="str">
        <f>IF(Plan_Comptable[[#This Row],[Sous-compte]]="","",LEFT(Plan_Comptable[[#This Row],[Sous-compte]]&amp;"00",4))</f>
        <v>4612</v>
      </c>
      <c r="J704" s="167"/>
    </row>
    <row r="705" spans="1:10" ht="15" customHeight="1">
      <c r="A705" s="162">
        <v>553</v>
      </c>
      <c r="B705" s="162" t="s">
        <v>10899</v>
      </c>
      <c r="D705" s="187" t="s">
        <v>74</v>
      </c>
      <c r="E705" s="168" t="s">
        <v>10894</v>
      </c>
      <c r="F705" s="171" t="s">
        <v>10897</v>
      </c>
      <c r="G705" s="172">
        <v>4613</v>
      </c>
      <c r="H705" s="192" t="s">
        <v>10708</v>
      </c>
      <c r="I705" s="167" t="str">
        <f>IF(Plan_Comptable[[#This Row],[Sous-compte]]="","",LEFT(Plan_Comptable[[#This Row],[Sous-compte]]&amp;"00",4))</f>
        <v>4613</v>
      </c>
      <c r="J705" s="167"/>
    </row>
    <row r="706" spans="1:10" ht="15" customHeight="1">
      <c r="A706" s="162">
        <v>554</v>
      </c>
      <c r="B706" s="162" t="s">
        <v>10900</v>
      </c>
      <c r="D706" s="187" t="s">
        <v>74</v>
      </c>
      <c r="E706" s="168" t="s">
        <v>10894</v>
      </c>
      <c r="F706" s="171" t="s">
        <v>10897</v>
      </c>
      <c r="G706" s="172">
        <v>4614</v>
      </c>
      <c r="H706" s="192" t="s">
        <v>10709</v>
      </c>
      <c r="I706" s="167" t="str">
        <f>IF(Plan_Comptable[[#This Row],[Sous-compte]]="","",LEFT(Plan_Comptable[[#This Row],[Sous-compte]]&amp;"00",4))</f>
        <v>4614</v>
      </c>
      <c r="J706" s="167"/>
    </row>
    <row r="707" spans="1:10" ht="15" customHeight="1">
      <c r="A707" s="162">
        <v>558</v>
      </c>
      <c r="B707" s="162" t="s">
        <v>10901</v>
      </c>
      <c r="D707" s="187" t="s">
        <v>74</v>
      </c>
      <c r="E707" s="168" t="s">
        <v>10894</v>
      </c>
      <c r="F707" s="171" t="s">
        <v>10897</v>
      </c>
      <c r="G707" s="172">
        <v>4615</v>
      </c>
      <c r="H707" s="192" t="s">
        <v>10710</v>
      </c>
      <c r="I707" s="167" t="str">
        <f>IF(Plan_Comptable[[#This Row],[Sous-compte]]="","",LEFT(Plan_Comptable[[#This Row],[Sous-compte]]&amp;"00",4))</f>
        <v>4615</v>
      </c>
      <c r="J707" s="167"/>
    </row>
    <row r="708" spans="1:10" ht="15" customHeight="1">
      <c r="A708" s="162">
        <v>561</v>
      </c>
      <c r="B708" s="162" t="s">
        <v>10902</v>
      </c>
      <c r="D708" s="187" t="s">
        <v>74</v>
      </c>
      <c r="E708" s="168" t="s">
        <v>10894</v>
      </c>
      <c r="F708" s="171" t="s">
        <v>10897</v>
      </c>
      <c r="G708" s="172">
        <v>4616</v>
      </c>
      <c r="H708" s="199" t="s">
        <v>10712</v>
      </c>
      <c r="I708" s="167" t="str">
        <f>IF(Plan_Comptable[[#This Row],[Sous-compte]]="","",LEFT(Plan_Comptable[[#This Row],[Sous-compte]]&amp;"00",4))</f>
        <v>4616</v>
      </c>
      <c r="J708" s="167"/>
    </row>
    <row r="709" spans="1:10" ht="15" customHeight="1">
      <c r="A709" s="162">
        <v>564</v>
      </c>
      <c r="B709" s="162" t="s">
        <v>10903</v>
      </c>
      <c r="D709" s="187" t="s">
        <v>74</v>
      </c>
      <c r="E709" s="168" t="s">
        <v>10894</v>
      </c>
      <c r="F709" s="171" t="s">
        <v>10897</v>
      </c>
      <c r="G709" s="172">
        <v>4617</v>
      </c>
      <c r="H709" s="192" t="s">
        <v>10714</v>
      </c>
      <c r="I709" s="167" t="str">
        <f>IF(Plan_Comptable[[#This Row],[Sous-compte]]="","",LEFT(Plan_Comptable[[#This Row],[Sous-compte]]&amp;"00",4))</f>
        <v>4617</v>
      </c>
      <c r="J709" s="167"/>
    </row>
    <row r="710" spans="1:10" ht="15" customHeight="1">
      <c r="A710" s="162">
        <v>565</v>
      </c>
      <c r="B710" s="162" t="s">
        <v>10904</v>
      </c>
      <c r="D710" s="187" t="s">
        <v>74</v>
      </c>
      <c r="E710" s="168" t="s">
        <v>10894</v>
      </c>
      <c r="F710" s="171" t="s">
        <v>10897</v>
      </c>
      <c r="G710" s="172">
        <v>4618</v>
      </c>
      <c r="H710" s="192" t="s">
        <v>10715</v>
      </c>
      <c r="I710" s="167" t="str">
        <f>IF(Plan_Comptable[[#This Row],[Sous-compte]]="","",LEFT(Plan_Comptable[[#This Row],[Sous-compte]]&amp;"00",4))</f>
        <v>4618</v>
      </c>
      <c r="J710" s="167"/>
    </row>
    <row r="711" spans="1:10" ht="15" customHeight="1">
      <c r="A711" s="162">
        <v>566</v>
      </c>
      <c r="B711" s="162" t="s">
        <v>10905</v>
      </c>
      <c r="D711" s="187" t="s">
        <v>74</v>
      </c>
      <c r="E711" s="168" t="s">
        <v>10894</v>
      </c>
      <c r="F711" s="171" t="s">
        <v>10897</v>
      </c>
      <c r="G711" s="172">
        <v>4619</v>
      </c>
      <c r="H711" s="199" t="s">
        <v>10716</v>
      </c>
      <c r="I711" s="167" t="str">
        <f>IF(Plan_Comptable[[#This Row],[Sous-compte]]="","",LEFT(Plan_Comptable[[#This Row],[Sous-compte]]&amp;"00",4))</f>
        <v>4619</v>
      </c>
      <c r="J711" s="167"/>
    </row>
    <row r="712" spans="1:10" ht="15" customHeight="1">
      <c r="A712" s="162">
        <v>5711</v>
      </c>
      <c r="B712" s="162" t="s">
        <v>10906</v>
      </c>
      <c r="D712" s="187" t="s">
        <v>74</v>
      </c>
      <c r="E712" s="168" t="s">
        <v>10894</v>
      </c>
      <c r="F712" s="168">
        <v>462</v>
      </c>
      <c r="G712" s="176"/>
      <c r="H712" s="167" t="s">
        <v>10907</v>
      </c>
      <c r="I712" s="167" t="str">
        <f>IF(Plan_Comptable[[#This Row],[Sous-compte]]="","",LEFT(Plan_Comptable[[#This Row],[Sous-compte]]&amp;"00",4))</f>
        <v/>
      </c>
      <c r="J712" s="167"/>
    </row>
    <row r="713" spans="1:10" ht="15" customHeight="1">
      <c r="A713" s="162">
        <v>5712</v>
      </c>
      <c r="B713" s="162" t="s">
        <v>10908</v>
      </c>
      <c r="D713" s="187" t="s">
        <v>74</v>
      </c>
      <c r="E713" s="168" t="s">
        <v>10894</v>
      </c>
      <c r="F713" s="168" t="s">
        <v>10909</v>
      </c>
      <c r="G713" s="176">
        <v>4621</v>
      </c>
      <c r="H713" s="167" t="s">
        <v>10717</v>
      </c>
      <c r="I713" s="167" t="str">
        <f>IF(Plan_Comptable[[#This Row],[Sous-compte]]="","",LEFT(Plan_Comptable[[#This Row],[Sous-compte]]&amp;"00",4))</f>
        <v>4621</v>
      </c>
      <c r="J713" s="167"/>
    </row>
    <row r="714" spans="1:10" ht="15" customHeight="1">
      <c r="A714" s="162">
        <v>5721</v>
      </c>
      <c r="B714" s="162" t="s">
        <v>10910</v>
      </c>
      <c r="D714" s="187" t="s">
        <v>74</v>
      </c>
      <c r="E714" s="168" t="s">
        <v>10894</v>
      </c>
      <c r="F714" s="168" t="s">
        <v>10909</v>
      </c>
      <c r="G714" s="176">
        <v>4626</v>
      </c>
      <c r="H714" s="167" t="s">
        <v>1704</v>
      </c>
      <c r="I714" s="167" t="str">
        <f>IF(Plan_Comptable[[#This Row],[Sous-compte]]="","",LEFT(Plan_Comptable[[#This Row],[Sous-compte]]&amp;"00",4))</f>
        <v>4626</v>
      </c>
      <c r="J714" s="167"/>
    </row>
    <row r="715" spans="1:10" ht="15" customHeight="1">
      <c r="A715" s="162">
        <v>5722</v>
      </c>
      <c r="B715" s="162" t="s">
        <v>10911</v>
      </c>
      <c r="D715" s="187" t="s">
        <v>74</v>
      </c>
      <c r="E715" s="168" t="s">
        <v>10894</v>
      </c>
      <c r="F715" s="171">
        <v>463</v>
      </c>
      <c r="G715" s="172"/>
      <c r="H715" s="179" t="s">
        <v>10912</v>
      </c>
      <c r="I715" s="167" t="str">
        <f>IF(Plan_Comptable[[#This Row],[Sous-compte]]="","",LEFT(Plan_Comptable[[#This Row],[Sous-compte]]&amp;"00",4))</f>
        <v/>
      </c>
      <c r="J715" s="167"/>
    </row>
    <row r="716" spans="1:10" ht="15" customHeight="1">
      <c r="A716" s="162">
        <v>5731</v>
      </c>
      <c r="B716" s="162" t="s">
        <v>10910</v>
      </c>
      <c r="D716" s="187" t="s">
        <v>74</v>
      </c>
      <c r="E716" s="168" t="s">
        <v>10894</v>
      </c>
      <c r="F716" s="168" t="s">
        <v>10913</v>
      </c>
      <c r="G716" s="173">
        <v>4631</v>
      </c>
      <c r="H716" s="175" t="s">
        <v>10005</v>
      </c>
      <c r="I716" s="167" t="str">
        <f>IF(Plan_Comptable[[#This Row],[Sous-compte]]="","",LEFT(Plan_Comptable[[#This Row],[Sous-compte]]&amp;"00",4))</f>
        <v>4631</v>
      </c>
      <c r="J716" s="167"/>
    </row>
    <row r="717" spans="1:10" ht="15" customHeight="1">
      <c r="A717" s="162">
        <v>5732</v>
      </c>
      <c r="B717" s="162" t="s">
        <v>10911</v>
      </c>
      <c r="D717" s="187" t="s">
        <v>74</v>
      </c>
      <c r="E717" s="168" t="s">
        <v>10894</v>
      </c>
      <c r="F717" s="168" t="s">
        <v>10913</v>
      </c>
      <c r="G717" s="173">
        <v>4636</v>
      </c>
      <c r="H717" s="175" t="s">
        <v>1704</v>
      </c>
      <c r="I717" s="167" t="str">
        <f>IF(Plan_Comptable[[#This Row],[Sous-compte]]="","",LEFT(Plan_Comptable[[#This Row],[Sous-compte]]&amp;"00",4))</f>
        <v>4636</v>
      </c>
      <c r="J717" s="167"/>
    </row>
    <row r="718" spans="1:10" ht="15" customHeight="1">
      <c r="A718" s="162">
        <v>581</v>
      </c>
      <c r="B718" s="162" t="s">
        <v>10914</v>
      </c>
      <c r="D718" s="187" t="s">
        <v>74</v>
      </c>
      <c r="E718" s="168" t="s">
        <v>10894</v>
      </c>
      <c r="F718" s="171">
        <v>465</v>
      </c>
      <c r="G718" s="172">
        <v>465</v>
      </c>
      <c r="H718" s="179" t="s">
        <v>10720</v>
      </c>
      <c r="I718" s="167" t="str">
        <f>IF(Plan_Comptable[[#This Row],[Sous-compte]]="","",LEFT(Plan_Comptable[[#This Row],[Sous-compte]]&amp;"00",4))</f>
        <v>4650</v>
      </c>
      <c r="J718" s="167"/>
    </row>
    <row r="719" spans="1:10" ht="15" customHeight="1">
      <c r="A719" s="162">
        <v>582</v>
      </c>
      <c r="B719" s="162" t="s">
        <v>10915</v>
      </c>
      <c r="D719" s="187" t="s">
        <v>74</v>
      </c>
      <c r="E719" s="168" t="s">
        <v>10894</v>
      </c>
      <c r="F719" s="168">
        <v>466</v>
      </c>
      <c r="G719" s="176">
        <v>466</v>
      </c>
      <c r="H719" s="167" t="s">
        <v>10721</v>
      </c>
      <c r="I719" s="167" t="str">
        <f>IF(Plan_Comptable[[#This Row],[Sous-compte]]="","",LEFT(Plan_Comptable[[#This Row],[Sous-compte]]&amp;"00",4))</f>
        <v>4660</v>
      </c>
      <c r="J719" s="167"/>
    </row>
    <row r="720" spans="1:10" ht="15" customHeight="1">
      <c r="A720" s="162">
        <v>585</v>
      </c>
      <c r="B720" s="162" t="s">
        <v>10916</v>
      </c>
      <c r="D720" s="187" t="s">
        <v>74</v>
      </c>
      <c r="E720" s="168" t="s">
        <v>10894</v>
      </c>
      <c r="F720" s="171">
        <v>467</v>
      </c>
      <c r="G720" s="172">
        <v>467</v>
      </c>
      <c r="H720" s="179" t="s">
        <v>10722</v>
      </c>
      <c r="I720" s="167" t="str">
        <f>IF(Plan_Comptable[[#This Row],[Sous-compte]]="","",LEFT(Plan_Comptable[[#This Row],[Sous-compte]]&amp;"00",4))</f>
        <v>4670</v>
      </c>
      <c r="J720" s="167"/>
    </row>
    <row r="721" spans="1:10" ht="15" customHeight="1">
      <c r="A721" s="162">
        <v>588</v>
      </c>
      <c r="B721" s="162" t="s">
        <v>10917</v>
      </c>
      <c r="D721" s="187" t="s">
        <v>74</v>
      </c>
      <c r="E721" s="168" t="s">
        <v>10894</v>
      </c>
      <c r="F721" s="184">
        <v>469</v>
      </c>
      <c r="G721" s="173">
        <v>469</v>
      </c>
      <c r="H721" s="175" t="s">
        <v>10724</v>
      </c>
      <c r="I721" s="167" t="str">
        <f>IF(Plan_Comptable[[#This Row],[Sous-compte]]="","",LEFT(Plan_Comptable[[#This Row],[Sous-compte]]&amp;"00",4))</f>
        <v>4690</v>
      </c>
      <c r="J721" s="167"/>
    </row>
    <row r="722" spans="1:10" ht="15" customHeight="1">
      <c r="A722" s="162">
        <v>590</v>
      </c>
      <c r="B722" s="162" t="s">
        <v>10918</v>
      </c>
      <c r="D722" s="187" t="s">
        <v>74</v>
      </c>
      <c r="E722" s="189">
        <v>47</v>
      </c>
      <c r="F722" s="165" t="s">
        <v>9941</v>
      </c>
      <c r="G722" s="165"/>
      <c r="H722" s="166" t="s">
        <v>10919</v>
      </c>
      <c r="I722" s="167" t="str">
        <f>IF(Plan_Comptable[[#This Row],[Sous-compte]]="","",LEFT(Plan_Comptable[[#This Row],[Sous-compte]]&amp;"00",4))</f>
        <v/>
      </c>
      <c r="J722" s="167"/>
    </row>
    <row r="723" spans="1:10" ht="15" customHeight="1">
      <c r="A723" s="162">
        <v>591</v>
      </c>
      <c r="B723" s="162" t="s">
        <v>10920</v>
      </c>
      <c r="D723" s="187" t="s">
        <v>74</v>
      </c>
      <c r="E723" s="168" t="s">
        <v>10921</v>
      </c>
      <c r="F723" s="171">
        <v>471</v>
      </c>
      <c r="G723" s="172"/>
      <c r="H723" s="179" t="s">
        <v>10922</v>
      </c>
      <c r="I723" s="167" t="str">
        <f>IF(Plan_Comptable[[#This Row],[Sous-compte]]="","",LEFT(Plan_Comptable[[#This Row],[Sous-compte]]&amp;"00",4))</f>
        <v/>
      </c>
      <c r="J723" s="167"/>
    </row>
    <row r="724" spans="1:10" ht="15" customHeight="1">
      <c r="A724" s="162">
        <v>592</v>
      </c>
      <c r="B724" s="162" t="s">
        <v>10923</v>
      </c>
      <c r="D724" s="187" t="s">
        <v>74</v>
      </c>
      <c r="E724" s="168" t="s">
        <v>10921</v>
      </c>
      <c r="F724" s="168" t="s">
        <v>10924</v>
      </c>
      <c r="G724" s="176">
        <v>4711</v>
      </c>
      <c r="H724" s="167" t="s">
        <v>10726</v>
      </c>
      <c r="I724" s="167" t="str">
        <f>IF(Plan_Comptable[[#This Row],[Sous-compte]]="","",LEFT(Plan_Comptable[[#This Row],[Sous-compte]]&amp;"00",4))</f>
        <v>4711</v>
      </c>
      <c r="J724" s="167"/>
    </row>
    <row r="725" spans="1:10" ht="15" customHeight="1">
      <c r="A725" s="162">
        <v>593</v>
      </c>
      <c r="B725" s="162" t="s">
        <v>10925</v>
      </c>
      <c r="D725" s="187" t="s">
        <v>74</v>
      </c>
      <c r="E725" s="168" t="s">
        <v>10921</v>
      </c>
      <c r="F725" s="168" t="s">
        <v>10924</v>
      </c>
      <c r="G725" s="176">
        <v>4712</v>
      </c>
      <c r="H725" s="167" t="s">
        <v>1560</v>
      </c>
      <c r="I725" s="167" t="str">
        <f>IF(Plan_Comptable[[#This Row],[Sous-compte]]="","",LEFT(Plan_Comptable[[#This Row],[Sous-compte]]&amp;"00",4))</f>
        <v>4712</v>
      </c>
      <c r="J725" s="167"/>
    </row>
    <row r="726" spans="1:10" ht="15" customHeight="1">
      <c r="A726" s="162">
        <v>594</v>
      </c>
      <c r="B726" s="162" t="s">
        <v>10926</v>
      </c>
      <c r="D726" s="187" t="s">
        <v>74</v>
      </c>
      <c r="E726" s="168" t="s">
        <v>10921</v>
      </c>
      <c r="F726" s="168" t="s">
        <v>10924</v>
      </c>
      <c r="G726" s="173">
        <v>4713</v>
      </c>
      <c r="H726" s="188" t="s">
        <v>10728</v>
      </c>
      <c r="I726" s="167" t="str">
        <f>IF(Plan_Comptable[[#This Row],[Sous-compte]]="","",LEFT(Plan_Comptable[[#This Row],[Sous-compte]]&amp;"00",4))</f>
        <v>4713</v>
      </c>
      <c r="J726" s="167"/>
    </row>
    <row r="727" spans="1:10" ht="15" customHeight="1">
      <c r="A727" s="162">
        <v>599</v>
      </c>
      <c r="B727" s="162" t="s">
        <v>10927</v>
      </c>
      <c r="D727" s="187" t="s">
        <v>74</v>
      </c>
      <c r="E727" s="168" t="s">
        <v>10921</v>
      </c>
      <c r="F727" s="168" t="s">
        <v>10924</v>
      </c>
      <c r="G727" s="173">
        <v>4715</v>
      </c>
      <c r="H727" s="174" t="s">
        <v>10729</v>
      </c>
      <c r="I727" s="167" t="str">
        <f>IF(Plan_Comptable[[#This Row],[Sous-compte]]="","",LEFT(Plan_Comptable[[#This Row],[Sous-compte]]&amp;"00",4))</f>
        <v>4715</v>
      </c>
      <c r="J727" s="167"/>
    </row>
    <row r="728" spans="1:10" ht="15" customHeight="1">
      <c r="A728" s="162">
        <v>6011</v>
      </c>
      <c r="B728" s="162" t="s">
        <v>10928</v>
      </c>
      <c r="D728" s="187" t="s">
        <v>74</v>
      </c>
      <c r="E728" s="168" t="s">
        <v>10921</v>
      </c>
      <c r="F728" s="168" t="s">
        <v>10924</v>
      </c>
      <c r="G728" s="173">
        <v>4716</v>
      </c>
      <c r="H728" s="188" t="s">
        <v>10730</v>
      </c>
      <c r="I728" s="167" t="str">
        <f>IF(Plan_Comptable[[#This Row],[Sous-compte]]="","",LEFT(Plan_Comptable[[#This Row],[Sous-compte]]&amp;"00",4))</f>
        <v>4716</v>
      </c>
      <c r="J728" s="167"/>
    </row>
    <row r="729" spans="1:10" ht="15" customHeight="1">
      <c r="A729" s="162">
        <v>6012</v>
      </c>
      <c r="B729" s="162" t="s">
        <v>10929</v>
      </c>
      <c r="D729" s="187" t="s">
        <v>74</v>
      </c>
      <c r="E729" s="168" t="s">
        <v>10921</v>
      </c>
      <c r="F729" s="168" t="s">
        <v>10924</v>
      </c>
      <c r="G729" s="173">
        <v>4717</v>
      </c>
      <c r="H729" s="188" t="s">
        <v>10731</v>
      </c>
      <c r="I729" s="167" t="str">
        <f>IF(Plan_Comptable[[#This Row],[Sous-compte]]="","",LEFT(Plan_Comptable[[#This Row],[Sous-compte]]&amp;"00",4))</f>
        <v>4717</v>
      </c>
      <c r="J729" s="167"/>
    </row>
    <row r="730" spans="1:10" ht="15" customHeight="1">
      <c r="A730" s="162">
        <v>6013</v>
      </c>
      <c r="B730" s="162" t="s">
        <v>10930</v>
      </c>
      <c r="D730" s="187" t="s">
        <v>74</v>
      </c>
      <c r="E730" s="168" t="s">
        <v>10921</v>
      </c>
      <c r="F730" s="168" t="s">
        <v>10924</v>
      </c>
      <c r="G730" s="173">
        <v>4718</v>
      </c>
      <c r="H730" s="174" t="s">
        <v>10732</v>
      </c>
      <c r="I730" s="167" t="str">
        <f>IF(Plan_Comptable[[#This Row],[Sous-compte]]="","",LEFT(Plan_Comptable[[#This Row],[Sous-compte]]&amp;"00",4))</f>
        <v>4718</v>
      </c>
      <c r="J730" s="167"/>
    </row>
    <row r="731" spans="1:10" ht="15" customHeight="1">
      <c r="A731" s="162">
        <v>6014</v>
      </c>
      <c r="B731" s="162" t="s">
        <v>10931</v>
      </c>
      <c r="D731" s="187" t="s">
        <v>74</v>
      </c>
      <c r="E731" s="168" t="s">
        <v>10921</v>
      </c>
      <c r="F731" s="168" t="s">
        <v>10924</v>
      </c>
      <c r="G731" s="173">
        <v>4719</v>
      </c>
      <c r="H731" s="188" t="s">
        <v>10733</v>
      </c>
      <c r="I731" s="167" t="str">
        <f>IF(Plan_Comptable[[#This Row],[Sous-compte]]="","",LEFT(Plan_Comptable[[#This Row],[Sous-compte]]&amp;"00",4))</f>
        <v>4719</v>
      </c>
      <c r="J731" s="167"/>
    </row>
    <row r="732" spans="1:10" ht="15" customHeight="1">
      <c r="A732" s="162">
        <v>6015</v>
      </c>
      <c r="B732" s="162" t="s">
        <v>10932</v>
      </c>
      <c r="D732" s="187" t="s">
        <v>74</v>
      </c>
      <c r="E732" s="168" t="s">
        <v>10921</v>
      </c>
      <c r="F732" s="171">
        <v>472</v>
      </c>
      <c r="G732" s="172"/>
      <c r="H732" s="179" t="s">
        <v>10933</v>
      </c>
      <c r="I732" s="167" t="str">
        <f>IF(Plan_Comptable[[#This Row],[Sous-compte]]="","",LEFT(Plan_Comptable[[#This Row],[Sous-compte]]&amp;"00",4))</f>
        <v/>
      </c>
      <c r="J732" s="167"/>
    </row>
    <row r="733" spans="1:10" ht="15" customHeight="1">
      <c r="A733" s="162">
        <v>6019</v>
      </c>
      <c r="B733" s="162" t="s">
        <v>10934</v>
      </c>
      <c r="D733" s="187" t="s">
        <v>74</v>
      </c>
      <c r="E733" s="168" t="s">
        <v>10921</v>
      </c>
      <c r="F733" s="168" t="s">
        <v>10935</v>
      </c>
      <c r="G733" s="173">
        <v>4721</v>
      </c>
      <c r="H733" s="175" t="s">
        <v>10735</v>
      </c>
      <c r="I733" s="167" t="str">
        <f>IF(Plan_Comptable[[#This Row],[Sous-compte]]="","",LEFT(Plan_Comptable[[#This Row],[Sous-compte]]&amp;"00",4))</f>
        <v>4721</v>
      </c>
      <c r="J733" s="167"/>
    </row>
    <row r="734" spans="1:10" ht="15" customHeight="1">
      <c r="A734" s="162">
        <v>6021</v>
      </c>
      <c r="B734" s="162" t="s">
        <v>10928</v>
      </c>
      <c r="D734" s="187" t="s">
        <v>74</v>
      </c>
      <c r="E734" s="168" t="s">
        <v>10921</v>
      </c>
      <c r="F734" s="168" t="s">
        <v>10935</v>
      </c>
      <c r="G734" s="172">
        <v>4726</v>
      </c>
      <c r="H734" s="179" t="s">
        <v>5480</v>
      </c>
      <c r="I734" s="167" t="str">
        <f>IF(Plan_Comptable[[#This Row],[Sous-compte]]="","",LEFT(Plan_Comptable[[#This Row],[Sous-compte]]&amp;"00",4))</f>
        <v>4726</v>
      </c>
      <c r="J734" s="167"/>
    </row>
    <row r="735" spans="1:10" ht="15" customHeight="1">
      <c r="A735" s="162">
        <v>6022</v>
      </c>
      <c r="B735" s="162" t="s">
        <v>10929</v>
      </c>
      <c r="D735" s="187" t="s">
        <v>74</v>
      </c>
      <c r="E735" s="168" t="s">
        <v>10921</v>
      </c>
      <c r="F735" s="184">
        <v>473</v>
      </c>
      <c r="G735" s="196"/>
      <c r="H735" s="175" t="s">
        <v>10936</v>
      </c>
      <c r="I735" s="167" t="str">
        <f>IF(Plan_Comptable[[#This Row],[Sous-compte]]="","",LEFT(Plan_Comptable[[#This Row],[Sous-compte]]&amp;"00",4))</f>
        <v/>
      </c>
      <c r="J735" s="167"/>
    </row>
    <row r="736" spans="1:10" ht="15" customHeight="1">
      <c r="A736" s="162">
        <v>6023</v>
      </c>
      <c r="B736" s="162" t="s">
        <v>10930</v>
      </c>
      <c r="D736" s="187" t="s">
        <v>74</v>
      </c>
      <c r="E736" s="168" t="s">
        <v>10921</v>
      </c>
      <c r="F736" s="184" t="s">
        <v>10937</v>
      </c>
      <c r="G736" s="173">
        <v>4731</v>
      </c>
      <c r="H736" s="188" t="s">
        <v>10737</v>
      </c>
      <c r="I736" s="167" t="str">
        <f>IF(Plan_Comptable[[#This Row],[Sous-compte]]="","",LEFT(Plan_Comptable[[#This Row],[Sous-compte]]&amp;"00",4))</f>
        <v>4731</v>
      </c>
      <c r="J736" s="167"/>
    </row>
    <row r="737" spans="1:10" ht="15" customHeight="1">
      <c r="A737" s="162">
        <v>6024</v>
      </c>
      <c r="B737" s="162" t="s">
        <v>10931</v>
      </c>
      <c r="D737" s="187" t="s">
        <v>74</v>
      </c>
      <c r="E737" s="168" t="s">
        <v>10921</v>
      </c>
      <c r="F737" s="184" t="s">
        <v>10937</v>
      </c>
      <c r="G737" s="173">
        <v>4732</v>
      </c>
      <c r="H737" s="174" t="s">
        <v>10738</v>
      </c>
      <c r="I737" s="167" t="str">
        <f>IF(Plan_Comptable[[#This Row],[Sous-compte]]="","",LEFT(Plan_Comptable[[#This Row],[Sous-compte]]&amp;"00",4))</f>
        <v>4732</v>
      </c>
      <c r="J737" s="167"/>
    </row>
    <row r="738" spans="1:10" ht="15" customHeight="1">
      <c r="A738" s="162">
        <v>6025</v>
      </c>
      <c r="B738" s="162" t="s">
        <v>10932</v>
      </c>
      <c r="D738" s="187" t="s">
        <v>74</v>
      </c>
      <c r="E738" s="168" t="s">
        <v>10921</v>
      </c>
      <c r="F738" s="184" t="s">
        <v>10937</v>
      </c>
      <c r="G738" s="173">
        <v>4733</v>
      </c>
      <c r="H738" s="188" t="s">
        <v>10739</v>
      </c>
      <c r="I738" s="167" t="str">
        <f>IF(Plan_Comptable[[#This Row],[Sous-compte]]="","",LEFT(Plan_Comptable[[#This Row],[Sous-compte]]&amp;"00",4))</f>
        <v>4733</v>
      </c>
      <c r="J738" s="167"/>
    </row>
    <row r="739" spans="1:10" ht="15" customHeight="1">
      <c r="A739" s="162">
        <v>6029</v>
      </c>
      <c r="B739" s="162" t="s">
        <v>10934</v>
      </c>
      <c r="D739" s="187" t="s">
        <v>74</v>
      </c>
      <c r="E739" s="168" t="s">
        <v>10921</v>
      </c>
      <c r="F739" s="184" t="s">
        <v>10937</v>
      </c>
      <c r="G739" s="173">
        <v>4734</v>
      </c>
      <c r="H739" s="188" t="s">
        <v>10741</v>
      </c>
      <c r="I739" s="167" t="str">
        <f>IF(Plan_Comptable[[#This Row],[Sous-compte]]="","",LEFT(Plan_Comptable[[#This Row],[Sous-compte]]&amp;"00",4))</f>
        <v>4734</v>
      </c>
      <c r="J739" s="167"/>
    </row>
    <row r="740" spans="1:10" ht="15" customHeight="1">
      <c r="A740" s="162">
        <v>6031</v>
      </c>
      <c r="B740" s="162" t="s">
        <v>10938</v>
      </c>
      <c r="D740" s="187" t="s">
        <v>74</v>
      </c>
      <c r="E740" s="168" t="s">
        <v>10921</v>
      </c>
      <c r="F740" s="184" t="s">
        <v>10937</v>
      </c>
      <c r="G740" s="173">
        <v>4739</v>
      </c>
      <c r="H740" s="188" t="s">
        <v>10743</v>
      </c>
      <c r="I740" s="167" t="str">
        <f>IF(Plan_Comptable[[#This Row],[Sous-compte]]="","",LEFT(Plan_Comptable[[#This Row],[Sous-compte]]&amp;"00",4))</f>
        <v>4739</v>
      </c>
      <c r="J740" s="167"/>
    </row>
    <row r="741" spans="1:10" ht="15" customHeight="1">
      <c r="A741" s="162">
        <v>6032</v>
      </c>
      <c r="B741" s="162" t="s">
        <v>10939</v>
      </c>
      <c r="D741" s="187" t="s">
        <v>74</v>
      </c>
      <c r="E741" s="168" t="s">
        <v>10921</v>
      </c>
      <c r="F741" s="171">
        <v>474</v>
      </c>
      <c r="G741" s="172"/>
      <c r="H741" s="179" t="s">
        <v>10940</v>
      </c>
      <c r="I741" s="167" t="str">
        <f>IF(Plan_Comptable[[#This Row],[Sous-compte]]="","",LEFT(Plan_Comptable[[#This Row],[Sous-compte]]&amp;"00",4))</f>
        <v/>
      </c>
      <c r="J741" s="167"/>
    </row>
    <row r="742" spans="1:10" ht="15" customHeight="1">
      <c r="A742" s="162">
        <v>6033</v>
      </c>
      <c r="B742" s="162" t="s">
        <v>10941</v>
      </c>
      <c r="D742" s="187" t="s">
        <v>74</v>
      </c>
      <c r="E742" s="168" t="s">
        <v>10921</v>
      </c>
      <c r="F742" s="171" t="s">
        <v>10942</v>
      </c>
      <c r="G742" s="172">
        <v>4746</v>
      </c>
      <c r="H742" s="179" t="s">
        <v>10744</v>
      </c>
      <c r="I742" s="167" t="str">
        <f>IF(Plan_Comptable[[#This Row],[Sous-compte]]="","",LEFT(Plan_Comptable[[#This Row],[Sous-compte]]&amp;"00",4))</f>
        <v>4746</v>
      </c>
      <c r="J742" s="167"/>
    </row>
    <row r="743" spans="1:10" ht="15" customHeight="1">
      <c r="A743" s="162">
        <v>6041</v>
      </c>
      <c r="B743" s="162" t="s">
        <v>10943</v>
      </c>
      <c r="D743" s="187" t="s">
        <v>74</v>
      </c>
      <c r="E743" s="168" t="s">
        <v>10921</v>
      </c>
      <c r="F743" s="171" t="s">
        <v>10942</v>
      </c>
      <c r="G743" s="172">
        <v>4747</v>
      </c>
      <c r="H743" s="199" t="s">
        <v>10745</v>
      </c>
      <c r="I743" s="167" t="str">
        <f>IF(Plan_Comptable[[#This Row],[Sous-compte]]="","",LEFT(Plan_Comptable[[#This Row],[Sous-compte]]&amp;"00",4))</f>
        <v>4747</v>
      </c>
      <c r="J743" s="167"/>
    </row>
    <row r="744" spans="1:10" ht="15" customHeight="1">
      <c r="A744" s="162">
        <v>6042</v>
      </c>
      <c r="B744" s="162" t="s">
        <v>2170</v>
      </c>
      <c r="D744" s="187" t="s">
        <v>74</v>
      </c>
      <c r="E744" s="168" t="s">
        <v>10921</v>
      </c>
      <c r="F744" s="171">
        <v>475</v>
      </c>
      <c r="G744" s="172"/>
      <c r="H744" s="179" t="s">
        <v>10944</v>
      </c>
      <c r="I744" s="167" t="str">
        <f>IF(Plan_Comptable[[#This Row],[Sous-compte]]="","",LEFT(Plan_Comptable[[#This Row],[Sous-compte]]&amp;"00",4))</f>
        <v/>
      </c>
      <c r="J744" s="167"/>
    </row>
    <row r="745" spans="1:10" ht="15" customHeight="1">
      <c r="A745" s="162">
        <v>6043</v>
      </c>
      <c r="B745" s="162" t="s">
        <v>2171</v>
      </c>
      <c r="D745" s="187" t="s">
        <v>74</v>
      </c>
      <c r="E745" s="168" t="s">
        <v>10921</v>
      </c>
      <c r="F745" s="168" t="s">
        <v>10945</v>
      </c>
      <c r="G745" s="173">
        <v>4751</v>
      </c>
      <c r="H745" s="188" t="s">
        <v>10746</v>
      </c>
      <c r="I745" s="167" t="str">
        <f>IF(Plan_Comptable[[#This Row],[Sous-compte]]="","",LEFT(Plan_Comptable[[#This Row],[Sous-compte]]&amp;"00",4))</f>
        <v>4751</v>
      </c>
      <c r="J745" s="167"/>
    </row>
    <row r="746" spans="1:10" ht="15" customHeight="1">
      <c r="A746" s="162">
        <v>6044</v>
      </c>
      <c r="B746" s="162" t="s">
        <v>2642</v>
      </c>
      <c r="D746" s="187" t="s">
        <v>74</v>
      </c>
      <c r="E746" s="168" t="s">
        <v>10921</v>
      </c>
      <c r="F746" s="168" t="s">
        <v>10945</v>
      </c>
      <c r="G746" s="173">
        <v>4752</v>
      </c>
      <c r="H746" s="174" t="s">
        <v>10748</v>
      </c>
      <c r="I746" s="167" t="str">
        <f>IF(Plan_Comptable[[#This Row],[Sous-compte]]="","",LEFT(Plan_Comptable[[#This Row],[Sous-compte]]&amp;"00",4))</f>
        <v>4752</v>
      </c>
      <c r="J746" s="167"/>
    </row>
    <row r="747" spans="1:10" ht="15" customHeight="1">
      <c r="A747" s="162">
        <v>6045</v>
      </c>
      <c r="B747" s="162" t="s">
        <v>10932</v>
      </c>
      <c r="D747" s="187" t="s">
        <v>74</v>
      </c>
      <c r="E747" s="168" t="s">
        <v>10921</v>
      </c>
      <c r="F747" s="168">
        <v>476</v>
      </c>
      <c r="G747" s="176">
        <v>476</v>
      </c>
      <c r="H747" s="167" t="s">
        <v>10750</v>
      </c>
      <c r="I747" s="167" t="str">
        <f>IF(Plan_Comptable[[#This Row],[Sous-compte]]="","",LEFT(Plan_Comptable[[#This Row],[Sous-compte]]&amp;"00",4))</f>
        <v>4760</v>
      </c>
      <c r="J747" s="167" t="s">
        <v>1279</v>
      </c>
    </row>
    <row r="748" spans="1:10" ht="15" customHeight="1">
      <c r="A748" s="162">
        <v>6046</v>
      </c>
      <c r="B748" s="162" t="s">
        <v>2643</v>
      </c>
      <c r="D748" s="187" t="s">
        <v>74</v>
      </c>
      <c r="E748" s="168" t="s">
        <v>10921</v>
      </c>
      <c r="F748" s="168">
        <v>477</v>
      </c>
      <c r="G748" s="176">
        <v>477</v>
      </c>
      <c r="H748" s="167" t="s">
        <v>10751</v>
      </c>
      <c r="I748" s="167" t="str">
        <f>IF(Plan_Comptable[[#This Row],[Sous-compte]]="","",LEFT(Plan_Comptable[[#This Row],[Sous-compte]]&amp;"00",4))</f>
        <v>4770</v>
      </c>
      <c r="J748" s="167" t="s">
        <v>1276</v>
      </c>
    </row>
    <row r="749" spans="1:10" ht="15" customHeight="1">
      <c r="A749" s="162">
        <v>6047</v>
      </c>
      <c r="B749" s="162" t="s">
        <v>2644</v>
      </c>
      <c r="D749" s="187" t="s">
        <v>74</v>
      </c>
      <c r="E749" s="168" t="s">
        <v>10921</v>
      </c>
      <c r="F749" s="168">
        <v>478</v>
      </c>
      <c r="G749" s="176"/>
      <c r="H749" s="167" t="s">
        <v>10946</v>
      </c>
      <c r="I749" s="167" t="str">
        <f>IF(Plan_Comptable[[#This Row],[Sous-compte]]="","",LEFT(Plan_Comptable[[#This Row],[Sous-compte]]&amp;"00",4))</f>
        <v/>
      </c>
      <c r="J749" s="167"/>
    </row>
    <row r="750" spans="1:10" ht="15" customHeight="1">
      <c r="A750" s="162">
        <v>6049</v>
      </c>
      <c r="B750" s="162" t="s">
        <v>10934</v>
      </c>
      <c r="D750" s="187" t="s">
        <v>74</v>
      </c>
      <c r="E750" s="168" t="s">
        <v>10921</v>
      </c>
      <c r="F750" s="168" t="s">
        <v>10947</v>
      </c>
      <c r="G750" s="172">
        <v>4781</v>
      </c>
      <c r="H750" s="199" t="s">
        <v>10752</v>
      </c>
      <c r="I750" s="167" t="str">
        <f>IF(Plan_Comptable[[#This Row],[Sous-compte]]="","",LEFT(Plan_Comptable[[#This Row],[Sous-compte]]&amp;"00",4))</f>
        <v>4781</v>
      </c>
      <c r="J750" s="167" t="s">
        <v>1279</v>
      </c>
    </row>
    <row r="751" spans="1:10" ht="15" customHeight="1">
      <c r="A751" s="162">
        <v>6051</v>
      </c>
      <c r="B751" s="162" t="s">
        <v>10948</v>
      </c>
      <c r="D751" s="187" t="s">
        <v>74</v>
      </c>
      <c r="E751" s="168" t="s">
        <v>10921</v>
      </c>
      <c r="F751" s="168" t="s">
        <v>10947</v>
      </c>
      <c r="G751" s="200">
        <v>47811</v>
      </c>
      <c r="H751" s="201" t="s">
        <v>10753</v>
      </c>
      <c r="I751" s="167" t="str">
        <f>IF(Plan_Comptable[[#This Row],[Sous-compte]]="","",LEFT(Plan_Comptable[[#This Row],[Sous-compte]]&amp;"00",4))</f>
        <v>4781</v>
      </c>
      <c r="J751" s="167" t="s">
        <v>1279</v>
      </c>
    </row>
    <row r="752" spans="1:10" ht="15" customHeight="1">
      <c r="A752" s="162">
        <v>6052</v>
      </c>
      <c r="B752" s="162" t="s">
        <v>10949</v>
      </c>
      <c r="D752" s="187" t="s">
        <v>74</v>
      </c>
      <c r="E752" s="168" t="s">
        <v>10921</v>
      </c>
      <c r="F752" s="168" t="s">
        <v>10947</v>
      </c>
      <c r="G752" s="200">
        <v>47818</v>
      </c>
      <c r="H752" s="201" t="s">
        <v>10754</v>
      </c>
      <c r="I752" s="167" t="str">
        <f>IF(Plan_Comptable[[#This Row],[Sous-compte]]="","",LEFT(Plan_Comptable[[#This Row],[Sous-compte]]&amp;"00",4))</f>
        <v>4781</v>
      </c>
      <c r="J752" s="167" t="s">
        <v>1279</v>
      </c>
    </row>
    <row r="753" spans="1:10" ht="15" customHeight="1">
      <c r="A753" s="162">
        <v>6053</v>
      </c>
      <c r="B753" s="162" t="s">
        <v>10950</v>
      </c>
      <c r="D753" s="187" t="s">
        <v>74</v>
      </c>
      <c r="E753" s="168" t="s">
        <v>10921</v>
      </c>
      <c r="F753" s="168" t="s">
        <v>10947</v>
      </c>
      <c r="G753" s="172">
        <v>4782</v>
      </c>
      <c r="H753" s="174" t="s">
        <v>10756</v>
      </c>
      <c r="I753" s="167" t="str">
        <f>IF(Plan_Comptable[[#This Row],[Sous-compte]]="","",LEFT(Plan_Comptable[[#This Row],[Sous-compte]]&amp;"00",4))</f>
        <v>4782</v>
      </c>
      <c r="J753" s="167" t="s">
        <v>1279</v>
      </c>
    </row>
    <row r="754" spans="1:10" ht="15" customHeight="1">
      <c r="A754" s="162">
        <v>6054</v>
      </c>
      <c r="B754" s="162" t="s">
        <v>2648</v>
      </c>
      <c r="D754" s="187" t="s">
        <v>74</v>
      </c>
      <c r="E754" s="168" t="s">
        <v>10921</v>
      </c>
      <c r="F754" s="168" t="s">
        <v>10947</v>
      </c>
      <c r="G754" s="173">
        <v>4783</v>
      </c>
      <c r="H754" s="192" t="s">
        <v>10758</v>
      </c>
      <c r="I754" s="167" t="str">
        <f>IF(Plan_Comptable[[#This Row],[Sous-compte]]="","",LEFT(Plan_Comptable[[#This Row],[Sous-compte]]&amp;"00",4))</f>
        <v>4783</v>
      </c>
      <c r="J754" s="167" t="s">
        <v>1279</v>
      </c>
    </row>
    <row r="755" spans="1:10" ht="15" customHeight="1">
      <c r="A755" s="162">
        <v>6055</v>
      </c>
      <c r="B755" s="162" t="s">
        <v>2649</v>
      </c>
      <c r="D755" s="187" t="s">
        <v>74</v>
      </c>
      <c r="E755" s="168" t="s">
        <v>10921</v>
      </c>
      <c r="F755" s="168" t="s">
        <v>10947</v>
      </c>
      <c r="G755" s="202">
        <v>47831</v>
      </c>
      <c r="H755" s="201" t="s">
        <v>10759</v>
      </c>
      <c r="I755" s="167" t="str">
        <f>IF(Plan_Comptable[[#This Row],[Sous-compte]]="","",LEFT(Plan_Comptable[[#This Row],[Sous-compte]]&amp;"00",4))</f>
        <v>4783</v>
      </c>
      <c r="J755" s="167" t="s">
        <v>1279</v>
      </c>
    </row>
    <row r="756" spans="1:10" ht="15" customHeight="1">
      <c r="A756" s="162">
        <v>6056</v>
      </c>
      <c r="B756" s="162" t="s">
        <v>2650</v>
      </c>
      <c r="D756" s="187" t="s">
        <v>74</v>
      </c>
      <c r="E756" s="168" t="s">
        <v>10921</v>
      </c>
      <c r="F756" s="168" t="s">
        <v>10947</v>
      </c>
      <c r="G756" s="200">
        <v>47838</v>
      </c>
      <c r="H756" s="203" t="s">
        <v>10761</v>
      </c>
      <c r="I756" s="167" t="str">
        <f>IF(Plan_Comptable[[#This Row],[Sous-compte]]="","",LEFT(Plan_Comptable[[#This Row],[Sous-compte]]&amp;"00",4))</f>
        <v>4783</v>
      </c>
      <c r="J756" s="167" t="s">
        <v>1279</v>
      </c>
    </row>
    <row r="757" spans="1:10" ht="15" customHeight="1">
      <c r="A757" s="162">
        <v>6057</v>
      </c>
      <c r="B757" s="162" t="s">
        <v>2651</v>
      </c>
      <c r="D757" s="187" t="s">
        <v>74</v>
      </c>
      <c r="E757" s="168" t="s">
        <v>10921</v>
      </c>
      <c r="F757" s="168" t="s">
        <v>10947</v>
      </c>
      <c r="G757" s="173">
        <v>4784</v>
      </c>
      <c r="H757" s="175" t="s">
        <v>10763</v>
      </c>
      <c r="I757" s="167" t="str">
        <f>IF(Plan_Comptable[[#This Row],[Sous-compte]]="","",LEFT(Plan_Comptable[[#This Row],[Sous-compte]]&amp;"00",4))</f>
        <v>4784</v>
      </c>
      <c r="J757" s="167" t="s">
        <v>1279</v>
      </c>
    </row>
    <row r="758" spans="1:10" ht="15" customHeight="1">
      <c r="A758" s="162">
        <v>6058</v>
      </c>
      <c r="B758" s="162" t="s">
        <v>2652</v>
      </c>
      <c r="D758" s="187" t="s">
        <v>74</v>
      </c>
      <c r="E758" s="168" t="s">
        <v>10921</v>
      </c>
      <c r="F758" s="168" t="s">
        <v>10947</v>
      </c>
      <c r="G758" s="173">
        <v>4786</v>
      </c>
      <c r="H758" s="175" t="s">
        <v>10764</v>
      </c>
      <c r="I758" s="167" t="str">
        <f>IF(Plan_Comptable[[#This Row],[Sous-compte]]="","",LEFT(Plan_Comptable[[#This Row],[Sous-compte]]&amp;"00",4))</f>
        <v>4786</v>
      </c>
      <c r="J758" s="167" t="s">
        <v>1279</v>
      </c>
    </row>
    <row r="759" spans="1:10" ht="15" customHeight="1">
      <c r="A759" s="162">
        <v>6059</v>
      </c>
      <c r="B759" s="162" t="s">
        <v>10934</v>
      </c>
      <c r="D759" s="187" t="s">
        <v>74</v>
      </c>
      <c r="E759" s="168" t="s">
        <v>10921</v>
      </c>
      <c r="F759" s="168" t="s">
        <v>10947</v>
      </c>
      <c r="G759" s="176">
        <v>4788</v>
      </c>
      <c r="H759" s="167" t="s">
        <v>10766</v>
      </c>
      <c r="I759" s="167" t="str">
        <f>IF(Plan_Comptable[[#This Row],[Sous-compte]]="","",LEFT(Plan_Comptable[[#This Row],[Sous-compte]]&amp;"00",4))</f>
        <v>4788</v>
      </c>
      <c r="J759" s="167" t="s">
        <v>1279</v>
      </c>
    </row>
    <row r="760" spans="1:10" ht="15" customHeight="1">
      <c r="A760" s="162">
        <v>6081</v>
      </c>
      <c r="B760" s="162" t="s">
        <v>2653</v>
      </c>
      <c r="D760" s="187" t="s">
        <v>74</v>
      </c>
      <c r="E760" s="168" t="s">
        <v>10921</v>
      </c>
      <c r="F760" s="168">
        <v>479</v>
      </c>
      <c r="G760" s="176"/>
      <c r="H760" s="167" t="s">
        <v>10951</v>
      </c>
      <c r="I760" s="167" t="str">
        <f>IF(Plan_Comptable[[#This Row],[Sous-compte]]="","",LEFT(Plan_Comptable[[#This Row],[Sous-compte]]&amp;"00",4))</f>
        <v/>
      </c>
      <c r="J760" s="167"/>
    </row>
    <row r="761" spans="1:10" ht="15" customHeight="1">
      <c r="A761" s="162">
        <v>6082</v>
      </c>
      <c r="B761" s="162" t="s">
        <v>2654</v>
      </c>
      <c r="D761" s="187" t="s">
        <v>74</v>
      </c>
      <c r="E761" s="168" t="s">
        <v>10921</v>
      </c>
      <c r="F761" s="168" t="s">
        <v>10952</v>
      </c>
      <c r="G761" s="172">
        <v>4791</v>
      </c>
      <c r="H761" s="192" t="s">
        <v>10768</v>
      </c>
      <c r="I761" s="167" t="str">
        <f>IF(Plan_Comptable[[#This Row],[Sous-compte]]="","",LEFT(Plan_Comptable[[#This Row],[Sous-compte]]&amp;"00",4))</f>
        <v>4791</v>
      </c>
      <c r="J761" s="167" t="s">
        <v>1276</v>
      </c>
    </row>
    <row r="762" spans="1:10" ht="15" customHeight="1">
      <c r="A762" s="162">
        <v>6083</v>
      </c>
      <c r="B762" s="162" t="s">
        <v>2655</v>
      </c>
      <c r="D762" s="187" t="s">
        <v>74</v>
      </c>
      <c r="E762" s="168" t="s">
        <v>10921</v>
      </c>
      <c r="F762" s="168" t="s">
        <v>10952</v>
      </c>
      <c r="G762" s="202">
        <v>47911</v>
      </c>
      <c r="H762" s="201" t="s">
        <v>10769</v>
      </c>
      <c r="I762" s="167" t="str">
        <f>IF(Plan_Comptable[[#This Row],[Sous-compte]]="","",LEFT(Plan_Comptable[[#This Row],[Sous-compte]]&amp;"00",4))</f>
        <v>4791</v>
      </c>
      <c r="J762" s="167" t="s">
        <v>1276</v>
      </c>
    </row>
    <row r="763" spans="1:10" ht="15" customHeight="1">
      <c r="A763" s="162">
        <v>6085</v>
      </c>
      <c r="B763" s="162" t="s">
        <v>10932</v>
      </c>
      <c r="D763" s="187" t="s">
        <v>74</v>
      </c>
      <c r="E763" s="168" t="s">
        <v>10921</v>
      </c>
      <c r="F763" s="168" t="s">
        <v>10952</v>
      </c>
      <c r="G763" s="202">
        <v>47918</v>
      </c>
      <c r="H763" s="201" t="s">
        <v>10770</v>
      </c>
      <c r="I763" s="167" t="str">
        <f>IF(Plan_Comptable[[#This Row],[Sous-compte]]="","",LEFT(Plan_Comptable[[#This Row],[Sous-compte]]&amp;"00",4))</f>
        <v>4791</v>
      </c>
      <c r="J763" s="167" t="s">
        <v>1276</v>
      </c>
    </row>
    <row r="764" spans="1:10" ht="15" customHeight="1">
      <c r="A764" s="162">
        <v>6089</v>
      </c>
      <c r="B764" s="162" t="s">
        <v>10934</v>
      </c>
      <c r="D764" s="187" t="s">
        <v>74</v>
      </c>
      <c r="E764" s="168" t="s">
        <v>10921</v>
      </c>
      <c r="F764" s="168" t="s">
        <v>10952</v>
      </c>
      <c r="G764" s="172">
        <v>4792</v>
      </c>
      <c r="H764" s="174" t="s">
        <v>10771</v>
      </c>
      <c r="I764" s="167" t="str">
        <f>IF(Plan_Comptable[[#This Row],[Sous-compte]]="","",LEFT(Plan_Comptable[[#This Row],[Sous-compte]]&amp;"00",4))</f>
        <v>4792</v>
      </c>
      <c r="J764" s="167" t="s">
        <v>1276</v>
      </c>
    </row>
    <row r="765" spans="1:10" ht="15" customHeight="1">
      <c r="A765" s="162">
        <v>612</v>
      </c>
      <c r="B765" s="162" t="s">
        <v>10953</v>
      </c>
      <c r="D765" s="187" t="s">
        <v>74</v>
      </c>
      <c r="E765" s="168" t="s">
        <v>10921</v>
      </c>
      <c r="F765" s="168" t="s">
        <v>10952</v>
      </c>
      <c r="G765" s="173">
        <v>4793</v>
      </c>
      <c r="H765" s="199" t="s">
        <v>10773</v>
      </c>
      <c r="I765" s="167" t="str">
        <f>IF(Plan_Comptable[[#This Row],[Sous-compte]]="","",LEFT(Plan_Comptable[[#This Row],[Sous-compte]]&amp;"00",4))</f>
        <v>4793</v>
      </c>
      <c r="J765" s="167" t="s">
        <v>1276</v>
      </c>
    </row>
    <row r="766" spans="1:10" ht="15" customHeight="1">
      <c r="A766" s="162">
        <v>613</v>
      </c>
      <c r="B766" s="162" t="s">
        <v>10954</v>
      </c>
      <c r="D766" s="187" t="s">
        <v>74</v>
      </c>
      <c r="E766" s="168" t="s">
        <v>10921</v>
      </c>
      <c r="F766" s="168" t="s">
        <v>10952</v>
      </c>
      <c r="G766" s="202">
        <v>47931</v>
      </c>
      <c r="H766" s="201" t="s">
        <v>10776</v>
      </c>
      <c r="I766" s="167" t="str">
        <f>IF(Plan_Comptable[[#This Row],[Sous-compte]]="","",LEFT(Plan_Comptable[[#This Row],[Sous-compte]]&amp;"00",4))</f>
        <v>4793</v>
      </c>
      <c r="J766" s="167" t="s">
        <v>1276</v>
      </c>
    </row>
    <row r="767" spans="1:10" ht="15" customHeight="1">
      <c r="A767" s="162">
        <v>614</v>
      </c>
      <c r="B767" s="162" t="s">
        <v>10955</v>
      </c>
      <c r="D767" s="187" t="s">
        <v>74</v>
      </c>
      <c r="E767" s="168" t="s">
        <v>10921</v>
      </c>
      <c r="F767" s="168" t="s">
        <v>10952</v>
      </c>
      <c r="G767" s="202">
        <v>47938</v>
      </c>
      <c r="H767" s="201" t="s">
        <v>10778</v>
      </c>
      <c r="I767" s="167" t="str">
        <f>IF(Plan_Comptable[[#This Row],[Sous-compte]]="","",LEFT(Plan_Comptable[[#This Row],[Sous-compte]]&amp;"00",4))</f>
        <v>4793</v>
      </c>
      <c r="J767" s="167" t="s">
        <v>1276</v>
      </c>
    </row>
    <row r="768" spans="1:10" ht="15" customHeight="1">
      <c r="A768" s="162">
        <v>616</v>
      </c>
      <c r="B768" s="162" t="s">
        <v>10956</v>
      </c>
      <c r="D768" s="187" t="s">
        <v>74</v>
      </c>
      <c r="E768" s="168" t="s">
        <v>10921</v>
      </c>
      <c r="F768" s="168" t="s">
        <v>10952</v>
      </c>
      <c r="G768" s="173">
        <v>4794</v>
      </c>
      <c r="H768" s="188" t="s">
        <v>10779</v>
      </c>
      <c r="I768" s="167" t="str">
        <f>IF(Plan_Comptable[[#This Row],[Sous-compte]]="","",LEFT(Plan_Comptable[[#This Row],[Sous-compte]]&amp;"00",4))</f>
        <v>4794</v>
      </c>
      <c r="J768" s="167" t="s">
        <v>1276</v>
      </c>
    </row>
    <row r="769" spans="1:10" ht="15" customHeight="1">
      <c r="A769" s="162">
        <v>6181</v>
      </c>
      <c r="B769" s="162" t="s">
        <v>2659</v>
      </c>
      <c r="D769" s="187" t="s">
        <v>74</v>
      </c>
      <c r="E769" s="168" t="s">
        <v>10921</v>
      </c>
      <c r="F769" s="168" t="s">
        <v>10952</v>
      </c>
      <c r="G769" s="173">
        <v>4797</v>
      </c>
      <c r="H769" s="174" t="s">
        <v>10764</v>
      </c>
      <c r="I769" s="167" t="str">
        <f>IF(Plan_Comptable[[#This Row],[Sous-compte]]="","",LEFT(Plan_Comptable[[#This Row],[Sous-compte]]&amp;"00",4))</f>
        <v>4797</v>
      </c>
      <c r="J769" s="167" t="s">
        <v>1276</v>
      </c>
    </row>
    <row r="770" spans="1:10" ht="15" customHeight="1">
      <c r="A770" s="162">
        <v>6182</v>
      </c>
      <c r="B770" s="162" t="s">
        <v>10957</v>
      </c>
      <c r="D770" s="187" t="s">
        <v>74</v>
      </c>
      <c r="E770" s="168" t="s">
        <v>10921</v>
      </c>
      <c r="F770" s="168" t="s">
        <v>10952</v>
      </c>
      <c r="G770" s="176">
        <v>4798</v>
      </c>
      <c r="H770" s="167" t="s">
        <v>10766</v>
      </c>
      <c r="I770" s="167" t="str">
        <f>IF(Plan_Comptable[[#This Row],[Sous-compte]]="","",LEFT(Plan_Comptable[[#This Row],[Sous-compte]]&amp;"00",4))</f>
        <v>4798</v>
      </c>
      <c r="J770" s="167" t="s">
        <v>1276</v>
      </c>
    </row>
    <row r="771" spans="1:10" ht="15" customHeight="1">
      <c r="A771" s="162">
        <v>6183</v>
      </c>
      <c r="B771" s="162" t="s">
        <v>2193</v>
      </c>
      <c r="D771" s="187" t="s">
        <v>74</v>
      </c>
      <c r="E771" s="189">
        <v>48</v>
      </c>
      <c r="F771" s="165" t="s">
        <v>9941</v>
      </c>
      <c r="G771" s="165"/>
      <c r="H771" s="166" t="s">
        <v>10958</v>
      </c>
      <c r="I771" s="167" t="str">
        <f>IF(Plan_Comptable[[#This Row],[Sous-compte]]="","",LEFT(Plan_Comptable[[#This Row],[Sous-compte]]&amp;"00",4))</f>
        <v/>
      </c>
      <c r="J771" s="167"/>
    </row>
    <row r="772" spans="1:10" ht="15" customHeight="1">
      <c r="A772" s="162">
        <v>621</v>
      </c>
      <c r="B772" s="162" t="s">
        <v>10959</v>
      </c>
      <c r="D772" s="187" t="s">
        <v>74</v>
      </c>
      <c r="E772" s="168" t="s">
        <v>10960</v>
      </c>
      <c r="F772" s="168">
        <v>481</v>
      </c>
      <c r="G772" s="176"/>
      <c r="H772" s="167" t="s">
        <v>10961</v>
      </c>
      <c r="I772" s="167" t="str">
        <f>IF(Plan_Comptable[[#This Row],[Sous-compte]]="","",LEFT(Plan_Comptable[[#This Row],[Sous-compte]]&amp;"00",4))</f>
        <v/>
      </c>
      <c r="J772" s="167"/>
    </row>
    <row r="773" spans="1:10" ht="15" customHeight="1">
      <c r="A773" s="162">
        <v>6221</v>
      </c>
      <c r="B773" s="162" t="s">
        <v>10962</v>
      </c>
      <c r="D773" s="187" t="s">
        <v>74</v>
      </c>
      <c r="E773" s="168" t="s">
        <v>10960</v>
      </c>
      <c r="F773" s="168" t="s">
        <v>10963</v>
      </c>
      <c r="G773" s="176">
        <v>4811</v>
      </c>
      <c r="H773" s="167" t="s">
        <v>10781</v>
      </c>
      <c r="I773" s="167" t="str">
        <f>IF(Plan_Comptable[[#This Row],[Sous-compte]]="","",LEFT(Plan_Comptable[[#This Row],[Sous-compte]]&amp;"00",4))</f>
        <v>4811</v>
      </c>
      <c r="J773" s="167" t="s">
        <v>1276</v>
      </c>
    </row>
    <row r="774" spans="1:10" ht="15" customHeight="1">
      <c r="A774" s="162">
        <v>6222</v>
      </c>
      <c r="B774" s="162" t="s">
        <v>10964</v>
      </c>
      <c r="D774" s="187" t="s">
        <v>74</v>
      </c>
      <c r="E774" s="168" t="s">
        <v>10960</v>
      </c>
      <c r="F774" s="168" t="s">
        <v>10963</v>
      </c>
      <c r="G774" s="176">
        <v>4812</v>
      </c>
      <c r="H774" s="167" t="s">
        <v>10783</v>
      </c>
      <c r="I774" s="167" t="str">
        <f>IF(Plan_Comptable[[#This Row],[Sous-compte]]="","",LEFT(Plan_Comptable[[#This Row],[Sous-compte]]&amp;"00",4))</f>
        <v>4812</v>
      </c>
      <c r="J774" s="167" t="s">
        <v>1276</v>
      </c>
    </row>
    <row r="775" spans="1:10" ht="15" customHeight="1">
      <c r="A775" s="162">
        <v>6223</v>
      </c>
      <c r="B775" s="162" t="s">
        <v>10965</v>
      </c>
      <c r="D775" s="187" t="s">
        <v>74</v>
      </c>
      <c r="E775" s="168" t="s">
        <v>10960</v>
      </c>
      <c r="F775" s="168" t="s">
        <v>10963</v>
      </c>
      <c r="G775" s="173">
        <v>4813</v>
      </c>
      <c r="H775" s="174" t="s">
        <v>10784</v>
      </c>
      <c r="I775" s="167" t="str">
        <f>IF(Plan_Comptable[[#This Row],[Sous-compte]]="","",LEFT(Plan_Comptable[[#This Row],[Sous-compte]]&amp;"00",4))</f>
        <v>4813</v>
      </c>
      <c r="J775" s="167" t="s">
        <v>1276</v>
      </c>
    </row>
    <row r="776" spans="1:10" ht="15" customHeight="1">
      <c r="A776" s="162">
        <v>6224</v>
      </c>
      <c r="B776" s="162" t="s">
        <v>2664</v>
      </c>
      <c r="D776" s="187" t="s">
        <v>74</v>
      </c>
      <c r="E776" s="168" t="s">
        <v>10960</v>
      </c>
      <c r="F776" s="168" t="s">
        <v>10963</v>
      </c>
      <c r="G776" s="173">
        <v>4816</v>
      </c>
      <c r="H776" s="175" t="s">
        <v>10966</v>
      </c>
      <c r="I776" s="167" t="str">
        <f>IF(Plan_Comptable[[#This Row],[Sous-compte]]="","",LEFT(Plan_Comptable[[#This Row],[Sous-compte]]&amp;"00",4))</f>
        <v>4816</v>
      </c>
      <c r="J776" s="167" t="s">
        <v>1276</v>
      </c>
    </row>
    <row r="777" spans="1:10" ht="15" customHeight="1">
      <c r="A777" s="162">
        <v>6225</v>
      </c>
      <c r="B777" s="162" t="s">
        <v>10967</v>
      </c>
      <c r="D777" s="187" t="s">
        <v>74</v>
      </c>
      <c r="E777" s="168" t="s">
        <v>10960</v>
      </c>
      <c r="F777" s="168" t="s">
        <v>10963</v>
      </c>
      <c r="G777" s="200">
        <v>48161</v>
      </c>
      <c r="H777" s="204" t="s">
        <v>10787</v>
      </c>
      <c r="I777" s="167" t="str">
        <f>IF(Plan_Comptable[[#This Row],[Sous-compte]]="","",LEFT(Plan_Comptable[[#This Row],[Sous-compte]]&amp;"00",4))</f>
        <v>4816</v>
      </c>
      <c r="J777" s="167" t="s">
        <v>1276</v>
      </c>
    </row>
    <row r="778" spans="1:10" ht="15" customHeight="1">
      <c r="A778" s="162">
        <v>6226</v>
      </c>
      <c r="B778" s="162" t="s">
        <v>2666</v>
      </c>
      <c r="D778" s="187" t="s">
        <v>74</v>
      </c>
      <c r="E778" s="168" t="s">
        <v>10960</v>
      </c>
      <c r="F778" s="168" t="s">
        <v>10963</v>
      </c>
      <c r="G778" s="200">
        <v>48162</v>
      </c>
      <c r="H778" s="204" t="s">
        <v>10789</v>
      </c>
      <c r="I778" s="167" t="str">
        <f>IF(Plan_Comptable[[#This Row],[Sous-compte]]="","",LEFT(Plan_Comptable[[#This Row],[Sous-compte]]&amp;"00",4))</f>
        <v>4816</v>
      </c>
      <c r="J778" s="167" t="s">
        <v>1276</v>
      </c>
    </row>
    <row r="779" spans="1:10" ht="15" customHeight="1">
      <c r="A779" s="162">
        <v>6228</v>
      </c>
      <c r="B779" s="162" t="s">
        <v>10968</v>
      </c>
      <c r="D779" s="187" t="s">
        <v>74</v>
      </c>
      <c r="E779" s="168" t="s">
        <v>10960</v>
      </c>
      <c r="F779" s="168" t="s">
        <v>10963</v>
      </c>
      <c r="G779" s="176">
        <v>4817</v>
      </c>
      <c r="H779" s="167" t="s">
        <v>10969</v>
      </c>
      <c r="I779" s="167" t="str">
        <f>IF(Plan_Comptable[[#This Row],[Sous-compte]]="","",LEFT(Plan_Comptable[[#This Row],[Sous-compte]]&amp;"00",4))</f>
        <v>4817</v>
      </c>
      <c r="J779" s="167" t="s">
        <v>1276</v>
      </c>
    </row>
    <row r="780" spans="1:10" ht="15" customHeight="1">
      <c r="A780" s="162">
        <v>6232</v>
      </c>
      <c r="B780" s="162" t="s">
        <v>2668</v>
      </c>
      <c r="D780" s="187" t="s">
        <v>74</v>
      </c>
      <c r="E780" s="168" t="s">
        <v>10960</v>
      </c>
      <c r="F780" s="168" t="s">
        <v>10963</v>
      </c>
      <c r="G780" s="200">
        <v>48171</v>
      </c>
      <c r="H780" s="204" t="s">
        <v>10791</v>
      </c>
      <c r="I780" s="167" t="str">
        <f>IF(Plan_Comptable[[#This Row],[Sous-compte]]="","",LEFT(Plan_Comptable[[#This Row],[Sous-compte]]&amp;"00",4))</f>
        <v>4817</v>
      </c>
      <c r="J780" s="167" t="s">
        <v>1276</v>
      </c>
    </row>
    <row r="781" spans="1:10" ht="15" customHeight="1">
      <c r="A781" s="162">
        <v>6233</v>
      </c>
      <c r="B781" s="162" t="s">
        <v>2669</v>
      </c>
      <c r="D781" s="187" t="s">
        <v>74</v>
      </c>
      <c r="E781" s="168" t="s">
        <v>10960</v>
      </c>
      <c r="F781" s="168" t="s">
        <v>10963</v>
      </c>
      <c r="G781" s="200">
        <v>48172</v>
      </c>
      <c r="H781" s="204" t="s">
        <v>10791</v>
      </c>
      <c r="I781" s="167" t="str">
        <f>IF(Plan_Comptable[[#This Row],[Sous-compte]]="","",LEFT(Plan_Comptable[[#This Row],[Sous-compte]]&amp;"00",4))</f>
        <v>4817</v>
      </c>
      <c r="J781" s="167" t="s">
        <v>1276</v>
      </c>
    </row>
    <row r="782" spans="1:10" ht="15" customHeight="1">
      <c r="A782" s="162">
        <v>6234</v>
      </c>
      <c r="B782" s="162" t="s">
        <v>2670</v>
      </c>
      <c r="D782" s="187" t="s">
        <v>74</v>
      </c>
      <c r="E782" s="168" t="s">
        <v>10960</v>
      </c>
      <c r="F782" s="168" t="s">
        <v>10963</v>
      </c>
      <c r="G782" s="176">
        <v>4818</v>
      </c>
      <c r="H782" s="167" t="s">
        <v>10970</v>
      </c>
      <c r="I782" s="167" t="str">
        <f>IF(Plan_Comptable[[#This Row],[Sous-compte]]="","",LEFT(Plan_Comptable[[#This Row],[Sous-compte]]&amp;"00",4))</f>
        <v>4818</v>
      </c>
      <c r="J782" s="167" t="s">
        <v>1276</v>
      </c>
    </row>
    <row r="783" spans="1:10" ht="15" customHeight="1">
      <c r="A783" s="162">
        <v>6238</v>
      </c>
      <c r="B783" s="162" t="s">
        <v>10971</v>
      </c>
      <c r="D783" s="187" t="s">
        <v>74</v>
      </c>
      <c r="E783" s="168" t="s">
        <v>10960</v>
      </c>
      <c r="F783" s="168" t="s">
        <v>10963</v>
      </c>
      <c r="G783" s="200">
        <v>48181</v>
      </c>
      <c r="H783" s="204" t="s">
        <v>10795</v>
      </c>
      <c r="I783" s="167" t="str">
        <f>IF(Plan_Comptable[[#This Row],[Sous-compte]]="","",LEFT(Plan_Comptable[[#This Row],[Sous-compte]]&amp;"00",4))</f>
        <v>4818</v>
      </c>
      <c r="J783" s="167" t="s">
        <v>1276</v>
      </c>
    </row>
    <row r="784" spans="1:10" ht="15" customHeight="1">
      <c r="A784" s="162">
        <v>6241</v>
      </c>
      <c r="B784" s="162" t="s">
        <v>10972</v>
      </c>
      <c r="D784" s="187" t="s">
        <v>74</v>
      </c>
      <c r="E784" s="168" t="s">
        <v>10960</v>
      </c>
      <c r="F784" s="168" t="s">
        <v>10963</v>
      </c>
      <c r="G784" s="200">
        <v>48182</v>
      </c>
      <c r="H784" s="204" t="s">
        <v>10796</v>
      </c>
      <c r="I784" s="167" t="str">
        <f>IF(Plan_Comptable[[#This Row],[Sous-compte]]="","",LEFT(Plan_Comptable[[#This Row],[Sous-compte]]&amp;"00",4))</f>
        <v>4818</v>
      </c>
      <c r="J784" s="167" t="s">
        <v>1276</v>
      </c>
    </row>
    <row r="785" spans="1:10" ht="15" customHeight="1">
      <c r="A785" s="162">
        <v>6242</v>
      </c>
      <c r="B785" s="162" t="s">
        <v>10973</v>
      </c>
      <c r="D785" s="187" t="s">
        <v>74</v>
      </c>
      <c r="E785" s="168" t="s">
        <v>10960</v>
      </c>
      <c r="F785" s="168">
        <v>482</v>
      </c>
      <c r="G785" s="176"/>
      <c r="H785" s="167" t="s">
        <v>10974</v>
      </c>
      <c r="I785" s="167" t="str">
        <f>IF(Plan_Comptable[[#This Row],[Sous-compte]]="","",LEFT(Plan_Comptable[[#This Row],[Sous-compte]]&amp;"00",4))</f>
        <v/>
      </c>
      <c r="J785" s="167"/>
    </row>
    <row r="786" spans="1:10" ht="15" customHeight="1">
      <c r="A786" s="162">
        <v>6243</v>
      </c>
      <c r="B786" s="162" t="s">
        <v>2675</v>
      </c>
      <c r="D786" s="187" t="s">
        <v>74</v>
      </c>
      <c r="E786" s="168" t="s">
        <v>10960</v>
      </c>
      <c r="F786" s="168" t="s">
        <v>10975</v>
      </c>
      <c r="G786" s="173">
        <v>4821</v>
      </c>
      <c r="H786" s="188" t="s">
        <v>10781</v>
      </c>
      <c r="I786" s="167" t="str">
        <f>IF(Plan_Comptable[[#This Row],[Sous-compte]]="","",LEFT(Plan_Comptable[[#This Row],[Sous-compte]]&amp;"00",4))</f>
        <v>4821</v>
      </c>
      <c r="J786" s="167" t="s">
        <v>1276</v>
      </c>
    </row>
    <row r="787" spans="1:10" ht="15" customHeight="1">
      <c r="A787" s="162">
        <v>6244</v>
      </c>
      <c r="B787" s="162" t="s">
        <v>10976</v>
      </c>
      <c r="D787" s="187" t="s">
        <v>74</v>
      </c>
      <c r="E787" s="168" t="s">
        <v>10960</v>
      </c>
      <c r="F787" s="168" t="s">
        <v>10975</v>
      </c>
      <c r="G787" s="173">
        <v>4822</v>
      </c>
      <c r="H787" s="175" t="s">
        <v>10783</v>
      </c>
      <c r="I787" s="167" t="str">
        <f>IF(Plan_Comptable[[#This Row],[Sous-compte]]="","",LEFT(Plan_Comptable[[#This Row],[Sous-compte]]&amp;"00",4))</f>
        <v>4822</v>
      </c>
      <c r="J787" s="167" t="s">
        <v>1276</v>
      </c>
    </row>
    <row r="788" spans="1:10" ht="15" customHeight="1">
      <c r="A788" s="162">
        <v>6248</v>
      </c>
      <c r="B788" s="162" t="s">
        <v>10977</v>
      </c>
      <c r="D788" s="187" t="s">
        <v>74</v>
      </c>
      <c r="E788" s="168" t="s">
        <v>10960</v>
      </c>
      <c r="F788" s="168">
        <v>484</v>
      </c>
      <c r="G788" s="176">
        <v>484</v>
      </c>
      <c r="H788" s="167" t="s">
        <v>10799</v>
      </c>
      <c r="I788" s="167" t="str">
        <f>IF(Plan_Comptable[[#This Row],[Sous-compte]]="","",LEFT(Plan_Comptable[[#This Row],[Sous-compte]]&amp;"00",4))</f>
        <v>4840</v>
      </c>
      <c r="J788" s="167" t="s">
        <v>1276</v>
      </c>
    </row>
    <row r="789" spans="1:10" ht="15" customHeight="1">
      <c r="A789" s="162">
        <v>6251</v>
      </c>
      <c r="B789" s="162" t="s">
        <v>10978</v>
      </c>
      <c r="D789" s="187" t="s">
        <v>74</v>
      </c>
      <c r="E789" s="168" t="s">
        <v>10960</v>
      </c>
      <c r="F789" s="168">
        <v>485</v>
      </c>
      <c r="G789" s="176"/>
      <c r="H789" s="167" t="s">
        <v>10979</v>
      </c>
      <c r="I789" s="167" t="str">
        <f>IF(Plan_Comptable[[#This Row],[Sous-compte]]="","",LEFT(Plan_Comptable[[#This Row],[Sous-compte]]&amp;"00",4))</f>
        <v/>
      </c>
      <c r="J789" s="167"/>
    </row>
    <row r="790" spans="1:10" ht="15" customHeight="1">
      <c r="A790" s="162">
        <v>6252</v>
      </c>
      <c r="B790" s="162" t="s">
        <v>10980</v>
      </c>
      <c r="D790" s="187" t="s">
        <v>74</v>
      </c>
      <c r="E790" s="168" t="s">
        <v>10960</v>
      </c>
      <c r="F790" s="168" t="s">
        <v>10981</v>
      </c>
      <c r="G790" s="172">
        <v>4851</v>
      </c>
      <c r="H790" s="199" t="s">
        <v>10800</v>
      </c>
      <c r="I790" s="167" t="str">
        <f>IF(Plan_Comptable[[#This Row],[Sous-compte]]="","",LEFT(Plan_Comptable[[#This Row],[Sous-compte]]&amp;"00",4))</f>
        <v>4851</v>
      </c>
      <c r="J790" s="167" t="s">
        <v>1279</v>
      </c>
    </row>
    <row r="791" spans="1:10" ht="15" customHeight="1">
      <c r="A791" s="162">
        <v>6253</v>
      </c>
      <c r="B791" s="162" t="s">
        <v>2680</v>
      </c>
      <c r="D791" s="187" t="s">
        <v>74</v>
      </c>
      <c r="E791" s="168" t="s">
        <v>10960</v>
      </c>
      <c r="F791" s="168" t="s">
        <v>10981</v>
      </c>
      <c r="G791" s="172">
        <v>4852</v>
      </c>
      <c r="H791" s="192" t="s">
        <v>10801</v>
      </c>
      <c r="I791" s="167" t="str">
        <f>IF(Plan_Comptable[[#This Row],[Sous-compte]]="","",LEFT(Plan_Comptable[[#This Row],[Sous-compte]]&amp;"00",4))</f>
        <v>4852</v>
      </c>
      <c r="J791" s="167" t="s">
        <v>1279</v>
      </c>
    </row>
    <row r="792" spans="1:10" ht="15" customHeight="1">
      <c r="A792" s="162">
        <v>6254</v>
      </c>
      <c r="B792" s="162" t="s">
        <v>2681</v>
      </c>
      <c r="D792" s="187" t="s">
        <v>74</v>
      </c>
      <c r="E792" s="168" t="s">
        <v>10960</v>
      </c>
      <c r="F792" s="168" t="s">
        <v>10981</v>
      </c>
      <c r="G792" s="173">
        <v>4853</v>
      </c>
      <c r="H792" s="188" t="s">
        <v>10584</v>
      </c>
      <c r="I792" s="167" t="str">
        <f>IF(Plan_Comptable[[#This Row],[Sous-compte]]="","",LEFT(Plan_Comptable[[#This Row],[Sous-compte]]&amp;"00",4))</f>
        <v>4853</v>
      </c>
      <c r="J792" s="167" t="s">
        <v>1279</v>
      </c>
    </row>
    <row r="793" spans="1:10" ht="15" customHeight="1">
      <c r="A793" s="162">
        <v>6255</v>
      </c>
      <c r="B793" s="162" t="s">
        <v>2682</v>
      </c>
      <c r="D793" s="187" t="s">
        <v>74</v>
      </c>
      <c r="E793" s="168" t="s">
        <v>10960</v>
      </c>
      <c r="F793" s="168" t="s">
        <v>10981</v>
      </c>
      <c r="G793" s="173">
        <v>4854</v>
      </c>
      <c r="H793" s="175" t="s">
        <v>10585</v>
      </c>
      <c r="I793" s="167" t="str">
        <f>IF(Plan_Comptable[[#This Row],[Sous-compte]]="","",LEFT(Plan_Comptable[[#This Row],[Sous-compte]]&amp;"00",4))</f>
        <v>4854</v>
      </c>
      <c r="J793" s="167" t="s">
        <v>1279</v>
      </c>
    </row>
    <row r="794" spans="1:10" ht="15" customHeight="1">
      <c r="A794" s="162">
        <v>6257</v>
      </c>
      <c r="B794" s="162" t="s">
        <v>2683</v>
      </c>
      <c r="D794" s="187" t="s">
        <v>74</v>
      </c>
      <c r="E794" s="168" t="s">
        <v>10960</v>
      </c>
      <c r="F794" s="168" t="s">
        <v>10981</v>
      </c>
      <c r="G794" s="173">
        <v>4855</v>
      </c>
      <c r="H794" s="175" t="s">
        <v>1571</v>
      </c>
      <c r="I794" s="167" t="str">
        <f>IF(Plan_Comptable[[#This Row],[Sous-compte]]="","",LEFT(Plan_Comptable[[#This Row],[Sous-compte]]&amp;"00",4))</f>
        <v>4855</v>
      </c>
      <c r="J794" s="167" t="s">
        <v>1279</v>
      </c>
    </row>
    <row r="795" spans="1:10" ht="15" customHeight="1">
      <c r="A795" s="162">
        <v>6258</v>
      </c>
      <c r="B795" s="162" t="s">
        <v>2684</v>
      </c>
      <c r="D795" s="187" t="s">
        <v>74</v>
      </c>
      <c r="E795" s="168" t="s">
        <v>10960</v>
      </c>
      <c r="F795" s="168" t="s">
        <v>10981</v>
      </c>
      <c r="G795" s="173">
        <v>4856</v>
      </c>
      <c r="H795" s="175" t="s">
        <v>3559</v>
      </c>
      <c r="I795" s="167" t="str">
        <f>IF(Plan_Comptable[[#This Row],[Sous-compte]]="","",LEFT(Plan_Comptable[[#This Row],[Sous-compte]]&amp;"00",4))</f>
        <v>4856</v>
      </c>
      <c r="J795" s="167" t="s">
        <v>1279</v>
      </c>
    </row>
    <row r="796" spans="1:10" ht="15" customHeight="1">
      <c r="A796" s="162">
        <v>6261</v>
      </c>
      <c r="B796" s="162" t="s">
        <v>2685</v>
      </c>
      <c r="D796" s="187" t="s">
        <v>74</v>
      </c>
      <c r="E796" s="168" t="s">
        <v>10960</v>
      </c>
      <c r="F796" s="168" t="s">
        <v>10981</v>
      </c>
      <c r="G796" s="176">
        <v>4857</v>
      </c>
      <c r="H796" s="167" t="s">
        <v>10805</v>
      </c>
      <c r="I796" s="167" t="str">
        <f>IF(Plan_Comptable[[#This Row],[Sous-compte]]="","",LEFT(Plan_Comptable[[#This Row],[Sous-compte]]&amp;"00",4))</f>
        <v>4857</v>
      </c>
      <c r="J796" s="167" t="s">
        <v>1279</v>
      </c>
    </row>
    <row r="797" spans="1:10" ht="15" customHeight="1">
      <c r="A797" s="162">
        <v>6265</v>
      </c>
      <c r="B797" s="162" t="s">
        <v>2686</v>
      </c>
      <c r="D797" s="187" t="s">
        <v>74</v>
      </c>
      <c r="E797" s="168" t="s">
        <v>10960</v>
      </c>
      <c r="F797" s="168" t="s">
        <v>10981</v>
      </c>
      <c r="G797" s="176">
        <v>4858</v>
      </c>
      <c r="H797" s="167" t="s">
        <v>10808</v>
      </c>
      <c r="I797" s="167" t="str">
        <f>IF(Plan_Comptable[[#This Row],[Sous-compte]]="","",LEFT(Plan_Comptable[[#This Row],[Sous-compte]]&amp;"00",4))</f>
        <v>4858</v>
      </c>
      <c r="J797" s="167" t="s">
        <v>1279</v>
      </c>
    </row>
    <row r="798" spans="1:10" ht="15" customHeight="1">
      <c r="A798" s="162">
        <v>6266</v>
      </c>
      <c r="B798" s="162" t="s">
        <v>2687</v>
      </c>
      <c r="D798" s="187" t="s">
        <v>74</v>
      </c>
      <c r="E798" s="168" t="s">
        <v>10960</v>
      </c>
      <c r="F798" s="168">
        <v>488</v>
      </c>
      <c r="G798" s="176">
        <v>488</v>
      </c>
      <c r="H798" s="167" t="s">
        <v>10810</v>
      </c>
      <c r="I798" s="167" t="str">
        <f>IF(Plan_Comptable[[#This Row],[Sous-compte]]="","",LEFT(Plan_Comptable[[#This Row],[Sous-compte]]&amp;"00",4))</f>
        <v>4880</v>
      </c>
      <c r="J798" s="167" t="s">
        <v>1279</v>
      </c>
    </row>
    <row r="799" spans="1:10" ht="15" customHeight="1">
      <c r="A799" s="162">
        <v>6271</v>
      </c>
      <c r="B799" s="162" t="s">
        <v>2688</v>
      </c>
      <c r="D799" s="187" t="s">
        <v>74</v>
      </c>
      <c r="E799" s="182">
        <v>49</v>
      </c>
      <c r="F799" s="171" t="s">
        <v>9941</v>
      </c>
      <c r="G799" s="172"/>
      <c r="H799" s="179" t="s">
        <v>10982</v>
      </c>
      <c r="I799" s="167" t="str">
        <f>IF(Plan_Comptable[[#This Row],[Sous-compte]]="","",LEFT(Plan_Comptable[[#This Row],[Sous-compte]]&amp;"00",4))</f>
        <v/>
      </c>
      <c r="J799" s="167"/>
    </row>
    <row r="800" spans="1:10" ht="15" customHeight="1">
      <c r="A800" s="162">
        <v>6272</v>
      </c>
      <c r="B800" s="162" t="s">
        <v>2689</v>
      </c>
      <c r="D800" s="187" t="s">
        <v>74</v>
      </c>
      <c r="E800" s="168" t="s">
        <v>10983</v>
      </c>
      <c r="F800" s="168">
        <v>490</v>
      </c>
      <c r="G800" s="176">
        <v>490</v>
      </c>
      <c r="H800" s="167" t="s">
        <v>10811</v>
      </c>
      <c r="I800" s="167" t="str">
        <f>IF(Plan_Comptable[[#This Row],[Sous-compte]]="","",LEFT(Plan_Comptable[[#This Row],[Sous-compte]]&amp;"00",4))</f>
        <v>4900</v>
      </c>
      <c r="J800" s="167" t="s">
        <v>1276</v>
      </c>
    </row>
    <row r="801" spans="1:10" ht="15" customHeight="1">
      <c r="A801" s="162">
        <v>6273</v>
      </c>
      <c r="B801" s="162" t="s">
        <v>10984</v>
      </c>
      <c r="D801" s="187" t="s">
        <v>74</v>
      </c>
      <c r="E801" s="168" t="s">
        <v>10983</v>
      </c>
      <c r="F801" s="168">
        <v>491</v>
      </c>
      <c r="G801" s="176"/>
      <c r="H801" s="167" t="s">
        <v>10985</v>
      </c>
      <c r="I801" s="167" t="str">
        <f>IF(Plan_Comptable[[#This Row],[Sous-compte]]="","",LEFT(Plan_Comptable[[#This Row],[Sous-compte]]&amp;"00",4))</f>
        <v/>
      </c>
      <c r="J801" s="167"/>
    </row>
    <row r="802" spans="1:10" ht="15" customHeight="1">
      <c r="A802" s="162">
        <v>6274</v>
      </c>
      <c r="B802" s="162" t="s">
        <v>2691</v>
      </c>
      <c r="D802" s="187" t="s">
        <v>74</v>
      </c>
      <c r="E802" s="168" t="s">
        <v>10983</v>
      </c>
      <c r="F802" s="168" t="s">
        <v>10986</v>
      </c>
      <c r="G802" s="176">
        <v>4911</v>
      </c>
      <c r="H802" s="167" t="s">
        <v>10588</v>
      </c>
      <c r="I802" s="167" t="str">
        <f>IF(Plan_Comptable[[#This Row],[Sous-compte]]="","",LEFT(Plan_Comptable[[#This Row],[Sous-compte]]&amp;"00",4))</f>
        <v>4911</v>
      </c>
      <c r="J802" s="167" t="s">
        <v>1276</v>
      </c>
    </row>
    <row r="803" spans="1:10" ht="15" customHeight="1">
      <c r="A803" s="162">
        <v>6275</v>
      </c>
      <c r="B803" s="162" t="s">
        <v>2692</v>
      </c>
      <c r="D803" s="187" t="s">
        <v>74</v>
      </c>
      <c r="E803" s="168" t="s">
        <v>10983</v>
      </c>
      <c r="F803" s="168" t="s">
        <v>10986</v>
      </c>
      <c r="G803" s="176">
        <v>4912</v>
      </c>
      <c r="H803" s="167" t="s">
        <v>10590</v>
      </c>
      <c r="I803" s="167" t="str">
        <f>IF(Plan_Comptable[[#This Row],[Sous-compte]]="","",LEFT(Plan_Comptable[[#This Row],[Sous-compte]]&amp;"00",4))</f>
        <v>4912</v>
      </c>
      <c r="J803" s="167" t="s">
        <v>1276</v>
      </c>
    </row>
    <row r="804" spans="1:10" ht="15" customHeight="1">
      <c r="A804" s="162">
        <v>6276</v>
      </c>
      <c r="B804" s="162" t="s">
        <v>2693</v>
      </c>
      <c r="D804" s="187" t="s">
        <v>74</v>
      </c>
      <c r="E804" s="168" t="s">
        <v>10983</v>
      </c>
      <c r="F804" s="168">
        <v>492</v>
      </c>
      <c r="G804" s="176">
        <v>492</v>
      </c>
      <c r="H804" s="167" t="s">
        <v>10812</v>
      </c>
      <c r="I804" s="167" t="str">
        <f>IF(Plan_Comptable[[#This Row],[Sous-compte]]="","",LEFT(Plan_Comptable[[#This Row],[Sous-compte]]&amp;"00",4))</f>
        <v>4920</v>
      </c>
      <c r="J804" s="167" t="s">
        <v>1276</v>
      </c>
    </row>
    <row r="805" spans="1:10" ht="15" customHeight="1">
      <c r="A805" s="162">
        <v>6277</v>
      </c>
      <c r="B805" s="162" t="s">
        <v>2694</v>
      </c>
      <c r="D805" s="187" t="s">
        <v>74</v>
      </c>
      <c r="E805" s="168" t="s">
        <v>10983</v>
      </c>
      <c r="F805" s="168">
        <v>493</v>
      </c>
      <c r="G805" s="176">
        <v>493</v>
      </c>
      <c r="H805" s="167" t="s">
        <v>10813</v>
      </c>
      <c r="I805" s="167" t="str">
        <f>IF(Plan_Comptable[[#This Row],[Sous-compte]]="","",LEFT(Plan_Comptable[[#This Row],[Sous-compte]]&amp;"00",4))</f>
        <v>4930</v>
      </c>
      <c r="J805" s="167" t="s">
        <v>1276</v>
      </c>
    </row>
    <row r="806" spans="1:10" ht="15" customHeight="1">
      <c r="A806" s="162">
        <v>6278</v>
      </c>
      <c r="B806" s="162" t="s">
        <v>2695</v>
      </c>
      <c r="D806" s="187" t="s">
        <v>74</v>
      </c>
      <c r="E806" s="168" t="s">
        <v>10983</v>
      </c>
      <c r="F806" s="168">
        <v>494</v>
      </c>
      <c r="G806" s="176">
        <v>494</v>
      </c>
      <c r="H806" s="167" t="s">
        <v>10815</v>
      </c>
      <c r="I806" s="167" t="str">
        <f>IF(Plan_Comptable[[#This Row],[Sous-compte]]="","",LEFT(Plan_Comptable[[#This Row],[Sous-compte]]&amp;"00",4))</f>
        <v>4940</v>
      </c>
      <c r="J806" s="167" t="s">
        <v>1276</v>
      </c>
    </row>
    <row r="807" spans="1:10" ht="15" customHeight="1">
      <c r="A807" s="162">
        <v>6281</v>
      </c>
      <c r="B807" s="162" t="s">
        <v>2696</v>
      </c>
      <c r="D807" s="187" t="s">
        <v>74</v>
      </c>
      <c r="E807" s="168" t="s">
        <v>10983</v>
      </c>
      <c r="F807" s="168">
        <v>495</v>
      </c>
      <c r="G807" s="176">
        <v>495</v>
      </c>
      <c r="H807" s="167" t="s">
        <v>10817</v>
      </c>
      <c r="I807" s="167" t="str">
        <f>IF(Plan_Comptable[[#This Row],[Sous-compte]]="","",LEFT(Plan_Comptable[[#This Row],[Sous-compte]]&amp;"00",4))</f>
        <v>4950</v>
      </c>
      <c r="J807" s="167" t="s">
        <v>1276</v>
      </c>
    </row>
    <row r="808" spans="1:10" ht="15" customHeight="1">
      <c r="A808" s="162">
        <v>6282</v>
      </c>
      <c r="B808" s="162" t="s">
        <v>2697</v>
      </c>
      <c r="D808" s="187" t="s">
        <v>74</v>
      </c>
      <c r="E808" s="168" t="s">
        <v>10983</v>
      </c>
      <c r="F808" s="168">
        <v>496</v>
      </c>
      <c r="G808" s="176"/>
      <c r="H808" s="167" t="s">
        <v>10987</v>
      </c>
      <c r="I808" s="167" t="str">
        <f>IF(Plan_Comptable[[#This Row],[Sous-compte]]="","",LEFT(Plan_Comptable[[#This Row],[Sous-compte]]&amp;"00",4))</f>
        <v/>
      </c>
      <c r="J808" s="167"/>
    </row>
    <row r="809" spans="1:10" ht="15" customHeight="1">
      <c r="A809" s="162">
        <v>6283</v>
      </c>
      <c r="B809" s="162" t="s">
        <v>2698</v>
      </c>
      <c r="D809" s="187" t="s">
        <v>74</v>
      </c>
      <c r="E809" s="168" t="s">
        <v>10983</v>
      </c>
      <c r="F809" s="168" t="s">
        <v>10988</v>
      </c>
      <c r="G809" s="176">
        <v>4962</v>
      </c>
      <c r="H809" s="167" t="s">
        <v>10818</v>
      </c>
      <c r="I809" s="167" t="str">
        <f>IF(Plan_Comptable[[#This Row],[Sous-compte]]="","",LEFT(Plan_Comptable[[#This Row],[Sous-compte]]&amp;"00",4))</f>
        <v>4962</v>
      </c>
      <c r="J809" s="167" t="s">
        <v>1276</v>
      </c>
    </row>
    <row r="810" spans="1:10" ht="15" customHeight="1">
      <c r="A810" s="162">
        <v>6288</v>
      </c>
      <c r="B810" s="162" t="s">
        <v>2700</v>
      </c>
      <c r="D810" s="187" t="s">
        <v>74</v>
      </c>
      <c r="E810" s="168" t="s">
        <v>10983</v>
      </c>
      <c r="F810" s="168" t="s">
        <v>10988</v>
      </c>
      <c r="G810" s="172">
        <v>4963</v>
      </c>
      <c r="H810" s="179" t="s">
        <v>10819</v>
      </c>
      <c r="I810" s="167" t="str">
        <f>IF(Plan_Comptable[[#This Row],[Sous-compte]]="","",LEFT(Plan_Comptable[[#This Row],[Sous-compte]]&amp;"00",4))</f>
        <v>4963</v>
      </c>
      <c r="J810" s="167" t="s">
        <v>1276</v>
      </c>
    </row>
    <row r="811" spans="1:10" ht="15" customHeight="1">
      <c r="A811" s="162">
        <v>6311</v>
      </c>
      <c r="B811" s="162" t="s">
        <v>2701</v>
      </c>
      <c r="D811" s="187" t="s">
        <v>74</v>
      </c>
      <c r="E811" s="168" t="s">
        <v>10983</v>
      </c>
      <c r="F811" s="168" t="s">
        <v>10988</v>
      </c>
      <c r="G811" s="176">
        <v>4966</v>
      </c>
      <c r="H811" s="167" t="s">
        <v>2096</v>
      </c>
      <c r="I811" s="167" t="str">
        <f>IF(Plan_Comptable[[#This Row],[Sous-compte]]="","",LEFT(Plan_Comptable[[#This Row],[Sous-compte]]&amp;"00",4))</f>
        <v>4966</v>
      </c>
      <c r="J811" s="167" t="s">
        <v>1276</v>
      </c>
    </row>
    <row r="812" spans="1:10" ht="15" customHeight="1">
      <c r="A812" s="162">
        <v>6312</v>
      </c>
      <c r="B812" s="162" t="s">
        <v>2702</v>
      </c>
      <c r="D812" s="187" t="s">
        <v>74</v>
      </c>
      <c r="E812" s="168" t="s">
        <v>10983</v>
      </c>
      <c r="F812" s="168">
        <v>497</v>
      </c>
      <c r="G812" s="176">
        <v>497</v>
      </c>
      <c r="H812" s="167" t="s">
        <v>10822</v>
      </c>
      <c r="I812" s="167" t="str">
        <f>IF(Plan_Comptable[[#This Row],[Sous-compte]]="","",LEFT(Plan_Comptable[[#This Row],[Sous-compte]]&amp;"00",4))</f>
        <v>4970</v>
      </c>
      <c r="J812" s="167" t="s">
        <v>1276</v>
      </c>
    </row>
    <row r="813" spans="1:10" ht="15" customHeight="1">
      <c r="A813" s="162">
        <v>6313</v>
      </c>
      <c r="B813" s="162" t="s">
        <v>2703</v>
      </c>
      <c r="D813" s="187" t="s">
        <v>74</v>
      </c>
      <c r="E813" s="168" t="s">
        <v>10983</v>
      </c>
      <c r="F813" s="168">
        <v>498</v>
      </c>
      <c r="G813" s="176"/>
      <c r="H813" s="167" t="s">
        <v>10989</v>
      </c>
      <c r="I813" s="167" t="str">
        <f>IF(Plan_Comptable[[#This Row],[Sous-compte]]="","",LEFT(Plan_Comptable[[#This Row],[Sous-compte]]&amp;"00",4))</f>
        <v/>
      </c>
      <c r="J813" s="167"/>
    </row>
    <row r="814" spans="1:10" ht="15" customHeight="1">
      <c r="A814" s="162">
        <v>6314</v>
      </c>
      <c r="B814" s="162" t="s">
        <v>2704</v>
      </c>
      <c r="D814" s="187" t="s">
        <v>74</v>
      </c>
      <c r="E814" s="168" t="s">
        <v>10983</v>
      </c>
      <c r="F814" s="168" t="s">
        <v>10990</v>
      </c>
      <c r="G814" s="172">
        <v>4985</v>
      </c>
      <c r="H814" s="179" t="s">
        <v>10823</v>
      </c>
      <c r="I814" s="167" t="str">
        <f>IF(Plan_Comptable[[#This Row],[Sous-compte]]="","",LEFT(Plan_Comptable[[#This Row],[Sous-compte]]&amp;"00",4))</f>
        <v>4985</v>
      </c>
      <c r="J814" s="167" t="s">
        <v>1276</v>
      </c>
    </row>
    <row r="815" spans="1:10" ht="15" customHeight="1">
      <c r="A815" s="162">
        <v>6315</v>
      </c>
      <c r="B815" s="162" t="s">
        <v>2705</v>
      </c>
      <c r="D815" s="187" t="s">
        <v>74</v>
      </c>
      <c r="E815" s="168" t="s">
        <v>10983</v>
      </c>
      <c r="F815" s="168" t="s">
        <v>10990</v>
      </c>
      <c r="G815" s="172">
        <v>4986</v>
      </c>
      <c r="H815" s="179" t="s">
        <v>10735</v>
      </c>
      <c r="I815" s="167" t="str">
        <f>IF(Plan_Comptable[[#This Row],[Sous-compte]]="","",LEFT(Plan_Comptable[[#This Row],[Sous-compte]]&amp;"00",4))</f>
        <v>4986</v>
      </c>
      <c r="J815" s="167" t="s">
        <v>1276</v>
      </c>
    </row>
    <row r="816" spans="1:10" ht="15" customHeight="1">
      <c r="A816" s="162">
        <v>6316</v>
      </c>
      <c r="B816" s="162" t="s">
        <v>2706</v>
      </c>
      <c r="D816" s="187" t="s">
        <v>74</v>
      </c>
      <c r="E816" s="168" t="s">
        <v>10983</v>
      </c>
      <c r="F816" s="168" t="s">
        <v>10990</v>
      </c>
      <c r="G816" s="172">
        <v>4988</v>
      </c>
      <c r="H816" s="179" t="s">
        <v>10824</v>
      </c>
      <c r="I816" s="167" t="str">
        <f>IF(Plan_Comptable[[#This Row],[Sous-compte]]="","",LEFT(Plan_Comptable[[#This Row],[Sous-compte]]&amp;"00",4))</f>
        <v>4988</v>
      </c>
      <c r="J816" s="167" t="s">
        <v>1276</v>
      </c>
    </row>
    <row r="817" spans="1:10" ht="15" customHeight="1">
      <c r="A817" s="162">
        <v>6317</v>
      </c>
      <c r="B817" s="162" t="s">
        <v>2707</v>
      </c>
      <c r="D817" s="187" t="s">
        <v>74</v>
      </c>
      <c r="E817" s="168" t="s">
        <v>10983</v>
      </c>
      <c r="F817" s="171">
        <v>499</v>
      </c>
      <c r="G817" s="172"/>
      <c r="H817" s="179" t="s">
        <v>10991</v>
      </c>
      <c r="I817" s="167" t="str">
        <f>IF(Plan_Comptable[[#This Row],[Sous-compte]]="","",LEFT(Plan_Comptable[[#This Row],[Sous-compte]]&amp;"00",4))</f>
        <v/>
      </c>
      <c r="J817" s="167"/>
    </row>
    <row r="818" spans="1:10" ht="15" customHeight="1">
      <c r="A818" s="162">
        <v>6318</v>
      </c>
      <c r="B818" s="162" t="s">
        <v>2708</v>
      </c>
      <c r="D818" s="187" t="s">
        <v>74</v>
      </c>
      <c r="E818" s="168" t="s">
        <v>10983</v>
      </c>
      <c r="F818" s="168" t="s">
        <v>10992</v>
      </c>
      <c r="G818" s="176">
        <v>4991</v>
      </c>
      <c r="H818" s="167" t="s">
        <v>10826</v>
      </c>
      <c r="I818" s="167" t="str">
        <f>IF(Plan_Comptable[[#This Row],[Sous-compte]]="","",LEFT(Plan_Comptable[[#This Row],[Sous-compte]]&amp;"00",4))</f>
        <v>4991</v>
      </c>
      <c r="J818" s="167" t="s">
        <v>1276</v>
      </c>
    </row>
    <row r="819" spans="1:10" ht="15" customHeight="1">
      <c r="A819" s="162">
        <v>6322</v>
      </c>
      <c r="B819" s="162" t="s">
        <v>2709</v>
      </c>
      <c r="D819" s="187" t="s">
        <v>74</v>
      </c>
      <c r="E819" s="168" t="s">
        <v>10983</v>
      </c>
      <c r="F819" s="168" t="s">
        <v>10992</v>
      </c>
      <c r="G819" s="176">
        <v>4998</v>
      </c>
      <c r="H819" s="167" t="s">
        <v>10828</v>
      </c>
      <c r="I819" s="167" t="str">
        <f>IF(Plan_Comptable[[#This Row],[Sous-compte]]="","",LEFT(Plan_Comptable[[#This Row],[Sous-compte]]&amp;"00",4))</f>
        <v>4998</v>
      </c>
      <c r="J819" s="167" t="s">
        <v>1276</v>
      </c>
    </row>
    <row r="820" spans="1:10" ht="15" customHeight="1">
      <c r="A820" s="162">
        <v>6324</v>
      </c>
      <c r="B820" s="162" t="s">
        <v>2710</v>
      </c>
      <c r="D820" s="187" t="s">
        <v>77</v>
      </c>
      <c r="E820" s="185">
        <v>50</v>
      </c>
      <c r="F820" s="165" t="s">
        <v>9941</v>
      </c>
      <c r="G820" s="165"/>
      <c r="H820" s="166" t="s">
        <v>1457</v>
      </c>
      <c r="I820" s="167" t="str">
        <f>IF(Plan_Comptable[[#This Row],[Sous-compte]]="","",LEFT(Plan_Comptable[[#This Row],[Sous-compte]]&amp;"00",4))</f>
        <v/>
      </c>
      <c r="J820" s="167"/>
    </row>
    <row r="821" spans="1:10" ht="15" customHeight="1">
      <c r="A821" s="162">
        <v>6325</v>
      </c>
      <c r="B821" s="162" t="s">
        <v>2711</v>
      </c>
      <c r="D821" s="187" t="s">
        <v>77</v>
      </c>
      <c r="E821" s="168" t="s">
        <v>10993</v>
      </c>
      <c r="F821" s="168">
        <v>501</v>
      </c>
      <c r="G821" s="176"/>
      <c r="H821" s="167" t="s">
        <v>10994</v>
      </c>
      <c r="I821" s="167" t="str">
        <f>IF(Plan_Comptable[[#This Row],[Sous-compte]]="","",LEFT(Plan_Comptable[[#This Row],[Sous-compte]]&amp;"00",4))</f>
        <v/>
      </c>
      <c r="J821" s="167"/>
    </row>
    <row r="822" spans="1:10" ht="15" customHeight="1">
      <c r="A822" s="162">
        <v>6326</v>
      </c>
      <c r="B822" s="162" t="s">
        <v>10995</v>
      </c>
      <c r="D822" s="187" t="s">
        <v>77</v>
      </c>
      <c r="E822" s="168" t="s">
        <v>10993</v>
      </c>
      <c r="F822" s="168" t="s">
        <v>10996</v>
      </c>
      <c r="G822" s="176">
        <v>5011</v>
      </c>
      <c r="H822" s="170" t="s">
        <v>10830</v>
      </c>
      <c r="I822" s="167" t="str">
        <f>IF(Plan_Comptable[[#This Row],[Sous-compte]]="","",LEFT(Plan_Comptable[[#This Row],[Sous-compte]]&amp;"00",4))</f>
        <v>5011</v>
      </c>
      <c r="J822" s="167" t="s">
        <v>1279</v>
      </c>
    </row>
    <row r="823" spans="1:10" ht="15" customHeight="1">
      <c r="A823" s="162">
        <v>6327</v>
      </c>
      <c r="B823" s="162" t="s">
        <v>2713</v>
      </c>
      <c r="D823" s="187" t="s">
        <v>77</v>
      </c>
      <c r="E823" s="168" t="s">
        <v>10993</v>
      </c>
      <c r="F823" s="168" t="s">
        <v>10996</v>
      </c>
      <c r="G823" s="176">
        <v>5012</v>
      </c>
      <c r="H823" s="167" t="s">
        <v>10832</v>
      </c>
      <c r="I823" s="167" t="str">
        <f>IF(Plan_Comptable[[#This Row],[Sous-compte]]="","",LEFT(Plan_Comptable[[#This Row],[Sous-compte]]&amp;"00",4))</f>
        <v>5012</v>
      </c>
      <c r="J823" s="167" t="s">
        <v>1279</v>
      </c>
    </row>
    <row r="824" spans="1:10" ht="15" customHeight="1">
      <c r="A824" s="162">
        <v>6328</v>
      </c>
      <c r="B824" s="162" t="s">
        <v>2714</v>
      </c>
      <c r="D824" s="187" t="s">
        <v>77</v>
      </c>
      <c r="E824" s="168" t="s">
        <v>10993</v>
      </c>
      <c r="F824" s="168" t="s">
        <v>10996</v>
      </c>
      <c r="G824" s="176">
        <v>5013</v>
      </c>
      <c r="H824" s="167" t="s">
        <v>10833</v>
      </c>
      <c r="I824" s="167" t="str">
        <f>IF(Plan_Comptable[[#This Row],[Sous-compte]]="","",LEFT(Plan_Comptable[[#This Row],[Sous-compte]]&amp;"00",4))</f>
        <v>5013</v>
      </c>
      <c r="J824" s="167" t="s">
        <v>1279</v>
      </c>
    </row>
    <row r="825" spans="1:10" ht="15" customHeight="1">
      <c r="A825" s="162">
        <v>633</v>
      </c>
      <c r="B825" s="162" t="s">
        <v>10997</v>
      </c>
      <c r="D825" s="187" t="s">
        <v>77</v>
      </c>
      <c r="E825" s="168" t="s">
        <v>10993</v>
      </c>
      <c r="F825" s="168" t="s">
        <v>10996</v>
      </c>
      <c r="G825" s="173">
        <v>5016</v>
      </c>
      <c r="H825" s="174" t="s">
        <v>10834</v>
      </c>
      <c r="I825" s="167" t="str">
        <f>IF(Plan_Comptable[[#This Row],[Sous-compte]]="","",LEFT(Plan_Comptable[[#This Row],[Sous-compte]]&amp;"00",4))</f>
        <v>5016</v>
      </c>
      <c r="J825" s="167" t="s">
        <v>1279</v>
      </c>
    </row>
    <row r="826" spans="1:10" ht="15" customHeight="1">
      <c r="A826" s="162">
        <v>6342</v>
      </c>
      <c r="B826" s="162" t="s">
        <v>2715</v>
      </c>
      <c r="D826" s="187" t="s">
        <v>77</v>
      </c>
      <c r="E826" s="168" t="s">
        <v>10993</v>
      </c>
      <c r="F826" s="168">
        <v>502</v>
      </c>
      <c r="G826" s="176"/>
      <c r="H826" s="167" t="s">
        <v>10998</v>
      </c>
      <c r="I826" s="167" t="str">
        <f>IF(Plan_Comptable[[#This Row],[Sous-compte]]="","",LEFT(Plan_Comptable[[#This Row],[Sous-compte]]&amp;"00",4))</f>
        <v/>
      </c>
      <c r="J826" s="167"/>
    </row>
    <row r="827" spans="1:10" ht="15" customHeight="1">
      <c r="A827" s="162">
        <v>6343</v>
      </c>
      <c r="B827" s="162" t="s">
        <v>2716</v>
      </c>
      <c r="D827" s="187" t="s">
        <v>77</v>
      </c>
      <c r="E827" s="168" t="s">
        <v>10993</v>
      </c>
      <c r="F827" s="168" t="s">
        <v>10999</v>
      </c>
      <c r="G827" s="172">
        <v>5021</v>
      </c>
      <c r="H827" s="179" t="s">
        <v>10335</v>
      </c>
      <c r="I827" s="167" t="str">
        <f>IF(Plan_Comptable[[#This Row],[Sous-compte]]="","",LEFT(Plan_Comptable[[#This Row],[Sous-compte]]&amp;"00",4))</f>
        <v>5021</v>
      </c>
      <c r="J827" s="167" t="s">
        <v>1279</v>
      </c>
    </row>
    <row r="828" spans="1:10" ht="15" customHeight="1">
      <c r="A828" s="162">
        <v>6344</v>
      </c>
      <c r="B828" s="162" t="s">
        <v>2717</v>
      </c>
      <c r="D828" s="187" t="s">
        <v>77</v>
      </c>
      <c r="E828" s="168" t="s">
        <v>10993</v>
      </c>
      <c r="F828" s="168" t="s">
        <v>10999</v>
      </c>
      <c r="G828" s="176">
        <v>5022</v>
      </c>
      <c r="H828" s="167" t="s">
        <v>10835</v>
      </c>
      <c r="I828" s="167" t="str">
        <f>IF(Plan_Comptable[[#This Row],[Sous-compte]]="","",LEFT(Plan_Comptable[[#This Row],[Sous-compte]]&amp;"00",4))</f>
        <v>5022</v>
      </c>
      <c r="J828" s="167" t="s">
        <v>1279</v>
      </c>
    </row>
    <row r="829" spans="1:10" ht="15" customHeight="1">
      <c r="A829" s="162">
        <v>6345</v>
      </c>
      <c r="B829" s="162" t="s">
        <v>11000</v>
      </c>
      <c r="D829" s="187" t="s">
        <v>77</v>
      </c>
      <c r="E829" s="168" t="s">
        <v>10993</v>
      </c>
      <c r="F829" s="168" t="s">
        <v>10999</v>
      </c>
      <c r="G829" s="176">
        <v>5023</v>
      </c>
      <c r="H829" s="167" t="s">
        <v>10836</v>
      </c>
      <c r="I829" s="167" t="str">
        <f>IF(Plan_Comptable[[#This Row],[Sous-compte]]="","",LEFT(Plan_Comptable[[#This Row],[Sous-compte]]&amp;"00",4))</f>
        <v>5023</v>
      </c>
      <c r="J829" s="167" t="s">
        <v>1279</v>
      </c>
    </row>
    <row r="830" spans="1:10" ht="15" customHeight="1">
      <c r="A830" s="162">
        <v>6346</v>
      </c>
      <c r="B830" s="162" t="s">
        <v>2719</v>
      </c>
      <c r="D830" s="187" t="s">
        <v>77</v>
      </c>
      <c r="E830" s="168" t="s">
        <v>10993</v>
      </c>
      <c r="F830" s="168" t="s">
        <v>10999</v>
      </c>
      <c r="G830" s="176">
        <v>5024</v>
      </c>
      <c r="H830" s="167" t="s">
        <v>10838</v>
      </c>
      <c r="I830" s="167" t="str">
        <f>IF(Plan_Comptable[[#This Row],[Sous-compte]]="","",LEFT(Plan_Comptable[[#This Row],[Sous-compte]]&amp;"00",4))</f>
        <v>5024</v>
      </c>
      <c r="J830" s="167" t="s">
        <v>1279</v>
      </c>
    </row>
    <row r="831" spans="1:10" ht="15" customHeight="1">
      <c r="A831" s="162">
        <v>6351</v>
      </c>
      <c r="B831" s="162" t="s">
        <v>2208</v>
      </c>
      <c r="D831" s="187" t="s">
        <v>77</v>
      </c>
      <c r="E831" s="168" t="s">
        <v>10993</v>
      </c>
      <c r="F831" s="168" t="s">
        <v>10999</v>
      </c>
      <c r="G831" s="172">
        <v>5025</v>
      </c>
      <c r="H831" s="179" t="s">
        <v>10840</v>
      </c>
      <c r="I831" s="167" t="str">
        <f>IF(Plan_Comptable[[#This Row],[Sous-compte]]="","",LEFT(Plan_Comptable[[#This Row],[Sous-compte]]&amp;"00",4))</f>
        <v>5025</v>
      </c>
      <c r="J831" s="167" t="s">
        <v>1279</v>
      </c>
    </row>
    <row r="832" spans="1:10" ht="15" customHeight="1">
      <c r="A832" s="162">
        <v>6358</v>
      </c>
      <c r="B832" s="162" t="s">
        <v>2720</v>
      </c>
      <c r="D832" s="187" t="s">
        <v>77</v>
      </c>
      <c r="E832" s="168" t="s">
        <v>10993</v>
      </c>
      <c r="F832" s="168" t="s">
        <v>10999</v>
      </c>
      <c r="G832" s="173">
        <v>5026</v>
      </c>
      <c r="H832" s="188" t="s">
        <v>10841</v>
      </c>
      <c r="I832" s="167" t="str">
        <f>IF(Plan_Comptable[[#This Row],[Sous-compte]]="","",LEFT(Plan_Comptable[[#This Row],[Sous-compte]]&amp;"00",4))</f>
        <v>5026</v>
      </c>
      <c r="J832" s="167" t="s">
        <v>1279</v>
      </c>
    </row>
    <row r="833" spans="1:10" ht="15" customHeight="1">
      <c r="A833" s="162">
        <v>6371</v>
      </c>
      <c r="B833" s="162" t="s">
        <v>2721</v>
      </c>
      <c r="D833" s="187" t="s">
        <v>77</v>
      </c>
      <c r="E833" s="168" t="s">
        <v>10993</v>
      </c>
      <c r="F833" s="168">
        <v>503</v>
      </c>
      <c r="G833" s="176"/>
      <c r="H833" s="167" t="s">
        <v>11001</v>
      </c>
      <c r="I833" s="167" t="str">
        <f>IF(Plan_Comptable[[#This Row],[Sous-compte]]="","",LEFT(Plan_Comptable[[#This Row],[Sous-compte]]&amp;"00",4))</f>
        <v/>
      </c>
      <c r="J833" s="167"/>
    </row>
    <row r="834" spans="1:10" ht="15" customHeight="1">
      <c r="A834" s="162">
        <v>6372</v>
      </c>
      <c r="B834" s="162" t="s">
        <v>2722</v>
      </c>
      <c r="D834" s="187" t="s">
        <v>77</v>
      </c>
      <c r="E834" s="168" t="s">
        <v>10993</v>
      </c>
      <c r="F834" s="168" t="s">
        <v>11002</v>
      </c>
      <c r="G834" s="172">
        <v>5031</v>
      </c>
      <c r="H834" s="179" t="s">
        <v>10842</v>
      </c>
      <c r="I834" s="167" t="str">
        <f>IF(Plan_Comptable[[#This Row],[Sous-compte]]="","",LEFT(Plan_Comptable[[#This Row],[Sous-compte]]&amp;"00",4))</f>
        <v>5031</v>
      </c>
      <c r="J834" s="167" t="s">
        <v>1279</v>
      </c>
    </row>
    <row r="835" spans="1:10" ht="15" customHeight="1">
      <c r="A835" s="162">
        <v>6381</v>
      </c>
      <c r="B835" s="162" t="s">
        <v>2723</v>
      </c>
      <c r="D835" s="187" t="s">
        <v>77</v>
      </c>
      <c r="E835" s="168" t="s">
        <v>10993</v>
      </c>
      <c r="F835" s="168" t="s">
        <v>11002</v>
      </c>
      <c r="G835" s="176">
        <v>5032</v>
      </c>
      <c r="H835" s="167" t="s">
        <v>10843</v>
      </c>
      <c r="I835" s="167" t="str">
        <f>IF(Plan_Comptable[[#This Row],[Sous-compte]]="","",LEFT(Plan_Comptable[[#This Row],[Sous-compte]]&amp;"00",4))</f>
        <v>5032</v>
      </c>
      <c r="J835" s="167" t="s">
        <v>1279</v>
      </c>
    </row>
    <row r="836" spans="1:10" ht="15" customHeight="1">
      <c r="A836" s="162">
        <v>6382</v>
      </c>
      <c r="B836" s="162" t="s">
        <v>2724</v>
      </c>
      <c r="D836" s="187" t="s">
        <v>77</v>
      </c>
      <c r="E836" s="168" t="s">
        <v>10993</v>
      </c>
      <c r="F836" s="168" t="s">
        <v>11002</v>
      </c>
      <c r="G836" s="176">
        <v>5033</v>
      </c>
      <c r="H836" s="167" t="s">
        <v>10844</v>
      </c>
      <c r="I836" s="167" t="str">
        <f>IF(Plan_Comptable[[#This Row],[Sous-compte]]="","",LEFT(Plan_Comptable[[#This Row],[Sous-compte]]&amp;"00",4))</f>
        <v>5033</v>
      </c>
      <c r="J836" s="167" t="s">
        <v>1279</v>
      </c>
    </row>
    <row r="837" spans="1:10" ht="15" customHeight="1">
      <c r="A837" s="162">
        <v>6383</v>
      </c>
      <c r="B837" s="162" t="s">
        <v>2725</v>
      </c>
      <c r="D837" s="187" t="s">
        <v>77</v>
      </c>
      <c r="E837" s="168" t="s">
        <v>10993</v>
      </c>
      <c r="F837" s="168" t="s">
        <v>11002</v>
      </c>
      <c r="G837" s="172">
        <v>5035</v>
      </c>
      <c r="H837" s="199" t="s">
        <v>10846</v>
      </c>
      <c r="I837" s="167" t="str">
        <f>IF(Plan_Comptable[[#This Row],[Sous-compte]]="","",LEFT(Plan_Comptable[[#This Row],[Sous-compte]]&amp;"00",4))</f>
        <v>5035</v>
      </c>
      <c r="J837" s="167" t="s">
        <v>1279</v>
      </c>
    </row>
    <row r="838" spans="1:10" ht="15" customHeight="1">
      <c r="A838" s="162">
        <v>6384</v>
      </c>
      <c r="B838" s="162" t="s">
        <v>2726</v>
      </c>
      <c r="D838" s="187" t="s">
        <v>77</v>
      </c>
      <c r="E838" s="168" t="s">
        <v>10993</v>
      </c>
      <c r="F838" s="168" t="s">
        <v>11002</v>
      </c>
      <c r="G838" s="173">
        <v>5036</v>
      </c>
      <c r="H838" s="188" t="s">
        <v>10848</v>
      </c>
      <c r="I838" s="167" t="str">
        <f>IF(Plan_Comptable[[#This Row],[Sous-compte]]="","",LEFT(Plan_Comptable[[#This Row],[Sous-compte]]&amp;"00",4))</f>
        <v>5036</v>
      </c>
      <c r="J838" s="167" t="s">
        <v>1279</v>
      </c>
    </row>
    <row r="839" spans="1:10" ht="15" customHeight="1">
      <c r="A839" s="162">
        <v>6385</v>
      </c>
      <c r="B839" s="162" t="s">
        <v>2727</v>
      </c>
      <c r="D839" s="187" t="s">
        <v>77</v>
      </c>
      <c r="E839" s="168" t="s">
        <v>10993</v>
      </c>
      <c r="F839" s="168">
        <v>504</v>
      </c>
      <c r="G839" s="176"/>
      <c r="H839" s="167" t="s">
        <v>11003</v>
      </c>
      <c r="I839" s="167" t="str">
        <f>IF(Plan_Comptable[[#This Row],[Sous-compte]]="","",LEFT(Plan_Comptable[[#This Row],[Sous-compte]]&amp;"00",4))</f>
        <v/>
      </c>
      <c r="J839" s="167"/>
    </row>
    <row r="840" spans="1:10" ht="15" customHeight="1">
      <c r="A840" s="162">
        <v>6388</v>
      </c>
      <c r="B840" s="162" t="s">
        <v>2728</v>
      </c>
      <c r="D840" s="187" t="s">
        <v>77</v>
      </c>
      <c r="E840" s="168" t="s">
        <v>10993</v>
      </c>
      <c r="F840" s="168" t="s">
        <v>11004</v>
      </c>
      <c r="G840" s="176">
        <v>5042</v>
      </c>
      <c r="H840" s="167" t="s">
        <v>10849</v>
      </c>
      <c r="I840" s="167" t="str">
        <f>IF(Plan_Comptable[[#This Row],[Sous-compte]]="","",LEFT(Plan_Comptable[[#This Row],[Sous-compte]]&amp;"00",4))</f>
        <v>5042</v>
      </c>
      <c r="J840" s="167" t="s">
        <v>1279</v>
      </c>
    </row>
    <row r="841" spans="1:10" ht="15" customHeight="1">
      <c r="A841" s="162">
        <v>6411</v>
      </c>
      <c r="B841" s="162" t="s">
        <v>2729</v>
      </c>
      <c r="D841" s="187" t="s">
        <v>77</v>
      </c>
      <c r="E841" s="168" t="s">
        <v>10993</v>
      </c>
      <c r="F841" s="168" t="s">
        <v>11004</v>
      </c>
      <c r="G841" s="176">
        <v>5043</v>
      </c>
      <c r="H841" s="167" t="s">
        <v>10850</v>
      </c>
      <c r="I841" s="167" t="str">
        <f>IF(Plan_Comptable[[#This Row],[Sous-compte]]="","",LEFT(Plan_Comptable[[#This Row],[Sous-compte]]&amp;"00",4))</f>
        <v>5043</v>
      </c>
      <c r="J841" s="167" t="s">
        <v>1279</v>
      </c>
    </row>
    <row r="842" spans="1:10" ht="15" customHeight="1">
      <c r="A842" s="162">
        <v>6412</v>
      </c>
      <c r="B842" s="162" t="s">
        <v>2730</v>
      </c>
      <c r="D842" s="187" t="s">
        <v>77</v>
      </c>
      <c r="E842" s="168" t="s">
        <v>10993</v>
      </c>
      <c r="F842" s="168">
        <v>505</v>
      </c>
      <c r="G842" s="176">
        <v>505</v>
      </c>
      <c r="H842" s="167" t="s">
        <v>10852</v>
      </c>
      <c r="I842" s="167" t="str">
        <f>IF(Plan_Comptable[[#This Row],[Sous-compte]]="","",LEFT(Plan_Comptable[[#This Row],[Sous-compte]]&amp;"00",4))</f>
        <v>5050</v>
      </c>
      <c r="J842" s="167" t="s">
        <v>1279</v>
      </c>
    </row>
    <row r="843" spans="1:10" ht="15" customHeight="1">
      <c r="A843" s="162">
        <v>6413</v>
      </c>
      <c r="B843" s="162" t="s">
        <v>2731</v>
      </c>
      <c r="D843" s="187" t="s">
        <v>77</v>
      </c>
      <c r="E843" s="168" t="s">
        <v>10993</v>
      </c>
      <c r="F843" s="168">
        <v>506</v>
      </c>
      <c r="G843" s="176"/>
      <c r="H843" s="167" t="s">
        <v>10114</v>
      </c>
      <c r="I843" s="167" t="str">
        <f>IF(Plan_Comptable[[#This Row],[Sous-compte]]="","",LEFT(Plan_Comptable[[#This Row],[Sous-compte]]&amp;"00",4))</f>
        <v/>
      </c>
      <c r="J843" s="167"/>
    </row>
    <row r="844" spans="1:10" ht="15" customHeight="1">
      <c r="A844" s="162">
        <v>6414</v>
      </c>
      <c r="B844" s="162" t="s">
        <v>2732</v>
      </c>
      <c r="D844" s="187" t="s">
        <v>77</v>
      </c>
      <c r="E844" s="168" t="s">
        <v>10993</v>
      </c>
      <c r="F844" s="168" t="s">
        <v>11005</v>
      </c>
      <c r="G844" s="176">
        <v>5061</v>
      </c>
      <c r="H844" s="167" t="s">
        <v>10854</v>
      </c>
      <c r="I844" s="167" t="str">
        <f>IF(Plan_Comptable[[#This Row],[Sous-compte]]="","",LEFT(Plan_Comptable[[#This Row],[Sous-compte]]&amp;"00",4))</f>
        <v>5061</v>
      </c>
      <c r="J844" s="167" t="s">
        <v>1279</v>
      </c>
    </row>
    <row r="845" spans="1:10" ht="15" customHeight="1">
      <c r="A845" s="162">
        <v>6415</v>
      </c>
      <c r="B845" s="162" t="s">
        <v>2734</v>
      </c>
      <c r="D845" s="187" t="s">
        <v>77</v>
      </c>
      <c r="E845" s="168" t="s">
        <v>10993</v>
      </c>
      <c r="F845" s="168" t="s">
        <v>11005</v>
      </c>
      <c r="G845" s="176">
        <v>5062</v>
      </c>
      <c r="H845" s="167" t="s">
        <v>1821</v>
      </c>
      <c r="I845" s="167" t="str">
        <f>IF(Plan_Comptable[[#This Row],[Sous-compte]]="","",LEFT(Plan_Comptable[[#This Row],[Sous-compte]]&amp;"00",4))</f>
        <v>5062</v>
      </c>
      <c r="J845" s="167" t="s">
        <v>1279</v>
      </c>
    </row>
    <row r="846" spans="1:10" ht="15" customHeight="1">
      <c r="A846" s="162">
        <v>6418</v>
      </c>
      <c r="B846" s="162" t="s">
        <v>2735</v>
      </c>
      <c r="D846" s="187" t="s">
        <v>77</v>
      </c>
      <c r="E846" s="168" t="s">
        <v>10993</v>
      </c>
      <c r="F846" s="168" t="s">
        <v>11005</v>
      </c>
      <c r="G846" s="176">
        <v>5063</v>
      </c>
      <c r="H846" s="167" t="s">
        <v>1822</v>
      </c>
      <c r="I846" s="167" t="str">
        <f>IF(Plan_Comptable[[#This Row],[Sous-compte]]="","",LEFT(Plan_Comptable[[#This Row],[Sous-compte]]&amp;"00",4))</f>
        <v>5063</v>
      </c>
      <c r="J846" s="167" t="s">
        <v>1279</v>
      </c>
    </row>
    <row r="847" spans="1:10" ht="15" customHeight="1">
      <c r="A847" s="162">
        <v>645</v>
      </c>
      <c r="B847" s="162" t="s">
        <v>11006</v>
      </c>
      <c r="D847" s="187" t="s">
        <v>77</v>
      </c>
      <c r="E847" s="168" t="s">
        <v>10993</v>
      </c>
      <c r="F847" s="171">
        <v>508</v>
      </c>
      <c r="G847" s="172">
        <v>508</v>
      </c>
      <c r="H847" s="179" t="s">
        <v>10855</v>
      </c>
      <c r="I847" s="167" t="str">
        <f>IF(Plan_Comptable[[#This Row],[Sous-compte]]="","",LEFT(Plan_Comptable[[#This Row],[Sous-compte]]&amp;"00",4))</f>
        <v>5080</v>
      </c>
      <c r="J847" s="167" t="s">
        <v>1279</v>
      </c>
    </row>
    <row r="848" spans="1:10" ht="15" customHeight="1">
      <c r="A848" s="162">
        <v>6461</v>
      </c>
      <c r="B848" s="162" t="s">
        <v>2736</v>
      </c>
      <c r="D848" s="187" t="s">
        <v>77</v>
      </c>
      <c r="E848" s="189">
        <v>51</v>
      </c>
      <c r="F848" s="165" t="s">
        <v>9941</v>
      </c>
      <c r="G848" s="165"/>
      <c r="H848" s="166" t="s">
        <v>1459</v>
      </c>
      <c r="I848" s="167" t="str">
        <f>IF(Plan_Comptable[[#This Row],[Sous-compte]]="","",LEFT(Plan_Comptable[[#This Row],[Sous-compte]]&amp;"00",4))</f>
        <v/>
      </c>
      <c r="J848" s="167"/>
    </row>
    <row r="849" spans="1:10" ht="15" customHeight="1">
      <c r="A849" s="162">
        <v>6462</v>
      </c>
      <c r="B849" s="162" t="s">
        <v>2737</v>
      </c>
      <c r="D849" s="187" t="s">
        <v>77</v>
      </c>
      <c r="E849" s="168" t="s">
        <v>11007</v>
      </c>
      <c r="F849" s="168">
        <v>511</v>
      </c>
      <c r="G849" s="176">
        <v>511</v>
      </c>
      <c r="H849" s="167" t="s">
        <v>10856</v>
      </c>
      <c r="I849" s="167" t="str">
        <f>IF(Plan_Comptable[[#This Row],[Sous-compte]]="","",LEFT(Plan_Comptable[[#This Row],[Sous-compte]]&amp;"00",4))</f>
        <v>5110</v>
      </c>
      <c r="J849" s="167"/>
    </row>
    <row r="850" spans="1:10" ht="15" customHeight="1">
      <c r="A850" s="162">
        <v>6463</v>
      </c>
      <c r="B850" s="162" t="s">
        <v>2738</v>
      </c>
      <c r="D850" s="187" t="s">
        <v>77</v>
      </c>
      <c r="E850" s="168" t="s">
        <v>11007</v>
      </c>
      <c r="F850" s="168">
        <v>512</v>
      </c>
      <c r="G850" s="176">
        <v>512</v>
      </c>
      <c r="H850" s="167" t="s">
        <v>10857</v>
      </c>
      <c r="I850" s="167" t="str">
        <f>IF(Plan_Comptable[[#This Row],[Sous-compte]]="","",LEFT(Plan_Comptable[[#This Row],[Sous-compte]]&amp;"00",4))</f>
        <v>5120</v>
      </c>
      <c r="J850" s="167"/>
    </row>
    <row r="851" spans="1:10" ht="15" customHeight="1">
      <c r="A851" s="162">
        <v>6464</v>
      </c>
      <c r="B851" s="162" t="s">
        <v>2739</v>
      </c>
      <c r="D851" s="187" t="s">
        <v>77</v>
      </c>
      <c r="E851" s="168" t="s">
        <v>11007</v>
      </c>
      <c r="F851" s="168">
        <v>513</v>
      </c>
      <c r="G851" s="176">
        <v>513</v>
      </c>
      <c r="H851" s="167" t="s">
        <v>10858</v>
      </c>
      <c r="I851" s="167" t="str">
        <f>IF(Plan_Comptable[[#This Row],[Sous-compte]]="","",LEFT(Plan_Comptable[[#This Row],[Sous-compte]]&amp;"00",4))</f>
        <v>5130</v>
      </c>
      <c r="J851" s="167"/>
    </row>
    <row r="852" spans="1:10" ht="15" customHeight="1">
      <c r="A852" s="162">
        <v>6468</v>
      </c>
      <c r="B852" s="162" t="s">
        <v>2740</v>
      </c>
      <c r="D852" s="187" t="s">
        <v>77</v>
      </c>
      <c r="E852" s="168" t="s">
        <v>11007</v>
      </c>
      <c r="F852" s="168">
        <v>514</v>
      </c>
      <c r="G852" s="176">
        <v>514</v>
      </c>
      <c r="H852" s="167" t="s">
        <v>10860</v>
      </c>
      <c r="I852" s="167" t="str">
        <f>IF(Plan_Comptable[[#This Row],[Sous-compte]]="","",LEFT(Plan_Comptable[[#This Row],[Sous-compte]]&amp;"00",4))</f>
        <v>5140</v>
      </c>
      <c r="J852" s="167"/>
    </row>
    <row r="853" spans="1:10" ht="15" customHeight="1">
      <c r="A853" s="162">
        <v>6471</v>
      </c>
      <c r="B853" s="162" t="s">
        <v>2741</v>
      </c>
      <c r="D853" s="187" t="s">
        <v>77</v>
      </c>
      <c r="E853" s="168" t="s">
        <v>11007</v>
      </c>
      <c r="F853" s="168">
        <v>515</v>
      </c>
      <c r="G853" s="176">
        <v>515</v>
      </c>
      <c r="H853" s="167" t="s">
        <v>10862</v>
      </c>
      <c r="I853" s="167" t="str">
        <f>IF(Plan_Comptable[[#This Row],[Sous-compte]]="","",LEFT(Plan_Comptable[[#This Row],[Sous-compte]]&amp;"00",4))</f>
        <v>5150</v>
      </c>
      <c r="J853" s="167"/>
    </row>
    <row r="854" spans="1:10" ht="15" customHeight="1">
      <c r="A854" s="162">
        <v>6472</v>
      </c>
      <c r="B854" s="162" t="s">
        <v>2742</v>
      </c>
      <c r="D854" s="187" t="s">
        <v>77</v>
      </c>
      <c r="E854" s="168" t="s">
        <v>11007</v>
      </c>
      <c r="F854" s="168">
        <v>518</v>
      </c>
      <c r="G854" s="176"/>
      <c r="H854" s="167" t="s">
        <v>11008</v>
      </c>
      <c r="I854" s="167" t="str">
        <f>IF(Plan_Comptable[[#This Row],[Sous-compte]]="","",LEFT(Plan_Comptable[[#This Row],[Sous-compte]]&amp;"00",4))</f>
        <v/>
      </c>
      <c r="J854" s="167"/>
    </row>
    <row r="855" spans="1:10" ht="15" customHeight="1">
      <c r="A855" s="162">
        <v>6473</v>
      </c>
      <c r="B855" s="162" t="s">
        <v>2743</v>
      </c>
      <c r="D855" s="187" t="s">
        <v>77</v>
      </c>
      <c r="E855" s="168" t="s">
        <v>11007</v>
      </c>
      <c r="F855" s="168" t="s">
        <v>11009</v>
      </c>
      <c r="G855" s="176">
        <v>5181</v>
      </c>
      <c r="H855" s="167" t="s">
        <v>10863</v>
      </c>
      <c r="I855" s="167" t="str">
        <f>IF(Plan_Comptable[[#This Row],[Sous-compte]]="","",LEFT(Plan_Comptable[[#This Row],[Sous-compte]]&amp;"00",4))</f>
        <v>5181</v>
      </c>
      <c r="J855" s="167"/>
    </row>
    <row r="856" spans="1:10" ht="15" customHeight="1">
      <c r="A856" s="162">
        <v>6474</v>
      </c>
      <c r="B856" s="162" t="s">
        <v>2744</v>
      </c>
      <c r="D856" s="187" t="s">
        <v>77</v>
      </c>
      <c r="E856" s="168" t="s">
        <v>11007</v>
      </c>
      <c r="F856" s="168" t="s">
        <v>11009</v>
      </c>
      <c r="G856" s="176">
        <v>5182</v>
      </c>
      <c r="H856" s="167" t="s">
        <v>10101</v>
      </c>
      <c r="I856" s="167" t="str">
        <f>IF(Plan_Comptable[[#This Row],[Sous-compte]]="","",LEFT(Plan_Comptable[[#This Row],[Sous-compte]]&amp;"00",4))</f>
        <v>5182</v>
      </c>
      <c r="J856" s="167"/>
    </row>
    <row r="857" spans="1:10" ht="15" customHeight="1">
      <c r="A857" s="162">
        <v>6478</v>
      </c>
      <c r="B857" s="162" t="s">
        <v>2745</v>
      </c>
      <c r="D857" s="187" t="s">
        <v>77</v>
      </c>
      <c r="E857" s="168" t="s">
        <v>11007</v>
      </c>
      <c r="F857" s="168" t="s">
        <v>11009</v>
      </c>
      <c r="G857" s="176">
        <v>5185</v>
      </c>
      <c r="H857" s="167" t="s">
        <v>10864</v>
      </c>
      <c r="I857" s="167" t="str">
        <f>IF(Plan_Comptable[[#This Row],[Sous-compte]]="","",LEFT(Plan_Comptable[[#This Row],[Sous-compte]]&amp;"00",4))</f>
        <v>5185</v>
      </c>
      <c r="J857" s="167"/>
    </row>
    <row r="858" spans="1:10" ht="15" customHeight="1">
      <c r="A858" s="162">
        <v>648</v>
      </c>
      <c r="B858" s="162" t="s">
        <v>11010</v>
      </c>
      <c r="D858" s="187" t="s">
        <v>77</v>
      </c>
      <c r="E858" s="168" t="s">
        <v>11007</v>
      </c>
      <c r="F858" s="168" t="s">
        <v>11009</v>
      </c>
      <c r="G858" s="176">
        <v>5186</v>
      </c>
      <c r="H858" s="167" t="s">
        <v>10865</v>
      </c>
      <c r="I858" s="167" t="str">
        <f>IF(Plan_Comptable[[#This Row],[Sous-compte]]="","",LEFT(Plan_Comptable[[#This Row],[Sous-compte]]&amp;"00",4))</f>
        <v>5186</v>
      </c>
      <c r="J858" s="167"/>
    </row>
    <row r="859" spans="1:10" ht="15" customHeight="1">
      <c r="A859" s="162">
        <v>6511</v>
      </c>
      <c r="B859" s="162" t="s">
        <v>1202</v>
      </c>
      <c r="D859" s="187" t="s">
        <v>77</v>
      </c>
      <c r="E859" s="168" t="s">
        <v>11007</v>
      </c>
      <c r="F859" s="168" t="s">
        <v>11009</v>
      </c>
      <c r="G859" s="176">
        <v>5187</v>
      </c>
      <c r="H859" s="167" t="s">
        <v>10867</v>
      </c>
      <c r="I859" s="167" t="str">
        <f>IF(Plan_Comptable[[#This Row],[Sous-compte]]="","",LEFT(Plan_Comptable[[#This Row],[Sous-compte]]&amp;"00",4))</f>
        <v>5187</v>
      </c>
      <c r="J859" s="167"/>
    </row>
    <row r="860" spans="1:10" ht="15" customHeight="1">
      <c r="A860" s="162">
        <v>6515</v>
      </c>
      <c r="B860" s="162" t="s">
        <v>11011</v>
      </c>
      <c r="D860" s="187" t="s">
        <v>77</v>
      </c>
      <c r="E860" s="189">
        <v>52</v>
      </c>
      <c r="F860" s="165" t="s">
        <v>9941</v>
      </c>
      <c r="G860" s="165"/>
      <c r="H860" s="166" t="s">
        <v>11012</v>
      </c>
      <c r="I860" s="167" t="str">
        <f>IF(Plan_Comptable[[#This Row],[Sous-compte]]="","",LEFT(Plan_Comptable[[#This Row],[Sous-compte]]&amp;"00",4))</f>
        <v/>
      </c>
      <c r="J860" s="167"/>
    </row>
    <row r="861" spans="1:10" ht="15" customHeight="1">
      <c r="A861" s="162">
        <v>6521</v>
      </c>
      <c r="B861" s="162" t="s">
        <v>2746</v>
      </c>
      <c r="D861" s="187" t="s">
        <v>77</v>
      </c>
      <c r="E861" s="168" t="s">
        <v>11013</v>
      </c>
      <c r="F861" s="168">
        <v>521</v>
      </c>
      <c r="G861" s="176"/>
      <c r="H861" s="167" t="s">
        <v>11014</v>
      </c>
      <c r="I861" s="167" t="str">
        <f>IF(Plan_Comptable[[#This Row],[Sous-compte]]="","",LEFT(Plan_Comptable[[#This Row],[Sous-compte]]&amp;"00",4))</f>
        <v/>
      </c>
      <c r="J861" s="167"/>
    </row>
    <row r="862" spans="1:10" ht="15" customHeight="1">
      <c r="A862" s="162">
        <v>6525</v>
      </c>
      <c r="B862" s="162" t="s">
        <v>2747</v>
      </c>
      <c r="D862" s="187" t="s">
        <v>77</v>
      </c>
      <c r="E862" s="168" t="s">
        <v>11013</v>
      </c>
      <c r="F862" s="168" t="s">
        <v>11015</v>
      </c>
      <c r="G862" s="172">
        <v>5211</v>
      </c>
      <c r="H862" s="192" t="s">
        <v>10869</v>
      </c>
      <c r="I862" s="167" t="str">
        <f>IF(Plan_Comptable[[#This Row],[Sous-compte]]="","",LEFT(Plan_Comptable[[#This Row],[Sous-compte]]&amp;"00",4))</f>
        <v>5211</v>
      </c>
      <c r="J862" s="167"/>
    </row>
    <row r="863" spans="1:10" ht="15" customHeight="1">
      <c r="A863" s="162">
        <v>6541</v>
      </c>
      <c r="B863" s="162" t="s">
        <v>10781</v>
      </c>
      <c r="D863" s="187" t="s">
        <v>77</v>
      </c>
      <c r="E863" s="168" t="s">
        <v>11013</v>
      </c>
      <c r="F863" s="168" t="s">
        <v>11015</v>
      </c>
      <c r="G863" s="173">
        <v>5215</v>
      </c>
      <c r="H863" s="188" t="s">
        <v>10870</v>
      </c>
      <c r="I863" s="167" t="str">
        <f>IF(Plan_Comptable[[#This Row],[Sous-compte]]="","",LEFT(Plan_Comptable[[#This Row],[Sous-compte]]&amp;"00",4))</f>
        <v>5215</v>
      </c>
      <c r="J863" s="167"/>
    </row>
    <row r="864" spans="1:10" ht="15" customHeight="1">
      <c r="A864" s="162">
        <v>6542</v>
      </c>
      <c r="B864" s="162" t="s">
        <v>10783</v>
      </c>
      <c r="D864" s="187" t="s">
        <v>77</v>
      </c>
      <c r="E864" s="168" t="s">
        <v>11013</v>
      </c>
      <c r="F864" s="168">
        <v>522</v>
      </c>
      <c r="G864" s="176">
        <v>522</v>
      </c>
      <c r="H864" s="167" t="s">
        <v>10872</v>
      </c>
      <c r="I864" s="167" t="str">
        <f>IF(Plan_Comptable[[#This Row],[Sous-compte]]="","",LEFT(Plan_Comptable[[#This Row],[Sous-compte]]&amp;"00",4))</f>
        <v>5220</v>
      </c>
      <c r="J864" s="167"/>
    </row>
    <row r="865" spans="1:10" ht="15" customHeight="1">
      <c r="A865" s="162">
        <v>656</v>
      </c>
      <c r="B865" s="162" t="s">
        <v>11016</v>
      </c>
      <c r="D865" s="187" t="s">
        <v>77</v>
      </c>
      <c r="E865" s="168" t="s">
        <v>11013</v>
      </c>
      <c r="F865" s="168">
        <v>523</v>
      </c>
      <c r="G865" s="176">
        <v>523</v>
      </c>
      <c r="H865" s="167" t="s">
        <v>10874</v>
      </c>
      <c r="I865" s="167" t="str">
        <f>IF(Plan_Comptable[[#This Row],[Sous-compte]]="","",LEFT(Plan_Comptable[[#This Row],[Sous-compte]]&amp;"00",4))</f>
        <v>5230</v>
      </c>
      <c r="J865" s="167"/>
    </row>
    <row r="866" spans="1:10" ht="15" customHeight="1">
      <c r="A866" s="162">
        <v>657</v>
      </c>
      <c r="B866" s="162" t="s">
        <v>11017</v>
      </c>
      <c r="D866" s="187" t="s">
        <v>77</v>
      </c>
      <c r="E866" s="168" t="s">
        <v>11013</v>
      </c>
      <c r="F866" s="168">
        <v>524</v>
      </c>
      <c r="G866" s="176">
        <v>524</v>
      </c>
      <c r="H866" s="167" t="s">
        <v>10875</v>
      </c>
      <c r="I866" s="167" t="str">
        <f>IF(Plan_Comptable[[#This Row],[Sous-compte]]="","",LEFT(Plan_Comptable[[#This Row],[Sous-compte]]&amp;"00",4))</f>
        <v>5240</v>
      </c>
      <c r="J866" s="167"/>
    </row>
    <row r="867" spans="1:10" ht="15" customHeight="1">
      <c r="A867" s="162">
        <v>6581</v>
      </c>
      <c r="B867" s="162" t="s">
        <v>2227</v>
      </c>
      <c r="D867" s="187" t="s">
        <v>77</v>
      </c>
      <c r="E867" s="168" t="s">
        <v>11013</v>
      </c>
      <c r="F867" s="184">
        <v>525</v>
      </c>
      <c r="G867" s="196">
        <v>525</v>
      </c>
      <c r="H867" s="167" t="s">
        <v>10876</v>
      </c>
      <c r="I867" s="167" t="str">
        <f>IF(Plan_Comptable[[#This Row],[Sous-compte]]="","",LEFT(Plan_Comptable[[#This Row],[Sous-compte]]&amp;"00",4))</f>
        <v>5250</v>
      </c>
      <c r="J867" s="167"/>
    </row>
    <row r="868" spans="1:10" ht="15" customHeight="1">
      <c r="A868" s="162">
        <v>6582</v>
      </c>
      <c r="B868" s="162" t="s">
        <v>2750</v>
      </c>
      <c r="D868" s="187" t="s">
        <v>77</v>
      </c>
      <c r="E868" s="168" t="s">
        <v>11013</v>
      </c>
      <c r="F868" s="168">
        <v>526</v>
      </c>
      <c r="G868" s="176"/>
      <c r="H868" s="167" t="s">
        <v>11018</v>
      </c>
      <c r="I868" s="167" t="str">
        <f>IF(Plan_Comptable[[#This Row],[Sous-compte]]="","",LEFT(Plan_Comptable[[#This Row],[Sous-compte]]&amp;"00",4))</f>
        <v/>
      </c>
      <c r="J868" s="167"/>
    </row>
    <row r="869" spans="1:10" ht="15" customHeight="1">
      <c r="A869" s="162">
        <v>6583</v>
      </c>
      <c r="B869" s="162" t="s">
        <v>2751</v>
      </c>
      <c r="D869" s="187" t="s">
        <v>77</v>
      </c>
      <c r="E869" s="168" t="s">
        <v>11013</v>
      </c>
      <c r="F869" s="168" t="s">
        <v>11019</v>
      </c>
      <c r="G869" s="173">
        <v>5261</v>
      </c>
      <c r="H869" s="174" t="s">
        <v>10877</v>
      </c>
      <c r="I869" s="167" t="str">
        <f>IF(Plan_Comptable[[#This Row],[Sous-compte]]="","",LEFT(Plan_Comptable[[#This Row],[Sous-compte]]&amp;"00",4))</f>
        <v>5261</v>
      </c>
      <c r="J869" s="167"/>
    </row>
    <row r="870" spans="1:10" ht="15" customHeight="1">
      <c r="A870" s="162">
        <v>6588</v>
      </c>
      <c r="B870" s="162" t="s">
        <v>2229</v>
      </c>
      <c r="D870" s="187" t="s">
        <v>77</v>
      </c>
      <c r="E870" s="168" t="s">
        <v>11013</v>
      </c>
      <c r="F870" s="168" t="s">
        <v>11019</v>
      </c>
      <c r="G870" s="173">
        <v>5267</v>
      </c>
      <c r="H870" s="188" t="s">
        <v>10878</v>
      </c>
      <c r="I870" s="167" t="str">
        <f>IF(Plan_Comptable[[#This Row],[Sous-compte]]="","",LEFT(Plan_Comptable[[#This Row],[Sous-compte]]&amp;"00",4))</f>
        <v>5267</v>
      </c>
      <c r="J870" s="167"/>
    </row>
    <row r="871" spans="1:10" ht="15" customHeight="1">
      <c r="A871" s="162">
        <v>6591</v>
      </c>
      <c r="B871" s="162" t="s">
        <v>11020</v>
      </c>
      <c r="D871" s="187" t="s">
        <v>77</v>
      </c>
      <c r="E871" s="189">
        <v>53</v>
      </c>
      <c r="F871" s="165" t="s">
        <v>9941</v>
      </c>
      <c r="G871" s="165"/>
      <c r="H871" s="166" t="s">
        <v>11021</v>
      </c>
      <c r="I871" s="167" t="str">
        <f>IF(Plan_Comptable[[#This Row],[Sous-compte]]="","",LEFT(Plan_Comptable[[#This Row],[Sous-compte]]&amp;"00",4))</f>
        <v/>
      </c>
      <c r="J871" s="167"/>
    </row>
    <row r="872" spans="1:10" ht="15" customHeight="1">
      <c r="A872" s="162">
        <v>6593</v>
      </c>
      <c r="B872" s="162" t="s">
        <v>11022</v>
      </c>
      <c r="D872" s="187" t="s">
        <v>77</v>
      </c>
      <c r="E872" s="168" t="s">
        <v>11023</v>
      </c>
      <c r="F872" s="168">
        <v>531</v>
      </c>
      <c r="G872" s="176">
        <v>531</v>
      </c>
      <c r="H872" s="167" t="s">
        <v>10879</v>
      </c>
      <c r="I872" s="167" t="str">
        <f>IF(Plan_Comptable[[#This Row],[Sous-compte]]="","",LEFT(Plan_Comptable[[#This Row],[Sous-compte]]&amp;"00",4))</f>
        <v>5310</v>
      </c>
      <c r="J872" s="167"/>
    </row>
    <row r="873" spans="1:10" ht="15" customHeight="1">
      <c r="A873" s="162">
        <v>6594</v>
      </c>
      <c r="B873" s="162" t="s">
        <v>11024</v>
      </c>
      <c r="D873" s="187" t="s">
        <v>77</v>
      </c>
      <c r="E873" s="168" t="s">
        <v>11023</v>
      </c>
      <c r="F873" s="168">
        <v>532</v>
      </c>
      <c r="G873" s="176">
        <v>532</v>
      </c>
      <c r="H873" s="167" t="s">
        <v>10880</v>
      </c>
      <c r="I873" s="167" t="str">
        <f>IF(Plan_Comptable[[#This Row],[Sous-compte]]="","",LEFT(Plan_Comptable[[#This Row],[Sous-compte]]&amp;"00",4))</f>
        <v>5320</v>
      </c>
      <c r="J873" s="167"/>
    </row>
    <row r="874" spans="1:10" ht="15" customHeight="1">
      <c r="A874" s="162">
        <v>6598</v>
      </c>
      <c r="B874" s="162" t="s">
        <v>11025</v>
      </c>
      <c r="D874" s="187" t="s">
        <v>77</v>
      </c>
      <c r="E874" s="168" t="s">
        <v>11023</v>
      </c>
      <c r="F874" s="168">
        <v>533</v>
      </c>
      <c r="G874" s="176">
        <v>533</v>
      </c>
      <c r="H874" s="167" t="s">
        <v>10881</v>
      </c>
      <c r="I874" s="167" t="str">
        <f>IF(Plan_Comptable[[#This Row],[Sous-compte]]="","",LEFT(Plan_Comptable[[#This Row],[Sous-compte]]&amp;"00",4))</f>
        <v>5330</v>
      </c>
      <c r="J874" s="167"/>
    </row>
    <row r="875" spans="1:10" ht="15" customHeight="1">
      <c r="A875" s="162">
        <v>6611</v>
      </c>
      <c r="B875" s="162" t="s">
        <v>11026</v>
      </c>
      <c r="D875" s="187" t="s">
        <v>77</v>
      </c>
      <c r="E875" s="168" t="s">
        <v>11023</v>
      </c>
      <c r="F875" s="168">
        <v>536</v>
      </c>
      <c r="G875" s="176">
        <v>536</v>
      </c>
      <c r="H875" s="167" t="s">
        <v>10883</v>
      </c>
      <c r="I875" s="167" t="str">
        <f>IF(Plan_Comptable[[#This Row],[Sous-compte]]="","",LEFT(Plan_Comptable[[#This Row],[Sous-compte]]&amp;"00",4))</f>
        <v>5360</v>
      </c>
      <c r="J875" s="167"/>
    </row>
    <row r="876" spans="1:10" ht="15" customHeight="1">
      <c r="A876" s="162">
        <v>6612</v>
      </c>
      <c r="B876" s="162" t="s">
        <v>11027</v>
      </c>
      <c r="D876" s="187" t="s">
        <v>77</v>
      </c>
      <c r="E876" s="168" t="s">
        <v>11023</v>
      </c>
      <c r="F876" s="168">
        <v>538</v>
      </c>
      <c r="G876" s="176">
        <v>538</v>
      </c>
      <c r="H876" s="167" t="s">
        <v>10885</v>
      </c>
      <c r="I876" s="167" t="str">
        <f>IF(Plan_Comptable[[#This Row],[Sous-compte]]="","",LEFT(Plan_Comptable[[#This Row],[Sous-compte]]&amp;"00",4))</f>
        <v>5380</v>
      </c>
      <c r="J876" s="167"/>
    </row>
    <row r="877" spans="1:10" ht="15" customHeight="1">
      <c r="A877" s="162">
        <v>6613</v>
      </c>
      <c r="B877" s="162" t="s">
        <v>11028</v>
      </c>
      <c r="D877" s="187" t="s">
        <v>77</v>
      </c>
      <c r="E877" s="189">
        <v>54</v>
      </c>
      <c r="F877" s="165" t="s">
        <v>9941</v>
      </c>
      <c r="G877" s="165"/>
      <c r="H877" s="166" t="s">
        <v>11029</v>
      </c>
      <c r="I877" s="167" t="str">
        <f>IF(Plan_Comptable[[#This Row],[Sous-compte]]="","",LEFT(Plan_Comptable[[#This Row],[Sous-compte]]&amp;"00",4))</f>
        <v/>
      </c>
      <c r="J877" s="167"/>
    </row>
    <row r="878" spans="1:10" ht="15" customHeight="1">
      <c r="A878" s="162">
        <v>6614</v>
      </c>
      <c r="B878" s="162" t="s">
        <v>11030</v>
      </c>
      <c r="D878" s="187" t="s">
        <v>77</v>
      </c>
      <c r="E878" s="168" t="s">
        <v>11031</v>
      </c>
      <c r="F878" s="168">
        <v>541</v>
      </c>
      <c r="G878" s="176">
        <v>541</v>
      </c>
      <c r="H878" s="167" t="s">
        <v>10886</v>
      </c>
      <c r="I878" s="167" t="str">
        <f>IF(Plan_Comptable[[#This Row],[Sous-compte]]="","",LEFT(Plan_Comptable[[#This Row],[Sous-compte]]&amp;"00",4))</f>
        <v>5410</v>
      </c>
      <c r="J878" s="167"/>
    </row>
    <row r="879" spans="1:10" ht="15" customHeight="1">
      <c r="A879" s="162">
        <v>6615</v>
      </c>
      <c r="B879" s="162" t="s">
        <v>11032</v>
      </c>
      <c r="D879" s="187" t="s">
        <v>77</v>
      </c>
      <c r="E879" s="168" t="s">
        <v>11031</v>
      </c>
      <c r="F879" s="168">
        <v>542</v>
      </c>
      <c r="G879" s="176">
        <v>542</v>
      </c>
      <c r="H879" s="167" t="s">
        <v>10888</v>
      </c>
      <c r="I879" s="167" t="str">
        <f>IF(Plan_Comptable[[#This Row],[Sous-compte]]="","",LEFT(Plan_Comptable[[#This Row],[Sous-compte]]&amp;"00",4))</f>
        <v>5420</v>
      </c>
      <c r="J879" s="167"/>
    </row>
    <row r="880" spans="1:10" ht="15" customHeight="1">
      <c r="A880" s="162">
        <v>6616</v>
      </c>
      <c r="B880" s="162" t="s">
        <v>11033</v>
      </c>
      <c r="D880" s="187" t="s">
        <v>77</v>
      </c>
      <c r="E880" s="168" t="s">
        <v>11031</v>
      </c>
      <c r="F880" s="168">
        <v>543</v>
      </c>
      <c r="G880" s="176">
        <v>543</v>
      </c>
      <c r="H880" s="167" t="s">
        <v>10890</v>
      </c>
      <c r="I880" s="167" t="str">
        <f>IF(Plan_Comptable[[#This Row],[Sous-compte]]="","",LEFT(Plan_Comptable[[#This Row],[Sous-compte]]&amp;"00",4))</f>
        <v>5430</v>
      </c>
      <c r="J880" s="167"/>
    </row>
    <row r="881" spans="1:10" ht="15" customHeight="1">
      <c r="A881" s="162">
        <v>6617</v>
      </c>
      <c r="B881" s="162" t="s">
        <v>11034</v>
      </c>
      <c r="D881" s="187" t="s">
        <v>77</v>
      </c>
      <c r="E881" s="168" t="s">
        <v>11031</v>
      </c>
      <c r="F881" s="168">
        <v>544</v>
      </c>
      <c r="G881" s="176">
        <v>544</v>
      </c>
      <c r="H881" s="167" t="s">
        <v>10891</v>
      </c>
      <c r="I881" s="167" t="str">
        <f>IF(Plan_Comptable[[#This Row],[Sous-compte]]="","",LEFT(Plan_Comptable[[#This Row],[Sous-compte]]&amp;"00",4))</f>
        <v>5440</v>
      </c>
      <c r="J881" s="167"/>
    </row>
    <row r="882" spans="1:10" ht="15" customHeight="1">
      <c r="A882" s="162">
        <v>6618</v>
      </c>
      <c r="B882" s="162" t="s">
        <v>11035</v>
      </c>
      <c r="D882" s="187" t="s">
        <v>77</v>
      </c>
      <c r="E882" s="168" t="s">
        <v>11031</v>
      </c>
      <c r="F882" s="168">
        <v>545</v>
      </c>
      <c r="G882" s="176">
        <v>545</v>
      </c>
      <c r="H882" s="167" t="s">
        <v>10893</v>
      </c>
      <c r="I882" s="167" t="str">
        <f>IF(Plan_Comptable[[#This Row],[Sous-compte]]="","",LEFT(Plan_Comptable[[#This Row],[Sous-compte]]&amp;"00",4))</f>
        <v>5450</v>
      </c>
      <c r="J882" s="167"/>
    </row>
    <row r="883" spans="1:10" ht="15" customHeight="1">
      <c r="A883" s="162">
        <v>6621</v>
      </c>
      <c r="B883" s="162" t="s">
        <v>11026</v>
      </c>
      <c r="D883" s="187" t="s">
        <v>77</v>
      </c>
      <c r="E883" s="205">
        <v>55</v>
      </c>
      <c r="F883" s="184" t="s">
        <v>9941</v>
      </c>
      <c r="G883" s="184" t="s">
        <v>9941</v>
      </c>
      <c r="H883" s="206" t="s">
        <v>11036</v>
      </c>
      <c r="I883" s="167" t="str">
        <f>IF(Plan_Comptable[[#This Row],[Sous-compte]]="","",LEFT(Plan_Comptable[[#This Row],[Sous-compte]]&amp;"00",4))</f>
        <v/>
      </c>
      <c r="J883" s="167"/>
    </row>
    <row r="884" spans="1:10" ht="15" customHeight="1">
      <c r="A884" s="162">
        <v>6622</v>
      </c>
      <c r="B884" s="162" t="s">
        <v>11027</v>
      </c>
      <c r="D884" s="187" t="s">
        <v>77</v>
      </c>
      <c r="E884" s="184" t="s">
        <v>11037</v>
      </c>
      <c r="F884" s="184">
        <v>551</v>
      </c>
      <c r="G884" s="196">
        <v>551</v>
      </c>
      <c r="H884" s="175" t="s">
        <v>10896</v>
      </c>
      <c r="I884" s="167" t="str">
        <f>IF(Plan_Comptable[[#This Row],[Sous-compte]]="","",LEFT(Plan_Comptable[[#This Row],[Sous-compte]]&amp;"00",4))</f>
        <v>5510</v>
      </c>
      <c r="J884" s="167"/>
    </row>
    <row r="885" spans="1:10" ht="15" customHeight="1">
      <c r="A885" s="162">
        <v>6623</v>
      </c>
      <c r="B885" s="162" t="s">
        <v>11028</v>
      </c>
      <c r="D885" s="187" t="s">
        <v>77</v>
      </c>
      <c r="E885" s="184" t="s">
        <v>11037</v>
      </c>
      <c r="F885" s="184">
        <v>552</v>
      </c>
      <c r="G885" s="196">
        <v>552</v>
      </c>
      <c r="H885" s="175" t="s">
        <v>10898</v>
      </c>
      <c r="I885" s="167" t="str">
        <f>IF(Plan_Comptable[[#This Row],[Sous-compte]]="","",LEFT(Plan_Comptable[[#This Row],[Sous-compte]]&amp;"00",4))</f>
        <v>5520</v>
      </c>
      <c r="J885" s="167"/>
    </row>
    <row r="886" spans="1:10" ht="15" customHeight="1">
      <c r="A886" s="162">
        <v>6624</v>
      </c>
      <c r="B886" s="162" t="s">
        <v>11030</v>
      </c>
      <c r="D886" s="187" t="s">
        <v>77</v>
      </c>
      <c r="E886" s="184" t="s">
        <v>11037</v>
      </c>
      <c r="F886" s="184">
        <v>553</v>
      </c>
      <c r="G886" s="196">
        <v>553</v>
      </c>
      <c r="H886" s="175" t="s">
        <v>10899</v>
      </c>
      <c r="I886" s="167" t="str">
        <f>IF(Plan_Comptable[[#This Row],[Sous-compte]]="","",LEFT(Plan_Comptable[[#This Row],[Sous-compte]]&amp;"00",4))</f>
        <v>5530</v>
      </c>
      <c r="J886" s="167"/>
    </row>
    <row r="887" spans="1:10" ht="15" customHeight="1">
      <c r="A887" s="162">
        <v>6625</v>
      </c>
      <c r="B887" s="162" t="s">
        <v>11032</v>
      </c>
      <c r="D887" s="187" t="s">
        <v>77</v>
      </c>
      <c r="E887" s="184" t="s">
        <v>11037</v>
      </c>
      <c r="F887" s="184">
        <v>554</v>
      </c>
      <c r="G887" s="196">
        <v>554</v>
      </c>
      <c r="H887" s="175" t="s">
        <v>10900</v>
      </c>
      <c r="I887" s="167" t="str">
        <f>IF(Plan_Comptable[[#This Row],[Sous-compte]]="","",LEFT(Plan_Comptable[[#This Row],[Sous-compte]]&amp;"00",4))</f>
        <v>5540</v>
      </c>
      <c r="J887" s="167"/>
    </row>
    <row r="888" spans="1:10" ht="15" customHeight="1">
      <c r="A888" s="162">
        <v>6626</v>
      </c>
      <c r="B888" s="162" t="s">
        <v>11033</v>
      </c>
      <c r="D888" s="187" t="s">
        <v>77</v>
      </c>
      <c r="E888" s="184" t="s">
        <v>11037</v>
      </c>
      <c r="F888" s="184">
        <v>558</v>
      </c>
      <c r="G888" s="196">
        <v>558</v>
      </c>
      <c r="H888" s="175" t="s">
        <v>10901</v>
      </c>
      <c r="I888" s="167" t="str">
        <f>IF(Plan_Comptable[[#This Row],[Sous-compte]]="","",LEFT(Plan_Comptable[[#This Row],[Sous-compte]]&amp;"00",4))</f>
        <v>5580</v>
      </c>
      <c r="J888" s="167"/>
    </row>
    <row r="889" spans="1:10" ht="15" customHeight="1">
      <c r="A889" s="162">
        <v>6627</v>
      </c>
      <c r="B889" s="162" t="s">
        <v>11034</v>
      </c>
      <c r="D889" s="187" t="s">
        <v>77</v>
      </c>
      <c r="E889" s="189">
        <v>56</v>
      </c>
      <c r="F889" s="165" t="s">
        <v>9941</v>
      </c>
      <c r="G889" s="165" t="s">
        <v>9941</v>
      </c>
      <c r="H889" s="166" t="s">
        <v>11038</v>
      </c>
      <c r="I889" s="167" t="str">
        <f>IF(Plan_Comptable[[#This Row],[Sous-compte]]="","",LEFT(Plan_Comptable[[#This Row],[Sous-compte]]&amp;"00",4))</f>
        <v/>
      </c>
      <c r="J889" s="167"/>
    </row>
    <row r="890" spans="1:10" ht="15" customHeight="1">
      <c r="A890" s="162">
        <v>6628</v>
      </c>
      <c r="B890" s="162" t="s">
        <v>11035</v>
      </c>
      <c r="D890" s="187" t="s">
        <v>77</v>
      </c>
      <c r="E890" s="168" t="s">
        <v>11039</v>
      </c>
      <c r="F890" s="168">
        <v>561</v>
      </c>
      <c r="G890" s="176">
        <v>561</v>
      </c>
      <c r="H890" s="167" t="s">
        <v>10902</v>
      </c>
      <c r="I890" s="167" t="str">
        <f>IF(Plan_Comptable[[#This Row],[Sous-compte]]="","",LEFT(Plan_Comptable[[#This Row],[Sous-compte]]&amp;"00",4))</f>
        <v>5610</v>
      </c>
      <c r="J890" s="167" t="s">
        <v>1276</v>
      </c>
    </row>
    <row r="891" spans="1:10" ht="15" customHeight="1">
      <c r="A891" s="162">
        <v>6631</v>
      </c>
      <c r="B891" s="162" t="s">
        <v>11040</v>
      </c>
      <c r="D891" s="187" t="s">
        <v>77</v>
      </c>
      <c r="E891" s="168" t="s">
        <v>11039</v>
      </c>
      <c r="F891" s="168">
        <v>564</v>
      </c>
      <c r="G891" s="176">
        <v>564</v>
      </c>
      <c r="H891" s="167" t="s">
        <v>10903</v>
      </c>
      <c r="I891" s="167" t="str">
        <f>IF(Plan_Comptable[[#This Row],[Sous-compte]]="","",LEFT(Plan_Comptable[[#This Row],[Sous-compte]]&amp;"00",4))</f>
        <v>5640</v>
      </c>
      <c r="J891" s="167" t="s">
        <v>1276</v>
      </c>
    </row>
    <row r="892" spans="1:10" ht="15" customHeight="1">
      <c r="A892" s="162">
        <v>6632</v>
      </c>
      <c r="B892" s="162" t="s">
        <v>11041</v>
      </c>
      <c r="D892" s="187" t="s">
        <v>77</v>
      </c>
      <c r="E892" s="168" t="s">
        <v>11039</v>
      </c>
      <c r="F892" s="168">
        <v>565</v>
      </c>
      <c r="G892" s="176">
        <v>565</v>
      </c>
      <c r="H892" s="167" t="s">
        <v>10904</v>
      </c>
      <c r="I892" s="167" t="str">
        <f>IF(Plan_Comptable[[#This Row],[Sous-compte]]="","",LEFT(Plan_Comptable[[#This Row],[Sous-compte]]&amp;"00",4))</f>
        <v>5650</v>
      </c>
      <c r="J892" s="167" t="s">
        <v>1276</v>
      </c>
    </row>
    <row r="893" spans="1:10" ht="15" customHeight="1">
      <c r="A893" s="162">
        <v>6633</v>
      </c>
      <c r="B893" s="162" t="s">
        <v>11042</v>
      </c>
      <c r="D893" s="187" t="s">
        <v>77</v>
      </c>
      <c r="E893" s="168" t="s">
        <v>11039</v>
      </c>
      <c r="F893" s="168">
        <v>566</v>
      </c>
      <c r="G893" s="176">
        <v>566</v>
      </c>
      <c r="H893" s="167" t="s">
        <v>10905</v>
      </c>
      <c r="I893" s="167" t="str">
        <f>IF(Plan_Comptable[[#This Row],[Sous-compte]]="","",LEFT(Plan_Comptable[[#This Row],[Sous-compte]]&amp;"00",4))</f>
        <v>5660</v>
      </c>
      <c r="J893" s="167" t="s">
        <v>1276</v>
      </c>
    </row>
    <row r="894" spans="1:10" ht="15" customHeight="1">
      <c r="A894" s="162">
        <v>6634</v>
      </c>
      <c r="B894" s="162" t="s">
        <v>11043</v>
      </c>
      <c r="D894" s="187" t="s">
        <v>77</v>
      </c>
      <c r="E894" s="189">
        <v>57</v>
      </c>
      <c r="F894" s="165" t="s">
        <v>9941</v>
      </c>
      <c r="G894" s="165"/>
      <c r="H894" s="166" t="s">
        <v>11044</v>
      </c>
      <c r="I894" s="167" t="str">
        <f>IF(Plan_Comptable[[#This Row],[Sous-compte]]="","",LEFT(Plan_Comptable[[#This Row],[Sous-compte]]&amp;"00",4))</f>
        <v/>
      </c>
      <c r="J894" s="167"/>
    </row>
    <row r="895" spans="1:10" ht="15" customHeight="1">
      <c r="A895" s="162">
        <v>6638</v>
      </c>
      <c r="B895" s="162" t="s">
        <v>11045</v>
      </c>
      <c r="D895" s="187" t="s">
        <v>77</v>
      </c>
      <c r="E895" s="168" t="s">
        <v>11046</v>
      </c>
      <c r="F895" s="168">
        <v>571</v>
      </c>
      <c r="G895" s="176"/>
      <c r="H895" s="167" t="s">
        <v>11047</v>
      </c>
      <c r="I895" s="167" t="str">
        <f>IF(Plan_Comptable[[#This Row],[Sous-compte]]="","",LEFT(Plan_Comptable[[#This Row],[Sous-compte]]&amp;"00",4))</f>
        <v/>
      </c>
      <c r="J895" s="167"/>
    </row>
    <row r="896" spans="1:10" ht="15" customHeight="1">
      <c r="A896" s="162">
        <v>6641</v>
      </c>
      <c r="B896" s="162" t="s">
        <v>2777</v>
      </c>
      <c r="D896" s="187" t="s">
        <v>77</v>
      </c>
      <c r="E896" s="168" t="s">
        <v>11046</v>
      </c>
      <c r="F896" s="168" t="s">
        <v>11048</v>
      </c>
      <c r="G896" s="172">
        <v>5711</v>
      </c>
      <c r="H896" s="192" t="s">
        <v>10906</v>
      </c>
      <c r="I896" s="167" t="str">
        <f>IF(Plan_Comptable[[#This Row],[Sous-compte]]="","",LEFT(Plan_Comptable[[#This Row],[Sous-compte]]&amp;"00",4))</f>
        <v>5711</v>
      </c>
      <c r="J896" s="167" t="s">
        <v>1279</v>
      </c>
    </row>
    <row r="897" spans="1:10" ht="15" customHeight="1">
      <c r="A897" s="162">
        <v>6642</v>
      </c>
      <c r="B897" s="162" t="s">
        <v>2778</v>
      </c>
      <c r="D897" s="187" t="s">
        <v>77</v>
      </c>
      <c r="E897" s="168" t="s">
        <v>11046</v>
      </c>
      <c r="F897" s="168" t="s">
        <v>11048</v>
      </c>
      <c r="G897" s="172">
        <v>5712</v>
      </c>
      <c r="H897" s="199" t="s">
        <v>10908</v>
      </c>
      <c r="I897" s="167" t="str">
        <f>IF(Plan_Comptable[[#This Row],[Sous-compte]]="","",LEFT(Plan_Comptable[[#This Row],[Sous-compte]]&amp;"00",4))</f>
        <v>5712</v>
      </c>
      <c r="J897" s="167" t="s">
        <v>1279</v>
      </c>
    </row>
    <row r="898" spans="1:10" ht="15" customHeight="1">
      <c r="A898" s="162">
        <v>6661</v>
      </c>
      <c r="B898" s="162" t="s">
        <v>11049</v>
      </c>
      <c r="D898" s="187" t="s">
        <v>77</v>
      </c>
      <c r="E898" s="168" t="s">
        <v>11046</v>
      </c>
      <c r="F898" s="168">
        <v>572</v>
      </c>
      <c r="G898" s="176"/>
      <c r="H898" s="167" t="s">
        <v>11050</v>
      </c>
      <c r="I898" s="167" t="str">
        <f>IF(Plan_Comptable[[#This Row],[Sous-compte]]="","",LEFT(Plan_Comptable[[#This Row],[Sous-compte]]&amp;"00",4))</f>
        <v/>
      </c>
      <c r="J898" s="167"/>
    </row>
    <row r="899" spans="1:10" ht="15" customHeight="1">
      <c r="A899" s="162">
        <v>6662</v>
      </c>
      <c r="B899" s="162" t="s">
        <v>11051</v>
      </c>
      <c r="D899" s="187" t="s">
        <v>77</v>
      </c>
      <c r="E899" s="168" t="s">
        <v>11046</v>
      </c>
      <c r="F899" s="168" t="s">
        <v>11052</v>
      </c>
      <c r="G899" s="172">
        <v>5721</v>
      </c>
      <c r="H899" s="192" t="s">
        <v>10910</v>
      </c>
      <c r="I899" s="167" t="str">
        <f>IF(Plan_Comptable[[#This Row],[Sous-compte]]="","",LEFT(Plan_Comptable[[#This Row],[Sous-compte]]&amp;"00",4))</f>
        <v>5721</v>
      </c>
      <c r="J899" s="167" t="s">
        <v>1279</v>
      </c>
    </row>
    <row r="900" spans="1:10" ht="15" customHeight="1">
      <c r="A900" s="162">
        <v>6671</v>
      </c>
      <c r="B900" s="162" t="s">
        <v>2721</v>
      </c>
      <c r="D900" s="187" t="s">
        <v>77</v>
      </c>
      <c r="E900" s="168" t="s">
        <v>11046</v>
      </c>
      <c r="F900" s="168" t="s">
        <v>11052</v>
      </c>
      <c r="G900" s="176">
        <v>5722</v>
      </c>
      <c r="H900" s="167" t="s">
        <v>10911</v>
      </c>
      <c r="I900" s="167" t="str">
        <f>IF(Plan_Comptable[[#This Row],[Sous-compte]]="","",LEFT(Plan_Comptable[[#This Row],[Sous-compte]]&amp;"00",4))</f>
        <v>5722</v>
      </c>
      <c r="J900" s="167" t="s">
        <v>1279</v>
      </c>
    </row>
    <row r="901" spans="1:10" ht="15" customHeight="1">
      <c r="A901" s="162">
        <v>6672</v>
      </c>
      <c r="B901" s="162" t="s">
        <v>11053</v>
      </c>
      <c r="D901" s="187" t="s">
        <v>77</v>
      </c>
      <c r="E901" s="168" t="s">
        <v>11046</v>
      </c>
      <c r="F901" s="168">
        <v>573</v>
      </c>
      <c r="G901" s="176"/>
      <c r="H901" s="167" t="s">
        <v>11054</v>
      </c>
      <c r="I901" s="167" t="str">
        <f>IF(Plan_Comptable[[#This Row],[Sous-compte]]="","",LEFT(Plan_Comptable[[#This Row],[Sous-compte]]&amp;"00",4))</f>
        <v/>
      </c>
      <c r="J901" s="167"/>
    </row>
    <row r="902" spans="1:10" ht="15" customHeight="1">
      <c r="A902" s="162">
        <v>6681</v>
      </c>
      <c r="B902" s="162" t="s">
        <v>2783</v>
      </c>
      <c r="D902" s="187" t="s">
        <v>77</v>
      </c>
      <c r="E902" s="168" t="s">
        <v>11046</v>
      </c>
      <c r="F902" s="168" t="s">
        <v>11055</v>
      </c>
      <c r="G902" s="172">
        <v>5731</v>
      </c>
      <c r="H902" s="192" t="s">
        <v>10910</v>
      </c>
      <c r="I902" s="167" t="str">
        <f>IF(Plan_Comptable[[#This Row],[Sous-compte]]="","",LEFT(Plan_Comptable[[#This Row],[Sous-compte]]&amp;"00",4))</f>
        <v>5731</v>
      </c>
      <c r="J902" s="167" t="s">
        <v>1279</v>
      </c>
    </row>
    <row r="903" spans="1:10" ht="15" customHeight="1">
      <c r="A903" s="162">
        <v>6682</v>
      </c>
      <c r="B903" s="162" t="s">
        <v>2784</v>
      </c>
      <c r="D903" s="187" t="s">
        <v>77</v>
      </c>
      <c r="E903" s="168" t="s">
        <v>11046</v>
      </c>
      <c r="F903" s="168" t="s">
        <v>11055</v>
      </c>
      <c r="G903" s="176">
        <v>5732</v>
      </c>
      <c r="H903" s="167" t="s">
        <v>10911</v>
      </c>
      <c r="I903" s="167" t="str">
        <f>IF(Plan_Comptable[[#This Row],[Sous-compte]]="","",LEFT(Plan_Comptable[[#This Row],[Sous-compte]]&amp;"00",4))</f>
        <v>5732</v>
      </c>
      <c r="J903" s="167" t="s">
        <v>1279</v>
      </c>
    </row>
    <row r="904" spans="1:10" ht="15" customHeight="1">
      <c r="A904" s="162">
        <v>6683</v>
      </c>
      <c r="B904" s="162" t="s">
        <v>2785</v>
      </c>
      <c r="D904" s="187" t="s">
        <v>77</v>
      </c>
      <c r="E904" s="189">
        <v>58</v>
      </c>
      <c r="F904" s="165" t="s">
        <v>9941</v>
      </c>
      <c r="G904" s="165"/>
      <c r="H904" s="166" t="s">
        <v>11056</v>
      </c>
      <c r="I904" s="167" t="str">
        <f>IF(Plan_Comptable[[#This Row],[Sous-compte]]="","",LEFT(Plan_Comptable[[#This Row],[Sous-compte]]&amp;"00",4))</f>
        <v/>
      </c>
      <c r="J904" s="167"/>
    </row>
    <row r="905" spans="1:10" ht="15" customHeight="1">
      <c r="A905" s="162">
        <v>6684</v>
      </c>
      <c r="B905" s="162" t="s">
        <v>2787</v>
      </c>
      <c r="D905" s="187" t="s">
        <v>77</v>
      </c>
      <c r="E905" s="168" t="s">
        <v>11057</v>
      </c>
      <c r="F905" s="168">
        <v>581</v>
      </c>
      <c r="G905" s="176">
        <v>581</v>
      </c>
      <c r="H905" s="167" t="s">
        <v>10914</v>
      </c>
      <c r="I905" s="167" t="str">
        <f>IF(Plan_Comptable[[#This Row],[Sous-compte]]="","",LEFT(Plan_Comptable[[#This Row],[Sous-compte]]&amp;"00",4))</f>
        <v>5810</v>
      </c>
      <c r="J905" s="167" t="s">
        <v>1279</v>
      </c>
    </row>
    <row r="906" spans="1:10" ht="15" customHeight="1">
      <c r="A906" s="162">
        <v>6685</v>
      </c>
      <c r="B906" s="162" t="s">
        <v>2788</v>
      </c>
      <c r="D906" s="187" t="s">
        <v>77</v>
      </c>
      <c r="E906" s="168" t="s">
        <v>11057</v>
      </c>
      <c r="F906" s="168">
        <v>582</v>
      </c>
      <c r="G906" s="176">
        <v>582</v>
      </c>
      <c r="H906" s="167" t="s">
        <v>10915</v>
      </c>
      <c r="I906" s="167" t="str">
        <f>IF(Plan_Comptable[[#This Row],[Sous-compte]]="","",LEFT(Plan_Comptable[[#This Row],[Sous-compte]]&amp;"00",4))</f>
        <v>5820</v>
      </c>
      <c r="J906" s="167" t="s">
        <v>1279</v>
      </c>
    </row>
    <row r="907" spans="1:10" ht="15" customHeight="1">
      <c r="A907" s="162">
        <v>6686</v>
      </c>
      <c r="B907" s="162" t="s">
        <v>11058</v>
      </c>
      <c r="D907" s="187" t="s">
        <v>77</v>
      </c>
      <c r="E907" s="168" t="s">
        <v>11057</v>
      </c>
      <c r="F907" s="168">
        <v>585</v>
      </c>
      <c r="G907" s="176">
        <v>585</v>
      </c>
      <c r="H907" s="167" t="s">
        <v>10916</v>
      </c>
      <c r="I907" s="167" t="str">
        <f>IF(Plan_Comptable[[#This Row],[Sous-compte]]="","",LEFT(Plan_Comptable[[#This Row],[Sous-compte]]&amp;"00",4))</f>
        <v>5850</v>
      </c>
      <c r="J907" s="167"/>
    </row>
    <row r="908" spans="1:10" ht="15" customHeight="1">
      <c r="A908" s="162">
        <v>6687</v>
      </c>
      <c r="B908" s="162" t="s">
        <v>2790</v>
      </c>
      <c r="D908" s="187" t="s">
        <v>77</v>
      </c>
      <c r="E908" s="168" t="s">
        <v>11057</v>
      </c>
      <c r="F908" s="168">
        <v>588</v>
      </c>
      <c r="G908" s="176">
        <v>588</v>
      </c>
      <c r="H908" s="167" t="s">
        <v>10917</v>
      </c>
      <c r="I908" s="167" t="str">
        <f>IF(Plan_Comptable[[#This Row],[Sous-compte]]="","",LEFT(Plan_Comptable[[#This Row],[Sous-compte]]&amp;"00",4))</f>
        <v>5880</v>
      </c>
      <c r="J908" s="167"/>
    </row>
    <row r="909" spans="1:10" ht="15" customHeight="1">
      <c r="A909" s="162">
        <v>6688</v>
      </c>
      <c r="B909" s="162" t="s">
        <v>2791</v>
      </c>
      <c r="D909" s="187" t="s">
        <v>77</v>
      </c>
      <c r="E909" s="182">
        <v>59</v>
      </c>
      <c r="F909" s="171" t="s">
        <v>9941</v>
      </c>
      <c r="G909" s="171" t="s">
        <v>9941</v>
      </c>
      <c r="H909" s="183" t="s">
        <v>11059</v>
      </c>
      <c r="I909" s="167" t="str">
        <f>IF(Plan_Comptable[[#This Row],[Sous-compte]]="","",LEFT(Plan_Comptable[[#This Row],[Sous-compte]]&amp;"00",4))</f>
        <v/>
      </c>
      <c r="J909" s="167"/>
    </row>
    <row r="910" spans="1:10" ht="15" customHeight="1">
      <c r="A910" s="162">
        <v>6711</v>
      </c>
      <c r="B910" s="162" t="s">
        <v>1963</v>
      </c>
      <c r="D910" s="187" t="s">
        <v>77</v>
      </c>
      <c r="E910" s="168" t="s">
        <v>11060</v>
      </c>
      <c r="F910" s="168">
        <v>590</v>
      </c>
      <c r="G910" s="176">
        <v>590</v>
      </c>
      <c r="H910" s="167" t="s">
        <v>10918</v>
      </c>
      <c r="I910" s="167" t="str">
        <f>IF(Plan_Comptable[[#This Row],[Sous-compte]]="","",LEFT(Plan_Comptable[[#This Row],[Sous-compte]]&amp;"00",4))</f>
        <v>5900</v>
      </c>
      <c r="J910" s="167" t="s">
        <v>1276</v>
      </c>
    </row>
    <row r="911" spans="1:10" ht="15" customHeight="1">
      <c r="A911" s="162">
        <v>6712</v>
      </c>
      <c r="B911" s="162" t="s">
        <v>11061</v>
      </c>
      <c r="D911" s="187" t="s">
        <v>77</v>
      </c>
      <c r="E911" s="168" t="s">
        <v>11060</v>
      </c>
      <c r="F911" s="168">
        <v>591</v>
      </c>
      <c r="G911" s="176">
        <v>591</v>
      </c>
      <c r="H911" s="167" t="s">
        <v>10920</v>
      </c>
      <c r="I911" s="167" t="str">
        <f>IF(Plan_Comptable[[#This Row],[Sous-compte]]="","",LEFT(Plan_Comptable[[#This Row],[Sous-compte]]&amp;"00",4))</f>
        <v>5910</v>
      </c>
      <c r="J911" s="167" t="s">
        <v>1276</v>
      </c>
    </row>
    <row r="912" spans="1:10" ht="15" customHeight="1">
      <c r="A912" s="162">
        <v>6713</v>
      </c>
      <c r="B912" s="162" t="s">
        <v>11062</v>
      </c>
      <c r="D912" s="187" t="s">
        <v>77</v>
      </c>
      <c r="E912" s="168" t="s">
        <v>11060</v>
      </c>
      <c r="F912" s="168">
        <v>592</v>
      </c>
      <c r="G912" s="176">
        <v>592</v>
      </c>
      <c r="H912" s="167" t="s">
        <v>10923</v>
      </c>
      <c r="I912" s="167" t="str">
        <f>IF(Plan_Comptable[[#This Row],[Sous-compte]]="","",LEFT(Plan_Comptable[[#This Row],[Sous-compte]]&amp;"00",4))</f>
        <v>5920</v>
      </c>
      <c r="J912" s="167" t="s">
        <v>1276</v>
      </c>
    </row>
    <row r="913" spans="1:10" ht="15" customHeight="1">
      <c r="A913" s="162">
        <v>6714</v>
      </c>
      <c r="B913" s="162" t="s">
        <v>4630</v>
      </c>
      <c r="D913" s="187" t="s">
        <v>77</v>
      </c>
      <c r="E913" s="168" t="s">
        <v>11060</v>
      </c>
      <c r="F913" s="168">
        <v>593</v>
      </c>
      <c r="G913" s="176">
        <v>593</v>
      </c>
      <c r="H913" s="167" t="s">
        <v>10925</v>
      </c>
      <c r="I913" s="167" t="str">
        <f>IF(Plan_Comptable[[#This Row],[Sous-compte]]="","",LEFT(Plan_Comptable[[#This Row],[Sous-compte]]&amp;"00",4))</f>
        <v>5930</v>
      </c>
      <c r="J913" s="167" t="s">
        <v>1276</v>
      </c>
    </row>
    <row r="914" spans="1:10" ht="15" customHeight="1">
      <c r="A914" s="162">
        <v>6722</v>
      </c>
      <c r="B914" s="162" t="s">
        <v>11063</v>
      </c>
      <c r="D914" s="187" t="s">
        <v>77</v>
      </c>
      <c r="E914" s="168" t="s">
        <v>11060</v>
      </c>
      <c r="F914" s="168">
        <v>594</v>
      </c>
      <c r="G914" s="176">
        <v>594</v>
      </c>
      <c r="H914" s="167" t="s">
        <v>10926</v>
      </c>
      <c r="I914" s="167" t="str">
        <f>IF(Plan_Comptable[[#This Row],[Sous-compte]]="","",LEFT(Plan_Comptable[[#This Row],[Sous-compte]]&amp;"00",4))</f>
        <v>5940</v>
      </c>
      <c r="J914" s="167" t="s">
        <v>1276</v>
      </c>
    </row>
    <row r="915" spans="1:10" ht="15" customHeight="1">
      <c r="A915" s="162">
        <v>6723</v>
      </c>
      <c r="B915" s="162" t="s">
        <v>11064</v>
      </c>
      <c r="D915" s="187" t="s">
        <v>77</v>
      </c>
      <c r="E915" s="168" t="s">
        <v>11060</v>
      </c>
      <c r="F915" s="171">
        <v>599</v>
      </c>
      <c r="G915" s="172">
        <v>599</v>
      </c>
      <c r="H915" s="179" t="s">
        <v>10927</v>
      </c>
      <c r="I915" s="167" t="str">
        <f>IF(Plan_Comptable[[#This Row],[Sous-compte]]="","",LEFT(Plan_Comptable[[#This Row],[Sous-compte]]&amp;"00",4))</f>
        <v>5990</v>
      </c>
      <c r="J915" s="167" t="s">
        <v>1276</v>
      </c>
    </row>
    <row r="916" spans="1:10" ht="15" customHeight="1">
      <c r="A916" s="162">
        <v>6724</v>
      </c>
      <c r="B916" s="162" t="s">
        <v>11065</v>
      </c>
      <c r="D916" s="187" t="s">
        <v>80</v>
      </c>
      <c r="E916" s="189">
        <v>60</v>
      </c>
      <c r="F916" s="165" t="s">
        <v>9941</v>
      </c>
      <c r="G916" s="165"/>
      <c r="H916" s="166" t="s">
        <v>11066</v>
      </c>
      <c r="I916" s="167" t="str">
        <f>IF(Plan_Comptable[[#This Row],[Sous-compte]]="","",LEFT(Plan_Comptable[[#This Row],[Sous-compte]]&amp;"00",4))</f>
        <v/>
      </c>
      <c r="J916" s="167"/>
    </row>
    <row r="917" spans="1:10" ht="15" customHeight="1">
      <c r="A917" s="162">
        <v>6728</v>
      </c>
      <c r="B917" s="162" t="s">
        <v>11067</v>
      </c>
      <c r="D917" s="187" t="s">
        <v>80</v>
      </c>
      <c r="E917" s="168" t="s">
        <v>11068</v>
      </c>
      <c r="F917" s="168">
        <v>601</v>
      </c>
      <c r="G917" s="176"/>
      <c r="H917" s="167" t="s">
        <v>11069</v>
      </c>
      <c r="I917" s="167" t="str">
        <f>IF(Plan_Comptable[[#This Row],[Sous-compte]]="","",LEFT(Plan_Comptable[[#This Row],[Sous-compte]]&amp;"00",4))</f>
        <v/>
      </c>
      <c r="J917" s="167"/>
    </row>
    <row r="918" spans="1:10" ht="15" customHeight="1">
      <c r="A918" s="162">
        <v>673</v>
      </c>
      <c r="B918" s="162" t="s">
        <v>11070</v>
      </c>
      <c r="D918" s="187" t="s">
        <v>80</v>
      </c>
      <c r="E918" s="168" t="s">
        <v>11068</v>
      </c>
      <c r="F918" s="168" t="s">
        <v>11071</v>
      </c>
      <c r="G918" s="176">
        <v>6011</v>
      </c>
      <c r="H918" s="167" t="s">
        <v>11072</v>
      </c>
      <c r="I918" s="167" t="str">
        <f>IF(Plan_Comptable[[#This Row],[Sous-compte]]="","",LEFT(Plan_Comptable[[#This Row],[Sous-compte]]&amp;"00",4))</f>
        <v>6011</v>
      </c>
      <c r="J918" s="167"/>
    </row>
    <row r="919" spans="1:10" ht="15" customHeight="1">
      <c r="A919" s="162">
        <v>6741</v>
      </c>
      <c r="B919" s="162" t="s">
        <v>11073</v>
      </c>
      <c r="D919" s="187" t="s">
        <v>80</v>
      </c>
      <c r="E919" s="168" t="s">
        <v>11068</v>
      </c>
      <c r="F919" s="168" t="s">
        <v>11071</v>
      </c>
      <c r="G919" s="176">
        <v>6012</v>
      </c>
      <c r="H919" s="167" t="s">
        <v>11074</v>
      </c>
      <c r="I919" s="167" t="str">
        <f>IF(Plan_Comptable[[#This Row],[Sous-compte]]="","",LEFT(Plan_Comptable[[#This Row],[Sous-compte]]&amp;"00",4))</f>
        <v>6012</v>
      </c>
      <c r="J919" s="167"/>
    </row>
    <row r="920" spans="1:10" ht="15" customHeight="1">
      <c r="A920" s="162">
        <v>6742</v>
      </c>
      <c r="B920" s="162" t="s">
        <v>11075</v>
      </c>
      <c r="D920" s="187" t="s">
        <v>80</v>
      </c>
      <c r="E920" s="168" t="s">
        <v>11068</v>
      </c>
      <c r="F920" s="168" t="s">
        <v>11071</v>
      </c>
      <c r="G920" s="172">
        <v>6013</v>
      </c>
      <c r="H920" s="179" t="s">
        <v>10930</v>
      </c>
      <c r="I920" s="167" t="str">
        <f>IF(Plan_Comptable[[#This Row],[Sous-compte]]="","",LEFT(Plan_Comptable[[#This Row],[Sous-compte]]&amp;"00",4))</f>
        <v>6013</v>
      </c>
      <c r="J920" s="167"/>
    </row>
    <row r="921" spans="1:10" ht="15" customHeight="1">
      <c r="A921" s="162">
        <v>6743</v>
      </c>
      <c r="B921" s="162" t="s">
        <v>2802</v>
      </c>
      <c r="D921" s="187" t="s">
        <v>80</v>
      </c>
      <c r="E921" s="168" t="s">
        <v>11068</v>
      </c>
      <c r="F921" s="168" t="s">
        <v>11071</v>
      </c>
      <c r="G921" s="172">
        <v>6014</v>
      </c>
      <c r="H921" s="179" t="s">
        <v>10931</v>
      </c>
      <c r="I921" s="167" t="str">
        <f>IF(Plan_Comptable[[#This Row],[Sous-compte]]="","",LEFT(Plan_Comptable[[#This Row],[Sous-compte]]&amp;"00",4))</f>
        <v>6014</v>
      </c>
      <c r="J921" s="167"/>
    </row>
    <row r="922" spans="1:10" ht="15" customHeight="1">
      <c r="A922" s="162">
        <v>6744</v>
      </c>
      <c r="B922" s="162" t="s">
        <v>2803</v>
      </c>
      <c r="D922" s="187" t="s">
        <v>80</v>
      </c>
      <c r="E922" s="168" t="s">
        <v>11068</v>
      </c>
      <c r="F922" s="168" t="s">
        <v>11071</v>
      </c>
      <c r="G922" s="173">
        <v>6015</v>
      </c>
      <c r="H922" s="174" t="s">
        <v>11076</v>
      </c>
      <c r="I922" s="167" t="str">
        <f>IF(Plan_Comptable[[#This Row],[Sous-compte]]="","",LEFT(Plan_Comptable[[#This Row],[Sous-compte]]&amp;"00",4))</f>
        <v>6015</v>
      </c>
      <c r="J922" s="167"/>
    </row>
    <row r="923" spans="1:10" ht="15" customHeight="1">
      <c r="A923" s="162">
        <v>6745</v>
      </c>
      <c r="B923" s="162" t="s">
        <v>2804</v>
      </c>
      <c r="D923" s="187" t="s">
        <v>80</v>
      </c>
      <c r="E923" s="168" t="s">
        <v>11068</v>
      </c>
      <c r="F923" s="168" t="s">
        <v>11071</v>
      </c>
      <c r="G923" s="176">
        <v>6019</v>
      </c>
      <c r="H923" s="167" t="s">
        <v>10934</v>
      </c>
      <c r="I923" s="167" t="str">
        <f>IF(Plan_Comptable[[#This Row],[Sous-compte]]="","",LEFT(Plan_Comptable[[#This Row],[Sous-compte]]&amp;"00",4))</f>
        <v>6019</v>
      </c>
      <c r="J923" s="167"/>
    </row>
    <row r="924" spans="1:10" ht="15" customHeight="1">
      <c r="A924" s="162">
        <v>6748</v>
      </c>
      <c r="B924" s="162" t="s">
        <v>11077</v>
      </c>
      <c r="D924" s="187" t="s">
        <v>80</v>
      </c>
      <c r="E924" s="168" t="s">
        <v>11068</v>
      </c>
      <c r="F924" s="168">
        <v>602</v>
      </c>
      <c r="G924" s="176"/>
      <c r="H924" s="167" t="s">
        <v>11078</v>
      </c>
      <c r="I924" s="167" t="str">
        <f>IF(Plan_Comptable[[#This Row],[Sous-compte]]="","",LEFT(Plan_Comptable[[#This Row],[Sous-compte]]&amp;"00",4))</f>
        <v/>
      </c>
      <c r="J924" s="167"/>
    </row>
    <row r="925" spans="1:10" ht="15" customHeight="1">
      <c r="A925" s="162">
        <v>675</v>
      </c>
      <c r="B925" s="162" t="s">
        <v>11079</v>
      </c>
      <c r="D925" s="187" t="s">
        <v>80</v>
      </c>
      <c r="E925" s="168" t="s">
        <v>11068</v>
      </c>
      <c r="F925" s="168" t="s">
        <v>11080</v>
      </c>
      <c r="G925" s="176">
        <v>6021</v>
      </c>
      <c r="H925" s="167" t="s">
        <v>11072</v>
      </c>
      <c r="I925" s="167" t="str">
        <f>IF(Plan_Comptable[[#This Row],[Sous-compte]]="","",LEFT(Plan_Comptable[[#This Row],[Sous-compte]]&amp;"00",4))</f>
        <v>6021</v>
      </c>
      <c r="J925" s="167"/>
    </row>
    <row r="926" spans="1:10" ht="15" customHeight="1">
      <c r="A926" s="162">
        <v>676</v>
      </c>
      <c r="B926" s="162" t="s">
        <v>11081</v>
      </c>
      <c r="D926" s="187" t="s">
        <v>80</v>
      </c>
      <c r="E926" s="168" t="s">
        <v>11068</v>
      </c>
      <c r="F926" s="168" t="s">
        <v>11080</v>
      </c>
      <c r="G926" s="176">
        <v>6022</v>
      </c>
      <c r="H926" s="167" t="s">
        <v>11074</v>
      </c>
      <c r="I926" s="167" t="str">
        <f>IF(Plan_Comptable[[#This Row],[Sous-compte]]="","",LEFT(Plan_Comptable[[#This Row],[Sous-compte]]&amp;"00",4))</f>
        <v>6022</v>
      </c>
      <c r="J926" s="167"/>
    </row>
    <row r="927" spans="1:10" ht="15" customHeight="1">
      <c r="A927" s="162">
        <v>6771</v>
      </c>
      <c r="B927" s="162" t="s">
        <v>2328</v>
      </c>
      <c r="D927" s="187" t="s">
        <v>80</v>
      </c>
      <c r="E927" s="168" t="s">
        <v>11068</v>
      </c>
      <c r="F927" s="168" t="s">
        <v>11080</v>
      </c>
      <c r="G927" s="172">
        <v>6023</v>
      </c>
      <c r="H927" s="179" t="s">
        <v>10930</v>
      </c>
      <c r="I927" s="167" t="str">
        <f>IF(Plan_Comptable[[#This Row],[Sous-compte]]="","",LEFT(Plan_Comptable[[#This Row],[Sous-compte]]&amp;"00",4))</f>
        <v>6023</v>
      </c>
      <c r="J927" s="167"/>
    </row>
    <row r="928" spans="1:10" ht="15" customHeight="1">
      <c r="A928" s="162">
        <v>6772</v>
      </c>
      <c r="B928" s="162" t="s">
        <v>11082</v>
      </c>
      <c r="D928" s="187" t="s">
        <v>80</v>
      </c>
      <c r="E928" s="168" t="s">
        <v>11068</v>
      </c>
      <c r="F928" s="168" t="s">
        <v>11080</v>
      </c>
      <c r="G928" s="172">
        <v>6024</v>
      </c>
      <c r="H928" s="179" t="s">
        <v>10931</v>
      </c>
      <c r="I928" s="167" t="str">
        <f>IF(Plan_Comptable[[#This Row],[Sous-compte]]="","",LEFT(Plan_Comptable[[#This Row],[Sous-compte]]&amp;"00",4))</f>
        <v>6024</v>
      </c>
      <c r="J928" s="167"/>
    </row>
    <row r="929" spans="1:10" ht="15" customHeight="1">
      <c r="A929" s="162">
        <v>6781</v>
      </c>
      <c r="B929" s="162" t="s">
        <v>11083</v>
      </c>
      <c r="D929" s="187" t="s">
        <v>80</v>
      </c>
      <c r="E929" s="168" t="s">
        <v>11068</v>
      </c>
      <c r="F929" s="168" t="s">
        <v>11080</v>
      </c>
      <c r="G929" s="173">
        <v>6025</v>
      </c>
      <c r="H929" s="174" t="s">
        <v>11076</v>
      </c>
      <c r="I929" s="167" t="str">
        <f>IF(Plan_Comptable[[#This Row],[Sous-compte]]="","",LEFT(Plan_Comptable[[#This Row],[Sous-compte]]&amp;"00",4))</f>
        <v>6025</v>
      </c>
      <c r="J929" s="167"/>
    </row>
    <row r="930" spans="1:10" ht="15" customHeight="1">
      <c r="A930" s="162">
        <v>6782</v>
      </c>
      <c r="B930" s="162" t="s">
        <v>11084</v>
      </c>
      <c r="D930" s="187" t="s">
        <v>80</v>
      </c>
      <c r="E930" s="168" t="s">
        <v>11068</v>
      </c>
      <c r="F930" s="168" t="s">
        <v>11080</v>
      </c>
      <c r="G930" s="176">
        <v>6029</v>
      </c>
      <c r="H930" s="167" t="s">
        <v>10934</v>
      </c>
      <c r="I930" s="167" t="str">
        <f>IF(Plan_Comptable[[#This Row],[Sous-compte]]="","",LEFT(Plan_Comptable[[#This Row],[Sous-compte]]&amp;"00",4))</f>
        <v>6029</v>
      </c>
      <c r="J930" s="167"/>
    </row>
    <row r="931" spans="1:10" ht="15" customHeight="1">
      <c r="A931" s="162">
        <v>6784</v>
      </c>
      <c r="B931" s="162" t="s">
        <v>11085</v>
      </c>
      <c r="D931" s="187" t="s">
        <v>80</v>
      </c>
      <c r="E931" s="168" t="s">
        <v>11068</v>
      </c>
      <c r="F931" s="168">
        <v>603</v>
      </c>
      <c r="G931" s="176"/>
      <c r="H931" s="167" t="s">
        <v>11086</v>
      </c>
      <c r="I931" s="167" t="str">
        <f>IF(Plan_Comptable[[#This Row],[Sous-compte]]="","",LEFT(Plan_Comptable[[#This Row],[Sous-compte]]&amp;"00",4))</f>
        <v/>
      </c>
      <c r="J931" s="167"/>
    </row>
    <row r="932" spans="1:10" ht="15" customHeight="1">
      <c r="A932" s="162">
        <v>6791</v>
      </c>
      <c r="B932" s="162" t="s">
        <v>11087</v>
      </c>
      <c r="D932" s="187" t="s">
        <v>80</v>
      </c>
      <c r="E932" s="168" t="s">
        <v>11068</v>
      </c>
      <c r="F932" s="168" t="s">
        <v>11088</v>
      </c>
      <c r="G932" s="176">
        <v>6031</v>
      </c>
      <c r="H932" s="167" t="s">
        <v>10938</v>
      </c>
      <c r="I932" s="167" t="str">
        <f>IF(Plan_Comptable[[#This Row],[Sous-compte]]="","",LEFT(Plan_Comptable[[#This Row],[Sous-compte]]&amp;"00",4))</f>
        <v>6031</v>
      </c>
      <c r="J932" s="167"/>
    </row>
    <row r="933" spans="1:10" ht="15" customHeight="1">
      <c r="A933" s="162">
        <v>6795</v>
      </c>
      <c r="B933" s="162" t="s">
        <v>11089</v>
      </c>
      <c r="D933" s="187" t="s">
        <v>80</v>
      </c>
      <c r="E933" s="168" t="s">
        <v>11068</v>
      </c>
      <c r="F933" s="168" t="s">
        <v>11088</v>
      </c>
      <c r="G933" s="176">
        <v>6032</v>
      </c>
      <c r="H933" s="167" t="s">
        <v>10939</v>
      </c>
      <c r="I933" s="167" t="str">
        <f>IF(Plan_Comptable[[#This Row],[Sous-compte]]="","",LEFT(Plan_Comptable[[#This Row],[Sous-compte]]&amp;"00",4))</f>
        <v>6032</v>
      </c>
      <c r="J933" s="167"/>
    </row>
    <row r="934" spans="1:10" ht="15" customHeight="1">
      <c r="A934" s="162">
        <v>6798</v>
      </c>
      <c r="B934" s="162" t="s">
        <v>2812</v>
      </c>
      <c r="D934" s="187" t="s">
        <v>80</v>
      </c>
      <c r="E934" s="168" t="s">
        <v>11068</v>
      </c>
      <c r="F934" s="168" t="s">
        <v>11088</v>
      </c>
      <c r="G934" s="176">
        <v>6033</v>
      </c>
      <c r="H934" s="167" t="s">
        <v>10941</v>
      </c>
      <c r="I934" s="167" t="str">
        <f>IF(Plan_Comptable[[#This Row],[Sous-compte]]="","",LEFT(Plan_Comptable[[#This Row],[Sous-compte]]&amp;"00",4))</f>
        <v>6033</v>
      </c>
      <c r="J934" s="167"/>
    </row>
    <row r="935" spans="1:10" ht="15" customHeight="1">
      <c r="A935" s="162">
        <v>6812</v>
      </c>
      <c r="B935" s="162" t="s">
        <v>2814</v>
      </c>
      <c r="D935" s="187" t="s">
        <v>80</v>
      </c>
      <c r="E935" s="168" t="s">
        <v>11068</v>
      </c>
      <c r="F935" s="168">
        <v>604</v>
      </c>
      <c r="G935" s="176"/>
      <c r="H935" s="167" t="s">
        <v>11090</v>
      </c>
      <c r="I935" s="167" t="str">
        <f>IF(Plan_Comptable[[#This Row],[Sous-compte]]="","",LEFT(Plan_Comptable[[#This Row],[Sous-compte]]&amp;"00",4))</f>
        <v/>
      </c>
      <c r="J935" s="167"/>
    </row>
    <row r="936" spans="1:10" ht="15" customHeight="1">
      <c r="A936" s="162">
        <v>6813</v>
      </c>
      <c r="B936" s="162" t="s">
        <v>2815</v>
      </c>
      <c r="D936" s="187" t="s">
        <v>80</v>
      </c>
      <c r="E936" s="168" t="s">
        <v>11068</v>
      </c>
      <c r="F936" s="168" t="s">
        <v>11091</v>
      </c>
      <c r="G936" s="176">
        <v>6041</v>
      </c>
      <c r="H936" s="167" t="s">
        <v>10943</v>
      </c>
      <c r="I936" s="167" t="str">
        <f>IF(Plan_Comptable[[#This Row],[Sous-compte]]="","",LEFT(Plan_Comptable[[#This Row],[Sous-compte]]&amp;"00",4))</f>
        <v>6041</v>
      </c>
      <c r="J936" s="167"/>
    </row>
    <row r="937" spans="1:10" ht="15" customHeight="1">
      <c r="A937" s="162">
        <v>6911</v>
      </c>
      <c r="B937" s="162" t="s">
        <v>2816</v>
      </c>
      <c r="D937" s="187" t="s">
        <v>80</v>
      </c>
      <c r="E937" s="168" t="s">
        <v>11068</v>
      </c>
      <c r="F937" s="168" t="s">
        <v>11091</v>
      </c>
      <c r="G937" s="176">
        <v>6042</v>
      </c>
      <c r="H937" s="167" t="s">
        <v>2170</v>
      </c>
      <c r="I937" s="167" t="str">
        <f>IF(Plan_Comptable[[#This Row],[Sous-compte]]="","",LEFT(Plan_Comptable[[#This Row],[Sous-compte]]&amp;"00",4))</f>
        <v>6042</v>
      </c>
      <c r="J937" s="167"/>
    </row>
    <row r="938" spans="1:10" ht="15" customHeight="1">
      <c r="A938" s="162">
        <v>6913</v>
      </c>
      <c r="B938" s="162" t="s">
        <v>2817</v>
      </c>
      <c r="D938" s="187" t="s">
        <v>80</v>
      </c>
      <c r="E938" s="168" t="s">
        <v>11068</v>
      </c>
      <c r="F938" s="168" t="s">
        <v>11091</v>
      </c>
      <c r="G938" s="176">
        <v>6043</v>
      </c>
      <c r="H938" s="167" t="s">
        <v>2171</v>
      </c>
      <c r="I938" s="167" t="str">
        <f>IF(Plan_Comptable[[#This Row],[Sous-compte]]="","",LEFT(Plan_Comptable[[#This Row],[Sous-compte]]&amp;"00",4))</f>
        <v>6043</v>
      </c>
      <c r="J938" s="167"/>
    </row>
    <row r="939" spans="1:10" ht="15" customHeight="1">
      <c r="A939" s="162">
        <v>6914</v>
      </c>
      <c r="B939" s="162" t="s">
        <v>2818</v>
      </c>
      <c r="D939" s="187" t="s">
        <v>80</v>
      </c>
      <c r="E939" s="168" t="s">
        <v>11068</v>
      </c>
      <c r="F939" s="168" t="s">
        <v>11091</v>
      </c>
      <c r="G939" s="176">
        <v>6044</v>
      </c>
      <c r="H939" s="167" t="s">
        <v>2642</v>
      </c>
      <c r="I939" s="167" t="str">
        <f>IF(Plan_Comptable[[#This Row],[Sous-compte]]="","",LEFT(Plan_Comptable[[#This Row],[Sous-compte]]&amp;"00",4))</f>
        <v>6044</v>
      </c>
      <c r="J939" s="167"/>
    </row>
    <row r="940" spans="1:10" ht="15" customHeight="1">
      <c r="A940" s="162">
        <v>6971</v>
      </c>
      <c r="B940" s="162" t="s">
        <v>2816</v>
      </c>
      <c r="D940" s="187" t="s">
        <v>80</v>
      </c>
      <c r="E940" s="168" t="s">
        <v>11068</v>
      </c>
      <c r="F940" s="168" t="s">
        <v>11091</v>
      </c>
      <c r="G940" s="173">
        <v>6045</v>
      </c>
      <c r="H940" s="174" t="s">
        <v>11076</v>
      </c>
      <c r="I940" s="167" t="str">
        <f>IF(Plan_Comptable[[#This Row],[Sous-compte]]="","",LEFT(Plan_Comptable[[#This Row],[Sous-compte]]&amp;"00",4))</f>
        <v>6045</v>
      </c>
      <c r="J940" s="167"/>
    </row>
    <row r="941" spans="1:10" ht="15" customHeight="1">
      <c r="A941" s="162">
        <v>6972</v>
      </c>
      <c r="B941" s="162" t="s">
        <v>2820</v>
      </c>
      <c r="D941" s="187" t="s">
        <v>80</v>
      </c>
      <c r="E941" s="168" t="s">
        <v>11068</v>
      </c>
      <c r="F941" s="168" t="s">
        <v>11091</v>
      </c>
      <c r="G941" s="176">
        <v>6046</v>
      </c>
      <c r="H941" s="167" t="s">
        <v>2643</v>
      </c>
      <c r="I941" s="167" t="str">
        <f>IF(Plan_Comptable[[#This Row],[Sous-compte]]="","",LEFT(Plan_Comptable[[#This Row],[Sous-compte]]&amp;"00",4))</f>
        <v>6046</v>
      </c>
      <c r="J941" s="167"/>
    </row>
    <row r="942" spans="1:10" ht="15" customHeight="1">
      <c r="A942" s="162">
        <v>7011</v>
      </c>
      <c r="B942" s="162" t="s">
        <v>11092</v>
      </c>
      <c r="D942" s="187" t="s">
        <v>80</v>
      </c>
      <c r="E942" s="168" t="s">
        <v>11068</v>
      </c>
      <c r="F942" s="168" t="s">
        <v>11091</v>
      </c>
      <c r="G942" s="176">
        <v>6047</v>
      </c>
      <c r="H942" s="167" t="s">
        <v>2644</v>
      </c>
      <c r="I942" s="167" t="str">
        <f>IF(Plan_Comptable[[#This Row],[Sous-compte]]="","",LEFT(Plan_Comptable[[#This Row],[Sous-compte]]&amp;"00",4))</f>
        <v>6047</v>
      </c>
      <c r="J942" s="167"/>
    </row>
    <row r="943" spans="1:10" ht="15" customHeight="1">
      <c r="A943" s="162">
        <v>7012</v>
      </c>
      <c r="B943" s="162" t="s">
        <v>11093</v>
      </c>
      <c r="D943" s="187" t="s">
        <v>80</v>
      </c>
      <c r="E943" s="168" t="s">
        <v>11068</v>
      </c>
      <c r="F943" s="168" t="s">
        <v>11091</v>
      </c>
      <c r="G943" s="176">
        <v>6049</v>
      </c>
      <c r="H943" s="167" t="s">
        <v>10934</v>
      </c>
      <c r="I943" s="167" t="str">
        <f>IF(Plan_Comptable[[#This Row],[Sous-compte]]="","",LEFT(Plan_Comptable[[#This Row],[Sous-compte]]&amp;"00",4))</f>
        <v>6049</v>
      </c>
      <c r="J943" s="167"/>
    </row>
    <row r="944" spans="1:10" ht="15" customHeight="1">
      <c r="A944" s="162">
        <v>7013</v>
      </c>
      <c r="B944" s="162" t="s">
        <v>10930</v>
      </c>
      <c r="D944" s="187" t="s">
        <v>80</v>
      </c>
      <c r="E944" s="168" t="s">
        <v>11068</v>
      </c>
      <c r="F944" s="168">
        <v>605</v>
      </c>
      <c r="G944" s="176"/>
      <c r="H944" s="167" t="s">
        <v>11094</v>
      </c>
      <c r="I944" s="167" t="str">
        <f>IF(Plan_Comptable[[#This Row],[Sous-compte]]="","",LEFT(Plan_Comptable[[#This Row],[Sous-compte]]&amp;"00",4))</f>
        <v/>
      </c>
      <c r="J944" s="167"/>
    </row>
    <row r="945" spans="1:10" ht="15" customHeight="1">
      <c r="A945" s="162">
        <v>7014</v>
      </c>
      <c r="B945" s="162" t="s">
        <v>10931</v>
      </c>
      <c r="D945" s="187" t="s">
        <v>80</v>
      </c>
      <c r="E945" s="168" t="s">
        <v>11068</v>
      </c>
      <c r="F945" s="168" t="s">
        <v>11095</v>
      </c>
      <c r="G945" s="176">
        <v>6051</v>
      </c>
      <c r="H945" s="167" t="s">
        <v>10948</v>
      </c>
      <c r="I945" s="167" t="str">
        <f>IF(Plan_Comptable[[#This Row],[Sous-compte]]="","",LEFT(Plan_Comptable[[#This Row],[Sous-compte]]&amp;"00",4))</f>
        <v>6051</v>
      </c>
      <c r="J945" s="167"/>
    </row>
    <row r="946" spans="1:10" ht="15" customHeight="1">
      <c r="A946" s="162">
        <v>7015</v>
      </c>
      <c r="B946" s="162" t="s">
        <v>11096</v>
      </c>
      <c r="D946" s="187" t="s">
        <v>80</v>
      </c>
      <c r="E946" s="168" t="s">
        <v>11068</v>
      </c>
      <c r="F946" s="168" t="s">
        <v>11095</v>
      </c>
      <c r="G946" s="176">
        <v>6052</v>
      </c>
      <c r="H946" s="167" t="s">
        <v>10949</v>
      </c>
      <c r="I946" s="167" t="str">
        <f>IF(Plan_Comptable[[#This Row],[Sous-compte]]="","",LEFT(Plan_Comptable[[#This Row],[Sous-compte]]&amp;"00",4))</f>
        <v>6052</v>
      </c>
      <c r="J946" s="167"/>
    </row>
    <row r="947" spans="1:10" ht="15" customHeight="1">
      <c r="A947" s="162">
        <v>7019</v>
      </c>
      <c r="B947" s="162" t="s">
        <v>11097</v>
      </c>
      <c r="D947" s="187" t="s">
        <v>80</v>
      </c>
      <c r="E947" s="168" t="s">
        <v>11068</v>
      </c>
      <c r="F947" s="168" t="s">
        <v>11095</v>
      </c>
      <c r="G947" s="176">
        <v>6053</v>
      </c>
      <c r="H947" s="167" t="s">
        <v>10950</v>
      </c>
      <c r="I947" s="167" t="str">
        <f>IF(Plan_Comptable[[#This Row],[Sous-compte]]="","",LEFT(Plan_Comptable[[#This Row],[Sous-compte]]&amp;"00",4))</f>
        <v>6053</v>
      </c>
      <c r="J947" s="167"/>
    </row>
    <row r="948" spans="1:10" ht="15" customHeight="1">
      <c r="A948" s="162">
        <v>7021</v>
      </c>
      <c r="B948" s="162" t="s">
        <v>11092</v>
      </c>
      <c r="D948" s="187" t="s">
        <v>80</v>
      </c>
      <c r="E948" s="168" t="s">
        <v>11068</v>
      </c>
      <c r="F948" s="168" t="s">
        <v>11095</v>
      </c>
      <c r="G948" s="176">
        <v>6054</v>
      </c>
      <c r="H948" s="167" t="s">
        <v>2648</v>
      </c>
      <c r="I948" s="167" t="str">
        <f>IF(Plan_Comptable[[#This Row],[Sous-compte]]="","",LEFT(Plan_Comptable[[#This Row],[Sous-compte]]&amp;"00",4))</f>
        <v>6054</v>
      </c>
      <c r="J948" s="167"/>
    </row>
    <row r="949" spans="1:10" ht="15" customHeight="1">
      <c r="A949" s="162">
        <v>7022</v>
      </c>
      <c r="B949" s="162" t="s">
        <v>11093</v>
      </c>
      <c r="D949" s="187" t="s">
        <v>80</v>
      </c>
      <c r="E949" s="168" t="s">
        <v>11068</v>
      </c>
      <c r="F949" s="168" t="s">
        <v>11095</v>
      </c>
      <c r="G949" s="176">
        <v>6055</v>
      </c>
      <c r="H949" s="167" t="s">
        <v>2649</v>
      </c>
      <c r="I949" s="167" t="str">
        <f>IF(Plan_Comptable[[#This Row],[Sous-compte]]="","",LEFT(Plan_Comptable[[#This Row],[Sous-compte]]&amp;"00",4))</f>
        <v>6055</v>
      </c>
      <c r="J949" s="167"/>
    </row>
    <row r="950" spans="1:10" ht="15" customHeight="1">
      <c r="A950" s="162">
        <v>7023</v>
      </c>
      <c r="B950" s="162" t="s">
        <v>10930</v>
      </c>
      <c r="D950" s="187" t="s">
        <v>80</v>
      </c>
      <c r="E950" s="168" t="s">
        <v>11068</v>
      </c>
      <c r="F950" s="168" t="s">
        <v>11095</v>
      </c>
      <c r="G950" s="176">
        <v>6056</v>
      </c>
      <c r="H950" s="167" t="s">
        <v>2650</v>
      </c>
      <c r="I950" s="167" t="str">
        <f>IF(Plan_Comptable[[#This Row],[Sous-compte]]="","",LEFT(Plan_Comptable[[#This Row],[Sous-compte]]&amp;"00",4))</f>
        <v>6056</v>
      </c>
      <c r="J950" s="167"/>
    </row>
    <row r="951" spans="1:10" ht="15" customHeight="1">
      <c r="A951" s="162">
        <v>7024</v>
      </c>
      <c r="B951" s="162" t="s">
        <v>10931</v>
      </c>
      <c r="D951" s="187" t="s">
        <v>80</v>
      </c>
      <c r="E951" s="168" t="s">
        <v>11068</v>
      </c>
      <c r="F951" s="168" t="s">
        <v>11095</v>
      </c>
      <c r="G951" s="176">
        <v>6057</v>
      </c>
      <c r="H951" s="167" t="s">
        <v>2651</v>
      </c>
      <c r="I951" s="167" t="str">
        <f>IF(Plan_Comptable[[#This Row],[Sous-compte]]="","",LEFT(Plan_Comptable[[#This Row],[Sous-compte]]&amp;"00",4))</f>
        <v>6057</v>
      </c>
      <c r="J951" s="167"/>
    </row>
    <row r="952" spans="1:10" ht="15" customHeight="1">
      <c r="A952" s="162">
        <v>7025</v>
      </c>
      <c r="B952" s="162" t="s">
        <v>11096</v>
      </c>
      <c r="D952" s="187" t="s">
        <v>80</v>
      </c>
      <c r="E952" s="168" t="s">
        <v>11068</v>
      </c>
      <c r="F952" s="168" t="s">
        <v>11095</v>
      </c>
      <c r="G952" s="176">
        <v>6058</v>
      </c>
      <c r="H952" s="167" t="s">
        <v>2652</v>
      </c>
      <c r="I952" s="167" t="str">
        <f>IF(Plan_Comptable[[#This Row],[Sous-compte]]="","",LEFT(Plan_Comptable[[#This Row],[Sous-compte]]&amp;"00",4))</f>
        <v>6058</v>
      </c>
      <c r="J952" s="167"/>
    </row>
    <row r="953" spans="1:10" ht="15" customHeight="1">
      <c r="A953" s="162">
        <v>7029</v>
      </c>
      <c r="B953" s="162" t="s">
        <v>11097</v>
      </c>
      <c r="D953" s="187" t="s">
        <v>80</v>
      </c>
      <c r="E953" s="168" t="s">
        <v>11068</v>
      </c>
      <c r="F953" s="168" t="s">
        <v>11095</v>
      </c>
      <c r="G953" s="176">
        <v>6059</v>
      </c>
      <c r="H953" s="167" t="s">
        <v>10934</v>
      </c>
      <c r="I953" s="167" t="str">
        <f>IF(Plan_Comptable[[#This Row],[Sous-compte]]="","",LEFT(Plan_Comptable[[#This Row],[Sous-compte]]&amp;"00",4))</f>
        <v>6059</v>
      </c>
      <c r="J953" s="167"/>
    </row>
    <row r="954" spans="1:10" ht="15" customHeight="1">
      <c r="A954" s="162">
        <v>7031</v>
      </c>
      <c r="B954" s="162" t="s">
        <v>11092</v>
      </c>
      <c r="D954" s="187" t="s">
        <v>80</v>
      </c>
      <c r="E954" s="168" t="s">
        <v>11068</v>
      </c>
      <c r="F954" s="168">
        <v>608</v>
      </c>
      <c r="G954" s="176"/>
      <c r="H954" s="167" t="s">
        <v>11098</v>
      </c>
      <c r="I954" s="167" t="str">
        <f>IF(Plan_Comptable[[#This Row],[Sous-compte]]="","",LEFT(Plan_Comptable[[#This Row],[Sous-compte]]&amp;"00",4))</f>
        <v/>
      </c>
      <c r="J954" s="167"/>
    </row>
    <row r="955" spans="1:10" ht="15" customHeight="1">
      <c r="A955" s="162">
        <v>7032</v>
      </c>
      <c r="B955" s="162" t="s">
        <v>11093</v>
      </c>
      <c r="D955" s="187" t="s">
        <v>80</v>
      </c>
      <c r="E955" s="168" t="s">
        <v>11068</v>
      </c>
      <c r="F955" s="168" t="s">
        <v>11099</v>
      </c>
      <c r="G955" s="176">
        <v>6081</v>
      </c>
      <c r="H955" s="167" t="s">
        <v>2653</v>
      </c>
      <c r="I955" s="167" t="str">
        <f>IF(Plan_Comptable[[#This Row],[Sous-compte]]="","",LEFT(Plan_Comptable[[#This Row],[Sous-compte]]&amp;"00",4))</f>
        <v>6081</v>
      </c>
      <c r="J955" s="167"/>
    </row>
    <row r="956" spans="1:10" ht="15" customHeight="1">
      <c r="A956" s="162">
        <v>7033</v>
      </c>
      <c r="B956" s="162" t="s">
        <v>10930</v>
      </c>
      <c r="D956" s="187" t="s">
        <v>80</v>
      </c>
      <c r="E956" s="168" t="s">
        <v>11068</v>
      </c>
      <c r="F956" s="168" t="s">
        <v>11099</v>
      </c>
      <c r="G956" s="176">
        <v>6082</v>
      </c>
      <c r="H956" s="167" t="s">
        <v>2654</v>
      </c>
      <c r="I956" s="167" t="str">
        <f>IF(Plan_Comptable[[#This Row],[Sous-compte]]="","",LEFT(Plan_Comptable[[#This Row],[Sous-compte]]&amp;"00",4))</f>
        <v>6082</v>
      </c>
      <c r="J956" s="167"/>
    </row>
    <row r="957" spans="1:10" ht="15" customHeight="1">
      <c r="A957" s="162">
        <v>7034</v>
      </c>
      <c r="B957" s="162" t="s">
        <v>10931</v>
      </c>
      <c r="D957" s="187" t="s">
        <v>80</v>
      </c>
      <c r="E957" s="168" t="s">
        <v>11068</v>
      </c>
      <c r="F957" s="168" t="s">
        <v>11099</v>
      </c>
      <c r="G957" s="176">
        <v>6083</v>
      </c>
      <c r="H957" s="167" t="s">
        <v>2655</v>
      </c>
      <c r="I957" s="167" t="str">
        <f>IF(Plan_Comptable[[#This Row],[Sous-compte]]="","",LEFT(Plan_Comptable[[#This Row],[Sous-compte]]&amp;"00",4))</f>
        <v>6083</v>
      </c>
      <c r="J957" s="167"/>
    </row>
    <row r="958" spans="1:10" ht="15" customHeight="1">
      <c r="A958" s="162">
        <v>7035</v>
      </c>
      <c r="B958" s="162" t="s">
        <v>11096</v>
      </c>
      <c r="D958" s="187" t="s">
        <v>80</v>
      </c>
      <c r="E958" s="168" t="s">
        <v>11068</v>
      </c>
      <c r="F958" s="168" t="s">
        <v>11099</v>
      </c>
      <c r="G958" s="173">
        <v>6085</v>
      </c>
      <c r="H958" s="174" t="s">
        <v>11076</v>
      </c>
      <c r="I958" s="167" t="str">
        <f>IF(Plan_Comptable[[#This Row],[Sous-compte]]="","",LEFT(Plan_Comptable[[#This Row],[Sous-compte]]&amp;"00",4))</f>
        <v>6085</v>
      </c>
      <c r="J958" s="167"/>
    </row>
    <row r="959" spans="1:10" ht="15" customHeight="1">
      <c r="A959" s="162">
        <v>7039</v>
      </c>
      <c r="B959" s="162" t="s">
        <v>11097</v>
      </c>
      <c r="D959" s="187" t="s">
        <v>80</v>
      </c>
      <c r="E959" s="168" t="s">
        <v>11068</v>
      </c>
      <c r="F959" s="168" t="s">
        <v>11099</v>
      </c>
      <c r="G959" s="176">
        <v>6089</v>
      </c>
      <c r="H959" s="167" t="s">
        <v>10934</v>
      </c>
      <c r="I959" s="167" t="str">
        <f>IF(Plan_Comptable[[#This Row],[Sous-compte]]="","",LEFT(Plan_Comptable[[#This Row],[Sous-compte]]&amp;"00",4))</f>
        <v>6089</v>
      </c>
      <c r="J959" s="167"/>
    </row>
    <row r="960" spans="1:10" ht="15" customHeight="1">
      <c r="A960" s="162">
        <v>7041</v>
      </c>
      <c r="B960" s="162" t="s">
        <v>11092</v>
      </c>
      <c r="D960" s="187" t="s">
        <v>80</v>
      </c>
      <c r="E960" s="189">
        <v>61</v>
      </c>
      <c r="F960" s="165" t="s">
        <v>9941</v>
      </c>
      <c r="G960" s="165"/>
      <c r="H960" s="166" t="s">
        <v>11100</v>
      </c>
      <c r="I960" s="167" t="str">
        <f>IF(Plan_Comptable[[#This Row],[Sous-compte]]="","",LEFT(Plan_Comptable[[#This Row],[Sous-compte]]&amp;"00",4))</f>
        <v/>
      </c>
      <c r="J960" s="167"/>
    </row>
    <row r="961" spans="1:10" ht="15" customHeight="1">
      <c r="A961" s="162">
        <v>7042</v>
      </c>
      <c r="B961" s="162" t="s">
        <v>11093</v>
      </c>
      <c r="D961" s="187" t="s">
        <v>80</v>
      </c>
      <c r="E961" s="168" t="s">
        <v>11101</v>
      </c>
      <c r="F961" s="168">
        <v>612</v>
      </c>
      <c r="G961" s="176">
        <v>612</v>
      </c>
      <c r="H961" s="167" t="s">
        <v>10953</v>
      </c>
      <c r="I961" s="167" t="str">
        <f>IF(Plan_Comptable[[#This Row],[Sous-compte]]="","",LEFT(Plan_Comptable[[#This Row],[Sous-compte]]&amp;"00",4))</f>
        <v>6120</v>
      </c>
      <c r="J961" s="167"/>
    </row>
    <row r="962" spans="1:10" ht="15" customHeight="1">
      <c r="A962" s="162">
        <v>7043</v>
      </c>
      <c r="B962" s="162" t="s">
        <v>10930</v>
      </c>
      <c r="D962" s="187" t="s">
        <v>80</v>
      </c>
      <c r="E962" s="168" t="s">
        <v>11101</v>
      </c>
      <c r="F962" s="168">
        <v>613</v>
      </c>
      <c r="G962" s="176">
        <v>613</v>
      </c>
      <c r="H962" s="167" t="s">
        <v>10954</v>
      </c>
      <c r="I962" s="167" t="str">
        <f>IF(Plan_Comptable[[#This Row],[Sous-compte]]="","",LEFT(Plan_Comptable[[#This Row],[Sous-compte]]&amp;"00",4))</f>
        <v>6130</v>
      </c>
      <c r="J962" s="167"/>
    </row>
    <row r="963" spans="1:10" ht="15" customHeight="1">
      <c r="A963" s="162">
        <v>7044</v>
      </c>
      <c r="B963" s="162" t="s">
        <v>10931</v>
      </c>
      <c r="D963" s="187" t="s">
        <v>80</v>
      </c>
      <c r="E963" s="168" t="s">
        <v>11101</v>
      </c>
      <c r="F963" s="168">
        <v>614</v>
      </c>
      <c r="G963" s="176">
        <v>614</v>
      </c>
      <c r="H963" s="167" t="s">
        <v>10955</v>
      </c>
      <c r="I963" s="167" t="str">
        <f>IF(Plan_Comptable[[#This Row],[Sous-compte]]="","",LEFT(Plan_Comptable[[#This Row],[Sous-compte]]&amp;"00",4))</f>
        <v>6140</v>
      </c>
      <c r="J963" s="167"/>
    </row>
    <row r="964" spans="1:10" ht="15" customHeight="1">
      <c r="A964" s="162">
        <v>7045</v>
      </c>
      <c r="B964" s="162" t="s">
        <v>11096</v>
      </c>
      <c r="D964" s="187" t="s">
        <v>80</v>
      </c>
      <c r="E964" s="168" t="s">
        <v>11101</v>
      </c>
      <c r="F964" s="168">
        <v>616</v>
      </c>
      <c r="G964" s="176">
        <v>616</v>
      </c>
      <c r="H964" s="167" t="s">
        <v>10956</v>
      </c>
      <c r="I964" s="167" t="str">
        <f>IF(Plan_Comptable[[#This Row],[Sous-compte]]="","",LEFT(Plan_Comptable[[#This Row],[Sous-compte]]&amp;"00",4))</f>
        <v>6160</v>
      </c>
      <c r="J964" s="167"/>
    </row>
    <row r="965" spans="1:10" ht="15" customHeight="1">
      <c r="A965" s="162">
        <v>7049</v>
      </c>
      <c r="B965" s="162" t="s">
        <v>11097</v>
      </c>
      <c r="D965" s="187" t="s">
        <v>80</v>
      </c>
      <c r="E965" s="168" t="s">
        <v>11101</v>
      </c>
      <c r="F965" s="168">
        <v>618</v>
      </c>
      <c r="G965" s="176"/>
      <c r="H965" s="167" t="s">
        <v>11102</v>
      </c>
      <c r="I965" s="167" t="str">
        <f>IF(Plan_Comptable[[#This Row],[Sous-compte]]="","",LEFT(Plan_Comptable[[#This Row],[Sous-compte]]&amp;"00",4))</f>
        <v/>
      </c>
      <c r="J965" s="167"/>
    </row>
    <row r="966" spans="1:10" ht="15" customHeight="1">
      <c r="A966" s="162">
        <v>7051</v>
      </c>
      <c r="B966" s="162" t="s">
        <v>11092</v>
      </c>
      <c r="D966" s="187" t="s">
        <v>80</v>
      </c>
      <c r="E966" s="168" t="s">
        <v>11101</v>
      </c>
      <c r="F966" s="168" t="s">
        <v>11103</v>
      </c>
      <c r="G966" s="176">
        <v>6181</v>
      </c>
      <c r="H966" s="167" t="s">
        <v>2659</v>
      </c>
      <c r="I966" s="167" t="str">
        <f>IF(Plan_Comptable[[#This Row],[Sous-compte]]="","",LEFT(Plan_Comptable[[#This Row],[Sous-compte]]&amp;"00",4))</f>
        <v>6181</v>
      </c>
      <c r="J966" s="167"/>
    </row>
    <row r="967" spans="1:10" ht="15" customHeight="1">
      <c r="A967" s="162">
        <v>7052</v>
      </c>
      <c r="B967" s="162" t="s">
        <v>11093</v>
      </c>
      <c r="D967" s="187" t="s">
        <v>80</v>
      </c>
      <c r="E967" s="168" t="s">
        <v>11101</v>
      </c>
      <c r="F967" s="168" t="s">
        <v>11103</v>
      </c>
      <c r="G967" s="176">
        <v>6182</v>
      </c>
      <c r="H967" s="167" t="s">
        <v>10957</v>
      </c>
      <c r="I967" s="167" t="str">
        <f>IF(Plan_Comptable[[#This Row],[Sous-compte]]="","",LEFT(Plan_Comptable[[#This Row],[Sous-compte]]&amp;"00",4))</f>
        <v>6182</v>
      </c>
      <c r="J967" s="167"/>
    </row>
    <row r="968" spans="1:10" ht="15" customHeight="1">
      <c r="A968" s="162">
        <v>7053</v>
      </c>
      <c r="B968" s="162" t="s">
        <v>10930</v>
      </c>
      <c r="D968" s="187" t="s">
        <v>80</v>
      </c>
      <c r="E968" s="168" t="s">
        <v>11101</v>
      </c>
      <c r="F968" s="168" t="s">
        <v>11103</v>
      </c>
      <c r="G968" s="176">
        <v>6183</v>
      </c>
      <c r="H968" s="167" t="s">
        <v>2193</v>
      </c>
      <c r="I968" s="167" t="str">
        <f>IF(Plan_Comptable[[#This Row],[Sous-compte]]="","",LEFT(Plan_Comptable[[#This Row],[Sous-compte]]&amp;"00",4))</f>
        <v>6183</v>
      </c>
      <c r="J968" s="167"/>
    </row>
    <row r="969" spans="1:10" ht="15" customHeight="1">
      <c r="A969" s="162">
        <v>7054</v>
      </c>
      <c r="B969" s="162" t="s">
        <v>10931</v>
      </c>
      <c r="D969" s="187" t="s">
        <v>80</v>
      </c>
      <c r="E969" s="182">
        <v>62</v>
      </c>
      <c r="F969" s="171" t="s">
        <v>9941</v>
      </c>
      <c r="G969" s="171"/>
      <c r="H969" s="183" t="s">
        <v>11104</v>
      </c>
      <c r="I969" s="167" t="str">
        <f>IF(Plan_Comptable[[#This Row],[Sous-compte]]="","",LEFT(Plan_Comptable[[#This Row],[Sous-compte]]&amp;"00",4))</f>
        <v/>
      </c>
      <c r="J969" s="167"/>
    </row>
    <row r="970" spans="1:10" ht="15" customHeight="1">
      <c r="A970" s="162">
        <v>7055</v>
      </c>
      <c r="B970" s="162" t="s">
        <v>11096</v>
      </c>
      <c r="D970" s="187" t="s">
        <v>80</v>
      </c>
      <c r="E970" s="168" t="s">
        <v>11105</v>
      </c>
      <c r="F970" s="168">
        <v>621</v>
      </c>
      <c r="G970" s="176">
        <v>621</v>
      </c>
      <c r="H970" s="167" t="s">
        <v>10959</v>
      </c>
      <c r="I970" s="167" t="str">
        <f>IF(Plan_Comptable[[#This Row],[Sous-compte]]="","",LEFT(Plan_Comptable[[#This Row],[Sous-compte]]&amp;"00",4))</f>
        <v>6210</v>
      </c>
      <c r="J970" s="167"/>
    </row>
    <row r="971" spans="1:10" ht="15" customHeight="1">
      <c r="A971" s="162">
        <v>7059</v>
      </c>
      <c r="B971" s="162" t="s">
        <v>11097</v>
      </c>
      <c r="D971" s="187" t="s">
        <v>80</v>
      </c>
      <c r="E971" s="168" t="s">
        <v>11105</v>
      </c>
      <c r="F971" s="171">
        <v>622</v>
      </c>
      <c r="G971" s="172"/>
      <c r="H971" s="179" t="s">
        <v>11106</v>
      </c>
      <c r="I971" s="167" t="str">
        <f>IF(Plan_Comptable[[#This Row],[Sous-compte]]="","",LEFT(Plan_Comptable[[#This Row],[Sous-compte]]&amp;"00",4))</f>
        <v/>
      </c>
      <c r="J971" s="167"/>
    </row>
    <row r="972" spans="1:10" ht="15" customHeight="1">
      <c r="A972" s="162">
        <v>7061</v>
      </c>
      <c r="B972" s="162" t="s">
        <v>11092</v>
      </c>
      <c r="D972" s="187" t="s">
        <v>80</v>
      </c>
      <c r="E972" s="168" t="s">
        <v>11105</v>
      </c>
      <c r="F972" s="168" t="s">
        <v>11107</v>
      </c>
      <c r="G972" s="176">
        <v>6221</v>
      </c>
      <c r="H972" s="167" t="s">
        <v>10962</v>
      </c>
      <c r="I972" s="167" t="str">
        <f>IF(Plan_Comptable[[#This Row],[Sous-compte]]="","",LEFT(Plan_Comptable[[#This Row],[Sous-compte]]&amp;"00",4))</f>
        <v>6221</v>
      </c>
      <c r="J972" s="167"/>
    </row>
    <row r="973" spans="1:10" ht="15" customHeight="1">
      <c r="A973" s="162">
        <v>7062</v>
      </c>
      <c r="B973" s="162" t="s">
        <v>11093</v>
      </c>
      <c r="D973" s="187" t="s">
        <v>80</v>
      </c>
      <c r="E973" s="168" t="s">
        <v>11105</v>
      </c>
      <c r="F973" s="168" t="s">
        <v>11107</v>
      </c>
      <c r="G973" s="176">
        <v>6222</v>
      </c>
      <c r="H973" s="167" t="s">
        <v>10964</v>
      </c>
      <c r="I973" s="167" t="str">
        <f>IF(Plan_Comptable[[#This Row],[Sous-compte]]="","",LEFT(Plan_Comptable[[#This Row],[Sous-compte]]&amp;"00",4))</f>
        <v>6222</v>
      </c>
      <c r="J973" s="167"/>
    </row>
    <row r="974" spans="1:10" ht="15" customHeight="1">
      <c r="A974" s="162">
        <v>7063</v>
      </c>
      <c r="B974" s="162" t="s">
        <v>10930</v>
      </c>
      <c r="D974" s="187" t="s">
        <v>80</v>
      </c>
      <c r="E974" s="168" t="s">
        <v>11105</v>
      </c>
      <c r="F974" s="168" t="s">
        <v>11107</v>
      </c>
      <c r="G974" s="176">
        <v>6223</v>
      </c>
      <c r="H974" s="167" t="s">
        <v>10965</v>
      </c>
      <c r="I974" s="167" t="str">
        <f>IF(Plan_Comptable[[#This Row],[Sous-compte]]="","",LEFT(Plan_Comptable[[#This Row],[Sous-compte]]&amp;"00",4))</f>
        <v>6223</v>
      </c>
      <c r="J974" s="167"/>
    </row>
    <row r="975" spans="1:10" ht="15" customHeight="1">
      <c r="A975" s="162">
        <v>7064</v>
      </c>
      <c r="B975" s="162" t="s">
        <v>10931</v>
      </c>
      <c r="D975" s="187" t="s">
        <v>80</v>
      </c>
      <c r="E975" s="168" t="s">
        <v>11105</v>
      </c>
      <c r="F975" s="168" t="s">
        <v>11107</v>
      </c>
      <c r="G975" s="176">
        <v>6224</v>
      </c>
      <c r="H975" s="167" t="s">
        <v>2664</v>
      </c>
      <c r="I975" s="167" t="str">
        <f>IF(Plan_Comptable[[#This Row],[Sous-compte]]="","",LEFT(Plan_Comptable[[#This Row],[Sous-compte]]&amp;"00",4))</f>
        <v>6224</v>
      </c>
      <c r="J975" s="167"/>
    </row>
    <row r="976" spans="1:10" ht="15" customHeight="1">
      <c r="A976" s="162">
        <v>7065</v>
      </c>
      <c r="B976" s="162" t="s">
        <v>11096</v>
      </c>
      <c r="D976" s="187" t="s">
        <v>80</v>
      </c>
      <c r="E976" s="168" t="s">
        <v>11105</v>
      </c>
      <c r="F976" s="168" t="s">
        <v>11107</v>
      </c>
      <c r="G976" s="176">
        <v>6225</v>
      </c>
      <c r="H976" s="167" t="s">
        <v>10967</v>
      </c>
      <c r="I976" s="167" t="str">
        <f>IF(Plan_Comptable[[#This Row],[Sous-compte]]="","",LEFT(Plan_Comptable[[#This Row],[Sous-compte]]&amp;"00",4))</f>
        <v>6225</v>
      </c>
      <c r="J976" s="167"/>
    </row>
    <row r="977" spans="1:10" ht="15" customHeight="1">
      <c r="A977" s="162">
        <v>7069</v>
      </c>
      <c r="B977" s="162" t="s">
        <v>11097</v>
      </c>
      <c r="D977" s="187" t="s">
        <v>80</v>
      </c>
      <c r="E977" s="168" t="s">
        <v>11105</v>
      </c>
      <c r="F977" s="168" t="s">
        <v>11107</v>
      </c>
      <c r="G977" s="173">
        <v>6226</v>
      </c>
      <c r="H977" s="174" t="s">
        <v>2666</v>
      </c>
      <c r="I977" s="167" t="str">
        <f>IF(Plan_Comptable[[#This Row],[Sous-compte]]="","",LEFT(Plan_Comptable[[#This Row],[Sous-compte]]&amp;"00",4))</f>
        <v>6226</v>
      </c>
      <c r="J977" s="167"/>
    </row>
    <row r="978" spans="1:10" ht="15" customHeight="1">
      <c r="A978" s="162">
        <v>7071</v>
      </c>
      <c r="B978" s="162" t="s">
        <v>11108</v>
      </c>
      <c r="D978" s="187" t="s">
        <v>80</v>
      </c>
      <c r="E978" s="168" t="s">
        <v>11105</v>
      </c>
      <c r="F978" s="168" t="s">
        <v>11107</v>
      </c>
      <c r="G978" s="176">
        <v>6228</v>
      </c>
      <c r="H978" s="167" t="s">
        <v>10968</v>
      </c>
      <c r="I978" s="167" t="str">
        <f>IF(Plan_Comptable[[#This Row],[Sous-compte]]="","",LEFT(Plan_Comptable[[#This Row],[Sous-compte]]&amp;"00",4))</f>
        <v>6228</v>
      </c>
      <c r="J978" s="167"/>
    </row>
    <row r="979" spans="1:10" ht="15" customHeight="1">
      <c r="A979" s="162">
        <v>7072</v>
      </c>
      <c r="B979" s="162" t="s">
        <v>11109</v>
      </c>
      <c r="D979" s="187" t="s">
        <v>80</v>
      </c>
      <c r="E979" s="168" t="s">
        <v>11105</v>
      </c>
      <c r="F979" s="171">
        <v>623</v>
      </c>
      <c r="G979" s="172"/>
      <c r="H979" s="179" t="s">
        <v>11110</v>
      </c>
      <c r="I979" s="167" t="str">
        <f>IF(Plan_Comptable[[#This Row],[Sous-compte]]="","",LEFT(Plan_Comptable[[#This Row],[Sous-compte]]&amp;"00",4))</f>
        <v/>
      </c>
      <c r="J979" s="167"/>
    </row>
    <row r="980" spans="1:10" ht="15" customHeight="1">
      <c r="A980" s="162">
        <v>7073</v>
      </c>
      <c r="B980" s="162" t="s">
        <v>11111</v>
      </c>
      <c r="D980" s="187" t="s">
        <v>80</v>
      </c>
      <c r="E980" s="168" t="s">
        <v>11105</v>
      </c>
      <c r="F980" s="168" t="s">
        <v>11112</v>
      </c>
      <c r="G980" s="176">
        <v>6232</v>
      </c>
      <c r="H980" s="167" t="s">
        <v>2668</v>
      </c>
      <c r="I980" s="167" t="str">
        <f>IF(Plan_Comptable[[#This Row],[Sous-compte]]="","",LEFT(Plan_Comptable[[#This Row],[Sous-compte]]&amp;"00",4))</f>
        <v>6232</v>
      </c>
      <c r="J980" s="167"/>
    </row>
    <row r="981" spans="1:10" ht="15" customHeight="1">
      <c r="A981" s="162">
        <v>7074</v>
      </c>
      <c r="B981" s="162" t="s">
        <v>11113</v>
      </c>
      <c r="D981" s="187" t="s">
        <v>80</v>
      </c>
      <c r="E981" s="168" t="s">
        <v>11105</v>
      </c>
      <c r="F981" s="168" t="s">
        <v>11112</v>
      </c>
      <c r="G981" s="176">
        <v>6233</v>
      </c>
      <c r="H981" s="167" t="s">
        <v>2669</v>
      </c>
      <c r="I981" s="167" t="str">
        <f>IF(Plan_Comptable[[#This Row],[Sous-compte]]="","",LEFT(Plan_Comptable[[#This Row],[Sous-compte]]&amp;"00",4))</f>
        <v>6233</v>
      </c>
      <c r="J981" s="167"/>
    </row>
    <row r="982" spans="1:10" ht="15" customHeight="1">
      <c r="A982" s="162">
        <v>7075</v>
      </c>
      <c r="B982" s="162" t="s">
        <v>11114</v>
      </c>
      <c r="D982" s="187" t="s">
        <v>80</v>
      </c>
      <c r="E982" s="168" t="s">
        <v>11105</v>
      </c>
      <c r="F982" s="168" t="s">
        <v>11112</v>
      </c>
      <c r="G982" s="173">
        <v>6234</v>
      </c>
      <c r="H982" s="174" t="s">
        <v>2670</v>
      </c>
      <c r="I982" s="167" t="str">
        <f>IF(Plan_Comptable[[#This Row],[Sous-compte]]="","",LEFT(Plan_Comptable[[#This Row],[Sous-compte]]&amp;"00",4))</f>
        <v>6234</v>
      </c>
      <c r="J982" s="167"/>
    </row>
    <row r="983" spans="1:10" ht="15" customHeight="1">
      <c r="A983" s="162">
        <v>7076</v>
      </c>
      <c r="B983" s="162" t="s">
        <v>11115</v>
      </c>
      <c r="D983" s="187" t="s">
        <v>80</v>
      </c>
      <c r="E983" s="168" t="s">
        <v>11105</v>
      </c>
      <c r="F983" s="168" t="s">
        <v>11112</v>
      </c>
      <c r="G983" s="172">
        <v>6238</v>
      </c>
      <c r="H983" s="179" t="s">
        <v>10971</v>
      </c>
      <c r="I983" s="167" t="str">
        <f>IF(Plan_Comptable[[#This Row],[Sous-compte]]="","",LEFT(Plan_Comptable[[#This Row],[Sous-compte]]&amp;"00",4))</f>
        <v>6238</v>
      </c>
      <c r="J983" s="167"/>
    </row>
    <row r="984" spans="1:10" ht="15" customHeight="1">
      <c r="A984" s="162">
        <v>7077</v>
      </c>
      <c r="B984" s="162" t="s">
        <v>11116</v>
      </c>
      <c r="D984" s="187" t="s">
        <v>80</v>
      </c>
      <c r="E984" s="168" t="s">
        <v>11105</v>
      </c>
      <c r="F984" s="171">
        <v>624</v>
      </c>
      <c r="G984" s="172"/>
      <c r="H984" s="179" t="s">
        <v>11117</v>
      </c>
      <c r="I984" s="167" t="str">
        <f>IF(Plan_Comptable[[#This Row],[Sous-compte]]="","",LEFT(Plan_Comptable[[#This Row],[Sous-compte]]&amp;"00",4))</f>
        <v/>
      </c>
      <c r="J984" s="167"/>
    </row>
    <row r="985" spans="1:10" ht="15" customHeight="1">
      <c r="A985" s="162">
        <v>7078</v>
      </c>
      <c r="B985" s="162" t="s">
        <v>11118</v>
      </c>
      <c r="D985" s="187" t="s">
        <v>80</v>
      </c>
      <c r="E985" s="168" t="s">
        <v>11105</v>
      </c>
      <c r="F985" s="168" t="s">
        <v>11119</v>
      </c>
      <c r="G985" s="176">
        <v>6241</v>
      </c>
      <c r="H985" s="167" t="s">
        <v>10972</v>
      </c>
      <c r="I985" s="167" t="str">
        <f>IF(Plan_Comptable[[#This Row],[Sous-compte]]="","",LEFT(Plan_Comptable[[#This Row],[Sous-compte]]&amp;"00",4))</f>
        <v>6241</v>
      </c>
      <c r="J985" s="167"/>
    </row>
    <row r="986" spans="1:10" ht="15" customHeight="1">
      <c r="A986" s="162">
        <v>711</v>
      </c>
      <c r="B986" s="162" t="s">
        <v>11120</v>
      </c>
      <c r="D986" s="187" t="s">
        <v>80</v>
      </c>
      <c r="E986" s="168" t="s">
        <v>11105</v>
      </c>
      <c r="F986" s="168" t="s">
        <v>11119</v>
      </c>
      <c r="G986" s="176">
        <v>6242</v>
      </c>
      <c r="H986" s="167" t="s">
        <v>10973</v>
      </c>
      <c r="I986" s="167" t="str">
        <f>IF(Plan_Comptable[[#This Row],[Sous-compte]]="","",LEFT(Plan_Comptable[[#This Row],[Sous-compte]]&amp;"00",4))</f>
        <v>6242</v>
      </c>
      <c r="J986" s="167"/>
    </row>
    <row r="987" spans="1:10" ht="15" customHeight="1">
      <c r="A987" s="162">
        <v>712</v>
      </c>
      <c r="B987" s="162" t="s">
        <v>11121</v>
      </c>
      <c r="D987" s="187" t="s">
        <v>80</v>
      </c>
      <c r="E987" s="168" t="s">
        <v>11105</v>
      </c>
      <c r="F987" s="168" t="s">
        <v>11119</v>
      </c>
      <c r="G987" s="176">
        <v>6243</v>
      </c>
      <c r="H987" s="167" t="s">
        <v>2675</v>
      </c>
      <c r="I987" s="167" t="str">
        <f>IF(Plan_Comptable[[#This Row],[Sous-compte]]="","",LEFT(Plan_Comptable[[#This Row],[Sous-compte]]&amp;"00",4))</f>
        <v>6243</v>
      </c>
      <c r="J987" s="167"/>
    </row>
    <row r="988" spans="1:10" ht="15" customHeight="1">
      <c r="A988" s="162">
        <v>713</v>
      </c>
      <c r="B988" s="162" t="s">
        <v>11122</v>
      </c>
      <c r="D988" s="187" t="s">
        <v>80</v>
      </c>
      <c r="E988" s="168" t="s">
        <v>11105</v>
      </c>
      <c r="F988" s="168" t="s">
        <v>11119</v>
      </c>
      <c r="G988" s="173">
        <v>6244</v>
      </c>
      <c r="H988" s="175" t="s">
        <v>10976</v>
      </c>
      <c r="I988" s="167" t="str">
        <f>IF(Plan_Comptable[[#This Row],[Sous-compte]]="","",LEFT(Plan_Comptable[[#This Row],[Sous-compte]]&amp;"00",4))</f>
        <v>6244</v>
      </c>
      <c r="J988" s="167"/>
    </row>
    <row r="989" spans="1:10" ht="15" customHeight="1">
      <c r="A989" s="162">
        <v>714</v>
      </c>
      <c r="B989" s="162" t="s">
        <v>11123</v>
      </c>
      <c r="D989" s="187" t="s">
        <v>80</v>
      </c>
      <c r="E989" s="168" t="s">
        <v>11105</v>
      </c>
      <c r="F989" s="168" t="s">
        <v>11119</v>
      </c>
      <c r="G989" s="176">
        <v>6248</v>
      </c>
      <c r="H989" s="167" t="s">
        <v>10977</v>
      </c>
      <c r="I989" s="167" t="str">
        <f>IF(Plan_Comptable[[#This Row],[Sous-compte]]="","",LEFT(Plan_Comptable[[#This Row],[Sous-compte]]&amp;"00",4))</f>
        <v>6248</v>
      </c>
      <c r="J989" s="167"/>
    </row>
    <row r="990" spans="1:10" ht="15" customHeight="1">
      <c r="A990" s="162">
        <v>7181</v>
      </c>
      <c r="B990" s="162" t="s">
        <v>11124</v>
      </c>
      <c r="D990" s="187" t="s">
        <v>80</v>
      </c>
      <c r="E990" s="168" t="s">
        <v>11105</v>
      </c>
      <c r="F990" s="168">
        <v>625</v>
      </c>
      <c r="G990" s="176"/>
      <c r="H990" s="167" t="s">
        <v>11125</v>
      </c>
      <c r="I990" s="167" t="str">
        <f>IF(Plan_Comptable[[#This Row],[Sous-compte]]="","",LEFT(Plan_Comptable[[#This Row],[Sous-compte]]&amp;"00",4))</f>
        <v/>
      </c>
      <c r="J990" s="167"/>
    </row>
    <row r="991" spans="1:10" ht="15" customHeight="1">
      <c r="A991" s="162">
        <v>7182</v>
      </c>
      <c r="B991" s="162" t="s">
        <v>11126</v>
      </c>
      <c r="D991" s="187" t="s">
        <v>80</v>
      </c>
      <c r="E991" s="168" t="s">
        <v>11105</v>
      </c>
      <c r="F991" s="168" t="s">
        <v>11127</v>
      </c>
      <c r="G991" s="176">
        <v>6251</v>
      </c>
      <c r="H991" s="167" t="s">
        <v>10978</v>
      </c>
      <c r="I991" s="167" t="str">
        <f>IF(Plan_Comptable[[#This Row],[Sous-compte]]="","",LEFT(Plan_Comptable[[#This Row],[Sous-compte]]&amp;"00",4))</f>
        <v>6251</v>
      </c>
      <c r="J991" s="167"/>
    </row>
    <row r="992" spans="1:10" ht="15" customHeight="1">
      <c r="A992" s="162">
        <v>7183</v>
      </c>
      <c r="B992" s="162" t="s">
        <v>11128</v>
      </c>
      <c r="D992" s="187" t="s">
        <v>80</v>
      </c>
      <c r="E992" s="168" t="s">
        <v>11105</v>
      </c>
      <c r="F992" s="168" t="s">
        <v>11127</v>
      </c>
      <c r="G992" s="176">
        <v>6252</v>
      </c>
      <c r="H992" s="167" t="s">
        <v>10980</v>
      </c>
      <c r="I992" s="167" t="str">
        <f>IF(Plan_Comptable[[#This Row],[Sous-compte]]="","",LEFT(Plan_Comptable[[#This Row],[Sous-compte]]&amp;"00",4))</f>
        <v>6252</v>
      </c>
      <c r="J992" s="167"/>
    </row>
    <row r="993" spans="1:10" ht="15" customHeight="1">
      <c r="A993" s="162">
        <v>721</v>
      </c>
      <c r="B993" s="162" t="s">
        <v>1236</v>
      </c>
      <c r="D993" s="187" t="s">
        <v>80</v>
      </c>
      <c r="E993" s="168" t="s">
        <v>11105</v>
      </c>
      <c r="F993" s="168" t="s">
        <v>11127</v>
      </c>
      <c r="G993" s="176">
        <v>6253</v>
      </c>
      <c r="H993" s="167" t="s">
        <v>2680</v>
      </c>
      <c r="I993" s="167" t="str">
        <f>IF(Plan_Comptable[[#This Row],[Sous-compte]]="","",LEFT(Plan_Comptable[[#This Row],[Sous-compte]]&amp;"00",4))</f>
        <v>6253</v>
      </c>
      <c r="J993" s="167"/>
    </row>
    <row r="994" spans="1:10" ht="15" customHeight="1">
      <c r="A994" s="162">
        <v>7221</v>
      </c>
      <c r="B994" s="162" t="s">
        <v>11129</v>
      </c>
      <c r="D994" s="187" t="s">
        <v>80</v>
      </c>
      <c r="E994" s="168" t="s">
        <v>11105</v>
      </c>
      <c r="F994" s="168" t="s">
        <v>11127</v>
      </c>
      <c r="G994" s="176">
        <v>6254</v>
      </c>
      <c r="H994" s="167" t="s">
        <v>2681</v>
      </c>
      <c r="I994" s="167" t="str">
        <f>IF(Plan_Comptable[[#This Row],[Sous-compte]]="","",LEFT(Plan_Comptable[[#This Row],[Sous-compte]]&amp;"00",4))</f>
        <v>6254</v>
      </c>
      <c r="J994" s="167"/>
    </row>
    <row r="995" spans="1:10" ht="15" customHeight="1">
      <c r="A995" s="162">
        <v>7222</v>
      </c>
      <c r="B995" s="162" t="s">
        <v>11130</v>
      </c>
      <c r="D995" s="187" t="s">
        <v>80</v>
      </c>
      <c r="E995" s="168" t="s">
        <v>11105</v>
      </c>
      <c r="F995" s="168" t="s">
        <v>11127</v>
      </c>
      <c r="G995" s="176">
        <v>6255</v>
      </c>
      <c r="H995" s="167" t="s">
        <v>2682</v>
      </c>
      <c r="I995" s="167" t="str">
        <f>IF(Plan_Comptable[[#This Row],[Sous-compte]]="","",LEFT(Plan_Comptable[[#This Row],[Sous-compte]]&amp;"00",4))</f>
        <v>6255</v>
      </c>
      <c r="J995" s="167"/>
    </row>
    <row r="996" spans="1:10" ht="15" customHeight="1">
      <c r="A996" s="162">
        <v>724</v>
      </c>
      <c r="B996" s="162" t="s">
        <v>11131</v>
      </c>
      <c r="D996" s="187" t="s">
        <v>80</v>
      </c>
      <c r="E996" s="168" t="s">
        <v>11105</v>
      </c>
      <c r="F996" s="168" t="s">
        <v>11127</v>
      </c>
      <c r="G996" s="176">
        <v>6257</v>
      </c>
      <c r="H996" s="167" t="s">
        <v>2683</v>
      </c>
      <c r="I996" s="167" t="str">
        <f>IF(Plan_Comptable[[#This Row],[Sous-compte]]="","",LEFT(Plan_Comptable[[#This Row],[Sous-compte]]&amp;"00",4))</f>
        <v>6257</v>
      </c>
      <c r="J996" s="167"/>
    </row>
    <row r="997" spans="1:10" ht="15" customHeight="1">
      <c r="A997" s="162">
        <v>726</v>
      </c>
      <c r="B997" s="162" t="s">
        <v>11132</v>
      </c>
      <c r="D997" s="187" t="s">
        <v>80</v>
      </c>
      <c r="E997" s="168" t="s">
        <v>11105</v>
      </c>
      <c r="F997" s="168" t="s">
        <v>11127</v>
      </c>
      <c r="G997" s="176">
        <v>6258</v>
      </c>
      <c r="H997" s="167" t="s">
        <v>2684</v>
      </c>
      <c r="I997" s="167" t="str">
        <f>IF(Plan_Comptable[[#This Row],[Sous-compte]]="","",LEFT(Plan_Comptable[[#This Row],[Sous-compte]]&amp;"00",4))</f>
        <v>6258</v>
      </c>
      <c r="J997" s="167"/>
    </row>
    <row r="998" spans="1:10" ht="15" customHeight="1">
      <c r="A998" s="162">
        <v>7341</v>
      </c>
      <c r="B998" s="162" t="s">
        <v>1753</v>
      </c>
      <c r="D998" s="187" t="s">
        <v>80</v>
      </c>
      <c r="E998" s="168" t="s">
        <v>11105</v>
      </c>
      <c r="F998" s="168">
        <v>626</v>
      </c>
      <c r="G998" s="176"/>
      <c r="H998" s="167" t="s">
        <v>11133</v>
      </c>
      <c r="I998" s="167" t="str">
        <f>IF(Plan_Comptable[[#This Row],[Sous-compte]]="","",LEFT(Plan_Comptable[[#This Row],[Sous-compte]]&amp;"00",4))</f>
        <v/>
      </c>
      <c r="J998" s="167"/>
    </row>
    <row r="999" spans="1:10" ht="15" customHeight="1">
      <c r="A999" s="162">
        <v>7342</v>
      </c>
      <c r="B999" s="162" t="s">
        <v>11134</v>
      </c>
      <c r="D999" s="187" t="s">
        <v>80</v>
      </c>
      <c r="E999" s="168" t="s">
        <v>11105</v>
      </c>
      <c r="F999" s="168" t="s">
        <v>11135</v>
      </c>
      <c r="G999" s="176">
        <v>6261</v>
      </c>
      <c r="H999" s="167" t="s">
        <v>2685</v>
      </c>
      <c r="I999" s="167" t="str">
        <f>IF(Plan_Comptable[[#This Row],[Sous-compte]]="","",LEFT(Plan_Comptable[[#This Row],[Sous-compte]]&amp;"00",4))</f>
        <v>6261</v>
      </c>
      <c r="J999" s="167"/>
    </row>
    <row r="1000" spans="1:10" ht="15" customHeight="1">
      <c r="A1000" s="162">
        <v>7351</v>
      </c>
      <c r="B1000" s="162" t="s">
        <v>11136</v>
      </c>
      <c r="D1000" s="187" t="s">
        <v>80</v>
      </c>
      <c r="E1000" s="168" t="s">
        <v>11105</v>
      </c>
      <c r="F1000" s="168" t="s">
        <v>11135</v>
      </c>
      <c r="G1000" s="176">
        <v>6265</v>
      </c>
      <c r="H1000" s="167" t="s">
        <v>2686</v>
      </c>
      <c r="I1000" s="167" t="str">
        <f>IF(Plan_Comptable[[#This Row],[Sous-compte]]="","",LEFT(Plan_Comptable[[#This Row],[Sous-compte]]&amp;"00",4))</f>
        <v>6265</v>
      </c>
      <c r="J1000" s="167"/>
    </row>
    <row r="1001" spans="1:10" ht="15" customHeight="1">
      <c r="A1001" s="162">
        <v>7352</v>
      </c>
      <c r="B1001" s="162" t="s">
        <v>11137</v>
      </c>
      <c r="D1001" s="187" t="s">
        <v>80</v>
      </c>
      <c r="E1001" s="168" t="s">
        <v>11105</v>
      </c>
      <c r="F1001" s="168" t="s">
        <v>11135</v>
      </c>
      <c r="G1001" s="176">
        <v>6266</v>
      </c>
      <c r="H1001" s="167" t="s">
        <v>2687</v>
      </c>
      <c r="I1001" s="167" t="str">
        <f>IF(Plan_Comptable[[#This Row],[Sous-compte]]="","",LEFT(Plan_Comptable[[#This Row],[Sous-compte]]&amp;"00",4))</f>
        <v>6266</v>
      </c>
      <c r="J1001" s="167"/>
    </row>
    <row r="1002" spans="1:10" ht="15" customHeight="1">
      <c r="A1002" s="162">
        <v>736</v>
      </c>
      <c r="B1002" s="162" t="s">
        <v>11138</v>
      </c>
      <c r="D1002" s="187" t="s">
        <v>80</v>
      </c>
      <c r="E1002" s="168" t="s">
        <v>11105</v>
      </c>
      <c r="F1002" s="168">
        <v>627</v>
      </c>
      <c r="G1002" s="176"/>
      <c r="H1002" s="167" t="s">
        <v>11139</v>
      </c>
      <c r="I1002" s="167" t="str">
        <f>IF(Plan_Comptable[[#This Row],[Sous-compte]]="","",LEFT(Plan_Comptable[[#This Row],[Sous-compte]]&amp;"00",4))</f>
        <v/>
      </c>
      <c r="J1002" s="167"/>
    </row>
    <row r="1003" spans="1:10" ht="15" customHeight="1">
      <c r="A1003" s="162">
        <v>7371</v>
      </c>
      <c r="B1003" s="162" t="s">
        <v>1756</v>
      </c>
      <c r="D1003" s="187" t="s">
        <v>80</v>
      </c>
      <c r="E1003" s="168" t="s">
        <v>11105</v>
      </c>
      <c r="F1003" s="168" t="s">
        <v>11140</v>
      </c>
      <c r="G1003" s="176">
        <v>6271</v>
      </c>
      <c r="H1003" s="167" t="s">
        <v>2688</v>
      </c>
      <c r="I1003" s="167" t="str">
        <f>IF(Plan_Comptable[[#This Row],[Sous-compte]]="","",LEFT(Plan_Comptable[[#This Row],[Sous-compte]]&amp;"00",4))</f>
        <v>6271</v>
      </c>
      <c r="J1003" s="167"/>
    </row>
    <row r="1004" spans="1:10" ht="15" customHeight="1">
      <c r="A1004" s="162">
        <v>7372</v>
      </c>
      <c r="B1004" s="162" t="s">
        <v>11141</v>
      </c>
      <c r="D1004" s="187" t="s">
        <v>80</v>
      </c>
      <c r="E1004" s="168" t="s">
        <v>11105</v>
      </c>
      <c r="F1004" s="168" t="s">
        <v>11140</v>
      </c>
      <c r="G1004" s="176">
        <v>6272</v>
      </c>
      <c r="H1004" s="167" t="s">
        <v>2689</v>
      </c>
      <c r="I1004" s="167" t="str">
        <f>IF(Plan_Comptable[[#This Row],[Sous-compte]]="","",LEFT(Plan_Comptable[[#This Row],[Sous-compte]]&amp;"00",4))</f>
        <v>6272</v>
      </c>
      <c r="J1004" s="167"/>
    </row>
    <row r="1005" spans="1:10" ht="15" customHeight="1">
      <c r="A1005" s="162">
        <v>751</v>
      </c>
      <c r="B1005" s="162" t="s">
        <v>11142</v>
      </c>
      <c r="D1005" s="187" t="s">
        <v>80</v>
      </c>
      <c r="E1005" s="168" t="s">
        <v>11105</v>
      </c>
      <c r="F1005" s="168" t="s">
        <v>11140</v>
      </c>
      <c r="G1005" s="176">
        <v>6273</v>
      </c>
      <c r="H1005" s="167" t="s">
        <v>10984</v>
      </c>
      <c r="I1005" s="167" t="str">
        <f>IF(Plan_Comptable[[#This Row],[Sous-compte]]="","",LEFT(Plan_Comptable[[#This Row],[Sous-compte]]&amp;"00",4))</f>
        <v>6273</v>
      </c>
      <c r="J1005" s="167"/>
    </row>
    <row r="1006" spans="1:10" ht="15" customHeight="1">
      <c r="A1006" s="162">
        <v>7521</v>
      </c>
      <c r="B1006" s="162" t="s">
        <v>11143</v>
      </c>
      <c r="D1006" s="187" t="s">
        <v>80</v>
      </c>
      <c r="E1006" s="168" t="s">
        <v>11105</v>
      </c>
      <c r="F1006" s="168" t="s">
        <v>11140</v>
      </c>
      <c r="G1006" s="176">
        <v>6274</v>
      </c>
      <c r="H1006" s="167" t="s">
        <v>2691</v>
      </c>
      <c r="I1006" s="167" t="str">
        <f>IF(Plan_Comptable[[#This Row],[Sous-compte]]="","",LEFT(Plan_Comptable[[#This Row],[Sous-compte]]&amp;"00",4))</f>
        <v>6274</v>
      </c>
      <c r="J1006" s="167"/>
    </row>
    <row r="1007" spans="1:10" ht="15" customHeight="1">
      <c r="A1007" s="162">
        <v>7525</v>
      </c>
      <c r="B1007" s="162" t="s">
        <v>11144</v>
      </c>
      <c r="D1007" s="187" t="s">
        <v>80</v>
      </c>
      <c r="E1007" s="168" t="s">
        <v>11105</v>
      </c>
      <c r="F1007" s="168" t="s">
        <v>11140</v>
      </c>
      <c r="G1007" s="176">
        <v>6275</v>
      </c>
      <c r="H1007" s="167" t="s">
        <v>2692</v>
      </c>
      <c r="I1007" s="167" t="str">
        <f>IF(Plan_Comptable[[#This Row],[Sous-compte]]="","",LEFT(Plan_Comptable[[#This Row],[Sous-compte]]&amp;"00",4))</f>
        <v>6275</v>
      </c>
      <c r="J1007" s="167"/>
    </row>
    <row r="1008" spans="1:10" ht="15" customHeight="1">
      <c r="A1008" s="162">
        <v>7541</v>
      </c>
      <c r="B1008" s="162" t="s">
        <v>10781</v>
      </c>
      <c r="D1008" s="187" t="s">
        <v>80</v>
      </c>
      <c r="E1008" s="168" t="s">
        <v>11105</v>
      </c>
      <c r="F1008" s="168" t="s">
        <v>11140</v>
      </c>
      <c r="G1008" s="176">
        <v>6276</v>
      </c>
      <c r="H1008" s="167" t="s">
        <v>2693</v>
      </c>
      <c r="I1008" s="167" t="str">
        <f>IF(Plan_Comptable[[#This Row],[Sous-compte]]="","",LEFT(Plan_Comptable[[#This Row],[Sous-compte]]&amp;"00",4))</f>
        <v>6276</v>
      </c>
      <c r="J1008" s="167"/>
    </row>
    <row r="1009" spans="1:10" ht="15" customHeight="1">
      <c r="A1009" s="162">
        <v>7542</v>
      </c>
      <c r="B1009" s="162" t="s">
        <v>10783</v>
      </c>
      <c r="D1009" s="187" t="s">
        <v>80</v>
      </c>
      <c r="E1009" s="168" t="s">
        <v>11105</v>
      </c>
      <c r="F1009" s="168" t="s">
        <v>11140</v>
      </c>
      <c r="G1009" s="176">
        <v>6277</v>
      </c>
      <c r="H1009" s="167" t="s">
        <v>2694</v>
      </c>
      <c r="I1009" s="167" t="str">
        <f>IF(Plan_Comptable[[#This Row],[Sous-compte]]="","",LEFT(Plan_Comptable[[#This Row],[Sous-compte]]&amp;"00",4))</f>
        <v>6277</v>
      </c>
      <c r="J1009" s="167"/>
    </row>
    <row r="1010" spans="1:10" ht="15" customHeight="1">
      <c r="A1010" s="162">
        <v>756</v>
      </c>
      <c r="B1010" s="162" t="s">
        <v>11145</v>
      </c>
      <c r="D1010" s="187" t="s">
        <v>80</v>
      </c>
      <c r="E1010" s="168" t="s">
        <v>11105</v>
      </c>
      <c r="F1010" s="168" t="s">
        <v>11140</v>
      </c>
      <c r="G1010" s="176">
        <v>6278</v>
      </c>
      <c r="H1010" s="167" t="s">
        <v>2695</v>
      </c>
      <c r="I1010" s="167" t="str">
        <f>IF(Plan_Comptable[[#This Row],[Sous-compte]]="","",LEFT(Plan_Comptable[[#This Row],[Sous-compte]]&amp;"00",4))</f>
        <v>6278</v>
      </c>
      <c r="J1010" s="167"/>
    </row>
    <row r="1011" spans="1:10" ht="15" customHeight="1">
      <c r="A1011" s="162">
        <v>7581</v>
      </c>
      <c r="B1011" s="162" t="s">
        <v>2227</v>
      </c>
      <c r="D1011" s="187" t="s">
        <v>80</v>
      </c>
      <c r="E1011" s="168" t="s">
        <v>11105</v>
      </c>
      <c r="F1011" s="168">
        <v>628</v>
      </c>
      <c r="G1011" s="176"/>
      <c r="H1011" s="167" t="s">
        <v>11146</v>
      </c>
      <c r="I1011" s="167" t="str">
        <f>IF(Plan_Comptable[[#This Row],[Sous-compte]]="","",LEFT(Plan_Comptable[[#This Row],[Sous-compte]]&amp;"00",4))</f>
        <v/>
      </c>
      <c r="J1011" s="167"/>
    </row>
    <row r="1012" spans="1:10" ht="15" customHeight="1">
      <c r="A1012" s="162">
        <v>7582</v>
      </c>
      <c r="B1012" s="162" t="s">
        <v>11147</v>
      </c>
      <c r="D1012" s="187" t="s">
        <v>80</v>
      </c>
      <c r="E1012" s="168" t="s">
        <v>11105</v>
      </c>
      <c r="F1012" s="168" t="s">
        <v>11148</v>
      </c>
      <c r="G1012" s="176">
        <v>6281</v>
      </c>
      <c r="H1012" s="167" t="s">
        <v>2696</v>
      </c>
      <c r="I1012" s="167" t="str">
        <f>IF(Plan_Comptable[[#This Row],[Sous-compte]]="","",LEFT(Plan_Comptable[[#This Row],[Sous-compte]]&amp;"00",4))</f>
        <v>6281</v>
      </c>
      <c r="J1012" s="167"/>
    </row>
    <row r="1013" spans="1:10" ht="15" customHeight="1">
      <c r="A1013" s="162">
        <v>7588</v>
      </c>
      <c r="B1013" s="162" t="s">
        <v>11149</v>
      </c>
      <c r="D1013" s="187" t="s">
        <v>80</v>
      </c>
      <c r="E1013" s="168" t="s">
        <v>11105</v>
      </c>
      <c r="F1013" s="168" t="s">
        <v>11148</v>
      </c>
      <c r="G1013" s="176">
        <v>6282</v>
      </c>
      <c r="H1013" s="167" t="s">
        <v>2697</v>
      </c>
      <c r="I1013" s="167" t="str">
        <f>IF(Plan_Comptable[[#This Row],[Sous-compte]]="","",LEFT(Plan_Comptable[[#This Row],[Sous-compte]]&amp;"00",4))</f>
        <v>6282</v>
      </c>
      <c r="J1013" s="167"/>
    </row>
    <row r="1014" spans="1:10" ht="15" customHeight="1">
      <c r="A1014" s="162">
        <v>7591</v>
      </c>
      <c r="B1014" s="162" t="s">
        <v>11020</v>
      </c>
      <c r="D1014" s="187" t="s">
        <v>80</v>
      </c>
      <c r="E1014" s="168" t="s">
        <v>11105</v>
      </c>
      <c r="F1014" s="168" t="s">
        <v>11148</v>
      </c>
      <c r="G1014" s="176">
        <v>6283</v>
      </c>
      <c r="H1014" s="167" t="s">
        <v>2698</v>
      </c>
      <c r="I1014" s="167" t="str">
        <f>IF(Plan_Comptable[[#This Row],[Sous-compte]]="","",LEFT(Plan_Comptable[[#This Row],[Sous-compte]]&amp;"00",4))</f>
        <v>6283</v>
      </c>
      <c r="J1014" s="167"/>
    </row>
    <row r="1015" spans="1:10" ht="15" customHeight="1">
      <c r="A1015" s="162">
        <v>7593</v>
      </c>
      <c r="B1015" s="162" t="s">
        <v>11022</v>
      </c>
      <c r="D1015" s="187" t="s">
        <v>80</v>
      </c>
      <c r="E1015" s="168" t="s">
        <v>11105</v>
      </c>
      <c r="F1015" s="168" t="s">
        <v>11148</v>
      </c>
      <c r="G1015" s="176">
        <v>6288</v>
      </c>
      <c r="H1015" s="167" t="s">
        <v>2700</v>
      </c>
      <c r="I1015" s="167" t="str">
        <f>IF(Plan_Comptable[[#This Row],[Sous-compte]]="","",LEFT(Plan_Comptable[[#This Row],[Sous-compte]]&amp;"00",4))</f>
        <v>6288</v>
      </c>
      <c r="J1015" s="167"/>
    </row>
    <row r="1016" spans="1:10" ht="15" customHeight="1">
      <c r="A1016" s="162">
        <v>7594</v>
      </c>
      <c r="B1016" s="162" t="s">
        <v>11024</v>
      </c>
      <c r="D1016" s="187" t="s">
        <v>80</v>
      </c>
      <c r="E1016" s="182">
        <v>63</v>
      </c>
      <c r="F1016" s="171" t="s">
        <v>9941</v>
      </c>
      <c r="G1016" s="171"/>
      <c r="H1016" s="183" t="s">
        <v>11150</v>
      </c>
      <c r="I1016" s="167" t="str">
        <f>IF(Plan_Comptable[[#This Row],[Sous-compte]]="","",LEFT(Plan_Comptable[[#This Row],[Sous-compte]]&amp;"00",4))</f>
        <v/>
      </c>
      <c r="J1016" s="167"/>
    </row>
    <row r="1017" spans="1:10" ht="15" customHeight="1">
      <c r="A1017" s="162">
        <v>7598</v>
      </c>
      <c r="B1017" s="162" t="s">
        <v>11151</v>
      </c>
      <c r="D1017" s="187" t="s">
        <v>80</v>
      </c>
      <c r="E1017" s="168" t="s">
        <v>11152</v>
      </c>
      <c r="F1017" s="168">
        <v>631</v>
      </c>
      <c r="G1017" s="176"/>
      <c r="H1017" s="167" t="s">
        <v>11153</v>
      </c>
      <c r="I1017" s="167" t="str">
        <f>IF(Plan_Comptable[[#This Row],[Sous-compte]]="","",LEFT(Plan_Comptable[[#This Row],[Sous-compte]]&amp;"00",4))</f>
        <v/>
      </c>
      <c r="J1017" s="167"/>
    </row>
    <row r="1018" spans="1:10" ht="15" customHeight="1">
      <c r="A1018" s="162">
        <v>7712</v>
      </c>
      <c r="B1018" s="162" t="s">
        <v>11154</v>
      </c>
      <c r="D1018" s="187" t="s">
        <v>80</v>
      </c>
      <c r="E1018" s="168" t="s">
        <v>11152</v>
      </c>
      <c r="F1018" s="168" t="s">
        <v>11155</v>
      </c>
      <c r="G1018" s="172">
        <v>6311</v>
      </c>
      <c r="H1018" s="179" t="s">
        <v>2701</v>
      </c>
      <c r="I1018" s="167" t="str">
        <f>IF(Plan_Comptable[[#This Row],[Sous-compte]]="","",LEFT(Plan_Comptable[[#This Row],[Sous-compte]]&amp;"00",4))</f>
        <v>6311</v>
      </c>
      <c r="J1018" s="167"/>
    </row>
    <row r="1019" spans="1:10" ht="15" customHeight="1">
      <c r="A1019" s="162">
        <v>7713</v>
      </c>
      <c r="B1019" s="162" t="s">
        <v>11156</v>
      </c>
      <c r="D1019" s="187" t="s">
        <v>80</v>
      </c>
      <c r="E1019" s="168" t="s">
        <v>11152</v>
      </c>
      <c r="F1019" s="168" t="s">
        <v>11155</v>
      </c>
      <c r="G1019" s="176">
        <v>6312</v>
      </c>
      <c r="H1019" s="167" t="s">
        <v>2702</v>
      </c>
      <c r="I1019" s="167" t="str">
        <f>IF(Plan_Comptable[[#This Row],[Sous-compte]]="","",LEFT(Plan_Comptable[[#This Row],[Sous-compte]]&amp;"00",4))</f>
        <v>6312</v>
      </c>
      <c r="J1019" s="167"/>
    </row>
    <row r="1020" spans="1:10" ht="15" customHeight="1">
      <c r="A1020" s="162">
        <v>7721</v>
      </c>
      <c r="B1020" s="162" t="s">
        <v>11157</v>
      </c>
      <c r="D1020" s="187" t="s">
        <v>80</v>
      </c>
      <c r="E1020" s="168" t="s">
        <v>11152</v>
      </c>
      <c r="F1020" s="168" t="s">
        <v>11155</v>
      </c>
      <c r="G1020" s="176">
        <v>6313</v>
      </c>
      <c r="H1020" s="167" t="s">
        <v>2703</v>
      </c>
      <c r="I1020" s="167" t="str">
        <f>IF(Plan_Comptable[[#This Row],[Sous-compte]]="","",LEFT(Plan_Comptable[[#This Row],[Sous-compte]]&amp;"00",4))</f>
        <v>6313</v>
      </c>
      <c r="J1020" s="167"/>
    </row>
    <row r="1021" spans="1:10" ht="15" customHeight="1">
      <c r="A1021" s="162">
        <v>7722</v>
      </c>
      <c r="B1021" s="162" t="s">
        <v>11158</v>
      </c>
      <c r="D1021" s="187" t="s">
        <v>80</v>
      </c>
      <c r="E1021" s="168" t="s">
        <v>11152</v>
      </c>
      <c r="F1021" s="168" t="s">
        <v>11155</v>
      </c>
      <c r="G1021" s="173">
        <v>6314</v>
      </c>
      <c r="H1021" s="175" t="s">
        <v>2704</v>
      </c>
      <c r="I1021" s="167" t="str">
        <f>IF(Plan_Comptable[[#This Row],[Sous-compte]]="","",LEFT(Plan_Comptable[[#This Row],[Sous-compte]]&amp;"00",4))</f>
        <v>6314</v>
      </c>
      <c r="J1021" s="167"/>
    </row>
    <row r="1022" spans="1:10" ht="15" customHeight="1">
      <c r="A1022" s="162">
        <v>773</v>
      </c>
      <c r="B1022" s="162" t="s">
        <v>11159</v>
      </c>
      <c r="D1022" s="187" t="s">
        <v>80</v>
      </c>
      <c r="E1022" s="168" t="s">
        <v>11152</v>
      </c>
      <c r="F1022" s="168" t="s">
        <v>11155</v>
      </c>
      <c r="G1022" s="176">
        <v>6315</v>
      </c>
      <c r="H1022" s="167" t="s">
        <v>2705</v>
      </c>
      <c r="I1022" s="167" t="str">
        <f>IF(Plan_Comptable[[#This Row],[Sous-compte]]="","",LEFT(Plan_Comptable[[#This Row],[Sous-compte]]&amp;"00",4))</f>
        <v>6315</v>
      </c>
      <c r="J1022" s="167"/>
    </row>
    <row r="1023" spans="1:10" ht="15" customHeight="1">
      <c r="A1023" s="162">
        <v>7745</v>
      </c>
      <c r="B1023" s="162" t="s">
        <v>11160</v>
      </c>
      <c r="D1023" s="187" t="s">
        <v>80</v>
      </c>
      <c r="E1023" s="168" t="s">
        <v>11152</v>
      </c>
      <c r="F1023" s="168" t="s">
        <v>11155</v>
      </c>
      <c r="G1023" s="176">
        <v>6316</v>
      </c>
      <c r="H1023" s="167" t="s">
        <v>2706</v>
      </c>
      <c r="I1023" s="167" t="str">
        <f>IF(Plan_Comptable[[#This Row],[Sous-compte]]="","",LEFT(Plan_Comptable[[#This Row],[Sous-compte]]&amp;"00",4))</f>
        <v>6316</v>
      </c>
      <c r="J1023" s="167"/>
    </row>
    <row r="1024" spans="1:10" ht="15" customHeight="1">
      <c r="A1024" s="162">
        <v>7746</v>
      </c>
      <c r="B1024" s="162" t="s">
        <v>11161</v>
      </c>
      <c r="D1024" s="187" t="s">
        <v>80</v>
      </c>
      <c r="E1024" s="168" t="s">
        <v>11152</v>
      </c>
      <c r="F1024" s="168" t="s">
        <v>11155</v>
      </c>
      <c r="G1024" s="173">
        <v>6317</v>
      </c>
      <c r="H1024" s="175" t="s">
        <v>2707</v>
      </c>
      <c r="I1024" s="167" t="str">
        <f>IF(Plan_Comptable[[#This Row],[Sous-compte]]="","",LEFT(Plan_Comptable[[#This Row],[Sous-compte]]&amp;"00",4))</f>
        <v>6317</v>
      </c>
      <c r="J1024" s="167"/>
    </row>
    <row r="1025" spans="1:10" ht="15" customHeight="1">
      <c r="A1025" s="162">
        <v>775</v>
      </c>
      <c r="B1025" s="162" t="s">
        <v>11162</v>
      </c>
      <c r="D1025" s="187" t="s">
        <v>80</v>
      </c>
      <c r="E1025" s="168" t="s">
        <v>11152</v>
      </c>
      <c r="F1025" s="168" t="s">
        <v>11155</v>
      </c>
      <c r="G1025" s="176">
        <v>6318</v>
      </c>
      <c r="H1025" s="167" t="s">
        <v>2708</v>
      </c>
      <c r="I1025" s="167" t="str">
        <f>IF(Plan_Comptable[[#This Row],[Sous-compte]]="","",LEFT(Plan_Comptable[[#This Row],[Sous-compte]]&amp;"00",4))</f>
        <v>6318</v>
      </c>
      <c r="J1025" s="167"/>
    </row>
    <row r="1026" spans="1:10" ht="15" customHeight="1">
      <c r="A1026" s="162">
        <v>776</v>
      </c>
      <c r="B1026" s="162" t="s">
        <v>11163</v>
      </c>
      <c r="D1026" s="187" t="s">
        <v>80</v>
      </c>
      <c r="E1026" s="168" t="s">
        <v>11152</v>
      </c>
      <c r="F1026" s="168">
        <v>632</v>
      </c>
      <c r="G1026" s="176"/>
      <c r="H1026" s="167" t="s">
        <v>11164</v>
      </c>
      <c r="I1026" s="167" t="str">
        <f>IF(Plan_Comptable[[#This Row],[Sous-compte]]="","",LEFT(Plan_Comptable[[#This Row],[Sous-compte]]&amp;"00",4))</f>
        <v/>
      </c>
      <c r="J1026" s="167"/>
    </row>
    <row r="1027" spans="1:10" ht="15" customHeight="1">
      <c r="A1027" s="162">
        <v>777</v>
      </c>
      <c r="B1027" s="162" t="s">
        <v>11165</v>
      </c>
      <c r="D1027" s="187" t="s">
        <v>80</v>
      </c>
      <c r="E1027" s="168" t="s">
        <v>11152</v>
      </c>
      <c r="F1027" s="168" t="s">
        <v>11166</v>
      </c>
      <c r="G1027" s="176">
        <v>6322</v>
      </c>
      <c r="H1027" s="167" t="s">
        <v>2709</v>
      </c>
      <c r="I1027" s="167" t="str">
        <f>IF(Plan_Comptable[[#This Row],[Sous-compte]]="","",LEFT(Plan_Comptable[[#This Row],[Sous-compte]]&amp;"00",4))</f>
        <v>6322</v>
      </c>
      <c r="J1027" s="167"/>
    </row>
    <row r="1028" spans="1:10" ht="15" customHeight="1">
      <c r="A1028" s="162">
        <v>7781</v>
      </c>
      <c r="B1028" s="162" t="s">
        <v>11083</v>
      </c>
      <c r="D1028" s="187" t="s">
        <v>80</v>
      </c>
      <c r="E1028" s="168" t="s">
        <v>11152</v>
      </c>
      <c r="F1028" s="168" t="s">
        <v>11166</v>
      </c>
      <c r="G1028" s="172">
        <v>6324</v>
      </c>
      <c r="H1028" s="192" t="s">
        <v>2710</v>
      </c>
      <c r="I1028" s="167" t="str">
        <f>IF(Plan_Comptable[[#This Row],[Sous-compte]]="","",LEFT(Plan_Comptable[[#This Row],[Sous-compte]]&amp;"00",4))</f>
        <v>6324</v>
      </c>
      <c r="J1028" s="167"/>
    </row>
    <row r="1029" spans="1:10" ht="15" customHeight="1">
      <c r="A1029" s="162">
        <v>7782</v>
      </c>
      <c r="B1029" s="162" t="s">
        <v>11084</v>
      </c>
      <c r="D1029" s="187" t="s">
        <v>80</v>
      </c>
      <c r="E1029" s="168" t="s">
        <v>11152</v>
      </c>
      <c r="F1029" s="168" t="s">
        <v>11166</v>
      </c>
      <c r="G1029" s="176">
        <v>6325</v>
      </c>
      <c r="H1029" s="167" t="s">
        <v>2711</v>
      </c>
      <c r="I1029" s="167" t="str">
        <f>IF(Plan_Comptable[[#This Row],[Sous-compte]]="","",LEFT(Plan_Comptable[[#This Row],[Sous-compte]]&amp;"00",4))</f>
        <v>6325</v>
      </c>
      <c r="J1029" s="167"/>
    </row>
    <row r="1030" spans="1:10" ht="15" customHeight="1">
      <c r="A1030" s="162">
        <v>7784</v>
      </c>
      <c r="B1030" s="162" t="s">
        <v>11085</v>
      </c>
      <c r="D1030" s="187" t="s">
        <v>80</v>
      </c>
      <c r="E1030" s="168" t="s">
        <v>11152</v>
      </c>
      <c r="F1030" s="168" t="s">
        <v>11166</v>
      </c>
      <c r="G1030" s="173">
        <v>6326</v>
      </c>
      <c r="H1030" s="175" t="s">
        <v>10995</v>
      </c>
      <c r="I1030" s="167" t="str">
        <f>IF(Plan_Comptable[[#This Row],[Sous-compte]]="","",LEFT(Plan_Comptable[[#This Row],[Sous-compte]]&amp;"00",4))</f>
        <v>6326</v>
      </c>
      <c r="J1030" s="167"/>
    </row>
    <row r="1031" spans="1:10" ht="15" customHeight="1">
      <c r="A1031" s="162">
        <v>7791</v>
      </c>
      <c r="B1031" s="162" t="s">
        <v>11087</v>
      </c>
      <c r="D1031" s="187" t="s">
        <v>80</v>
      </c>
      <c r="E1031" s="168" t="s">
        <v>11152</v>
      </c>
      <c r="F1031" s="168" t="s">
        <v>11166</v>
      </c>
      <c r="G1031" s="173">
        <v>6327</v>
      </c>
      <c r="H1031" s="175" t="s">
        <v>2713</v>
      </c>
      <c r="I1031" s="167" t="str">
        <f>IF(Plan_Comptable[[#This Row],[Sous-compte]]="","",LEFT(Plan_Comptable[[#This Row],[Sous-compte]]&amp;"00",4))</f>
        <v>6327</v>
      </c>
      <c r="J1031" s="167"/>
    </row>
    <row r="1032" spans="1:10" ht="15" customHeight="1">
      <c r="A1032" s="162">
        <v>7795</v>
      </c>
      <c r="B1032" s="162" t="s">
        <v>11089</v>
      </c>
      <c r="D1032" s="187" t="s">
        <v>80</v>
      </c>
      <c r="E1032" s="168" t="s">
        <v>11152</v>
      </c>
      <c r="F1032" s="168" t="s">
        <v>11166</v>
      </c>
      <c r="G1032" s="176">
        <v>6328</v>
      </c>
      <c r="H1032" s="167" t="s">
        <v>2714</v>
      </c>
      <c r="I1032" s="167" t="str">
        <f>IF(Plan_Comptable[[#This Row],[Sous-compte]]="","",LEFT(Plan_Comptable[[#This Row],[Sous-compte]]&amp;"00",4))</f>
        <v>6328</v>
      </c>
      <c r="J1032" s="167"/>
    </row>
    <row r="1033" spans="1:10" ht="15" customHeight="1">
      <c r="A1033" s="162">
        <v>7798</v>
      </c>
      <c r="B1033" s="162" t="s">
        <v>11167</v>
      </c>
      <c r="D1033" s="187" t="s">
        <v>80</v>
      </c>
      <c r="E1033" s="168" t="s">
        <v>11152</v>
      </c>
      <c r="F1033" s="168">
        <v>633</v>
      </c>
      <c r="G1033" s="176">
        <v>633</v>
      </c>
      <c r="H1033" s="167" t="s">
        <v>10997</v>
      </c>
      <c r="I1033" s="167" t="str">
        <f>IF(Plan_Comptable[[#This Row],[Sous-compte]]="","",LEFT(Plan_Comptable[[#This Row],[Sous-compte]]&amp;"00",4))</f>
        <v>6330</v>
      </c>
      <c r="J1033" s="167"/>
    </row>
    <row r="1034" spans="1:10" ht="15" customHeight="1">
      <c r="A1034" s="162">
        <v>781</v>
      </c>
      <c r="B1034" s="162" t="s">
        <v>11168</v>
      </c>
      <c r="D1034" s="187" t="s">
        <v>80</v>
      </c>
      <c r="E1034" s="168" t="s">
        <v>11152</v>
      </c>
      <c r="F1034" s="171">
        <v>634</v>
      </c>
      <c r="G1034" s="172"/>
      <c r="H1034" s="179" t="s">
        <v>11169</v>
      </c>
      <c r="I1034" s="167" t="str">
        <f>IF(Plan_Comptable[[#This Row],[Sous-compte]]="","",LEFT(Plan_Comptable[[#This Row],[Sous-compte]]&amp;"00",4))</f>
        <v/>
      </c>
      <c r="J1034" s="167"/>
    </row>
    <row r="1035" spans="1:10" ht="15" customHeight="1">
      <c r="A1035" s="162">
        <v>787</v>
      </c>
      <c r="B1035" s="162" t="s">
        <v>11170</v>
      </c>
      <c r="D1035" s="187" t="s">
        <v>80</v>
      </c>
      <c r="E1035" s="168" t="s">
        <v>11152</v>
      </c>
      <c r="F1035" s="168" t="s">
        <v>11171</v>
      </c>
      <c r="G1035" s="172">
        <v>6342</v>
      </c>
      <c r="H1035" s="179" t="s">
        <v>2715</v>
      </c>
      <c r="I1035" s="167" t="str">
        <f>IF(Plan_Comptable[[#This Row],[Sous-compte]]="","",LEFT(Plan_Comptable[[#This Row],[Sous-compte]]&amp;"00",4))</f>
        <v>6342</v>
      </c>
      <c r="J1035" s="167"/>
    </row>
    <row r="1036" spans="1:10" ht="15" customHeight="1">
      <c r="A1036" s="162">
        <v>7911</v>
      </c>
      <c r="B1036" s="162" t="s">
        <v>11172</v>
      </c>
      <c r="D1036" s="187" t="s">
        <v>80</v>
      </c>
      <c r="E1036" s="168" t="s">
        <v>11152</v>
      </c>
      <c r="F1036" s="168" t="s">
        <v>11171</v>
      </c>
      <c r="G1036" s="176">
        <v>6343</v>
      </c>
      <c r="H1036" s="167" t="s">
        <v>2716</v>
      </c>
      <c r="I1036" s="167" t="str">
        <f>IF(Plan_Comptable[[#This Row],[Sous-compte]]="","",LEFT(Plan_Comptable[[#This Row],[Sous-compte]]&amp;"00",4))</f>
        <v>6343</v>
      </c>
      <c r="J1036" s="167"/>
    </row>
    <row r="1037" spans="1:10" ht="15" customHeight="1">
      <c r="A1037" s="162">
        <v>7913</v>
      </c>
      <c r="B1037" s="162" t="s">
        <v>11173</v>
      </c>
      <c r="D1037" s="187" t="s">
        <v>80</v>
      </c>
      <c r="E1037" s="168" t="s">
        <v>11152</v>
      </c>
      <c r="F1037" s="168" t="s">
        <v>11171</v>
      </c>
      <c r="G1037" s="176">
        <v>6344</v>
      </c>
      <c r="H1037" s="167" t="s">
        <v>2717</v>
      </c>
      <c r="I1037" s="167" t="str">
        <f>IF(Plan_Comptable[[#This Row],[Sous-compte]]="","",LEFT(Plan_Comptable[[#This Row],[Sous-compte]]&amp;"00",4))</f>
        <v>6344</v>
      </c>
      <c r="J1037" s="167"/>
    </row>
    <row r="1038" spans="1:10" ht="15" customHeight="1">
      <c r="A1038" s="162">
        <v>7914</v>
      </c>
      <c r="B1038" s="162" t="s">
        <v>11174</v>
      </c>
      <c r="D1038" s="187" t="s">
        <v>80</v>
      </c>
      <c r="E1038" s="168" t="s">
        <v>11152</v>
      </c>
      <c r="F1038" s="168" t="s">
        <v>11171</v>
      </c>
      <c r="G1038" s="173">
        <v>6345</v>
      </c>
      <c r="H1038" s="174" t="s">
        <v>11000</v>
      </c>
      <c r="I1038" s="167" t="str">
        <f>IF(Plan_Comptable[[#This Row],[Sous-compte]]="","",LEFT(Plan_Comptable[[#This Row],[Sous-compte]]&amp;"00",4))</f>
        <v>6345</v>
      </c>
      <c r="J1038" s="167"/>
    </row>
    <row r="1039" spans="1:10" ht="15" customHeight="1">
      <c r="A1039" s="162">
        <v>7971</v>
      </c>
      <c r="B1039" s="162" t="s">
        <v>11172</v>
      </c>
      <c r="D1039" s="187" t="s">
        <v>80</v>
      </c>
      <c r="E1039" s="168" t="s">
        <v>11152</v>
      </c>
      <c r="F1039" s="168" t="s">
        <v>11171</v>
      </c>
      <c r="G1039" s="173">
        <v>6346</v>
      </c>
      <c r="H1039" s="174" t="s">
        <v>2719</v>
      </c>
      <c r="I1039" s="167" t="str">
        <f>IF(Plan_Comptable[[#This Row],[Sous-compte]]="","",LEFT(Plan_Comptable[[#This Row],[Sous-compte]]&amp;"00",4))</f>
        <v>6346</v>
      </c>
      <c r="J1039" s="167"/>
    </row>
    <row r="1040" spans="1:10" ht="15" customHeight="1">
      <c r="A1040" s="162">
        <v>7972</v>
      </c>
      <c r="B1040" s="162" t="s">
        <v>11175</v>
      </c>
      <c r="D1040" s="187" t="s">
        <v>80</v>
      </c>
      <c r="E1040" s="168" t="s">
        <v>11152</v>
      </c>
      <c r="F1040" s="168">
        <v>635</v>
      </c>
      <c r="G1040" s="176"/>
      <c r="H1040" s="167" t="s">
        <v>11176</v>
      </c>
      <c r="I1040" s="167" t="str">
        <f>IF(Plan_Comptable[[#This Row],[Sous-compte]]="","",LEFT(Plan_Comptable[[#This Row],[Sous-compte]]&amp;"00",4))</f>
        <v/>
      </c>
      <c r="J1040" s="167"/>
    </row>
    <row r="1041" spans="1:10" ht="15" customHeight="1">
      <c r="A1041" s="162">
        <v>798</v>
      </c>
      <c r="B1041" s="162" t="s">
        <v>11177</v>
      </c>
      <c r="D1041" s="187" t="s">
        <v>80</v>
      </c>
      <c r="E1041" s="168" t="s">
        <v>11152</v>
      </c>
      <c r="F1041" s="168" t="s">
        <v>11178</v>
      </c>
      <c r="G1041" s="176">
        <v>6351</v>
      </c>
      <c r="H1041" s="167" t="s">
        <v>2208</v>
      </c>
      <c r="I1041" s="167" t="str">
        <f>IF(Plan_Comptable[[#This Row],[Sous-compte]]="","",LEFT(Plan_Comptable[[#This Row],[Sous-compte]]&amp;"00",4))</f>
        <v>6351</v>
      </c>
      <c r="J1041" s="167"/>
    </row>
    <row r="1042" spans="1:10" ht="15" customHeight="1">
      <c r="A1042" s="162">
        <v>799</v>
      </c>
      <c r="B1042" s="162" t="s">
        <v>11179</v>
      </c>
      <c r="D1042" s="187" t="s">
        <v>80</v>
      </c>
      <c r="E1042" s="168" t="s">
        <v>11152</v>
      </c>
      <c r="F1042" s="168" t="s">
        <v>11178</v>
      </c>
      <c r="G1042" s="176">
        <v>6358</v>
      </c>
      <c r="H1042" s="167" t="s">
        <v>2720</v>
      </c>
      <c r="I1042" s="167" t="str">
        <f>IF(Plan_Comptable[[#This Row],[Sous-compte]]="","",LEFT(Plan_Comptable[[#This Row],[Sous-compte]]&amp;"00",4))</f>
        <v>6358</v>
      </c>
      <c r="J1042" s="167"/>
    </row>
    <row r="1043" spans="1:10" ht="15" customHeight="1">
      <c r="A1043" s="162">
        <v>811</v>
      </c>
      <c r="B1043" s="162" t="s">
        <v>1236</v>
      </c>
      <c r="D1043" s="187" t="s">
        <v>80</v>
      </c>
      <c r="E1043" s="168" t="s">
        <v>11152</v>
      </c>
      <c r="F1043" s="171">
        <v>637</v>
      </c>
      <c r="G1043" s="172"/>
      <c r="H1043" s="179" t="s">
        <v>11180</v>
      </c>
      <c r="I1043" s="167" t="str">
        <f>IF(Plan_Comptable[[#This Row],[Sous-compte]]="","",LEFT(Plan_Comptable[[#This Row],[Sous-compte]]&amp;"00",4))</f>
        <v/>
      </c>
      <c r="J1043" s="167"/>
    </row>
    <row r="1044" spans="1:10" ht="15" customHeight="1">
      <c r="A1044" s="162">
        <v>812</v>
      </c>
      <c r="B1044" s="162" t="s">
        <v>1239</v>
      </c>
      <c r="D1044" s="187" t="s">
        <v>80</v>
      </c>
      <c r="E1044" s="168" t="s">
        <v>11152</v>
      </c>
      <c r="F1044" s="168" t="s">
        <v>11181</v>
      </c>
      <c r="G1044" s="176">
        <v>6371</v>
      </c>
      <c r="H1044" s="167" t="s">
        <v>2721</v>
      </c>
      <c r="I1044" s="167" t="str">
        <f>IF(Plan_Comptable[[#This Row],[Sous-compte]]="","",LEFT(Plan_Comptable[[#This Row],[Sous-compte]]&amp;"00",4))</f>
        <v>6371</v>
      </c>
      <c r="J1044" s="167"/>
    </row>
    <row r="1045" spans="1:10" ht="15" customHeight="1">
      <c r="A1045" s="162">
        <v>816</v>
      </c>
      <c r="B1045" s="162" t="s">
        <v>1241</v>
      </c>
      <c r="D1045" s="187" t="s">
        <v>80</v>
      </c>
      <c r="E1045" s="168" t="s">
        <v>11152</v>
      </c>
      <c r="F1045" s="168" t="s">
        <v>11181</v>
      </c>
      <c r="G1045" s="172">
        <v>6372</v>
      </c>
      <c r="H1045" s="179" t="s">
        <v>2722</v>
      </c>
      <c r="I1045" s="167" t="str">
        <f>IF(Plan_Comptable[[#This Row],[Sous-compte]]="","",LEFT(Plan_Comptable[[#This Row],[Sous-compte]]&amp;"00",4))</f>
        <v>6372</v>
      </c>
      <c r="J1045" s="167"/>
    </row>
    <row r="1046" spans="1:10" ht="15" customHeight="1">
      <c r="A1046" s="162">
        <v>821</v>
      </c>
      <c r="B1046" s="162" t="s">
        <v>1236</v>
      </c>
      <c r="D1046" s="187" t="s">
        <v>80</v>
      </c>
      <c r="E1046" s="168" t="s">
        <v>11152</v>
      </c>
      <c r="F1046" s="168">
        <v>638</v>
      </c>
      <c r="G1046" s="176"/>
      <c r="H1046" s="167" t="s">
        <v>11182</v>
      </c>
      <c r="I1046" s="167" t="str">
        <f>IF(Plan_Comptable[[#This Row],[Sous-compte]]="","",LEFT(Plan_Comptable[[#This Row],[Sous-compte]]&amp;"00",4))</f>
        <v/>
      </c>
      <c r="J1046" s="167"/>
    </row>
    <row r="1047" spans="1:10" ht="15" customHeight="1">
      <c r="A1047" s="162">
        <v>822</v>
      </c>
      <c r="B1047" s="162" t="s">
        <v>1239</v>
      </c>
      <c r="D1047" s="187" t="s">
        <v>80</v>
      </c>
      <c r="E1047" s="168" t="s">
        <v>11152</v>
      </c>
      <c r="F1047" s="168" t="s">
        <v>11183</v>
      </c>
      <c r="G1047" s="176">
        <v>6381</v>
      </c>
      <c r="H1047" s="167" t="s">
        <v>2723</v>
      </c>
      <c r="I1047" s="167" t="str">
        <f>IF(Plan_Comptable[[#This Row],[Sous-compte]]="","",LEFT(Plan_Comptable[[#This Row],[Sous-compte]]&amp;"00",4))</f>
        <v>6381</v>
      </c>
      <c r="J1047" s="167"/>
    </row>
    <row r="1048" spans="1:10" ht="15" customHeight="1">
      <c r="A1048" s="162">
        <v>826</v>
      </c>
      <c r="B1048" s="162" t="s">
        <v>1241</v>
      </c>
      <c r="D1048" s="187" t="s">
        <v>80</v>
      </c>
      <c r="E1048" s="168" t="s">
        <v>11152</v>
      </c>
      <c r="F1048" s="168" t="s">
        <v>11183</v>
      </c>
      <c r="G1048" s="176">
        <v>6382</v>
      </c>
      <c r="H1048" s="167" t="s">
        <v>2724</v>
      </c>
      <c r="I1048" s="167" t="str">
        <f>IF(Plan_Comptable[[#This Row],[Sous-compte]]="","",LEFT(Plan_Comptable[[#This Row],[Sous-compte]]&amp;"00",4))</f>
        <v>6382</v>
      </c>
      <c r="J1048" s="167"/>
    </row>
    <row r="1049" spans="1:10" ht="15" customHeight="1">
      <c r="A1049" s="162">
        <v>831</v>
      </c>
      <c r="B1049" s="162" t="s">
        <v>11184</v>
      </c>
      <c r="D1049" s="187" t="s">
        <v>80</v>
      </c>
      <c r="E1049" s="168" t="s">
        <v>11152</v>
      </c>
      <c r="F1049" s="168" t="s">
        <v>11183</v>
      </c>
      <c r="G1049" s="176">
        <v>6383</v>
      </c>
      <c r="H1049" s="167" t="s">
        <v>2725</v>
      </c>
      <c r="I1049" s="167" t="str">
        <f>IF(Plan_Comptable[[#This Row],[Sous-compte]]="","",LEFT(Plan_Comptable[[#This Row],[Sous-compte]]&amp;"00",4))</f>
        <v>6383</v>
      </c>
      <c r="J1049" s="167"/>
    </row>
    <row r="1050" spans="1:10" ht="15" customHeight="1">
      <c r="A1050" s="162">
        <v>833</v>
      </c>
      <c r="B1050" s="162" t="s">
        <v>11185</v>
      </c>
      <c r="D1050" s="187" t="s">
        <v>80</v>
      </c>
      <c r="E1050" s="168" t="s">
        <v>11152</v>
      </c>
      <c r="F1050" s="168" t="s">
        <v>11183</v>
      </c>
      <c r="G1050" s="176">
        <v>6384</v>
      </c>
      <c r="H1050" s="167" t="s">
        <v>2726</v>
      </c>
      <c r="I1050" s="167" t="str">
        <f>IF(Plan_Comptable[[#This Row],[Sous-compte]]="","",LEFT(Plan_Comptable[[#This Row],[Sous-compte]]&amp;"00",4))</f>
        <v>6384</v>
      </c>
      <c r="J1050" s="167"/>
    </row>
    <row r="1051" spans="1:10" ht="15" customHeight="1">
      <c r="A1051" s="162">
        <v>834</v>
      </c>
      <c r="B1051" s="162" t="s">
        <v>11186</v>
      </c>
      <c r="D1051" s="187" t="s">
        <v>80</v>
      </c>
      <c r="E1051" s="168" t="s">
        <v>11152</v>
      </c>
      <c r="F1051" s="168" t="s">
        <v>11183</v>
      </c>
      <c r="G1051" s="173">
        <v>6385</v>
      </c>
      <c r="H1051" s="175" t="s">
        <v>2727</v>
      </c>
      <c r="I1051" s="167" t="str">
        <f>IF(Plan_Comptable[[#This Row],[Sous-compte]]="","",LEFT(Plan_Comptable[[#This Row],[Sous-compte]]&amp;"00",4))</f>
        <v>6385</v>
      </c>
      <c r="J1051" s="167"/>
    </row>
    <row r="1052" spans="1:10" ht="15" customHeight="1">
      <c r="A1052" s="162">
        <v>835</v>
      </c>
      <c r="B1052" s="162" t="s">
        <v>11187</v>
      </c>
      <c r="D1052" s="187" t="s">
        <v>80</v>
      </c>
      <c r="E1052" s="168" t="s">
        <v>11152</v>
      </c>
      <c r="F1052" s="168" t="s">
        <v>11183</v>
      </c>
      <c r="G1052" s="173">
        <v>6388</v>
      </c>
      <c r="H1052" s="175" t="s">
        <v>2728</v>
      </c>
      <c r="I1052" s="167" t="str">
        <f>IF(Plan_Comptable[[#This Row],[Sous-compte]]="","",LEFT(Plan_Comptable[[#This Row],[Sous-compte]]&amp;"00",4))</f>
        <v>6388</v>
      </c>
      <c r="J1052" s="167"/>
    </row>
    <row r="1053" spans="1:10" ht="15" customHeight="1">
      <c r="A1053" s="162">
        <v>836</v>
      </c>
      <c r="B1053" s="162" t="s">
        <v>11188</v>
      </c>
      <c r="D1053" s="187" t="s">
        <v>80</v>
      </c>
      <c r="E1053" s="189">
        <v>64</v>
      </c>
      <c r="F1053" s="165" t="s">
        <v>9941</v>
      </c>
      <c r="G1053" s="165"/>
      <c r="H1053" s="166" t="s">
        <v>1497</v>
      </c>
      <c r="I1053" s="167" t="str">
        <f>IF(Plan_Comptable[[#This Row],[Sous-compte]]="","",LEFT(Plan_Comptable[[#This Row],[Sous-compte]]&amp;"00",4))</f>
        <v/>
      </c>
      <c r="J1053" s="167"/>
    </row>
    <row r="1054" spans="1:10" ht="15" customHeight="1">
      <c r="A1054" s="162">
        <v>837</v>
      </c>
      <c r="B1054" s="162" t="s">
        <v>11189</v>
      </c>
      <c r="D1054" s="187" t="s">
        <v>80</v>
      </c>
      <c r="E1054" s="168" t="s">
        <v>11190</v>
      </c>
      <c r="F1054" s="168">
        <v>641</v>
      </c>
      <c r="G1054" s="176"/>
      <c r="H1054" s="167" t="s">
        <v>11191</v>
      </c>
      <c r="I1054" s="167" t="str">
        <f>IF(Plan_Comptable[[#This Row],[Sous-compte]]="","",LEFT(Plan_Comptable[[#This Row],[Sous-compte]]&amp;"00",4))</f>
        <v/>
      </c>
      <c r="J1054" s="167"/>
    </row>
    <row r="1055" spans="1:10" ht="15" customHeight="1">
      <c r="A1055" s="162">
        <v>839</v>
      </c>
      <c r="B1055" s="162" t="s">
        <v>11192</v>
      </c>
      <c r="D1055" s="187" t="s">
        <v>80</v>
      </c>
      <c r="E1055" s="168" t="s">
        <v>11190</v>
      </c>
      <c r="F1055" s="168" t="s">
        <v>11193</v>
      </c>
      <c r="G1055" s="176">
        <v>6411</v>
      </c>
      <c r="H1055" s="167" t="s">
        <v>2729</v>
      </c>
      <c r="I1055" s="167" t="str">
        <f>IF(Plan_Comptable[[#This Row],[Sous-compte]]="","",LEFT(Plan_Comptable[[#This Row],[Sous-compte]]&amp;"00",4))</f>
        <v>6411</v>
      </c>
      <c r="J1055" s="167"/>
    </row>
    <row r="1056" spans="1:10" ht="15" customHeight="1">
      <c r="A1056" s="162">
        <v>841</v>
      </c>
      <c r="B1056" s="162" t="s">
        <v>11194</v>
      </c>
      <c r="D1056" s="187" t="s">
        <v>80</v>
      </c>
      <c r="E1056" s="168" t="s">
        <v>11190</v>
      </c>
      <c r="F1056" s="168" t="s">
        <v>11193</v>
      </c>
      <c r="G1056" s="176">
        <v>6412</v>
      </c>
      <c r="H1056" s="167" t="s">
        <v>2730</v>
      </c>
      <c r="I1056" s="167" t="str">
        <f>IF(Plan_Comptable[[#This Row],[Sous-compte]]="","",LEFT(Plan_Comptable[[#This Row],[Sous-compte]]&amp;"00",4))</f>
        <v>6412</v>
      </c>
      <c r="J1056" s="167"/>
    </row>
    <row r="1057" spans="1:10" ht="15" customHeight="1">
      <c r="A1057" s="162">
        <v>843</v>
      </c>
      <c r="B1057" s="162" t="s">
        <v>11195</v>
      </c>
      <c r="D1057" s="187" t="s">
        <v>80</v>
      </c>
      <c r="E1057" s="168" t="s">
        <v>11190</v>
      </c>
      <c r="F1057" s="168" t="s">
        <v>11193</v>
      </c>
      <c r="G1057" s="176">
        <v>6413</v>
      </c>
      <c r="H1057" s="167" t="s">
        <v>2731</v>
      </c>
      <c r="I1057" s="167" t="str">
        <f>IF(Plan_Comptable[[#This Row],[Sous-compte]]="","",LEFT(Plan_Comptable[[#This Row],[Sous-compte]]&amp;"00",4))</f>
        <v>6413</v>
      </c>
      <c r="J1057" s="167"/>
    </row>
    <row r="1058" spans="1:10" ht="15" customHeight="1">
      <c r="A1058" s="162">
        <v>844</v>
      </c>
      <c r="B1058" s="162" t="s">
        <v>11196</v>
      </c>
      <c r="D1058" s="187" t="s">
        <v>80</v>
      </c>
      <c r="E1058" s="168" t="s">
        <v>11190</v>
      </c>
      <c r="F1058" s="168" t="s">
        <v>11193</v>
      </c>
      <c r="G1058" s="176">
        <v>6414</v>
      </c>
      <c r="H1058" s="167" t="s">
        <v>2732</v>
      </c>
      <c r="I1058" s="167" t="str">
        <f>IF(Plan_Comptable[[#This Row],[Sous-compte]]="","",LEFT(Plan_Comptable[[#This Row],[Sous-compte]]&amp;"00",4))</f>
        <v>6414</v>
      </c>
      <c r="J1058" s="167"/>
    </row>
    <row r="1059" spans="1:10" ht="15" customHeight="1">
      <c r="A1059" s="162">
        <v>845</v>
      </c>
      <c r="B1059" s="162" t="s">
        <v>11197</v>
      </c>
      <c r="D1059" s="187" t="s">
        <v>80</v>
      </c>
      <c r="E1059" s="168" t="s">
        <v>11190</v>
      </c>
      <c r="F1059" s="168" t="s">
        <v>11193</v>
      </c>
      <c r="G1059" s="176">
        <v>6415</v>
      </c>
      <c r="H1059" s="167" t="s">
        <v>2734</v>
      </c>
      <c r="I1059" s="167" t="str">
        <f>IF(Plan_Comptable[[#This Row],[Sous-compte]]="","",LEFT(Plan_Comptable[[#This Row],[Sous-compte]]&amp;"00",4))</f>
        <v>6415</v>
      </c>
      <c r="J1059" s="167"/>
    </row>
    <row r="1060" spans="1:10" ht="15" customHeight="1">
      <c r="A1060" s="162">
        <v>846</v>
      </c>
      <c r="B1060" s="162" t="s">
        <v>11198</v>
      </c>
      <c r="D1060" s="187" t="s">
        <v>80</v>
      </c>
      <c r="E1060" s="168" t="s">
        <v>11190</v>
      </c>
      <c r="F1060" s="168" t="s">
        <v>11193</v>
      </c>
      <c r="G1060" s="176">
        <v>6418</v>
      </c>
      <c r="H1060" s="167" t="s">
        <v>2735</v>
      </c>
      <c r="I1060" s="167" t="str">
        <f>IF(Plan_Comptable[[#This Row],[Sous-compte]]="","",LEFT(Plan_Comptable[[#This Row],[Sous-compte]]&amp;"00",4))</f>
        <v>6418</v>
      </c>
      <c r="J1060" s="167"/>
    </row>
    <row r="1061" spans="1:10" ht="15" customHeight="1">
      <c r="A1061" s="162">
        <v>847</v>
      </c>
      <c r="B1061" s="162" t="s">
        <v>11199</v>
      </c>
      <c r="D1061" s="187" t="s">
        <v>80</v>
      </c>
      <c r="E1061" s="168" t="s">
        <v>11190</v>
      </c>
      <c r="F1061" s="168">
        <v>645</v>
      </c>
      <c r="G1061" s="176">
        <v>645</v>
      </c>
      <c r="H1061" s="167" t="s">
        <v>11006</v>
      </c>
      <c r="I1061" s="167" t="str">
        <f>IF(Plan_Comptable[[#This Row],[Sous-compte]]="","",LEFT(Plan_Comptable[[#This Row],[Sous-compte]]&amp;"00",4))</f>
        <v>6450</v>
      </c>
      <c r="J1061" s="167"/>
    </row>
    <row r="1062" spans="1:10" ht="15" customHeight="1">
      <c r="A1062" s="162">
        <v>848</v>
      </c>
      <c r="B1062" s="162" t="s">
        <v>11200</v>
      </c>
      <c r="D1062" s="187" t="s">
        <v>80</v>
      </c>
      <c r="E1062" s="168" t="s">
        <v>11190</v>
      </c>
      <c r="F1062" s="168">
        <v>646</v>
      </c>
      <c r="G1062" s="176"/>
      <c r="H1062" s="167" t="s">
        <v>11201</v>
      </c>
      <c r="I1062" s="167" t="str">
        <f>IF(Plan_Comptable[[#This Row],[Sous-compte]]="","",LEFT(Plan_Comptable[[#This Row],[Sous-compte]]&amp;"00",4))</f>
        <v/>
      </c>
      <c r="J1062" s="167"/>
    </row>
    <row r="1063" spans="1:10" ht="15" customHeight="1">
      <c r="A1063" s="162">
        <v>849</v>
      </c>
      <c r="B1063" s="162" t="s">
        <v>11202</v>
      </c>
      <c r="D1063" s="187" t="s">
        <v>80</v>
      </c>
      <c r="E1063" s="168" t="s">
        <v>11190</v>
      </c>
      <c r="F1063" s="168" t="s">
        <v>11203</v>
      </c>
      <c r="G1063" s="176">
        <v>6461</v>
      </c>
      <c r="H1063" s="167" t="s">
        <v>2736</v>
      </c>
      <c r="I1063" s="167" t="str">
        <f>IF(Plan_Comptable[[#This Row],[Sous-compte]]="","",LEFT(Plan_Comptable[[#This Row],[Sous-compte]]&amp;"00",4))</f>
        <v>6461</v>
      </c>
      <c r="J1063" s="167"/>
    </row>
    <row r="1064" spans="1:10" ht="15" customHeight="1">
      <c r="A1064" s="162">
        <v>851</v>
      </c>
      <c r="B1064" s="162" t="s">
        <v>11204</v>
      </c>
      <c r="D1064" s="187" t="s">
        <v>80</v>
      </c>
      <c r="E1064" s="168" t="s">
        <v>11190</v>
      </c>
      <c r="F1064" s="168" t="s">
        <v>11203</v>
      </c>
      <c r="G1064" s="176">
        <v>6462</v>
      </c>
      <c r="H1064" s="167" t="s">
        <v>2737</v>
      </c>
      <c r="I1064" s="167" t="str">
        <f>IF(Plan_Comptable[[#This Row],[Sous-compte]]="","",LEFT(Plan_Comptable[[#This Row],[Sous-compte]]&amp;"00",4))</f>
        <v>6462</v>
      </c>
      <c r="J1064" s="167"/>
    </row>
    <row r="1065" spans="1:10" ht="15" customHeight="1">
      <c r="A1065" s="162">
        <v>852</v>
      </c>
      <c r="B1065" s="162" t="s">
        <v>11205</v>
      </c>
      <c r="D1065" s="187" t="s">
        <v>80</v>
      </c>
      <c r="E1065" s="168" t="s">
        <v>11190</v>
      </c>
      <c r="F1065" s="168" t="s">
        <v>11203</v>
      </c>
      <c r="G1065" s="176">
        <v>6463</v>
      </c>
      <c r="H1065" s="167" t="s">
        <v>2738</v>
      </c>
      <c r="I1065" s="167" t="str">
        <f>IF(Plan_Comptable[[#This Row],[Sous-compte]]="","",LEFT(Plan_Comptable[[#This Row],[Sous-compte]]&amp;"00",4))</f>
        <v>6463</v>
      </c>
      <c r="J1065" s="167"/>
    </row>
    <row r="1066" spans="1:10" ht="15" customHeight="1">
      <c r="A1066" s="162">
        <v>853</v>
      </c>
      <c r="B1066" s="162" t="s">
        <v>11206</v>
      </c>
      <c r="D1066" s="187" t="s">
        <v>80</v>
      </c>
      <c r="E1066" s="168" t="s">
        <v>11190</v>
      </c>
      <c r="F1066" s="168" t="s">
        <v>11203</v>
      </c>
      <c r="G1066" s="176">
        <v>6464</v>
      </c>
      <c r="H1066" s="167" t="s">
        <v>2739</v>
      </c>
      <c r="I1066" s="167" t="str">
        <f>IF(Plan_Comptable[[#This Row],[Sous-compte]]="","",LEFT(Plan_Comptable[[#This Row],[Sous-compte]]&amp;"00",4))</f>
        <v>6464</v>
      </c>
      <c r="J1066" s="167"/>
    </row>
    <row r="1067" spans="1:10" ht="15" customHeight="1">
      <c r="A1067" s="162">
        <v>854</v>
      </c>
      <c r="B1067" s="162" t="s">
        <v>11207</v>
      </c>
      <c r="D1067" s="187" t="s">
        <v>80</v>
      </c>
      <c r="E1067" s="168" t="s">
        <v>11190</v>
      </c>
      <c r="F1067" s="168" t="s">
        <v>11203</v>
      </c>
      <c r="G1067" s="172">
        <v>6468</v>
      </c>
      <c r="H1067" s="179" t="s">
        <v>2740</v>
      </c>
      <c r="I1067" s="167" t="str">
        <f>IF(Plan_Comptable[[#This Row],[Sous-compte]]="","",LEFT(Plan_Comptable[[#This Row],[Sous-compte]]&amp;"00",4))</f>
        <v>6468</v>
      </c>
      <c r="J1067" s="167"/>
    </row>
    <row r="1068" spans="1:10" ht="15" customHeight="1">
      <c r="A1068" s="162">
        <v>858</v>
      </c>
      <c r="B1068" s="162" t="s">
        <v>11208</v>
      </c>
      <c r="D1068" s="187" t="s">
        <v>80</v>
      </c>
      <c r="E1068" s="168" t="s">
        <v>11190</v>
      </c>
      <c r="F1068" s="171">
        <v>647</v>
      </c>
      <c r="G1068" s="172"/>
      <c r="H1068" s="179" t="s">
        <v>11209</v>
      </c>
      <c r="I1068" s="167" t="str">
        <f>IF(Plan_Comptable[[#This Row],[Sous-compte]]="","",LEFT(Plan_Comptable[[#This Row],[Sous-compte]]&amp;"00",4))</f>
        <v/>
      </c>
      <c r="J1068" s="167"/>
    </row>
    <row r="1069" spans="1:10" ht="15" customHeight="1">
      <c r="A1069" s="162">
        <v>861</v>
      </c>
      <c r="B1069" s="162" t="s">
        <v>11210</v>
      </c>
      <c r="D1069" s="187" t="s">
        <v>80</v>
      </c>
      <c r="E1069" s="168" t="s">
        <v>11190</v>
      </c>
      <c r="F1069" s="168" t="s">
        <v>11211</v>
      </c>
      <c r="G1069" s="176">
        <v>6471</v>
      </c>
      <c r="H1069" s="167" t="s">
        <v>2741</v>
      </c>
      <c r="I1069" s="167" t="str">
        <f>IF(Plan_Comptable[[#This Row],[Sous-compte]]="","",LEFT(Plan_Comptable[[#This Row],[Sous-compte]]&amp;"00",4))</f>
        <v>6471</v>
      </c>
      <c r="J1069" s="167"/>
    </row>
    <row r="1070" spans="1:10" ht="15" customHeight="1">
      <c r="A1070" s="162">
        <v>862</v>
      </c>
      <c r="B1070" s="162" t="s">
        <v>11212</v>
      </c>
      <c r="D1070" s="187" t="s">
        <v>80</v>
      </c>
      <c r="E1070" s="168" t="s">
        <v>11190</v>
      </c>
      <c r="F1070" s="168" t="s">
        <v>11211</v>
      </c>
      <c r="G1070" s="176">
        <v>6472</v>
      </c>
      <c r="H1070" s="167" t="s">
        <v>2742</v>
      </c>
      <c r="I1070" s="167" t="str">
        <f>IF(Plan_Comptable[[#This Row],[Sous-compte]]="","",LEFT(Plan_Comptable[[#This Row],[Sous-compte]]&amp;"00",4))</f>
        <v>6472</v>
      </c>
      <c r="J1070" s="167"/>
    </row>
    <row r="1071" spans="1:10" ht="15" customHeight="1">
      <c r="A1071" s="162">
        <v>863</v>
      </c>
      <c r="B1071" s="162" t="s">
        <v>11213</v>
      </c>
      <c r="D1071" s="187" t="s">
        <v>80</v>
      </c>
      <c r="E1071" s="168" t="s">
        <v>11190</v>
      </c>
      <c r="F1071" s="168" t="s">
        <v>11211</v>
      </c>
      <c r="G1071" s="176">
        <v>6473</v>
      </c>
      <c r="H1071" s="167" t="s">
        <v>2743</v>
      </c>
      <c r="I1071" s="167" t="str">
        <f>IF(Plan_Comptable[[#This Row],[Sous-compte]]="","",LEFT(Plan_Comptable[[#This Row],[Sous-compte]]&amp;"00",4))</f>
        <v>6473</v>
      </c>
      <c r="J1071" s="167"/>
    </row>
    <row r="1072" spans="1:10" ht="15" customHeight="1">
      <c r="A1072" s="162">
        <v>864</v>
      </c>
      <c r="B1072" s="162" t="s">
        <v>11214</v>
      </c>
      <c r="D1072" s="187" t="s">
        <v>80</v>
      </c>
      <c r="E1072" s="168" t="s">
        <v>11190</v>
      </c>
      <c r="F1072" s="168" t="s">
        <v>11211</v>
      </c>
      <c r="G1072" s="176">
        <v>6474</v>
      </c>
      <c r="H1072" s="167" t="s">
        <v>2744</v>
      </c>
      <c r="I1072" s="167" t="str">
        <f>IF(Plan_Comptable[[#This Row],[Sous-compte]]="","",LEFT(Plan_Comptable[[#This Row],[Sous-compte]]&amp;"00",4))</f>
        <v>6474</v>
      </c>
      <c r="J1072" s="167"/>
    </row>
    <row r="1073" spans="1:10" ht="15" customHeight="1">
      <c r="A1073" s="162">
        <v>868</v>
      </c>
      <c r="B1073" s="162" t="s">
        <v>11215</v>
      </c>
      <c r="D1073" s="187" t="s">
        <v>80</v>
      </c>
      <c r="E1073" s="168" t="s">
        <v>11190</v>
      </c>
      <c r="F1073" s="168" t="s">
        <v>11211</v>
      </c>
      <c r="G1073" s="172">
        <v>6478</v>
      </c>
      <c r="H1073" s="179" t="s">
        <v>2745</v>
      </c>
      <c r="I1073" s="167" t="str">
        <f>IF(Plan_Comptable[[#This Row],[Sous-compte]]="","",LEFT(Plan_Comptable[[#This Row],[Sous-compte]]&amp;"00",4))</f>
        <v>6478</v>
      </c>
      <c r="J1073" s="167"/>
    </row>
    <row r="1074" spans="1:10" ht="15" customHeight="1">
      <c r="A1074" s="162">
        <v>871</v>
      </c>
      <c r="B1074" s="162" t="s">
        <v>11216</v>
      </c>
      <c r="D1074" s="187" t="s">
        <v>80</v>
      </c>
      <c r="E1074" s="168" t="s">
        <v>11190</v>
      </c>
      <c r="F1074" s="168">
        <v>648</v>
      </c>
      <c r="G1074" s="176">
        <v>648</v>
      </c>
      <c r="H1074" s="167" t="s">
        <v>11010</v>
      </c>
      <c r="I1074" s="167" t="str">
        <f>IF(Plan_Comptable[[#This Row],[Sous-compte]]="","",LEFT(Plan_Comptable[[#This Row],[Sous-compte]]&amp;"00",4))</f>
        <v>6480</v>
      </c>
      <c r="J1074" s="167"/>
    </row>
    <row r="1075" spans="1:10" ht="15" customHeight="1">
      <c r="A1075" s="162">
        <v>874</v>
      </c>
      <c r="B1075" s="162" t="s">
        <v>11217</v>
      </c>
      <c r="D1075" s="187" t="s">
        <v>80</v>
      </c>
      <c r="E1075" s="189">
        <v>65</v>
      </c>
      <c r="F1075" s="165" t="s">
        <v>9941</v>
      </c>
      <c r="G1075" s="165"/>
      <c r="H1075" s="166" t="s">
        <v>1499</v>
      </c>
      <c r="I1075" s="167" t="str">
        <f>IF(Plan_Comptable[[#This Row],[Sous-compte]]="","",LEFT(Plan_Comptable[[#This Row],[Sous-compte]]&amp;"00",4))</f>
        <v/>
      </c>
      <c r="J1075" s="167"/>
    </row>
    <row r="1076" spans="1:10" ht="15" customHeight="1">
      <c r="A1076" s="162">
        <v>878</v>
      </c>
      <c r="B1076" s="162" t="s">
        <v>11218</v>
      </c>
      <c r="D1076" s="187" t="s">
        <v>80</v>
      </c>
      <c r="E1076" s="168" t="s">
        <v>11219</v>
      </c>
      <c r="F1076" s="168">
        <v>651</v>
      </c>
      <c r="G1076" s="176"/>
      <c r="H1076" s="167" t="s">
        <v>11220</v>
      </c>
      <c r="I1076" s="167" t="str">
        <f>IF(Plan_Comptable[[#This Row],[Sous-compte]]="","",LEFT(Plan_Comptable[[#This Row],[Sous-compte]]&amp;"00",4))</f>
        <v/>
      </c>
      <c r="J1076" s="167"/>
    </row>
    <row r="1077" spans="1:10" ht="15" customHeight="1">
      <c r="A1077" s="162">
        <v>881</v>
      </c>
      <c r="B1077" s="162" t="s">
        <v>11221</v>
      </c>
      <c r="D1077" s="187" t="s">
        <v>80</v>
      </c>
      <c r="E1077" s="168" t="s">
        <v>11219</v>
      </c>
      <c r="F1077" s="168" t="s">
        <v>11222</v>
      </c>
      <c r="G1077" s="176">
        <v>6511</v>
      </c>
      <c r="H1077" s="167" t="s">
        <v>1202</v>
      </c>
      <c r="I1077" s="167" t="str">
        <f>IF(Plan_Comptable[[#This Row],[Sous-compte]]="","",LEFT(Plan_Comptable[[#This Row],[Sous-compte]]&amp;"00",4))</f>
        <v>6511</v>
      </c>
      <c r="J1077" s="167"/>
    </row>
    <row r="1078" spans="1:10" ht="15" customHeight="1">
      <c r="A1078" s="162">
        <v>884</v>
      </c>
      <c r="B1078" s="162" t="s">
        <v>11223</v>
      </c>
      <c r="D1078" s="187" t="s">
        <v>80</v>
      </c>
      <c r="E1078" s="168" t="s">
        <v>11219</v>
      </c>
      <c r="F1078" s="168" t="s">
        <v>11222</v>
      </c>
      <c r="G1078" s="176">
        <v>6515</v>
      </c>
      <c r="H1078" s="167" t="s">
        <v>11011</v>
      </c>
      <c r="I1078" s="167" t="str">
        <f>IF(Plan_Comptable[[#This Row],[Sous-compte]]="","",LEFT(Plan_Comptable[[#This Row],[Sous-compte]]&amp;"00",4))</f>
        <v>6515</v>
      </c>
      <c r="J1078" s="167"/>
    </row>
    <row r="1079" spans="1:10" ht="15" customHeight="1">
      <c r="A1079" s="162">
        <v>886</v>
      </c>
      <c r="B1079" s="162" t="s">
        <v>11224</v>
      </c>
      <c r="D1079" s="187" t="s">
        <v>80</v>
      </c>
      <c r="E1079" s="168" t="s">
        <v>11219</v>
      </c>
      <c r="F1079" s="168">
        <v>652</v>
      </c>
      <c r="G1079" s="176"/>
      <c r="H1079" s="167" t="s">
        <v>11225</v>
      </c>
      <c r="I1079" s="167" t="str">
        <f>IF(Plan_Comptable[[#This Row],[Sous-compte]]="","",LEFT(Plan_Comptable[[#This Row],[Sous-compte]]&amp;"00",4))</f>
        <v/>
      </c>
      <c r="J1079" s="167"/>
    </row>
    <row r="1080" spans="1:10" ht="15" customHeight="1">
      <c r="A1080" s="162">
        <v>888</v>
      </c>
      <c r="B1080" s="162" t="s">
        <v>11226</v>
      </c>
      <c r="D1080" s="187" t="s">
        <v>80</v>
      </c>
      <c r="E1080" s="168" t="s">
        <v>11219</v>
      </c>
      <c r="F1080" s="168" t="s">
        <v>11227</v>
      </c>
      <c r="G1080" s="176">
        <v>6521</v>
      </c>
      <c r="H1080" s="167" t="s">
        <v>2746</v>
      </c>
      <c r="I1080" s="167" t="str">
        <f>IF(Plan_Comptable[[#This Row],[Sous-compte]]="","",LEFT(Plan_Comptable[[#This Row],[Sous-compte]]&amp;"00",4))</f>
        <v>6521</v>
      </c>
      <c r="J1080" s="167"/>
    </row>
    <row r="1081" spans="1:10" ht="15" customHeight="1">
      <c r="A1081" s="162">
        <v>8911</v>
      </c>
      <c r="B1081" s="162" t="s">
        <v>11228</v>
      </c>
      <c r="D1081" s="187" t="s">
        <v>80</v>
      </c>
      <c r="E1081" s="168" t="s">
        <v>11219</v>
      </c>
      <c r="F1081" s="168" t="s">
        <v>11227</v>
      </c>
      <c r="G1081" s="176">
        <v>6525</v>
      </c>
      <c r="H1081" s="167" t="s">
        <v>2747</v>
      </c>
      <c r="I1081" s="167" t="str">
        <f>IF(Plan_Comptable[[#This Row],[Sous-compte]]="","",LEFT(Plan_Comptable[[#This Row],[Sous-compte]]&amp;"00",4))</f>
        <v>6525</v>
      </c>
      <c r="J1081" s="167"/>
    </row>
    <row r="1082" spans="1:10" ht="15" customHeight="1">
      <c r="A1082" s="162">
        <v>8912</v>
      </c>
      <c r="B1082" s="162" t="s">
        <v>11229</v>
      </c>
      <c r="D1082" s="187" t="s">
        <v>80</v>
      </c>
      <c r="E1082" s="168" t="s">
        <v>11219</v>
      </c>
      <c r="F1082" s="168">
        <v>654</v>
      </c>
      <c r="G1082" s="176"/>
      <c r="H1082" s="167" t="s">
        <v>11230</v>
      </c>
      <c r="I1082" s="167" t="str">
        <f>IF(Plan_Comptable[[#This Row],[Sous-compte]]="","",LEFT(Plan_Comptable[[#This Row],[Sous-compte]]&amp;"00",4))</f>
        <v/>
      </c>
      <c r="J1082" s="167"/>
    </row>
    <row r="1083" spans="1:10" ht="15" customHeight="1">
      <c r="A1083" s="162">
        <v>8913</v>
      </c>
      <c r="B1083" s="162" t="s">
        <v>11231</v>
      </c>
      <c r="D1083" s="187" t="s">
        <v>80</v>
      </c>
      <c r="E1083" s="168" t="s">
        <v>11219</v>
      </c>
      <c r="F1083" s="168" t="s">
        <v>11232</v>
      </c>
      <c r="G1083" s="173">
        <v>6541</v>
      </c>
      <c r="H1083" s="175" t="s">
        <v>10781</v>
      </c>
      <c r="I1083" s="167" t="str">
        <f>IF(Plan_Comptable[[#This Row],[Sous-compte]]="","",LEFT(Plan_Comptable[[#This Row],[Sous-compte]]&amp;"00",4))</f>
        <v>6541</v>
      </c>
      <c r="J1083" s="167"/>
    </row>
    <row r="1084" spans="1:10" ht="15" customHeight="1">
      <c r="A1084" s="162">
        <v>892</v>
      </c>
      <c r="B1084" s="162" t="s">
        <v>11233</v>
      </c>
      <c r="D1084" s="187" t="s">
        <v>80</v>
      </c>
      <c r="E1084" s="168" t="s">
        <v>11219</v>
      </c>
      <c r="F1084" s="168" t="s">
        <v>11232</v>
      </c>
      <c r="G1084" s="173">
        <v>6542</v>
      </c>
      <c r="H1084" s="175" t="s">
        <v>10783</v>
      </c>
      <c r="I1084" s="167" t="str">
        <f>IF(Plan_Comptable[[#This Row],[Sous-compte]]="","",LEFT(Plan_Comptable[[#This Row],[Sous-compte]]&amp;"00",4))</f>
        <v>6542</v>
      </c>
      <c r="J1084" s="167"/>
    </row>
    <row r="1085" spans="1:10" ht="15" customHeight="1">
      <c r="A1085" s="162">
        <v>895</v>
      </c>
      <c r="B1085" s="162" t="s">
        <v>11234</v>
      </c>
      <c r="D1085" s="187" t="s">
        <v>80</v>
      </c>
      <c r="E1085" s="168" t="s">
        <v>11219</v>
      </c>
      <c r="F1085" s="184">
        <v>656</v>
      </c>
      <c r="G1085" s="195">
        <v>656</v>
      </c>
      <c r="H1085" s="175" t="s">
        <v>11016</v>
      </c>
      <c r="I1085" s="167" t="str">
        <f>IF(Plan_Comptable[[#This Row],[Sous-compte]]="","",LEFT(Plan_Comptable[[#This Row],[Sous-compte]]&amp;"00",4))</f>
        <v>6560</v>
      </c>
      <c r="J1085" s="167"/>
    </row>
    <row r="1086" spans="1:10" ht="15" customHeight="1">
      <c r="A1086" s="162">
        <v>8991</v>
      </c>
      <c r="B1086" s="162" t="s">
        <v>11235</v>
      </c>
      <c r="D1086" s="187" t="s">
        <v>80</v>
      </c>
      <c r="E1086" s="168" t="s">
        <v>11219</v>
      </c>
      <c r="F1086" s="184">
        <v>657</v>
      </c>
      <c r="G1086" s="195">
        <v>657</v>
      </c>
      <c r="H1086" s="175" t="s">
        <v>11017</v>
      </c>
      <c r="I1086" s="167" t="str">
        <f>IF(Plan_Comptable[[#This Row],[Sous-compte]]="","",LEFT(Plan_Comptable[[#This Row],[Sous-compte]]&amp;"00",4))</f>
        <v>6570</v>
      </c>
      <c r="J1086" s="167"/>
    </row>
    <row r="1087" spans="1:10" ht="15" customHeight="1">
      <c r="A1087" s="162">
        <v>8994</v>
      </c>
      <c r="B1087" s="162" t="s">
        <v>11236</v>
      </c>
      <c r="D1087" s="187" t="s">
        <v>80</v>
      </c>
      <c r="E1087" s="168" t="s">
        <v>11219</v>
      </c>
      <c r="F1087" s="168">
        <v>658</v>
      </c>
      <c r="G1087" s="176"/>
      <c r="H1087" s="167" t="s">
        <v>11237</v>
      </c>
      <c r="I1087" s="167" t="str">
        <f>IF(Plan_Comptable[[#This Row],[Sous-compte]]="","",LEFT(Plan_Comptable[[#This Row],[Sous-compte]]&amp;"00",4))</f>
        <v/>
      </c>
      <c r="J1087" s="167"/>
    </row>
    <row r="1088" spans="1:10" ht="15" customHeight="1">
      <c r="D1088" s="187" t="s">
        <v>80</v>
      </c>
      <c r="E1088" s="168" t="s">
        <v>11219</v>
      </c>
      <c r="F1088" s="168" t="s">
        <v>11238</v>
      </c>
      <c r="G1088" s="172">
        <v>6581</v>
      </c>
      <c r="H1088" s="192" t="s">
        <v>2227</v>
      </c>
      <c r="I1088" s="167" t="str">
        <f>IF(Plan_Comptable[[#This Row],[Sous-compte]]="","",LEFT(Plan_Comptable[[#This Row],[Sous-compte]]&amp;"00",4))</f>
        <v>6581</v>
      </c>
      <c r="J1088" s="167"/>
    </row>
    <row r="1089" spans="4:10" ht="15" customHeight="1">
      <c r="D1089" s="187" t="s">
        <v>80</v>
      </c>
      <c r="E1089" s="168" t="s">
        <v>11219</v>
      </c>
      <c r="F1089" s="168" t="s">
        <v>11238</v>
      </c>
      <c r="G1089" s="176">
        <v>6582</v>
      </c>
      <c r="H1089" s="167" t="s">
        <v>2750</v>
      </c>
      <c r="I1089" s="167" t="str">
        <f>IF(Plan_Comptable[[#This Row],[Sous-compte]]="","",LEFT(Plan_Comptable[[#This Row],[Sous-compte]]&amp;"00",4))</f>
        <v>6582</v>
      </c>
      <c r="J1089" s="167"/>
    </row>
    <row r="1090" spans="4:10" ht="15" customHeight="1">
      <c r="D1090" s="187" t="s">
        <v>80</v>
      </c>
      <c r="E1090" s="168" t="s">
        <v>11219</v>
      </c>
      <c r="F1090" s="168" t="s">
        <v>11238</v>
      </c>
      <c r="G1090" s="176">
        <v>6583</v>
      </c>
      <c r="H1090" s="167" t="s">
        <v>2751</v>
      </c>
      <c r="I1090" s="167" t="str">
        <f>IF(Plan_Comptable[[#This Row],[Sous-compte]]="","",LEFT(Plan_Comptable[[#This Row],[Sous-compte]]&amp;"00",4))</f>
        <v>6583</v>
      </c>
      <c r="J1090" s="167"/>
    </row>
    <row r="1091" spans="4:10" ht="15" customHeight="1">
      <c r="D1091" s="187" t="s">
        <v>80</v>
      </c>
      <c r="E1091" s="168" t="s">
        <v>11219</v>
      </c>
      <c r="F1091" s="168" t="s">
        <v>11238</v>
      </c>
      <c r="G1091" s="173">
        <v>6588</v>
      </c>
      <c r="H1091" s="175" t="s">
        <v>2229</v>
      </c>
      <c r="I1091" s="167" t="str">
        <f>IF(Plan_Comptable[[#This Row],[Sous-compte]]="","",LEFT(Plan_Comptable[[#This Row],[Sous-compte]]&amp;"00",4))</f>
        <v>6588</v>
      </c>
      <c r="J1091" s="167"/>
    </row>
    <row r="1092" spans="4:10" ht="15" customHeight="1">
      <c r="D1092" s="187" t="s">
        <v>80</v>
      </c>
      <c r="E1092" s="168" t="s">
        <v>11219</v>
      </c>
      <c r="F1092" s="171">
        <v>659</v>
      </c>
      <c r="G1092" s="172"/>
      <c r="H1092" s="179" t="s">
        <v>11239</v>
      </c>
      <c r="I1092" s="167" t="str">
        <f>IF(Plan_Comptable[[#This Row],[Sous-compte]]="","",LEFT(Plan_Comptable[[#This Row],[Sous-compte]]&amp;"00",4))</f>
        <v/>
      </c>
      <c r="J1092" s="167"/>
    </row>
    <row r="1093" spans="4:10" ht="15" customHeight="1">
      <c r="D1093" s="187" t="s">
        <v>80</v>
      </c>
      <c r="E1093" s="168" t="s">
        <v>11219</v>
      </c>
      <c r="F1093" s="168" t="s">
        <v>11240</v>
      </c>
      <c r="G1093" s="176">
        <v>6591</v>
      </c>
      <c r="H1093" s="167" t="s">
        <v>11020</v>
      </c>
      <c r="I1093" s="167" t="str">
        <f>IF(Plan_Comptable[[#This Row],[Sous-compte]]="","",LEFT(Plan_Comptable[[#This Row],[Sous-compte]]&amp;"00",4))</f>
        <v>6591</v>
      </c>
      <c r="J1093" s="167"/>
    </row>
    <row r="1094" spans="4:10" ht="15" customHeight="1">
      <c r="D1094" s="187" t="s">
        <v>80</v>
      </c>
      <c r="E1094" s="168" t="s">
        <v>11219</v>
      </c>
      <c r="F1094" s="168" t="s">
        <v>11240</v>
      </c>
      <c r="G1094" s="176">
        <v>6593</v>
      </c>
      <c r="H1094" s="167" t="s">
        <v>11022</v>
      </c>
      <c r="I1094" s="167" t="str">
        <f>IF(Plan_Comptable[[#This Row],[Sous-compte]]="","",LEFT(Plan_Comptable[[#This Row],[Sous-compte]]&amp;"00",4))</f>
        <v>6593</v>
      </c>
      <c r="J1094" s="167"/>
    </row>
    <row r="1095" spans="4:10" ht="15" customHeight="1">
      <c r="D1095" s="187" t="s">
        <v>80</v>
      </c>
      <c r="E1095" s="168" t="s">
        <v>11219</v>
      </c>
      <c r="F1095" s="168" t="s">
        <v>11240</v>
      </c>
      <c r="G1095" s="176">
        <v>6594</v>
      </c>
      <c r="H1095" s="167" t="s">
        <v>11024</v>
      </c>
      <c r="I1095" s="167" t="str">
        <f>IF(Plan_Comptable[[#This Row],[Sous-compte]]="","",LEFT(Plan_Comptable[[#This Row],[Sous-compte]]&amp;"00",4))</f>
        <v>6594</v>
      </c>
      <c r="J1095" s="167"/>
    </row>
    <row r="1096" spans="4:10" ht="15" customHeight="1">
      <c r="D1096" s="187" t="s">
        <v>80</v>
      </c>
      <c r="E1096" s="168" t="s">
        <v>11219</v>
      </c>
      <c r="F1096" s="168" t="s">
        <v>11240</v>
      </c>
      <c r="G1096" s="172">
        <v>6598</v>
      </c>
      <c r="H1096" s="192" t="s">
        <v>11241</v>
      </c>
      <c r="I1096" s="167" t="str">
        <f>IF(Plan_Comptable[[#This Row],[Sous-compte]]="","",LEFT(Plan_Comptable[[#This Row],[Sous-compte]]&amp;"00",4))</f>
        <v>6598</v>
      </c>
      <c r="J1096" s="167"/>
    </row>
    <row r="1097" spans="4:10" ht="15" customHeight="1">
      <c r="D1097" s="187" t="s">
        <v>80</v>
      </c>
      <c r="E1097" s="189">
        <v>66</v>
      </c>
      <c r="F1097" s="165" t="s">
        <v>9941</v>
      </c>
      <c r="G1097" s="165"/>
      <c r="H1097" s="166" t="s">
        <v>1501</v>
      </c>
      <c r="I1097" s="167" t="str">
        <f>IF(Plan_Comptable[[#This Row],[Sous-compte]]="","",LEFT(Plan_Comptable[[#This Row],[Sous-compte]]&amp;"00",4))</f>
        <v/>
      </c>
      <c r="J1097" s="167"/>
    </row>
    <row r="1098" spans="4:10" ht="15" customHeight="1">
      <c r="D1098" s="187" t="s">
        <v>80</v>
      </c>
      <c r="E1098" s="168" t="s">
        <v>11242</v>
      </c>
      <c r="F1098" s="168">
        <v>661</v>
      </c>
      <c r="G1098" s="176"/>
      <c r="H1098" s="167" t="s">
        <v>11243</v>
      </c>
      <c r="I1098" s="167" t="str">
        <f>IF(Plan_Comptable[[#This Row],[Sous-compte]]="","",LEFT(Plan_Comptable[[#This Row],[Sous-compte]]&amp;"00",4))</f>
        <v/>
      </c>
      <c r="J1098" s="167"/>
    </row>
    <row r="1099" spans="4:10" ht="15" customHeight="1">
      <c r="D1099" s="187" t="s">
        <v>80</v>
      </c>
      <c r="E1099" s="168" t="s">
        <v>11242</v>
      </c>
      <c r="F1099" s="168" t="s">
        <v>11244</v>
      </c>
      <c r="G1099" s="176">
        <v>6611</v>
      </c>
      <c r="H1099" s="167" t="s">
        <v>11026</v>
      </c>
      <c r="I1099" s="167" t="str">
        <f>IF(Plan_Comptable[[#This Row],[Sous-compte]]="","",LEFT(Plan_Comptable[[#This Row],[Sous-compte]]&amp;"00",4))</f>
        <v>6611</v>
      </c>
      <c r="J1099" s="167"/>
    </row>
    <row r="1100" spans="4:10" ht="15" customHeight="1">
      <c r="D1100" s="187" t="s">
        <v>80</v>
      </c>
      <c r="E1100" s="168" t="s">
        <v>11242</v>
      </c>
      <c r="F1100" s="168" t="s">
        <v>11244</v>
      </c>
      <c r="G1100" s="176">
        <v>6612</v>
      </c>
      <c r="H1100" s="167" t="s">
        <v>11027</v>
      </c>
      <c r="I1100" s="167" t="str">
        <f>IF(Plan_Comptable[[#This Row],[Sous-compte]]="","",LEFT(Plan_Comptable[[#This Row],[Sous-compte]]&amp;"00",4))</f>
        <v>6612</v>
      </c>
      <c r="J1100" s="167"/>
    </row>
    <row r="1101" spans="4:10" ht="15" customHeight="1">
      <c r="D1101" s="187" t="s">
        <v>80</v>
      </c>
      <c r="E1101" s="168" t="s">
        <v>11242</v>
      </c>
      <c r="F1101" s="168" t="s">
        <v>11244</v>
      </c>
      <c r="G1101" s="176">
        <v>6613</v>
      </c>
      <c r="H1101" s="167" t="s">
        <v>11028</v>
      </c>
      <c r="I1101" s="167" t="str">
        <f>IF(Plan_Comptable[[#This Row],[Sous-compte]]="","",LEFT(Plan_Comptable[[#This Row],[Sous-compte]]&amp;"00",4))</f>
        <v>6613</v>
      </c>
      <c r="J1101" s="167"/>
    </row>
    <row r="1102" spans="4:10" ht="15" customHeight="1">
      <c r="D1102" s="187" t="s">
        <v>80</v>
      </c>
      <c r="E1102" s="168" t="s">
        <v>11242</v>
      </c>
      <c r="F1102" s="168" t="s">
        <v>11244</v>
      </c>
      <c r="G1102" s="176">
        <v>6614</v>
      </c>
      <c r="H1102" s="167" t="s">
        <v>11030</v>
      </c>
      <c r="I1102" s="167" t="str">
        <f>IF(Plan_Comptable[[#This Row],[Sous-compte]]="","",LEFT(Plan_Comptable[[#This Row],[Sous-compte]]&amp;"00",4))</f>
        <v>6614</v>
      </c>
      <c r="J1102" s="167"/>
    </row>
    <row r="1103" spans="4:10" ht="15" customHeight="1">
      <c r="D1103" s="187" t="s">
        <v>80</v>
      </c>
      <c r="E1103" s="168" t="s">
        <v>11242</v>
      </c>
      <c r="F1103" s="168" t="s">
        <v>11244</v>
      </c>
      <c r="G1103" s="176">
        <v>6615</v>
      </c>
      <c r="H1103" s="167" t="s">
        <v>11032</v>
      </c>
      <c r="I1103" s="167" t="str">
        <f>IF(Plan_Comptable[[#This Row],[Sous-compte]]="","",LEFT(Plan_Comptable[[#This Row],[Sous-compte]]&amp;"00",4))</f>
        <v>6615</v>
      </c>
      <c r="J1103" s="167"/>
    </row>
    <row r="1104" spans="4:10" ht="15" customHeight="1">
      <c r="D1104" s="187" t="s">
        <v>80</v>
      </c>
      <c r="E1104" s="168" t="s">
        <v>11242</v>
      </c>
      <c r="F1104" s="168" t="s">
        <v>11244</v>
      </c>
      <c r="G1104" s="176">
        <v>6616</v>
      </c>
      <c r="H1104" s="167" t="s">
        <v>11033</v>
      </c>
      <c r="I1104" s="167" t="str">
        <f>IF(Plan_Comptable[[#This Row],[Sous-compte]]="","",LEFT(Plan_Comptable[[#This Row],[Sous-compte]]&amp;"00",4))</f>
        <v>6616</v>
      </c>
      <c r="J1104" s="167"/>
    </row>
    <row r="1105" spans="4:10" ht="15" customHeight="1">
      <c r="D1105" s="187" t="s">
        <v>80</v>
      </c>
      <c r="E1105" s="168" t="s">
        <v>11242</v>
      </c>
      <c r="F1105" s="168" t="s">
        <v>11244</v>
      </c>
      <c r="G1105" s="176">
        <v>6617</v>
      </c>
      <c r="H1105" s="167" t="s">
        <v>11034</v>
      </c>
      <c r="I1105" s="167" t="str">
        <f>IF(Plan_Comptable[[#This Row],[Sous-compte]]="","",LEFT(Plan_Comptable[[#This Row],[Sous-compte]]&amp;"00",4))</f>
        <v>6617</v>
      </c>
      <c r="J1105" s="167"/>
    </row>
    <row r="1106" spans="4:10" ht="15" customHeight="1">
      <c r="D1106" s="187" t="s">
        <v>80</v>
      </c>
      <c r="E1106" s="168" t="s">
        <v>11242</v>
      </c>
      <c r="F1106" s="168" t="s">
        <v>11244</v>
      </c>
      <c r="G1106" s="176">
        <v>6618</v>
      </c>
      <c r="H1106" s="167" t="s">
        <v>11035</v>
      </c>
      <c r="I1106" s="167" t="str">
        <f>IF(Plan_Comptable[[#This Row],[Sous-compte]]="","",LEFT(Plan_Comptable[[#This Row],[Sous-compte]]&amp;"00",4))</f>
        <v>6618</v>
      </c>
      <c r="J1106" s="167"/>
    </row>
    <row r="1107" spans="4:10" ht="15" customHeight="1">
      <c r="D1107" s="187" t="s">
        <v>80</v>
      </c>
      <c r="E1107" s="168" t="s">
        <v>11242</v>
      </c>
      <c r="F1107" s="168">
        <v>662</v>
      </c>
      <c r="G1107" s="176"/>
      <c r="H1107" s="167" t="s">
        <v>11245</v>
      </c>
      <c r="I1107" s="167" t="str">
        <f>IF(Plan_Comptable[[#This Row],[Sous-compte]]="","",LEFT(Plan_Comptable[[#This Row],[Sous-compte]]&amp;"00",4))</f>
        <v/>
      </c>
      <c r="J1107" s="167"/>
    </row>
    <row r="1108" spans="4:10" ht="15" customHeight="1">
      <c r="D1108" s="187" t="s">
        <v>80</v>
      </c>
      <c r="E1108" s="168" t="s">
        <v>11242</v>
      </c>
      <c r="F1108" s="168" t="s">
        <v>11246</v>
      </c>
      <c r="G1108" s="176">
        <v>6621</v>
      </c>
      <c r="H1108" s="167" t="s">
        <v>11026</v>
      </c>
      <c r="I1108" s="167" t="str">
        <f>IF(Plan_Comptable[[#This Row],[Sous-compte]]="","",LEFT(Plan_Comptable[[#This Row],[Sous-compte]]&amp;"00",4))</f>
        <v>6621</v>
      </c>
      <c r="J1108" s="167"/>
    </row>
    <row r="1109" spans="4:10" ht="15" customHeight="1">
      <c r="D1109" s="187" t="s">
        <v>80</v>
      </c>
      <c r="E1109" s="168" t="s">
        <v>11242</v>
      </c>
      <c r="F1109" s="168" t="s">
        <v>11246</v>
      </c>
      <c r="G1109" s="176">
        <v>6622</v>
      </c>
      <c r="H1109" s="167" t="s">
        <v>11027</v>
      </c>
      <c r="I1109" s="167" t="str">
        <f>IF(Plan_Comptable[[#This Row],[Sous-compte]]="","",LEFT(Plan_Comptable[[#This Row],[Sous-compte]]&amp;"00",4))</f>
        <v>6622</v>
      </c>
      <c r="J1109" s="167"/>
    </row>
    <row r="1110" spans="4:10" ht="15" customHeight="1">
      <c r="D1110" s="187" t="s">
        <v>80</v>
      </c>
      <c r="E1110" s="168" t="s">
        <v>11242</v>
      </c>
      <c r="F1110" s="168" t="s">
        <v>11246</v>
      </c>
      <c r="G1110" s="176">
        <v>6623</v>
      </c>
      <c r="H1110" s="167" t="s">
        <v>11028</v>
      </c>
      <c r="I1110" s="167" t="str">
        <f>IF(Plan_Comptable[[#This Row],[Sous-compte]]="","",LEFT(Plan_Comptable[[#This Row],[Sous-compte]]&amp;"00",4))</f>
        <v>6623</v>
      </c>
      <c r="J1110" s="167"/>
    </row>
    <row r="1111" spans="4:10" ht="15" customHeight="1">
      <c r="D1111" s="187" t="s">
        <v>80</v>
      </c>
      <c r="E1111" s="168" t="s">
        <v>11242</v>
      </c>
      <c r="F1111" s="168" t="s">
        <v>11246</v>
      </c>
      <c r="G1111" s="176">
        <v>6624</v>
      </c>
      <c r="H1111" s="167" t="s">
        <v>11030</v>
      </c>
      <c r="I1111" s="167" t="str">
        <f>IF(Plan_Comptable[[#This Row],[Sous-compte]]="","",LEFT(Plan_Comptable[[#This Row],[Sous-compte]]&amp;"00",4))</f>
        <v>6624</v>
      </c>
      <c r="J1111" s="167"/>
    </row>
    <row r="1112" spans="4:10" ht="15" customHeight="1">
      <c r="D1112" s="187" t="s">
        <v>80</v>
      </c>
      <c r="E1112" s="168" t="s">
        <v>11242</v>
      </c>
      <c r="F1112" s="168" t="s">
        <v>11246</v>
      </c>
      <c r="G1112" s="176">
        <v>6625</v>
      </c>
      <c r="H1112" s="167" t="s">
        <v>11032</v>
      </c>
      <c r="I1112" s="167" t="str">
        <f>IF(Plan_Comptable[[#This Row],[Sous-compte]]="","",LEFT(Plan_Comptable[[#This Row],[Sous-compte]]&amp;"00",4))</f>
        <v>6625</v>
      </c>
      <c r="J1112" s="167"/>
    </row>
    <row r="1113" spans="4:10" ht="15" customHeight="1">
      <c r="D1113" s="187" t="s">
        <v>80</v>
      </c>
      <c r="E1113" s="168" t="s">
        <v>11242</v>
      </c>
      <c r="F1113" s="168" t="s">
        <v>11246</v>
      </c>
      <c r="G1113" s="176">
        <v>6626</v>
      </c>
      <c r="H1113" s="167" t="s">
        <v>11033</v>
      </c>
      <c r="I1113" s="167" t="str">
        <f>IF(Plan_Comptable[[#This Row],[Sous-compte]]="","",LEFT(Plan_Comptable[[#This Row],[Sous-compte]]&amp;"00",4))</f>
        <v>6626</v>
      </c>
      <c r="J1113" s="167"/>
    </row>
    <row r="1114" spans="4:10" ht="15" customHeight="1">
      <c r="D1114" s="187" t="s">
        <v>80</v>
      </c>
      <c r="E1114" s="168" t="s">
        <v>11242</v>
      </c>
      <c r="F1114" s="168" t="s">
        <v>11246</v>
      </c>
      <c r="G1114" s="176">
        <v>6627</v>
      </c>
      <c r="H1114" s="167" t="s">
        <v>11034</v>
      </c>
      <c r="I1114" s="167" t="str">
        <f>IF(Plan_Comptable[[#This Row],[Sous-compte]]="","",LEFT(Plan_Comptable[[#This Row],[Sous-compte]]&amp;"00",4))</f>
        <v>6627</v>
      </c>
      <c r="J1114" s="167"/>
    </row>
    <row r="1115" spans="4:10" ht="15" customHeight="1">
      <c r="D1115" s="187" t="s">
        <v>80</v>
      </c>
      <c r="E1115" s="168" t="s">
        <v>11242</v>
      </c>
      <c r="F1115" s="168" t="s">
        <v>11246</v>
      </c>
      <c r="G1115" s="176">
        <v>6628</v>
      </c>
      <c r="H1115" s="167" t="s">
        <v>11035</v>
      </c>
      <c r="I1115" s="167" t="str">
        <f>IF(Plan_Comptable[[#This Row],[Sous-compte]]="","",LEFT(Plan_Comptable[[#This Row],[Sous-compte]]&amp;"00",4))</f>
        <v>6628</v>
      </c>
      <c r="J1115" s="167"/>
    </row>
    <row r="1116" spans="4:10" ht="15" customHeight="1">
      <c r="D1116" s="187" t="s">
        <v>80</v>
      </c>
      <c r="E1116" s="168" t="s">
        <v>11242</v>
      </c>
      <c r="F1116" s="168">
        <v>663</v>
      </c>
      <c r="G1116" s="176"/>
      <c r="H1116" s="167" t="s">
        <v>11247</v>
      </c>
      <c r="I1116" s="167" t="str">
        <f>IF(Plan_Comptable[[#This Row],[Sous-compte]]="","",LEFT(Plan_Comptable[[#This Row],[Sous-compte]]&amp;"00",4))</f>
        <v/>
      </c>
      <c r="J1116" s="167"/>
    </row>
    <row r="1117" spans="4:10" ht="15" customHeight="1">
      <c r="D1117" s="187" t="s">
        <v>80</v>
      </c>
      <c r="E1117" s="168" t="s">
        <v>11242</v>
      </c>
      <c r="F1117" s="168" t="s">
        <v>11248</v>
      </c>
      <c r="G1117" s="176">
        <v>6631</v>
      </c>
      <c r="H1117" s="167" t="s">
        <v>11040</v>
      </c>
      <c r="I1117" s="167" t="str">
        <f>IF(Plan_Comptable[[#This Row],[Sous-compte]]="","",LEFT(Plan_Comptable[[#This Row],[Sous-compte]]&amp;"00",4))</f>
        <v>6631</v>
      </c>
      <c r="J1117" s="167"/>
    </row>
    <row r="1118" spans="4:10" ht="15" customHeight="1">
      <c r="D1118" s="187" t="s">
        <v>80</v>
      </c>
      <c r="E1118" s="168" t="s">
        <v>11242</v>
      </c>
      <c r="F1118" s="168" t="s">
        <v>11248</v>
      </c>
      <c r="G1118" s="176">
        <v>6632</v>
      </c>
      <c r="H1118" s="167" t="s">
        <v>11041</v>
      </c>
      <c r="I1118" s="167" t="str">
        <f>IF(Plan_Comptable[[#This Row],[Sous-compte]]="","",LEFT(Plan_Comptable[[#This Row],[Sous-compte]]&amp;"00",4))</f>
        <v>6632</v>
      </c>
      <c r="J1118" s="167"/>
    </row>
    <row r="1119" spans="4:10" ht="15" customHeight="1">
      <c r="D1119" s="187" t="s">
        <v>80</v>
      </c>
      <c r="E1119" s="168" t="s">
        <v>11242</v>
      </c>
      <c r="F1119" s="168" t="s">
        <v>11248</v>
      </c>
      <c r="G1119" s="176">
        <v>6633</v>
      </c>
      <c r="H1119" s="167" t="s">
        <v>11042</v>
      </c>
      <c r="I1119" s="167" t="str">
        <f>IF(Plan_Comptable[[#This Row],[Sous-compte]]="","",LEFT(Plan_Comptable[[#This Row],[Sous-compte]]&amp;"00",4))</f>
        <v>6633</v>
      </c>
      <c r="J1119" s="167"/>
    </row>
    <row r="1120" spans="4:10" ht="15" customHeight="1">
      <c r="D1120" s="187" t="s">
        <v>80</v>
      </c>
      <c r="E1120" s="168" t="s">
        <v>11242</v>
      </c>
      <c r="F1120" s="168" t="s">
        <v>11248</v>
      </c>
      <c r="G1120" s="173">
        <v>6634</v>
      </c>
      <c r="H1120" s="174" t="s">
        <v>11043</v>
      </c>
      <c r="I1120" s="167" t="str">
        <f>IF(Plan_Comptable[[#This Row],[Sous-compte]]="","",LEFT(Plan_Comptable[[#This Row],[Sous-compte]]&amp;"00",4))</f>
        <v>6634</v>
      </c>
      <c r="J1120" s="167"/>
    </row>
    <row r="1121" spans="4:10" ht="15" customHeight="1">
      <c r="D1121" s="187" t="s">
        <v>80</v>
      </c>
      <c r="E1121" s="168" t="s">
        <v>11242</v>
      </c>
      <c r="F1121" s="168" t="s">
        <v>11248</v>
      </c>
      <c r="G1121" s="176">
        <v>6638</v>
      </c>
      <c r="H1121" s="167" t="s">
        <v>11045</v>
      </c>
      <c r="I1121" s="167" t="str">
        <f>IF(Plan_Comptable[[#This Row],[Sous-compte]]="","",LEFT(Plan_Comptable[[#This Row],[Sous-compte]]&amp;"00",4))</f>
        <v>6638</v>
      </c>
      <c r="J1121" s="167"/>
    </row>
    <row r="1122" spans="4:10" ht="15" customHeight="1">
      <c r="D1122" s="187" t="s">
        <v>80</v>
      </c>
      <c r="E1122" s="168" t="s">
        <v>11242</v>
      </c>
      <c r="F1122" s="168">
        <v>664</v>
      </c>
      <c r="G1122" s="176"/>
      <c r="H1122" s="167" t="s">
        <v>11249</v>
      </c>
      <c r="I1122" s="167" t="str">
        <f>IF(Plan_Comptable[[#This Row],[Sous-compte]]="","",LEFT(Plan_Comptable[[#This Row],[Sous-compte]]&amp;"00",4))</f>
        <v/>
      </c>
      <c r="J1122" s="167"/>
    </row>
    <row r="1123" spans="4:10" ht="15" customHeight="1">
      <c r="D1123" s="187" t="s">
        <v>80</v>
      </c>
      <c r="E1123" s="168" t="s">
        <v>11242</v>
      </c>
      <c r="F1123" s="168" t="s">
        <v>11250</v>
      </c>
      <c r="G1123" s="176">
        <v>6641</v>
      </c>
      <c r="H1123" s="167" t="s">
        <v>2777</v>
      </c>
      <c r="I1123" s="167" t="str">
        <f>IF(Plan_Comptable[[#This Row],[Sous-compte]]="","",LEFT(Plan_Comptable[[#This Row],[Sous-compte]]&amp;"00",4))</f>
        <v>6641</v>
      </c>
      <c r="J1123" s="167"/>
    </row>
    <row r="1124" spans="4:10" ht="15" customHeight="1">
      <c r="D1124" s="187" t="s">
        <v>80</v>
      </c>
      <c r="E1124" s="168" t="s">
        <v>11242</v>
      </c>
      <c r="F1124" s="168" t="s">
        <v>11250</v>
      </c>
      <c r="G1124" s="176">
        <v>6642</v>
      </c>
      <c r="H1124" s="167" t="s">
        <v>2778</v>
      </c>
      <c r="I1124" s="167" t="str">
        <f>IF(Plan_Comptable[[#This Row],[Sous-compte]]="","",LEFT(Plan_Comptable[[#This Row],[Sous-compte]]&amp;"00",4))</f>
        <v>6642</v>
      </c>
      <c r="J1124" s="167"/>
    </row>
    <row r="1125" spans="4:10" ht="15" customHeight="1">
      <c r="D1125" s="187" t="s">
        <v>80</v>
      </c>
      <c r="E1125" s="168" t="s">
        <v>11242</v>
      </c>
      <c r="F1125" s="168">
        <v>666</v>
      </c>
      <c r="G1125" s="176"/>
      <c r="H1125" s="167" t="s">
        <v>11251</v>
      </c>
      <c r="I1125" s="167" t="str">
        <f>IF(Plan_Comptable[[#This Row],[Sous-compte]]="","",LEFT(Plan_Comptable[[#This Row],[Sous-compte]]&amp;"00",4))</f>
        <v/>
      </c>
      <c r="J1125" s="167"/>
    </row>
    <row r="1126" spans="4:10" ht="15" customHeight="1">
      <c r="D1126" s="187" t="s">
        <v>80</v>
      </c>
      <c r="E1126" s="168" t="s">
        <v>11242</v>
      </c>
      <c r="F1126" s="168" t="s">
        <v>11252</v>
      </c>
      <c r="G1126" s="176">
        <v>6661</v>
      </c>
      <c r="H1126" s="167" t="s">
        <v>11049</v>
      </c>
      <c r="I1126" s="167" t="str">
        <f>IF(Plan_Comptable[[#This Row],[Sous-compte]]="","",LEFT(Plan_Comptable[[#This Row],[Sous-compte]]&amp;"00",4))</f>
        <v>6661</v>
      </c>
      <c r="J1126" s="167"/>
    </row>
    <row r="1127" spans="4:10" ht="15" customHeight="1">
      <c r="D1127" s="187" t="s">
        <v>80</v>
      </c>
      <c r="E1127" s="168" t="s">
        <v>11242</v>
      </c>
      <c r="F1127" s="168" t="s">
        <v>11252</v>
      </c>
      <c r="G1127" s="176">
        <v>6662</v>
      </c>
      <c r="H1127" s="167" t="s">
        <v>11051</v>
      </c>
      <c r="I1127" s="167" t="str">
        <f>IF(Plan_Comptable[[#This Row],[Sous-compte]]="","",LEFT(Plan_Comptable[[#This Row],[Sous-compte]]&amp;"00",4))</f>
        <v>6662</v>
      </c>
      <c r="J1127" s="167"/>
    </row>
    <row r="1128" spans="4:10" ht="15" customHeight="1">
      <c r="D1128" s="187" t="s">
        <v>80</v>
      </c>
      <c r="E1128" s="168" t="s">
        <v>11242</v>
      </c>
      <c r="F1128" s="168">
        <v>667</v>
      </c>
      <c r="G1128" s="176"/>
      <c r="H1128" s="167" t="s">
        <v>11253</v>
      </c>
      <c r="I1128" s="167" t="str">
        <f>IF(Plan_Comptable[[#This Row],[Sous-compte]]="","",LEFT(Plan_Comptable[[#This Row],[Sous-compte]]&amp;"00",4))</f>
        <v/>
      </c>
      <c r="J1128" s="167"/>
    </row>
    <row r="1129" spans="4:10" ht="15" customHeight="1">
      <c r="D1129" s="187" t="s">
        <v>80</v>
      </c>
      <c r="E1129" s="168" t="s">
        <v>11242</v>
      </c>
      <c r="F1129" s="168" t="s">
        <v>11254</v>
      </c>
      <c r="G1129" s="176">
        <v>6671</v>
      </c>
      <c r="H1129" s="167" t="s">
        <v>2721</v>
      </c>
      <c r="I1129" s="167" t="str">
        <f>IF(Plan_Comptable[[#This Row],[Sous-compte]]="","",LEFT(Plan_Comptable[[#This Row],[Sous-compte]]&amp;"00",4))</f>
        <v>6671</v>
      </c>
      <c r="J1129" s="167"/>
    </row>
    <row r="1130" spans="4:10" ht="15" customHeight="1">
      <c r="D1130" s="187" t="s">
        <v>80</v>
      </c>
      <c r="E1130" s="168" t="s">
        <v>11242</v>
      </c>
      <c r="F1130" s="168" t="s">
        <v>11254</v>
      </c>
      <c r="G1130" s="172">
        <v>6672</v>
      </c>
      <c r="H1130" s="179" t="s">
        <v>11053</v>
      </c>
      <c r="I1130" s="167" t="str">
        <f>IF(Plan_Comptable[[#This Row],[Sous-compte]]="","",LEFT(Plan_Comptable[[#This Row],[Sous-compte]]&amp;"00",4))</f>
        <v>6672</v>
      </c>
      <c r="J1130" s="167"/>
    </row>
    <row r="1131" spans="4:10" ht="15" customHeight="1">
      <c r="D1131" s="187" t="s">
        <v>80</v>
      </c>
      <c r="E1131" s="168" t="s">
        <v>11242</v>
      </c>
      <c r="F1131" s="168">
        <v>668</v>
      </c>
      <c r="G1131" s="176"/>
      <c r="H1131" s="167" t="s">
        <v>11255</v>
      </c>
      <c r="I1131" s="167" t="str">
        <f>IF(Plan_Comptable[[#This Row],[Sous-compte]]="","",LEFT(Plan_Comptable[[#This Row],[Sous-compte]]&amp;"00",4))</f>
        <v/>
      </c>
      <c r="J1131" s="167"/>
    </row>
    <row r="1132" spans="4:10" ht="15" customHeight="1">
      <c r="D1132" s="187" t="s">
        <v>80</v>
      </c>
      <c r="E1132" s="168" t="s">
        <v>11242</v>
      </c>
      <c r="F1132" s="168" t="s">
        <v>11256</v>
      </c>
      <c r="G1132" s="176">
        <v>6681</v>
      </c>
      <c r="H1132" s="167" t="s">
        <v>2783</v>
      </c>
      <c r="I1132" s="167" t="str">
        <f>IF(Plan_Comptable[[#This Row],[Sous-compte]]="","",LEFT(Plan_Comptable[[#This Row],[Sous-compte]]&amp;"00",4))</f>
        <v>6681</v>
      </c>
      <c r="J1132" s="167"/>
    </row>
    <row r="1133" spans="4:10" ht="15" customHeight="1">
      <c r="D1133" s="187" t="s">
        <v>80</v>
      </c>
      <c r="E1133" s="168" t="s">
        <v>11242</v>
      </c>
      <c r="F1133" s="168" t="s">
        <v>11256</v>
      </c>
      <c r="G1133" s="176">
        <v>6682</v>
      </c>
      <c r="H1133" s="167" t="s">
        <v>2784</v>
      </c>
      <c r="I1133" s="167" t="str">
        <f>IF(Plan_Comptable[[#This Row],[Sous-compte]]="","",LEFT(Plan_Comptable[[#This Row],[Sous-compte]]&amp;"00",4))</f>
        <v>6682</v>
      </c>
      <c r="J1133" s="167"/>
    </row>
    <row r="1134" spans="4:10" ht="15" customHeight="1">
      <c r="D1134" s="187" t="s">
        <v>80</v>
      </c>
      <c r="E1134" s="168" t="s">
        <v>11242</v>
      </c>
      <c r="F1134" s="168" t="s">
        <v>11256</v>
      </c>
      <c r="G1134" s="172">
        <v>6683</v>
      </c>
      <c r="H1134" s="192" t="s">
        <v>2785</v>
      </c>
      <c r="I1134" s="167" t="str">
        <f>IF(Plan_Comptable[[#This Row],[Sous-compte]]="","",LEFT(Plan_Comptable[[#This Row],[Sous-compte]]&amp;"00",4))</f>
        <v>6683</v>
      </c>
      <c r="J1134" s="167"/>
    </row>
    <row r="1135" spans="4:10" ht="15" customHeight="1">
      <c r="D1135" s="187" t="s">
        <v>80</v>
      </c>
      <c r="E1135" s="168" t="s">
        <v>11242</v>
      </c>
      <c r="F1135" s="168" t="s">
        <v>11256</v>
      </c>
      <c r="G1135" s="176">
        <v>6684</v>
      </c>
      <c r="H1135" s="167" t="s">
        <v>2787</v>
      </c>
      <c r="I1135" s="167" t="str">
        <f>IF(Plan_Comptable[[#This Row],[Sous-compte]]="","",LEFT(Plan_Comptable[[#This Row],[Sous-compte]]&amp;"00",4))</f>
        <v>6684</v>
      </c>
      <c r="J1135" s="167"/>
    </row>
    <row r="1136" spans="4:10" ht="15" customHeight="1">
      <c r="D1136" s="187" t="s">
        <v>80</v>
      </c>
      <c r="E1136" s="168" t="s">
        <v>11242</v>
      </c>
      <c r="F1136" s="168" t="s">
        <v>11256</v>
      </c>
      <c r="G1136" s="173">
        <v>6685</v>
      </c>
      <c r="H1136" s="175" t="s">
        <v>2788</v>
      </c>
      <c r="I1136" s="167" t="str">
        <f>IF(Plan_Comptable[[#This Row],[Sous-compte]]="","",LEFT(Plan_Comptable[[#This Row],[Sous-compte]]&amp;"00",4))</f>
        <v>6685</v>
      </c>
      <c r="J1136" s="167"/>
    </row>
    <row r="1137" spans="4:10" ht="15" customHeight="1">
      <c r="D1137" s="187" t="s">
        <v>80</v>
      </c>
      <c r="E1137" s="168" t="s">
        <v>11242</v>
      </c>
      <c r="F1137" s="168" t="s">
        <v>11256</v>
      </c>
      <c r="G1137" s="173">
        <v>6686</v>
      </c>
      <c r="H1137" s="175" t="s">
        <v>11058</v>
      </c>
      <c r="I1137" s="167" t="str">
        <f>IF(Plan_Comptable[[#This Row],[Sous-compte]]="","",LEFT(Plan_Comptable[[#This Row],[Sous-compte]]&amp;"00",4))</f>
        <v>6686</v>
      </c>
      <c r="J1137" s="167"/>
    </row>
    <row r="1138" spans="4:10" ht="15" customHeight="1">
      <c r="D1138" s="187" t="s">
        <v>80</v>
      </c>
      <c r="E1138" s="168" t="s">
        <v>11242</v>
      </c>
      <c r="F1138" s="168" t="s">
        <v>11256</v>
      </c>
      <c r="G1138" s="173">
        <v>6687</v>
      </c>
      <c r="H1138" s="175" t="s">
        <v>2790</v>
      </c>
      <c r="I1138" s="167" t="str">
        <f>IF(Plan_Comptable[[#This Row],[Sous-compte]]="","",LEFT(Plan_Comptable[[#This Row],[Sous-compte]]&amp;"00",4))</f>
        <v>6687</v>
      </c>
      <c r="J1138" s="167"/>
    </row>
    <row r="1139" spans="4:10" ht="15" customHeight="1">
      <c r="D1139" s="187" t="s">
        <v>80</v>
      </c>
      <c r="E1139" s="168" t="s">
        <v>11242</v>
      </c>
      <c r="F1139" s="168" t="s">
        <v>11256</v>
      </c>
      <c r="G1139" s="173">
        <v>6688</v>
      </c>
      <c r="H1139" s="175" t="s">
        <v>2791</v>
      </c>
      <c r="I1139" s="167" t="str">
        <f>IF(Plan_Comptable[[#This Row],[Sous-compte]]="","",LEFT(Plan_Comptable[[#This Row],[Sous-compte]]&amp;"00",4))</f>
        <v>6688</v>
      </c>
      <c r="J1139" s="167"/>
    </row>
    <row r="1140" spans="4:10" ht="15" customHeight="1">
      <c r="D1140" s="187" t="s">
        <v>80</v>
      </c>
      <c r="E1140" s="189">
        <v>67</v>
      </c>
      <c r="F1140" s="165" t="s">
        <v>9941</v>
      </c>
      <c r="G1140" s="165"/>
      <c r="H1140" s="166" t="s">
        <v>11257</v>
      </c>
      <c r="I1140" s="167" t="str">
        <f>IF(Plan_Comptable[[#This Row],[Sous-compte]]="","",LEFT(Plan_Comptable[[#This Row],[Sous-compte]]&amp;"00",4))</f>
        <v/>
      </c>
      <c r="J1140" s="167"/>
    </row>
    <row r="1141" spans="4:10" ht="15" customHeight="1">
      <c r="D1141" s="187" t="s">
        <v>80</v>
      </c>
      <c r="E1141" s="168" t="s">
        <v>11258</v>
      </c>
      <c r="F1141" s="168">
        <v>671</v>
      </c>
      <c r="G1141" s="176"/>
      <c r="H1141" s="167" t="s">
        <v>11259</v>
      </c>
      <c r="I1141" s="167" t="str">
        <f>IF(Plan_Comptable[[#This Row],[Sous-compte]]="","",LEFT(Plan_Comptable[[#This Row],[Sous-compte]]&amp;"00",4))</f>
        <v/>
      </c>
      <c r="J1141" s="167"/>
    </row>
    <row r="1142" spans="4:10" ht="15" customHeight="1">
      <c r="D1142" s="187" t="s">
        <v>80</v>
      </c>
      <c r="E1142" s="168" t="s">
        <v>11258</v>
      </c>
      <c r="F1142" s="168" t="s">
        <v>11260</v>
      </c>
      <c r="G1142" s="176">
        <v>6711</v>
      </c>
      <c r="H1142" s="167" t="s">
        <v>1963</v>
      </c>
      <c r="I1142" s="167" t="str">
        <f>IF(Plan_Comptable[[#This Row],[Sous-compte]]="","",LEFT(Plan_Comptable[[#This Row],[Sous-compte]]&amp;"00",4))</f>
        <v>6711</v>
      </c>
      <c r="J1142" s="167"/>
    </row>
    <row r="1143" spans="4:10" ht="15" customHeight="1">
      <c r="D1143" s="187" t="s">
        <v>80</v>
      </c>
      <c r="E1143" s="168" t="s">
        <v>11258</v>
      </c>
      <c r="F1143" s="168" t="s">
        <v>11260</v>
      </c>
      <c r="G1143" s="176">
        <v>6712</v>
      </c>
      <c r="H1143" s="167" t="s">
        <v>11061</v>
      </c>
      <c r="I1143" s="167" t="str">
        <f>IF(Plan_Comptable[[#This Row],[Sous-compte]]="","",LEFT(Plan_Comptable[[#This Row],[Sous-compte]]&amp;"00",4))</f>
        <v>6712</v>
      </c>
      <c r="J1143" s="167"/>
    </row>
    <row r="1144" spans="4:10" ht="15" customHeight="1">
      <c r="D1144" s="187" t="s">
        <v>80</v>
      </c>
      <c r="E1144" s="168" t="s">
        <v>11258</v>
      </c>
      <c r="F1144" s="168" t="s">
        <v>11260</v>
      </c>
      <c r="G1144" s="176">
        <v>6713</v>
      </c>
      <c r="H1144" s="167" t="s">
        <v>11062</v>
      </c>
      <c r="I1144" s="167" t="str">
        <f>IF(Plan_Comptable[[#This Row],[Sous-compte]]="","",LEFT(Plan_Comptable[[#This Row],[Sous-compte]]&amp;"00",4))</f>
        <v>6713</v>
      </c>
      <c r="J1144" s="167"/>
    </row>
    <row r="1145" spans="4:10" ht="15" customHeight="1">
      <c r="D1145" s="187" t="s">
        <v>80</v>
      </c>
      <c r="E1145" s="168" t="s">
        <v>11258</v>
      </c>
      <c r="F1145" s="168" t="s">
        <v>11260</v>
      </c>
      <c r="G1145" s="173">
        <v>6714</v>
      </c>
      <c r="H1145" s="175" t="s">
        <v>4630</v>
      </c>
      <c r="I1145" s="167" t="str">
        <f>IF(Plan_Comptable[[#This Row],[Sous-compte]]="","",LEFT(Plan_Comptable[[#This Row],[Sous-compte]]&amp;"00",4))</f>
        <v>6714</v>
      </c>
      <c r="J1145" s="167"/>
    </row>
    <row r="1146" spans="4:10" ht="15" customHeight="1">
      <c r="D1146" s="187" t="s">
        <v>80</v>
      </c>
      <c r="E1146" s="168" t="s">
        <v>11258</v>
      </c>
      <c r="F1146" s="171">
        <v>672</v>
      </c>
      <c r="G1146" s="172"/>
      <c r="H1146" s="179" t="s">
        <v>11261</v>
      </c>
      <c r="I1146" s="167" t="str">
        <f>IF(Plan_Comptable[[#This Row],[Sous-compte]]="","",LEFT(Plan_Comptable[[#This Row],[Sous-compte]]&amp;"00",4))</f>
        <v/>
      </c>
      <c r="J1146" s="167"/>
    </row>
    <row r="1147" spans="4:10" ht="15" customHeight="1">
      <c r="D1147" s="187" t="s">
        <v>80</v>
      </c>
      <c r="E1147" s="168" t="s">
        <v>11258</v>
      </c>
      <c r="F1147" s="171" t="s">
        <v>11262</v>
      </c>
      <c r="G1147" s="172">
        <v>6722</v>
      </c>
      <c r="H1147" s="192" t="s">
        <v>11063</v>
      </c>
      <c r="I1147" s="167" t="str">
        <f>IF(Plan_Comptable[[#This Row],[Sous-compte]]="","",LEFT(Plan_Comptable[[#This Row],[Sous-compte]]&amp;"00",4))</f>
        <v>6722</v>
      </c>
      <c r="J1147" s="167"/>
    </row>
    <row r="1148" spans="4:10" ht="15" customHeight="1">
      <c r="D1148" s="187" t="s">
        <v>80</v>
      </c>
      <c r="E1148" s="168" t="s">
        <v>11258</v>
      </c>
      <c r="F1148" s="171" t="s">
        <v>11262</v>
      </c>
      <c r="G1148" s="172">
        <v>6723</v>
      </c>
      <c r="H1148" s="192" t="s">
        <v>11064</v>
      </c>
      <c r="I1148" s="167" t="str">
        <f>IF(Plan_Comptable[[#This Row],[Sous-compte]]="","",LEFT(Plan_Comptable[[#This Row],[Sous-compte]]&amp;"00",4))</f>
        <v>6723</v>
      </c>
      <c r="J1148" s="167"/>
    </row>
    <row r="1149" spans="4:10" ht="15" customHeight="1">
      <c r="D1149" s="187" t="s">
        <v>80</v>
      </c>
      <c r="E1149" s="168" t="s">
        <v>11258</v>
      </c>
      <c r="F1149" s="168" t="s">
        <v>11262</v>
      </c>
      <c r="G1149" s="173">
        <v>6724</v>
      </c>
      <c r="H1149" s="174" t="s">
        <v>11065</v>
      </c>
      <c r="I1149" s="167" t="str">
        <f>IF(Plan_Comptable[[#This Row],[Sous-compte]]="","",LEFT(Plan_Comptable[[#This Row],[Sous-compte]]&amp;"00",4))</f>
        <v>6724</v>
      </c>
      <c r="J1149" s="167"/>
    </row>
    <row r="1150" spans="4:10" ht="15" customHeight="1">
      <c r="D1150" s="187" t="s">
        <v>80</v>
      </c>
      <c r="E1150" s="168" t="s">
        <v>11258</v>
      </c>
      <c r="F1150" s="168" t="s">
        <v>11262</v>
      </c>
      <c r="G1150" s="172">
        <v>6728</v>
      </c>
      <c r="H1150" s="192" t="s">
        <v>11067</v>
      </c>
      <c r="I1150" s="167" t="str">
        <f>IF(Plan_Comptable[[#This Row],[Sous-compte]]="","",LEFT(Plan_Comptable[[#This Row],[Sous-compte]]&amp;"00",4))</f>
        <v>6728</v>
      </c>
      <c r="J1150" s="167"/>
    </row>
    <row r="1151" spans="4:10" ht="15" customHeight="1">
      <c r="D1151" s="187" t="s">
        <v>80</v>
      </c>
      <c r="E1151" s="168" t="s">
        <v>11258</v>
      </c>
      <c r="F1151" s="168">
        <v>673</v>
      </c>
      <c r="G1151" s="176">
        <v>673</v>
      </c>
      <c r="H1151" s="167" t="s">
        <v>11070</v>
      </c>
      <c r="I1151" s="167" t="str">
        <f>IF(Plan_Comptable[[#This Row],[Sous-compte]]="","",LEFT(Plan_Comptable[[#This Row],[Sous-compte]]&amp;"00",4))</f>
        <v>6730</v>
      </c>
      <c r="J1151" s="167"/>
    </row>
    <row r="1152" spans="4:10" ht="15" customHeight="1">
      <c r="D1152" s="187" t="s">
        <v>80</v>
      </c>
      <c r="E1152" s="168" t="s">
        <v>11258</v>
      </c>
      <c r="F1152" s="168">
        <v>674</v>
      </c>
      <c r="G1152" s="176"/>
      <c r="H1152" s="167" t="s">
        <v>11263</v>
      </c>
      <c r="I1152" s="167" t="str">
        <f>IF(Plan_Comptable[[#This Row],[Sous-compte]]="","",LEFT(Plan_Comptable[[#This Row],[Sous-compte]]&amp;"00",4))</f>
        <v/>
      </c>
      <c r="J1152" s="167"/>
    </row>
    <row r="1153" spans="4:10" ht="15" customHeight="1">
      <c r="D1153" s="187" t="s">
        <v>80</v>
      </c>
      <c r="E1153" s="168" t="s">
        <v>11258</v>
      </c>
      <c r="F1153" s="168" t="s">
        <v>11264</v>
      </c>
      <c r="G1153" s="176">
        <v>6741</v>
      </c>
      <c r="H1153" s="167" t="s">
        <v>11073</v>
      </c>
      <c r="I1153" s="167" t="str">
        <f>IF(Plan_Comptable[[#This Row],[Sous-compte]]="","",LEFT(Plan_Comptable[[#This Row],[Sous-compte]]&amp;"00",4))</f>
        <v>6741</v>
      </c>
      <c r="J1153" s="167"/>
    </row>
    <row r="1154" spans="4:10" ht="15" customHeight="1">
      <c r="D1154" s="187" t="s">
        <v>80</v>
      </c>
      <c r="E1154" s="168" t="s">
        <v>11258</v>
      </c>
      <c r="F1154" s="168" t="s">
        <v>11264</v>
      </c>
      <c r="G1154" s="176">
        <v>6742</v>
      </c>
      <c r="H1154" s="167" t="s">
        <v>11075</v>
      </c>
      <c r="I1154" s="167" t="str">
        <f>IF(Plan_Comptable[[#This Row],[Sous-compte]]="","",LEFT(Plan_Comptable[[#This Row],[Sous-compte]]&amp;"00",4))</f>
        <v>6742</v>
      </c>
      <c r="J1154" s="167"/>
    </row>
    <row r="1155" spans="4:10" ht="15" customHeight="1">
      <c r="D1155" s="187" t="s">
        <v>80</v>
      </c>
      <c r="E1155" s="168" t="s">
        <v>11258</v>
      </c>
      <c r="F1155" s="168" t="s">
        <v>11264</v>
      </c>
      <c r="G1155" s="176">
        <v>6743</v>
      </c>
      <c r="H1155" s="167" t="s">
        <v>2802</v>
      </c>
      <c r="I1155" s="167" t="str">
        <f>IF(Plan_Comptable[[#This Row],[Sous-compte]]="","",LEFT(Plan_Comptable[[#This Row],[Sous-compte]]&amp;"00",4))</f>
        <v>6743</v>
      </c>
      <c r="J1155" s="167"/>
    </row>
    <row r="1156" spans="4:10" ht="15" customHeight="1">
      <c r="D1156" s="187" t="s">
        <v>80</v>
      </c>
      <c r="E1156" s="168" t="s">
        <v>11258</v>
      </c>
      <c r="F1156" s="168" t="s">
        <v>11264</v>
      </c>
      <c r="G1156" s="176">
        <v>6744</v>
      </c>
      <c r="H1156" s="167" t="s">
        <v>2803</v>
      </c>
      <c r="I1156" s="167" t="str">
        <f>IF(Plan_Comptable[[#This Row],[Sous-compte]]="","",LEFT(Plan_Comptable[[#This Row],[Sous-compte]]&amp;"00",4))</f>
        <v>6744</v>
      </c>
      <c r="J1156" s="167"/>
    </row>
    <row r="1157" spans="4:10" ht="15" customHeight="1">
      <c r="D1157" s="187" t="s">
        <v>80</v>
      </c>
      <c r="E1157" s="168" t="s">
        <v>11258</v>
      </c>
      <c r="F1157" s="168" t="s">
        <v>11264</v>
      </c>
      <c r="G1157" s="172">
        <v>6745</v>
      </c>
      <c r="H1157" s="192" t="s">
        <v>2804</v>
      </c>
      <c r="I1157" s="167" t="str">
        <f>IF(Plan_Comptable[[#This Row],[Sous-compte]]="","",LEFT(Plan_Comptable[[#This Row],[Sous-compte]]&amp;"00",4))</f>
        <v>6745</v>
      </c>
      <c r="J1157" s="167"/>
    </row>
    <row r="1158" spans="4:10" ht="15" customHeight="1">
      <c r="D1158" s="187" t="s">
        <v>80</v>
      </c>
      <c r="E1158" s="168" t="s">
        <v>11258</v>
      </c>
      <c r="F1158" s="168" t="s">
        <v>11264</v>
      </c>
      <c r="G1158" s="176">
        <v>6748</v>
      </c>
      <c r="H1158" s="167" t="s">
        <v>11077</v>
      </c>
      <c r="I1158" s="167" t="str">
        <f>IF(Plan_Comptable[[#This Row],[Sous-compte]]="","",LEFT(Plan_Comptable[[#This Row],[Sous-compte]]&amp;"00",4))</f>
        <v>6748</v>
      </c>
      <c r="J1158" s="167"/>
    </row>
    <row r="1159" spans="4:10" ht="15" customHeight="1">
      <c r="D1159" s="187" t="s">
        <v>80</v>
      </c>
      <c r="E1159" s="168" t="s">
        <v>11258</v>
      </c>
      <c r="F1159" s="168">
        <v>675</v>
      </c>
      <c r="G1159" s="176">
        <v>675</v>
      </c>
      <c r="H1159" s="167" t="s">
        <v>11079</v>
      </c>
      <c r="I1159" s="167" t="str">
        <f>IF(Plan_Comptable[[#This Row],[Sous-compte]]="","",LEFT(Plan_Comptable[[#This Row],[Sous-compte]]&amp;"00",4))</f>
        <v>6750</v>
      </c>
      <c r="J1159" s="167"/>
    </row>
    <row r="1160" spans="4:10" ht="15" customHeight="1">
      <c r="D1160" s="187" t="s">
        <v>80</v>
      </c>
      <c r="E1160" s="168" t="s">
        <v>11258</v>
      </c>
      <c r="F1160" s="171">
        <v>676</v>
      </c>
      <c r="G1160" s="172">
        <v>676</v>
      </c>
      <c r="H1160" s="179" t="s">
        <v>11081</v>
      </c>
      <c r="I1160" s="167" t="str">
        <f>IF(Plan_Comptable[[#This Row],[Sous-compte]]="","",LEFT(Plan_Comptable[[#This Row],[Sous-compte]]&amp;"00",4))</f>
        <v>6760</v>
      </c>
      <c r="J1160" s="167"/>
    </row>
    <row r="1161" spans="4:10" ht="15" customHeight="1">
      <c r="D1161" s="187" t="s">
        <v>80</v>
      </c>
      <c r="E1161" s="168" t="s">
        <v>11258</v>
      </c>
      <c r="F1161" s="171">
        <v>677</v>
      </c>
      <c r="G1161" s="172"/>
      <c r="H1161" s="179" t="s">
        <v>11265</v>
      </c>
      <c r="I1161" s="167" t="str">
        <f>IF(Plan_Comptable[[#This Row],[Sous-compte]]="","",LEFT(Plan_Comptable[[#This Row],[Sous-compte]]&amp;"00",4))</f>
        <v/>
      </c>
      <c r="J1161" s="167"/>
    </row>
    <row r="1162" spans="4:10" ht="15" customHeight="1">
      <c r="D1162" s="187" t="s">
        <v>80</v>
      </c>
      <c r="E1162" s="168" t="s">
        <v>11258</v>
      </c>
      <c r="F1162" s="168" t="s">
        <v>11266</v>
      </c>
      <c r="G1162" s="173">
        <v>6771</v>
      </c>
      <c r="H1162" s="174" t="s">
        <v>2328</v>
      </c>
      <c r="I1162" s="167" t="str">
        <f>IF(Plan_Comptable[[#This Row],[Sous-compte]]="","",LEFT(Plan_Comptable[[#This Row],[Sous-compte]]&amp;"00",4))</f>
        <v>6771</v>
      </c>
      <c r="J1162" s="167"/>
    </row>
    <row r="1163" spans="4:10" ht="15" customHeight="1">
      <c r="D1163" s="187" t="s">
        <v>80</v>
      </c>
      <c r="E1163" s="168" t="s">
        <v>11258</v>
      </c>
      <c r="F1163" s="168" t="s">
        <v>11266</v>
      </c>
      <c r="G1163" s="173">
        <v>6772</v>
      </c>
      <c r="H1163" s="174" t="s">
        <v>11082</v>
      </c>
      <c r="I1163" s="167" t="str">
        <f>IF(Plan_Comptable[[#This Row],[Sous-compte]]="","",LEFT(Plan_Comptable[[#This Row],[Sous-compte]]&amp;"00",4))</f>
        <v>6772</v>
      </c>
      <c r="J1163" s="167"/>
    </row>
    <row r="1164" spans="4:10" ht="15" customHeight="1">
      <c r="D1164" s="187" t="s">
        <v>80</v>
      </c>
      <c r="E1164" s="168" t="s">
        <v>11258</v>
      </c>
      <c r="F1164" s="171">
        <v>678</v>
      </c>
      <c r="G1164" s="172"/>
      <c r="H1164" s="179" t="s">
        <v>11267</v>
      </c>
      <c r="I1164" s="167" t="str">
        <f>IF(Plan_Comptable[[#This Row],[Sous-compte]]="","",LEFT(Plan_Comptable[[#This Row],[Sous-compte]]&amp;"00",4))</f>
        <v/>
      </c>
      <c r="J1164" s="167"/>
    </row>
    <row r="1165" spans="4:10" ht="15" customHeight="1">
      <c r="D1165" s="187" t="s">
        <v>80</v>
      </c>
      <c r="E1165" s="168" t="s">
        <v>11258</v>
      </c>
      <c r="F1165" s="168" t="s">
        <v>11268</v>
      </c>
      <c r="G1165" s="176">
        <v>6781</v>
      </c>
      <c r="H1165" s="167" t="s">
        <v>11083</v>
      </c>
      <c r="I1165" s="167" t="str">
        <f>IF(Plan_Comptable[[#This Row],[Sous-compte]]="","",LEFT(Plan_Comptable[[#This Row],[Sous-compte]]&amp;"00",4))</f>
        <v>6781</v>
      </c>
      <c r="J1165" s="167"/>
    </row>
    <row r="1166" spans="4:10" ht="15" customHeight="1">
      <c r="D1166" s="187" t="s">
        <v>80</v>
      </c>
      <c r="E1166" s="168" t="s">
        <v>11258</v>
      </c>
      <c r="F1166" s="168" t="s">
        <v>11268</v>
      </c>
      <c r="G1166" s="176">
        <v>6782</v>
      </c>
      <c r="H1166" s="167" t="s">
        <v>11084</v>
      </c>
      <c r="I1166" s="167" t="str">
        <f>IF(Plan_Comptable[[#This Row],[Sous-compte]]="","",LEFT(Plan_Comptable[[#This Row],[Sous-compte]]&amp;"00",4))</f>
        <v>6782</v>
      </c>
      <c r="J1166" s="167"/>
    </row>
    <row r="1167" spans="4:10" ht="15" customHeight="1">
      <c r="D1167" s="187" t="s">
        <v>80</v>
      </c>
      <c r="E1167" s="168" t="s">
        <v>11258</v>
      </c>
      <c r="F1167" s="168" t="s">
        <v>11268</v>
      </c>
      <c r="G1167" s="176">
        <v>6784</v>
      </c>
      <c r="H1167" s="167" t="s">
        <v>11085</v>
      </c>
      <c r="I1167" s="167" t="str">
        <f>IF(Plan_Comptable[[#This Row],[Sous-compte]]="","",LEFT(Plan_Comptable[[#This Row],[Sous-compte]]&amp;"00",4))</f>
        <v>6784</v>
      </c>
      <c r="J1167" s="167"/>
    </row>
    <row r="1168" spans="4:10" ht="15" customHeight="1">
      <c r="D1168" s="187" t="s">
        <v>80</v>
      </c>
      <c r="E1168" s="168" t="s">
        <v>11258</v>
      </c>
      <c r="F1168" s="171">
        <v>679</v>
      </c>
      <c r="G1168" s="172"/>
      <c r="H1168" s="179" t="s">
        <v>11269</v>
      </c>
      <c r="I1168" s="167" t="str">
        <f>IF(Plan_Comptable[[#This Row],[Sous-compte]]="","",LEFT(Plan_Comptable[[#This Row],[Sous-compte]]&amp;"00",4))</f>
        <v/>
      </c>
      <c r="J1168" s="167"/>
    </row>
    <row r="1169" spans="4:10" ht="15" customHeight="1">
      <c r="D1169" s="187" t="s">
        <v>80</v>
      </c>
      <c r="E1169" s="168" t="s">
        <v>11258</v>
      </c>
      <c r="F1169" s="168" t="s">
        <v>11270</v>
      </c>
      <c r="G1169" s="176">
        <v>6791</v>
      </c>
      <c r="H1169" s="167" t="s">
        <v>11087</v>
      </c>
      <c r="I1169" s="167" t="str">
        <f>IF(Plan_Comptable[[#This Row],[Sous-compte]]="","",LEFT(Plan_Comptable[[#This Row],[Sous-compte]]&amp;"00",4))</f>
        <v>6791</v>
      </c>
      <c r="J1169" s="167"/>
    </row>
    <row r="1170" spans="4:10" ht="15" customHeight="1">
      <c r="D1170" s="187" t="s">
        <v>80</v>
      </c>
      <c r="E1170" s="168" t="s">
        <v>11258</v>
      </c>
      <c r="F1170" s="168" t="s">
        <v>11270</v>
      </c>
      <c r="G1170" s="176">
        <v>6795</v>
      </c>
      <c r="H1170" s="167" t="s">
        <v>11089</v>
      </c>
      <c r="I1170" s="167" t="str">
        <f>IF(Plan_Comptable[[#This Row],[Sous-compte]]="","",LEFT(Plan_Comptable[[#This Row],[Sous-compte]]&amp;"00",4))</f>
        <v>6795</v>
      </c>
      <c r="J1170" s="167"/>
    </row>
    <row r="1171" spans="4:10" ht="15" customHeight="1">
      <c r="D1171" s="187" t="s">
        <v>80</v>
      </c>
      <c r="E1171" s="168" t="s">
        <v>11258</v>
      </c>
      <c r="F1171" s="168" t="s">
        <v>11270</v>
      </c>
      <c r="G1171" s="172">
        <v>6798</v>
      </c>
      <c r="H1171" s="179" t="s">
        <v>2812</v>
      </c>
      <c r="I1171" s="167" t="str">
        <f>IF(Plan_Comptable[[#This Row],[Sous-compte]]="","",LEFT(Plan_Comptable[[#This Row],[Sous-compte]]&amp;"00",4))</f>
        <v>6798</v>
      </c>
      <c r="J1171" s="167"/>
    </row>
    <row r="1172" spans="4:10" ht="15" customHeight="1">
      <c r="D1172" s="187" t="s">
        <v>80</v>
      </c>
      <c r="E1172" s="189">
        <v>68</v>
      </c>
      <c r="F1172" s="165" t="s">
        <v>9941</v>
      </c>
      <c r="G1172" s="165"/>
      <c r="H1172" s="166" t="s">
        <v>11271</v>
      </c>
      <c r="I1172" s="167" t="str">
        <f>IF(Plan_Comptable[[#This Row],[Sous-compte]]="","",LEFT(Plan_Comptable[[#This Row],[Sous-compte]]&amp;"00",4))</f>
        <v/>
      </c>
      <c r="J1172" s="167"/>
    </row>
    <row r="1173" spans="4:10" ht="15" customHeight="1">
      <c r="D1173" s="187" t="s">
        <v>80</v>
      </c>
      <c r="E1173" s="168" t="s">
        <v>11272</v>
      </c>
      <c r="F1173" s="168">
        <v>681</v>
      </c>
      <c r="G1173" s="176"/>
      <c r="H1173" s="167" t="s">
        <v>11273</v>
      </c>
      <c r="I1173" s="167" t="str">
        <f>IF(Plan_Comptable[[#This Row],[Sous-compte]]="","",LEFT(Plan_Comptable[[#This Row],[Sous-compte]]&amp;"00",4))</f>
        <v/>
      </c>
      <c r="J1173" s="167"/>
    </row>
    <row r="1174" spans="4:10" ht="15" customHeight="1">
      <c r="D1174" s="187" t="s">
        <v>80</v>
      </c>
      <c r="E1174" s="168" t="s">
        <v>11272</v>
      </c>
      <c r="F1174" s="168" t="s">
        <v>11274</v>
      </c>
      <c r="G1174" s="176">
        <v>6812</v>
      </c>
      <c r="H1174" s="167" t="s">
        <v>2814</v>
      </c>
      <c r="I1174" s="167" t="str">
        <f>IF(Plan_Comptable[[#This Row],[Sous-compte]]="","",LEFT(Plan_Comptable[[#This Row],[Sous-compte]]&amp;"00",4))</f>
        <v>6812</v>
      </c>
      <c r="J1174" s="167"/>
    </row>
    <row r="1175" spans="4:10" ht="15" customHeight="1">
      <c r="D1175" s="187" t="s">
        <v>80</v>
      </c>
      <c r="E1175" s="168" t="s">
        <v>11272</v>
      </c>
      <c r="F1175" s="168" t="s">
        <v>11274</v>
      </c>
      <c r="G1175" s="176">
        <v>6813</v>
      </c>
      <c r="H1175" s="167" t="s">
        <v>2815</v>
      </c>
      <c r="I1175" s="167" t="str">
        <f>IF(Plan_Comptable[[#This Row],[Sous-compte]]="","",LEFT(Plan_Comptable[[#This Row],[Sous-compte]]&amp;"00",4))</f>
        <v>6813</v>
      </c>
      <c r="J1175" s="167"/>
    </row>
    <row r="1176" spans="4:10" ht="15" customHeight="1">
      <c r="D1176" s="187" t="s">
        <v>80</v>
      </c>
      <c r="E1176" s="182">
        <v>69</v>
      </c>
      <c r="F1176" s="171" t="s">
        <v>9941</v>
      </c>
      <c r="G1176" s="171"/>
      <c r="H1176" s="183" t="s">
        <v>11275</v>
      </c>
      <c r="I1176" s="167" t="str">
        <f>IF(Plan_Comptable[[#This Row],[Sous-compte]]="","",LEFT(Plan_Comptable[[#This Row],[Sous-compte]]&amp;"00",4))</f>
        <v/>
      </c>
      <c r="J1176" s="167"/>
    </row>
    <row r="1177" spans="4:10" ht="15" customHeight="1">
      <c r="D1177" s="187" t="s">
        <v>80</v>
      </c>
      <c r="E1177" s="171" t="s">
        <v>11276</v>
      </c>
      <c r="F1177" s="171">
        <v>691</v>
      </c>
      <c r="G1177" s="172"/>
      <c r="H1177" s="179" t="s">
        <v>11277</v>
      </c>
      <c r="I1177" s="167" t="str">
        <f>IF(Plan_Comptable[[#This Row],[Sous-compte]]="","",LEFT(Plan_Comptable[[#This Row],[Sous-compte]]&amp;"00",4))</f>
        <v/>
      </c>
      <c r="J1177" s="167"/>
    </row>
    <row r="1178" spans="4:10" ht="15" customHeight="1">
      <c r="D1178" s="187" t="s">
        <v>80</v>
      </c>
      <c r="E1178" s="171" t="s">
        <v>11276</v>
      </c>
      <c r="F1178" s="171" t="s">
        <v>11278</v>
      </c>
      <c r="G1178" s="172">
        <v>6911</v>
      </c>
      <c r="H1178" s="192" t="s">
        <v>2816</v>
      </c>
      <c r="I1178" s="167" t="str">
        <f>IF(Plan_Comptable[[#This Row],[Sous-compte]]="","",LEFT(Plan_Comptable[[#This Row],[Sous-compte]]&amp;"00",4))</f>
        <v>6911</v>
      </c>
      <c r="J1178" s="167"/>
    </row>
    <row r="1179" spans="4:10" ht="15" customHeight="1">
      <c r="D1179" s="187" t="s">
        <v>80</v>
      </c>
      <c r="E1179" s="168" t="s">
        <v>11276</v>
      </c>
      <c r="F1179" s="168" t="s">
        <v>11278</v>
      </c>
      <c r="G1179" s="172">
        <v>6913</v>
      </c>
      <c r="H1179" s="192" t="s">
        <v>2817</v>
      </c>
      <c r="I1179" s="167" t="str">
        <f>IF(Plan_Comptable[[#This Row],[Sous-compte]]="","",LEFT(Plan_Comptable[[#This Row],[Sous-compte]]&amp;"00",4))</f>
        <v>6913</v>
      </c>
      <c r="J1179" s="167"/>
    </row>
    <row r="1180" spans="4:10" ht="15" customHeight="1">
      <c r="D1180" s="187" t="s">
        <v>80</v>
      </c>
      <c r="E1180" s="168" t="s">
        <v>11276</v>
      </c>
      <c r="F1180" s="168" t="s">
        <v>11278</v>
      </c>
      <c r="G1180" s="172">
        <v>6914</v>
      </c>
      <c r="H1180" s="192" t="s">
        <v>2818</v>
      </c>
      <c r="I1180" s="167" t="str">
        <f>IF(Plan_Comptable[[#This Row],[Sous-compte]]="","",LEFT(Plan_Comptable[[#This Row],[Sous-compte]]&amp;"00",4))</f>
        <v>6914</v>
      </c>
      <c r="J1180" s="167"/>
    </row>
    <row r="1181" spans="4:10" ht="15" customHeight="1">
      <c r="D1181" s="187" t="s">
        <v>80</v>
      </c>
      <c r="E1181" s="168" t="s">
        <v>11276</v>
      </c>
      <c r="F1181" s="171">
        <v>697</v>
      </c>
      <c r="G1181" s="172"/>
      <c r="H1181" s="179" t="s">
        <v>11279</v>
      </c>
      <c r="I1181" s="167" t="str">
        <f>IF(Plan_Comptable[[#This Row],[Sous-compte]]="","",LEFT(Plan_Comptable[[#This Row],[Sous-compte]]&amp;"00",4))</f>
        <v/>
      </c>
      <c r="J1181" s="167"/>
    </row>
    <row r="1182" spans="4:10" ht="15" customHeight="1">
      <c r="D1182" s="187" t="s">
        <v>80</v>
      </c>
      <c r="E1182" s="168" t="s">
        <v>11276</v>
      </c>
      <c r="F1182" s="168" t="s">
        <v>11280</v>
      </c>
      <c r="G1182" s="172">
        <v>6971</v>
      </c>
      <c r="H1182" s="192" t="s">
        <v>2816</v>
      </c>
      <c r="I1182" s="167" t="str">
        <f>IF(Plan_Comptable[[#This Row],[Sous-compte]]="","",LEFT(Plan_Comptable[[#This Row],[Sous-compte]]&amp;"00",4))</f>
        <v>6971</v>
      </c>
      <c r="J1182" s="167"/>
    </row>
    <row r="1183" spans="4:10" ht="15" customHeight="1">
      <c r="D1183" s="187" t="s">
        <v>80</v>
      </c>
      <c r="E1183" s="168" t="s">
        <v>11276</v>
      </c>
      <c r="F1183" s="168" t="s">
        <v>11280</v>
      </c>
      <c r="G1183" s="172">
        <v>6972</v>
      </c>
      <c r="H1183" s="192" t="s">
        <v>2820</v>
      </c>
      <c r="I1183" s="167" t="str">
        <f>IF(Plan_Comptable[[#This Row],[Sous-compte]]="","",LEFT(Plan_Comptable[[#This Row],[Sous-compte]]&amp;"00",4))</f>
        <v>6972</v>
      </c>
      <c r="J1183" s="167"/>
    </row>
    <row r="1184" spans="4:10" ht="15" customHeight="1">
      <c r="D1184" s="187" t="s">
        <v>84</v>
      </c>
      <c r="E1184" s="189">
        <v>70</v>
      </c>
      <c r="F1184" s="165" t="s">
        <v>9941</v>
      </c>
      <c r="G1184" s="165"/>
      <c r="H1184" s="166" t="s">
        <v>11281</v>
      </c>
      <c r="I1184" s="167" t="str">
        <f>IF(Plan_Comptable[[#This Row],[Sous-compte]]="","",LEFT(Plan_Comptable[[#This Row],[Sous-compte]]&amp;"00",4))</f>
        <v/>
      </c>
      <c r="J1184" s="167"/>
    </row>
    <row r="1185" spans="4:10" ht="15" customHeight="1">
      <c r="D1185" s="187" t="s">
        <v>84</v>
      </c>
      <c r="E1185" s="168" t="s">
        <v>11282</v>
      </c>
      <c r="F1185" s="168">
        <v>701</v>
      </c>
      <c r="G1185" s="176"/>
      <c r="H1185" s="167" t="s">
        <v>11283</v>
      </c>
      <c r="I1185" s="167" t="str">
        <f>IF(Plan_Comptable[[#This Row],[Sous-compte]]="","",LEFT(Plan_Comptable[[#This Row],[Sous-compte]]&amp;"00",4))</f>
        <v/>
      </c>
      <c r="J1185" s="167"/>
    </row>
    <row r="1186" spans="4:10" ht="15" customHeight="1">
      <c r="D1186" s="187" t="s">
        <v>84</v>
      </c>
      <c r="E1186" s="168" t="s">
        <v>11282</v>
      </c>
      <c r="F1186" s="168" t="s">
        <v>11284</v>
      </c>
      <c r="G1186" s="176">
        <v>7011</v>
      </c>
      <c r="H1186" s="167" t="s">
        <v>11285</v>
      </c>
      <c r="I1186" s="167" t="str">
        <f>IF(Plan_Comptable[[#This Row],[Sous-compte]]="","",LEFT(Plan_Comptable[[#This Row],[Sous-compte]]&amp;"00",4))</f>
        <v>7011</v>
      </c>
      <c r="J1186" s="167"/>
    </row>
    <row r="1187" spans="4:10" ht="15" customHeight="1">
      <c r="D1187" s="187" t="s">
        <v>84</v>
      </c>
      <c r="E1187" s="168" t="s">
        <v>11282</v>
      </c>
      <c r="F1187" s="168" t="s">
        <v>11284</v>
      </c>
      <c r="G1187" s="176">
        <v>7012</v>
      </c>
      <c r="H1187" s="167" t="s">
        <v>11286</v>
      </c>
      <c r="I1187" s="167" t="str">
        <f>IF(Plan_Comptable[[#This Row],[Sous-compte]]="","",LEFT(Plan_Comptable[[#This Row],[Sous-compte]]&amp;"00",4))</f>
        <v>7012</v>
      </c>
      <c r="J1187" s="167"/>
    </row>
    <row r="1188" spans="4:10" ht="15" customHeight="1">
      <c r="D1188" s="187" t="s">
        <v>84</v>
      </c>
      <c r="E1188" s="168" t="s">
        <v>11282</v>
      </c>
      <c r="F1188" s="168" t="s">
        <v>11284</v>
      </c>
      <c r="G1188" s="172">
        <v>7013</v>
      </c>
      <c r="H1188" s="179" t="s">
        <v>10930</v>
      </c>
      <c r="I1188" s="167" t="str">
        <f>IF(Plan_Comptable[[#This Row],[Sous-compte]]="","",LEFT(Plan_Comptable[[#This Row],[Sous-compte]]&amp;"00",4))</f>
        <v>7013</v>
      </c>
      <c r="J1188" s="167"/>
    </row>
    <row r="1189" spans="4:10" ht="15" customHeight="1">
      <c r="D1189" s="187" t="s">
        <v>84</v>
      </c>
      <c r="E1189" s="168" t="s">
        <v>11282</v>
      </c>
      <c r="F1189" s="168" t="s">
        <v>11284</v>
      </c>
      <c r="G1189" s="172">
        <v>7014</v>
      </c>
      <c r="H1189" s="179" t="s">
        <v>10931</v>
      </c>
      <c r="I1189" s="167" t="str">
        <f>IF(Plan_Comptable[[#This Row],[Sous-compte]]="","",LEFT(Plan_Comptable[[#This Row],[Sous-compte]]&amp;"00",4))</f>
        <v>7014</v>
      </c>
      <c r="J1189" s="167"/>
    </row>
    <row r="1190" spans="4:10" ht="15" customHeight="1">
      <c r="D1190" s="187" t="s">
        <v>84</v>
      </c>
      <c r="E1190" s="168" t="s">
        <v>11282</v>
      </c>
      <c r="F1190" s="168" t="s">
        <v>11284</v>
      </c>
      <c r="G1190" s="173">
        <v>7015</v>
      </c>
      <c r="H1190" s="175" t="s">
        <v>11096</v>
      </c>
      <c r="I1190" s="167" t="str">
        <f>IF(Plan_Comptable[[#This Row],[Sous-compte]]="","",LEFT(Plan_Comptable[[#This Row],[Sous-compte]]&amp;"00",4))</f>
        <v>7015</v>
      </c>
      <c r="J1190" s="167"/>
    </row>
    <row r="1191" spans="4:10" ht="15" customHeight="1">
      <c r="D1191" s="187" t="s">
        <v>84</v>
      </c>
      <c r="E1191" s="168" t="s">
        <v>11282</v>
      </c>
      <c r="F1191" s="168" t="s">
        <v>11284</v>
      </c>
      <c r="G1191" s="173">
        <v>7019</v>
      </c>
      <c r="H1191" s="175" t="s">
        <v>11097</v>
      </c>
      <c r="I1191" s="167" t="str">
        <f>IF(Plan_Comptable[[#This Row],[Sous-compte]]="","",LEFT(Plan_Comptable[[#This Row],[Sous-compte]]&amp;"00",4))</f>
        <v>7019</v>
      </c>
      <c r="J1191" s="167"/>
    </row>
    <row r="1192" spans="4:10" ht="15" customHeight="1">
      <c r="D1192" s="187" t="s">
        <v>84</v>
      </c>
      <c r="E1192" s="168" t="s">
        <v>11282</v>
      </c>
      <c r="F1192" s="168">
        <v>702</v>
      </c>
      <c r="G1192" s="176"/>
      <c r="H1192" s="167" t="s">
        <v>11287</v>
      </c>
      <c r="I1192" s="167" t="str">
        <f>IF(Plan_Comptable[[#This Row],[Sous-compte]]="","",LEFT(Plan_Comptable[[#This Row],[Sous-compte]]&amp;"00",4))</f>
        <v/>
      </c>
      <c r="J1192" s="167"/>
    </row>
    <row r="1193" spans="4:10" ht="15" customHeight="1">
      <c r="D1193" s="187" t="s">
        <v>84</v>
      </c>
      <c r="E1193" s="168" t="s">
        <v>11282</v>
      </c>
      <c r="F1193" s="168" t="s">
        <v>11288</v>
      </c>
      <c r="G1193" s="176">
        <v>7021</v>
      </c>
      <c r="H1193" s="167" t="s">
        <v>11285</v>
      </c>
      <c r="I1193" s="167" t="str">
        <f>IF(Plan_Comptable[[#This Row],[Sous-compte]]="","",LEFT(Plan_Comptable[[#This Row],[Sous-compte]]&amp;"00",4))</f>
        <v>7021</v>
      </c>
      <c r="J1193" s="167"/>
    </row>
    <row r="1194" spans="4:10" ht="15" customHeight="1">
      <c r="D1194" s="187" t="s">
        <v>84</v>
      </c>
      <c r="E1194" s="168" t="s">
        <v>11282</v>
      </c>
      <c r="F1194" s="168" t="s">
        <v>11288</v>
      </c>
      <c r="G1194" s="176">
        <v>7022</v>
      </c>
      <c r="H1194" s="167" t="s">
        <v>11286</v>
      </c>
      <c r="I1194" s="167" t="str">
        <f>IF(Plan_Comptable[[#This Row],[Sous-compte]]="","",LEFT(Plan_Comptable[[#This Row],[Sous-compte]]&amp;"00",4))</f>
        <v>7022</v>
      </c>
      <c r="J1194" s="167"/>
    </row>
    <row r="1195" spans="4:10" ht="15" customHeight="1">
      <c r="D1195" s="187" t="s">
        <v>84</v>
      </c>
      <c r="E1195" s="168" t="s">
        <v>11282</v>
      </c>
      <c r="F1195" s="168" t="s">
        <v>11288</v>
      </c>
      <c r="G1195" s="172">
        <v>7023</v>
      </c>
      <c r="H1195" s="179" t="s">
        <v>10930</v>
      </c>
      <c r="I1195" s="167" t="str">
        <f>IF(Plan_Comptable[[#This Row],[Sous-compte]]="","",LEFT(Plan_Comptable[[#This Row],[Sous-compte]]&amp;"00",4))</f>
        <v>7023</v>
      </c>
      <c r="J1195" s="167"/>
    </row>
    <row r="1196" spans="4:10" ht="15" customHeight="1">
      <c r="D1196" s="187" t="s">
        <v>84</v>
      </c>
      <c r="E1196" s="168" t="s">
        <v>11282</v>
      </c>
      <c r="F1196" s="168" t="s">
        <v>11288</v>
      </c>
      <c r="G1196" s="172">
        <v>7024</v>
      </c>
      <c r="H1196" s="179" t="s">
        <v>10931</v>
      </c>
      <c r="I1196" s="167" t="str">
        <f>IF(Plan_Comptable[[#This Row],[Sous-compte]]="","",LEFT(Plan_Comptable[[#This Row],[Sous-compte]]&amp;"00",4))</f>
        <v>7024</v>
      </c>
      <c r="J1196" s="167"/>
    </row>
    <row r="1197" spans="4:10" ht="15" customHeight="1">
      <c r="D1197" s="187" t="s">
        <v>84</v>
      </c>
      <c r="E1197" s="168" t="s">
        <v>11282</v>
      </c>
      <c r="F1197" s="168" t="s">
        <v>11288</v>
      </c>
      <c r="G1197" s="173">
        <v>7025</v>
      </c>
      <c r="H1197" s="175" t="s">
        <v>11096</v>
      </c>
      <c r="I1197" s="167" t="str">
        <f>IF(Plan_Comptable[[#This Row],[Sous-compte]]="","",LEFT(Plan_Comptable[[#This Row],[Sous-compte]]&amp;"00",4))</f>
        <v>7025</v>
      </c>
      <c r="J1197" s="167"/>
    </row>
    <row r="1198" spans="4:10" ht="15" customHeight="1">
      <c r="D1198" s="187" t="s">
        <v>84</v>
      </c>
      <c r="E1198" s="168" t="s">
        <v>11282</v>
      </c>
      <c r="F1198" s="168" t="s">
        <v>11288</v>
      </c>
      <c r="G1198" s="173">
        <v>7029</v>
      </c>
      <c r="H1198" s="175" t="s">
        <v>11097</v>
      </c>
      <c r="I1198" s="167" t="str">
        <f>IF(Plan_Comptable[[#This Row],[Sous-compte]]="","",LEFT(Plan_Comptable[[#This Row],[Sous-compte]]&amp;"00",4))</f>
        <v>7029</v>
      </c>
      <c r="J1198" s="167"/>
    </row>
    <row r="1199" spans="4:10" ht="15" customHeight="1">
      <c r="D1199" s="187" t="s">
        <v>84</v>
      </c>
      <c r="E1199" s="168" t="s">
        <v>11282</v>
      </c>
      <c r="F1199" s="168">
        <v>703</v>
      </c>
      <c r="G1199" s="176"/>
      <c r="H1199" s="167" t="s">
        <v>11289</v>
      </c>
      <c r="I1199" s="167" t="str">
        <f>IF(Plan_Comptable[[#This Row],[Sous-compte]]="","",LEFT(Plan_Comptable[[#This Row],[Sous-compte]]&amp;"00",4))</f>
        <v/>
      </c>
      <c r="J1199" s="167"/>
    </row>
    <row r="1200" spans="4:10" ht="15" customHeight="1">
      <c r="D1200" s="187" t="s">
        <v>84</v>
      </c>
      <c r="E1200" s="168" t="s">
        <v>11282</v>
      </c>
      <c r="F1200" s="168" t="s">
        <v>11290</v>
      </c>
      <c r="G1200" s="176">
        <v>7031</v>
      </c>
      <c r="H1200" s="167" t="s">
        <v>11285</v>
      </c>
      <c r="I1200" s="167" t="str">
        <f>IF(Plan_Comptable[[#This Row],[Sous-compte]]="","",LEFT(Plan_Comptable[[#This Row],[Sous-compte]]&amp;"00",4))</f>
        <v>7031</v>
      </c>
      <c r="J1200" s="167"/>
    </row>
    <row r="1201" spans="4:10" ht="15" customHeight="1">
      <c r="D1201" s="187" t="s">
        <v>84</v>
      </c>
      <c r="E1201" s="168" t="s">
        <v>11282</v>
      </c>
      <c r="F1201" s="168" t="s">
        <v>11290</v>
      </c>
      <c r="G1201" s="176">
        <v>7032</v>
      </c>
      <c r="H1201" s="167" t="s">
        <v>11286</v>
      </c>
      <c r="I1201" s="167" t="str">
        <f>IF(Plan_Comptable[[#This Row],[Sous-compte]]="","",LEFT(Plan_Comptable[[#This Row],[Sous-compte]]&amp;"00",4))</f>
        <v>7032</v>
      </c>
      <c r="J1201" s="167"/>
    </row>
    <row r="1202" spans="4:10" ht="15" customHeight="1">
      <c r="D1202" s="187" t="s">
        <v>84</v>
      </c>
      <c r="E1202" s="168" t="s">
        <v>11282</v>
      </c>
      <c r="F1202" s="168" t="s">
        <v>11290</v>
      </c>
      <c r="G1202" s="172">
        <v>7033</v>
      </c>
      <c r="H1202" s="179" t="s">
        <v>10930</v>
      </c>
      <c r="I1202" s="167" t="str">
        <f>IF(Plan_Comptable[[#This Row],[Sous-compte]]="","",LEFT(Plan_Comptable[[#This Row],[Sous-compte]]&amp;"00",4))</f>
        <v>7033</v>
      </c>
      <c r="J1202" s="167"/>
    </row>
    <row r="1203" spans="4:10" ht="15" customHeight="1">
      <c r="D1203" s="187" t="s">
        <v>84</v>
      </c>
      <c r="E1203" s="168" t="s">
        <v>11282</v>
      </c>
      <c r="F1203" s="168" t="s">
        <v>11290</v>
      </c>
      <c r="G1203" s="172">
        <v>7034</v>
      </c>
      <c r="H1203" s="179" t="s">
        <v>10931</v>
      </c>
      <c r="I1203" s="167" t="str">
        <f>IF(Plan_Comptable[[#This Row],[Sous-compte]]="","",LEFT(Plan_Comptable[[#This Row],[Sous-compte]]&amp;"00",4))</f>
        <v>7034</v>
      </c>
      <c r="J1203" s="167"/>
    </row>
    <row r="1204" spans="4:10" ht="15" customHeight="1">
      <c r="D1204" s="187" t="s">
        <v>84</v>
      </c>
      <c r="E1204" s="168" t="s">
        <v>11282</v>
      </c>
      <c r="F1204" s="168" t="s">
        <v>11290</v>
      </c>
      <c r="G1204" s="173">
        <v>7035</v>
      </c>
      <c r="H1204" s="175" t="s">
        <v>11096</v>
      </c>
      <c r="I1204" s="167" t="str">
        <f>IF(Plan_Comptable[[#This Row],[Sous-compte]]="","",LEFT(Plan_Comptable[[#This Row],[Sous-compte]]&amp;"00",4))</f>
        <v>7035</v>
      </c>
      <c r="J1204" s="167"/>
    </row>
    <row r="1205" spans="4:10" ht="15" customHeight="1">
      <c r="D1205" s="187" t="s">
        <v>84</v>
      </c>
      <c r="E1205" s="168" t="s">
        <v>11282</v>
      </c>
      <c r="F1205" s="168" t="s">
        <v>11290</v>
      </c>
      <c r="G1205" s="173">
        <v>7039</v>
      </c>
      <c r="H1205" s="175" t="s">
        <v>11097</v>
      </c>
      <c r="I1205" s="167" t="str">
        <f>IF(Plan_Comptable[[#This Row],[Sous-compte]]="","",LEFT(Plan_Comptable[[#This Row],[Sous-compte]]&amp;"00",4))</f>
        <v>7039</v>
      </c>
      <c r="J1205" s="167"/>
    </row>
    <row r="1206" spans="4:10" ht="15" customHeight="1">
      <c r="D1206" s="187" t="s">
        <v>84</v>
      </c>
      <c r="E1206" s="168" t="s">
        <v>11282</v>
      </c>
      <c r="F1206" s="168">
        <v>704</v>
      </c>
      <c r="G1206" s="176"/>
      <c r="H1206" s="167" t="s">
        <v>11291</v>
      </c>
      <c r="I1206" s="167" t="str">
        <f>IF(Plan_Comptable[[#This Row],[Sous-compte]]="","",LEFT(Plan_Comptable[[#This Row],[Sous-compte]]&amp;"00",4))</f>
        <v/>
      </c>
      <c r="J1206" s="167"/>
    </row>
    <row r="1207" spans="4:10" ht="15" customHeight="1">
      <c r="D1207" s="187" t="s">
        <v>84</v>
      </c>
      <c r="E1207" s="168" t="s">
        <v>11282</v>
      </c>
      <c r="F1207" s="168" t="s">
        <v>11292</v>
      </c>
      <c r="G1207" s="176">
        <v>7041</v>
      </c>
      <c r="H1207" s="167" t="s">
        <v>11285</v>
      </c>
      <c r="I1207" s="167" t="str">
        <f>IF(Plan_Comptable[[#This Row],[Sous-compte]]="","",LEFT(Plan_Comptable[[#This Row],[Sous-compte]]&amp;"00",4))</f>
        <v>7041</v>
      </c>
      <c r="J1207" s="167"/>
    </row>
    <row r="1208" spans="4:10" ht="15" customHeight="1">
      <c r="D1208" s="187" t="s">
        <v>84</v>
      </c>
      <c r="E1208" s="168" t="s">
        <v>11282</v>
      </c>
      <c r="F1208" s="168" t="s">
        <v>11292</v>
      </c>
      <c r="G1208" s="176">
        <v>7042</v>
      </c>
      <c r="H1208" s="167" t="s">
        <v>11286</v>
      </c>
      <c r="I1208" s="167" t="str">
        <f>IF(Plan_Comptable[[#This Row],[Sous-compte]]="","",LEFT(Plan_Comptable[[#This Row],[Sous-compte]]&amp;"00",4))</f>
        <v>7042</v>
      </c>
      <c r="J1208" s="167"/>
    </row>
    <row r="1209" spans="4:10" ht="15" customHeight="1">
      <c r="D1209" s="187" t="s">
        <v>84</v>
      </c>
      <c r="E1209" s="168" t="s">
        <v>11282</v>
      </c>
      <c r="F1209" s="168" t="s">
        <v>11292</v>
      </c>
      <c r="G1209" s="172">
        <v>7043</v>
      </c>
      <c r="H1209" s="179" t="s">
        <v>10930</v>
      </c>
      <c r="I1209" s="167" t="str">
        <f>IF(Plan_Comptable[[#This Row],[Sous-compte]]="","",LEFT(Plan_Comptable[[#This Row],[Sous-compte]]&amp;"00",4))</f>
        <v>7043</v>
      </c>
      <c r="J1209" s="167"/>
    </row>
    <row r="1210" spans="4:10" ht="15" customHeight="1">
      <c r="D1210" s="187" t="s">
        <v>84</v>
      </c>
      <c r="E1210" s="168" t="s">
        <v>11282</v>
      </c>
      <c r="F1210" s="168" t="s">
        <v>11292</v>
      </c>
      <c r="G1210" s="172">
        <v>7044</v>
      </c>
      <c r="H1210" s="179" t="s">
        <v>10931</v>
      </c>
      <c r="I1210" s="167" t="str">
        <f>IF(Plan_Comptable[[#This Row],[Sous-compte]]="","",LEFT(Plan_Comptable[[#This Row],[Sous-compte]]&amp;"00",4))</f>
        <v>7044</v>
      </c>
      <c r="J1210" s="167"/>
    </row>
    <row r="1211" spans="4:10" ht="15" customHeight="1">
      <c r="D1211" s="187" t="s">
        <v>84</v>
      </c>
      <c r="E1211" s="168" t="s">
        <v>11282</v>
      </c>
      <c r="F1211" s="168" t="s">
        <v>11292</v>
      </c>
      <c r="G1211" s="173">
        <v>7045</v>
      </c>
      <c r="H1211" s="175" t="s">
        <v>11096</v>
      </c>
      <c r="I1211" s="167" t="str">
        <f>IF(Plan_Comptable[[#This Row],[Sous-compte]]="","",LEFT(Plan_Comptable[[#This Row],[Sous-compte]]&amp;"00",4))</f>
        <v>7045</v>
      </c>
      <c r="J1211" s="167"/>
    </row>
    <row r="1212" spans="4:10" ht="15" customHeight="1">
      <c r="D1212" s="187" t="s">
        <v>84</v>
      </c>
      <c r="E1212" s="168" t="s">
        <v>11282</v>
      </c>
      <c r="F1212" s="168" t="s">
        <v>11292</v>
      </c>
      <c r="G1212" s="173">
        <v>7049</v>
      </c>
      <c r="H1212" s="175" t="s">
        <v>11097</v>
      </c>
      <c r="I1212" s="167" t="str">
        <f>IF(Plan_Comptable[[#This Row],[Sous-compte]]="","",LEFT(Plan_Comptable[[#This Row],[Sous-compte]]&amp;"00",4))</f>
        <v>7049</v>
      </c>
      <c r="J1212" s="167"/>
    </row>
    <row r="1213" spans="4:10" ht="15" customHeight="1">
      <c r="D1213" s="187" t="s">
        <v>84</v>
      </c>
      <c r="E1213" s="168" t="s">
        <v>11282</v>
      </c>
      <c r="F1213" s="168">
        <v>705</v>
      </c>
      <c r="G1213" s="176"/>
      <c r="H1213" s="167" t="s">
        <v>11293</v>
      </c>
      <c r="I1213" s="167" t="str">
        <f>IF(Plan_Comptable[[#This Row],[Sous-compte]]="","",LEFT(Plan_Comptable[[#This Row],[Sous-compte]]&amp;"00",4))</f>
        <v/>
      </c>
      <c r="J1213" s="167"/>
    </row>
    <row r="1214" spans="4:10" ht="15" customHeight="1">
      <c r="D1214" s="187" t="s">
        <v>84</v>
      </c>
      <c r="E1214" s="168" t="s">
        <v>11282</v>
      </c>
      <c r="F1214" s="168" t="s">
        <v>11294</v>
      </c>
      <c r="G1214" s="176">
        <v>7051</v>
      </c>
      <c r="H1214" s="167" t="s">
        <v>11285</v>
      </c>
      <c r="I1214" s="167" t="str">
        <f>IF(Plan_Comptable[[#This Row],[Sous-compte]]="","",LEFT(Plan_Comptable[[#This Row],[Sous-compte]]&amp;"00",4))</f>
        <v>7051</v>
      </c>
      <c r="J1214" s="167"/>
    </row>
    <row r="1215" spans="4:10" ht="15" customHeight="1">
      <c r="D1215" s="187" t="s">
        <v>84</v>
      </c>
      <c r="E1215" s="168" t="s">
        <v>11282</v>
      </c>
      <c r="F1215" s="168" t="s">
        <v>11294</v>
      </c>
      <c r="G1215" s="176">
        <v>7052</v>
      </c>
      <c r="H1215" s="167" t="s">
        <v>11286</v>
      </c>
      <c r="I1215" s="167" t="str">
        <f>IF(Plan_Comptable[[#This Row],[Sous-compte]]="","",LEFT(Plan_Comptable[[#This Row],[Sous-compte]]&amp;"00",4))</f>
        <v>7052</v>
      </c>
      <c r="J1215" s="167"/>
    </row>
    <row r="1216" spans="4:10" ht="15" customHeight="1">
      <c r="D1216" s="187" t="s">
        <v>84</v>
      </c>
      <c r="E1216" s="168" t="s">
        <v>11282</v>
      </c>
      <c r="F1216" s="168" t="s">
        <v>11294</v>
      </c>
      <c r="G1216" s="172">
        <v>7053</v>
      </c>
      <c r="H1216" s="179" t="s">
        <v>10930</v>
      </c>
      <c r="I1216" s="167" t="str">
        <f>IF(Plan_Comptable[[#This Row],[Sous-compte]]="","",LEFT(Plan_Comptable[[#This Row],[Sous-compte]]&amp;"00",4))</f>
        <v>7053</v>
      </c>
      <c r="J1216" s="167"/>
    </row>
    <row r="1217" spans="4:10" ht="15" customHeight="1">
      <c r="D1217" s="187" t="s">
        <v>84</v>
      </c>
      <c r="E1217" s="168" t="s">
        <v>11282</v>
      </c>
      <c r="F1217" s="168" t="s">
        <v>11294</v>
      </c>
      <c r="G1217" s="172">
        <v>7054</v>
      </c>
      <c r="H1217" s="179" t="s">
        <v>10931</v>
      </c>
      <c r="I1217" s="167" t="str">
        <f>IF(Plan_Comptable[[#This Row],[Sous-compte]]="","",LEFT(Plan_Comptable[[#This Row],[Sous-compte]]&amp;"00",4))</f>
        <v>7054</v>
      </c>
      <c r="J1217" s="167"/>
    </row>
    <row r="1218" spans="4:10" ht="15" customHeight="1">
      <c r="D1218" s="187" t="s">
        <v>84</v>
      </c>
      <c r="E1218" s="168" t="s">
        <v>11282</v>
      </c>
      <c r="F1218" s="168" t="s">
        <v>11294</v>
      </c>
      <c r="G1218" s="173">
        <v>7055</v>
      </c>
      <c r="H1218" s="175" t="s">
        <v>11096</v>
      </c>
      <c r="I1218" s="167" t="str">
        <f>IF(Plan_Comptable[[#This Row],[Sous-compte]]="","",LEFT(Plan_Comptable[[#This Row],[Sous-compte]]&amp;"00",4))</f>
        <v>7055</v>
      </c>
      <c r="J1218" s="167"/>
    </row>
    <row r="1219" spans="4:10" ht="15" customHeight="1">
      <c r="D1219" s="187" t="s">
        <v>84</v>
      </c>
      <c r="E1219" s="168" t="s">
        <v>11282</v>
      </c>
      <c r="F1219" s="168" t="s">
        <v>11294</v>
      </c>
      <c r="G1219" s="173">
        <v>7059</v>
      </c>
      <c r="H1219" s="175" t="s">
        <v>11097</v>
      </c>
      <c r="I1219" s="167" t="str">
        <f>IF(Plan_Comptable[[#This Row],[Sous-compte]]="","",LEFT(Plan_Comptable[[#This Row],[Sous-compte]]&amp;"00",4))</f>
        <v>7059</v>
      </c>
      <c r="J1219" s="167"/>
    </row>
    <row r="1220" spans="4:10" ht="15" customHeight="1">
      <c r="D1220" s="187" t="s">
        <v>84</v>
      </c>
      <c r="E1220" s="168" t="s">
        <v>11282</v>
      </c>
      <c r="F1220" s="168">
        <v>706</v>
      </c>
      <c r="G1220" s="176"/>
      <c r="H1220" s="167" t="s">
        <v>11295</v>
      </c>
      <c r="I1220" s="167" t="str">
        <f>IF(Plan_Comptable[[#This Row],[Sous-compte]]="","",LEFT(Plan_Comptable[[#This Row],[Sous-compte]]&amp;"00",4))</f>
        <v/>
      </c>
      <c r="J1220" s="167"/>
    </row>
    <row r="1221" spans="4:10" ht="15" customHeight="1">
      <c r="D1221" s="187" t="s">
        <v>84</v>
      </c>
      <c r="E1221" s="168" t="s">
        <v>11282</v>
      </c>
      <c r="F1221" s="168" t="s">
        <v>11296</v>
      </c>
      <c r="G1221" s="176">
        <v>7061</v>
      </c>
      <c r="H1221" s="167" t="s">
        <v>11285</v>
      </c>
      <c r="I1221" s="167" t="str">
        <f>IF(Plan_Comptable[[#This Row],[Sous-compte]]="","",LEFT(Plan_Comptable[[#This Row],[Sous-compte]]&amp;"00",4))</f>
        <v>7061</v>
      </c>
      <c r="J1221" s="167"/>
    </row>
    <row r="1222" spans="4:10" ht="15" customHeight="1">
      <c r="D1222" s="187" t="s">
        <v>84</v>
      </c>
      <c r="E1222" s="168" t="s">
        <v>11282</v>
      </c>
      <c r="F1222" s="168" t="s">
        <v>11296</v>
      </c>
      <c r="G1222" s="176">
        <v>7062</v>
      </c>
      <c r="H1222" s="167" t="s">
        <v>11297</v>
      </c>
      <c r="I1222" s="167" t="str">
        <f>IF(Plan_Comptable[[#This Row],[Sous-compte]]="","",LEFT(Plan_Comptable[[#This Row],[Sous-compte]]&amp;"00",4))</f>
        <v>7062</v>
      </c>
      <c r="J1222" s="167"/>
    </row>
    <row r="1223" spans="4:10" ht="15" customHeight="1">
      <c r="D1223" s="187" t="s">
        <v>84</v>
      </c>
      <c r="E1223" s="168" t="s">
        <v>11282</v>
      </c>
      <c r="F1223" s="168" t="s">
        <v>11296</v>
      </c>
      <c r="G1223" s="172">
        <v>7063</v>
      </c>
      <c r="H1223" s="179" t="s">
        <v>10930</v>
      </c>
      <c r="I1223" s="167" t="str">
        <f>IF(Plan_Comptable[[#This Row],[Sous-compte]]="","",LEFT(Plan_Comptable[[#This Row],[Sous-compte]]&amp;"00",4))</f>
        <v>7063</v>
      </c>
      <c r="J1223" s="167"/>
    </row>
    <row r="1224" spans="4:10" ht="15" customHeight="1">
      <c r="D1224" s="187" t="s">
        <v>84</v>
      </c>
      <c r="E1224" s="168" t="s">
        <v>11282</v>
      </c>
      <c r="F1224" s="168" t="s">
        <v>11296</v>
      </c>
      <c r="G1224" s="172">
        <v>7064</v>
      </c>
      <c r="H1224" s="179" t="s">
        <v>10931</v>
      </c>
      <c r="I1224" s="167" t="str">
        <f>IF(Plan_Comptable[[#This Row],[Sous-compte]]="","",LEFT(Plan_Comptable[[#This Row],[Sous-compte]]&amp;"00",4))</f>
        <v>7064</v>
      </c>
      <c r="J1224" s="167"/>
    </row>
    <row r="1225" spans="4:10" ht="15" customHeight="1">
      <c r="D1225" s="187" t="s">
        <v>84</v>
      </c>
      <c r="E1225" s="168" t="s">
        <v>11282</v>
      </c>
      <c r="F1225" s="168" t="s">
        <v>11296</v>
      </c>
      <c r="G1225" s="173">
        <v>7065</v>
      </c>
      <c r="H1225" s="175" t="s">
        <v>11096</v>
      </c>
      <c r="I1225" s="167" t="str">
        <f>IF(Plan_Comptable[[#This Row],[Sous-compte]]="","",LEFT(Plan_Comptable[[#This Row],[Sous-compte]]&amp;"00",4))</f>
        <v>7065</v>
      </c>
      <c r="J1225" s="167"/>
    </row>
    <row r="1226" spans="4:10" ht="15" customHeight="1">
      <c r="D1226" s="187" t="s">
        <v>84</v>
      </c>
      <c r="E1226" s="168" t="s">
        <v>11282</v>
      </c>
      <c r="F1226" s="168" t="s">
        <v>11296</v>
      </c>
      <c r="G1226" s="173">
        <v>7069</v>
      </c>
      <c r="H1226" s="175" t="s">
        <v>11097</v>
      </c>
      <c r="I1226" s="167" t="str">
        <f>IF(Plan_Comptable[[#This Row],[Sous-compte]]="","",LEFT(Plan_Comptable[[#This Row],[Sous-compte]]&amp;"00",4))</f>
        <v>7069</v>
      </c>
      <c r="J1226" s="167"/>
    </row>
    <row r="1227" spans="4:10" ht="15" customHeight="1">
      <c r="D1227" s="187" t="s">
        <v>84</v>
      </c>
      <c r="E1227" s="168" t="s">
        <v>11282</v>
      </c>
      <c r="F1227" s="168">
        <v>707</v>
      </c>
      <c r="G1227" s="176"/>
      <c r="H1227" s="167" t="s">
        <v>11298</v>
      </c>
      <c r="I1227" s="167" t="str">
        <f>IF(Plan_Comptable[[#This Row],[Sous-compte]]="","",LEFT(Plan_Comptable[[#This Row],[Sous-compte]]&amp;"00",4))</f>
        <v/>
      </c>
      <c r="J1227" s="167"/>
    </row>
    <row r="1228" spans="4:10" ht="15" customHeight="1">
      <c r="D1228" s="187" t="s">
        <v>84</v>
      </c>
      <c r="E1228" s="168" t="s">
        <v>11282</v>
      </c>
      <c r="F1228" s="168" t="s">
        <v>11299</v>
      </c>
      <c r="G1228" s="176">
        <v>7071</v>
      </c>
      <c r="H1228" s="167" t="s">
        <v>11108</v>
      </c>
      <c r="I1228" s="167" t="str">
        <f>IF(Plan_Comptable[[#This Row],[Sous-compte]]="","",LEFT(Plan_Comptable[[#This Row],[Sous-compte]]&amp;"00",4))</f>
        <v>7071</v>
      </c>
      <c r="J1228" s="167"/>
    </row>
    <row r="1229" spans="4:10" ht="15" customHeight="1">
      <c r="D1229" s="187" t="s">
        <v>84</v>
      </c>
      <c r="E1229" s="168" t="s">
        <v>11282</v>
      </c>
      <c r="F1229" s="168" t="s">
        <v>11299</v>
      </c>
      <c r="G1229" s="176">
        <v>7072</v>
      </c>
      <c r="H1229" s="167" t="s">
        <v>11300</v>
      </c>
      <c r="I1229" s="167" t="str">
        <f>IF(Plan_Comptable[[#This Row],[Sous-compte]]="","",LEFT(Plan_Comptable[[#This Row],[Sous-compte]]&amp;"00",4))</f>
        <v>7072</v>
      </c>
      <c r="J1229" s="167"/>
    </row>
    <row r="1230" spans="4:10" ht="15" customHeight="1">
      <c r="D1230" s="187" t="s">
        <v>84</v>
      </c>
      <c r="E1230" s="168" t="s">
        <v>11282</v>
      </c>
      <c r="F1230" s="168" t="s">
        <v>11299</v>
      </c>
      <c r="G1230" s="172">
        <v>7073</v>
      </c>
      <c r="H1230" s="179" t="s">
        <v>11301</v>
      </c>
      <c r="I1230" s="167" t="str">
        <f>IF(Plan_Comptable[[#This Row],[Sous-compte]]="","",LEFT(Plan_Comptable[[#This Row],[Sous-compte]]&amp;"00",4))</f>
        <v>7073</v>
      </c>
      <c r="J1230" s="167"/>
    </row>
    <row r="1231" spans="4:10" ht="15" customHeight="1">
      <c r="D1231" s="187" t="s">
        <v>84</v>
      </c>
      <c r="E1231" s="168" t="s">
        <v>11282</v>
      </c>
      <c r="F1231" s="168" t="s">
        <v>11299</v>
      </c>
      <c r="G1231" s="176">
        <v>7074</v>
      </c>
      <c r="H1231" s="167" t="s">
        <v>11113</v>
      </c>
      <c r="I1231" s="167" t="str">
        <f>IF(Plan_Comptable[[#This Row],[Sous-compte]]="","",LEFT(Plan_Comptable[[#This Row],[Sous-compte]]&amp;"00",4))</f>
        <v>7074</v>
      </c>
      <c r="J1231" s="167"/>
    </row>
    <row r="1232" spans="4:10" ht="15" customHeight="1">
      <c r="D1232" s="187" t="s">
        <v>84</v>
      </c>
      <c r="E1232" s="168" t="s">
        <v>11282</v>
      </c>
      <c r="F1232" s="168" t="s">
        <v>11299</v>
      </c>
      <c r="G1232" s="176">
        <v>7075</v>
      </c>
      <c r="H1232" s="167" t="s">
        <v>11302</v>
      </c>
      <c r="I1232" s="167" t="str">
        <f>IF(Plan_Comptable[[#This Row],[Sous-compte]]="","",LEFT(Plan_Comptable[[#This Row],[Sous-compte]]&amp;"00",4))</f>
        <v>7075</v>
      </c>
      <c r="J1232" s="167"/>
    </row>
    <row r="1233" spans="4:10" ht="15" customHeight="1">
      <c r="D1233" s="187" t="s">
        <v>84</v>
      </c>
      <c r="E1233" s="168" t="s">
        <v>11282</v>
      </c>
      <c r="F1233" s="168" t="s">
        <v>11299</v>
      </c>
      <c r="G1233" s="176">
        <v>7076</v>
      </c>
      <c r="H1233" s="167" t="s">
        <v>11303</v>
      </c>
      <c r="I1233" s="167" t="str">
        <f>IF(Plan_Comptable[[#This Row],[Sous-compte]]="","",LEFT(Plan_Comptable[[#This Row],[Sous-compte]]&amp;"00",4))</f>
        <v>7076</v>
      </c>
      <c r="J1233" s="167"/>
    </row>
    <row r="1234" spans="4:10" ht="15" customHeight="1">
      <c r="D1234" s="187" t="s">
        <v>84</v>
      </c>
      <c r="E1234" s="168" t="s">
        <v>11282</v>
      </c>
      <c r="F1234" s="168" t="s">
        <v>11299</v>
      </c>
      <c r="G1234" s="176">
        <v>7077</v>
      </c>
      <c r="H1234" s="167" t="s">
        <v>11116</v>
      </c>
      <c r="I1234" s="167" t="str">
        <f>IF(Plan_Comptable[[#This Row],[Sous-compte]]="","",LEFT(Plan_Comptable[[#This Row],[Sous-compte]]&amp;"00",4))</f>
        <v>7077</v>
      </c>
      <c r="J1234" s="167"/>
    </row>
    <row r="1235" spans="4:10" ht="15" customHeight="1">
      <c r="D1235" s="187" t="s">
        <v>84</v>
      </c>
      <c r="E1235" s="168" t="s">
        <v>11282</v>
      </c>
      <c r="F1235" s="168" t="s">
        <v>11299</v>
      </c>
      <c r="G1235" s="176">
        <v>7078</v>
      </c>
      <c r="H1235" s="167" t="s">
        <v>11118</v>
      </c>
      <c r="I1235" s="167" t="str">
        <f>IF(Plan_Comptable[[#This Row],[Sous-compte]]="","",LEFT(Plan_Comptable[[#This Row],[Sous-compte]]&amp;"00",4))</f>
        <v>7078</v>
      </c>
      <c r="J1235" s="167"/>
    </row>
    <row r="1236" spans="4:10" ht="15" customHeight="1">
      <c r="D1236" s="187" t="s">
        <v>84</v>
      </c>
      <c r="E1236" s="189">
        <v>71</v>
      </c>
      <c r="F1236" s="165" t="s">
        <v>9941</v>
      </c>
      <c r="G1236" s="165"/>
      <c r="H1236" s="166" t="s">
        <v>11304</v>
      </c>
      <c r="I1236" s="167" t="str">
        <f>IF(Plan_Comptable[[#This Row],[Sous-compte]]="","",LEFT(Plan_Comptable[[#This Row],[Sous-compte]]&amp;"00",4))</f>
        <v/>
      </c>
      <c r="J1236" s="167"/>
    </row>
    <row r="1237" spans="4:10" ht="15" customHeight="1">
      <c r="D1237" s="187" t="s">
        <v>84</v>
      </c>
      <c r="E1237" s="168" t="s">
        <v>11305</v>
      </c>
      <c r="F1237" s="168">
        <v>711</v>
      </c>
      <c r="G1237" s="176">
        <v>711</v>
      </c>
      <c r="H1237" s="167" t="s">
        <v>11120</v>
      </c>
      <c r="I1237" s="167" t="str">
        <f>IF(Plan_Comptable[[#This Row],[Sous-compte]]="","",LEFT(Plan_Comptable[[#This Row],[Sous-compte]]&amp;"00",4))</f>
        <v>7110</v>
      </c>
      <c r="J1237" s="167"/>
    </row>
    <row r="1238" spans="4:10" ht="15" customHeight="1">
      <c r="D1238" s="187" t="s">
        <v>84</v>
      </c>
      <c r="E1238" s="168" t="s">
        <v>11305</v>
      </c>
      <c r="F1238" s="168">
        <v>712</v>
      </c>
      <c r="G1238" s="176">
        <v>712</v>
      </c>
      <c r="H1238" s="167" t="s">
        <v>11121</v>
      </c>
      <c r="I1238" s="167" t="str">
        <f>IF(Plan_Comptable[[#This Row],[Sous-compte]]="","",LEFT(Plan_Comptable[[#This Row],[Sous-compte]]&amp;"00",4))</f>
        <v>7120</v>
      </c>
      <c r="J1238" s="167"/>
    </row>
    <row r="1239" spans="4:10" ht="15" customHeight="1">
      <c r="D1239" s="187" t="s">
        <v>84</v>
      </c>
      <c r="E1239" s="168" t="s">
        <v>11305</v>
      </c>
      <c r="F1239" s="168">
        <v>713</v>
      </c>
      <c r="G1239" s="176">
        <v>713</v>
      </c>
      <c r="H1239" s="167" t="s">
        <v>11122</v>
      </c>
      <c r="I1239" s="167" t="str">
        <f>IF(Plan_Comptable[[#This Row],[Sous-compte]]="","",LEFT(Plan_Comptable[[#This Row],[Sous-compte]]&amp;"00",4))</f>
        <v>7130</v>
      </c>
      <c r="J1239" s="167"/>
    </row>
    <row r="1240" spans="4:10" ht="15" customHeight="1">
      <c r="D1240" s="187" t="s">
        <v>84</v>
      </c>
      <c r="E1240" s="168" t="s">
        <v>11305</v>
      </c>
      <c r="F1240" s="184">
        <v>714</v>
      </c>
      <c r="G1240" s="173">
        <v>714</v>
      </c>
      <c r="H1240" s="175" t="s">
        <v>11123</v>
      </c>
      <c r="I1240" s="167" t="str">
        <f>IF(Plan_Comptable[[#This Row],[Sous-compte]]="","",LEFT(Plan_Comptable[[#This Row],[Sous-compte]]&amp;"00",4))</f>
        <v>7140</v>
      </c>
      <c r="J1240" s="167"/>
    </row>
    <row r="1241" spans="4:10" ht="15" customHeight="1">
      <c r="D1241" s="187" t="s">
        <v>84</v>
      </c>
      <c r="E1241" s="168" t="s">
        <v>11305</v>
      </c>
      <c r="F1241" s="168">
        <v>718</v>
      </c>
      <c r="G1241" s="176"/>
      <c r="H1241" s="167" t="s">
        <v>11306</v>
      </c>
      <c r="I1241" s="167" t="str">
        <f>IF(Plan_Comptable[[#This Row],[Sous-compte]]="","",LEFT(Plan_Comptable[[#This Row],[Sous-compte]]&amp;"00",4))</f>
        <v/>
      </c>
      <c r="J1241" s="167"/>
    </row>
    <row r="1242" spans="4:10" ht="15" customHeight="1">
      <c r="D1242" s="187" t="s">
        <v>84</v>
      </c>
      <c r="E1242" s="168" t="s">
        <v>11305</v>
      </c>
      <c r="F1242" s="168" t="s">
        <v>11307</v>
      </c>
      <c r="G1242" s="176">
        <v>7181</v>
      </c>
      <c r="H1242" s="167" t="s">
        <v>11124</v>
      </c>
      <c r="I1242" s="167" t="str">
        <f>IF(Plan_Comptable[[#This Row],[Sous-compte]]="","",LEFT(Plan_Comptable[[#This Row],[Sous-compte]]&amp;"00",4))</f>
        <v>7181</v>
      </c>
      <c r="J1242" s="167"/>
    </row>
    <row r="1243" spans="4:10" ht="15" customHeight="1">
      <c r="D1243" s="187" t="s">
        <v>84</v>
      </c>
      <c r="E1243" s="168" t="s">
        <v>11305</v>
      </c>
      <c r="F1243" s="168" t="s">
        <v>11307</v>
      </c>
      <c r="G1243" s="176">
        <v>7182</v>
      </c>
      <c r="H1243" s="167" t="s">
        <v>11126</v>
      </c>
      <c r="I1243" s="167" t="str">
        <f>IF(Plan_Comptable[[#This Row],[Sous-compte]]="","",LEFT(Plan_Comptable[[#This Row],[Sous-compte]]&amp;"00",4))</f>
        <v>7182</v>
      </c>
      <c r="J1243" s="167"/>
    </row>
    <row r="1244" spans="4:10" ht="15" customHeight="1">
      <c r="D1244" s="187" t="s">
        <v>84</v>
      </c>
      <c r="E1244" s="168" t="s">
        <v>11305</v>
      </c>
      <c r="F1244" s="168" t="s">
        <v>11307</v>
      </c>
      <c r="G1244" s="176">
        <v>7183</v>
      </c>
      <c r="H1244" s="167" t="s">
        <v>11128</v>
      </c>
      <c r="I1244" s="167" t="str">
        <f>IF(Plan_Comptable[[#This Row],[Sous-compte]]="","",LEFT(Plan_Comptable[[#This Row],[Sous-compte]]&amp;"00",4))</f>
        <v>7183</v>
      </c>
      <c r="J1244" s="167"/>
    </row>
    <row r="1245" spans="4:10" ht="15" customHeight="1">
      <c r="D1245" s="187" t="s">
        <v>84</v>
      </c>
      <c r="E1245" s="189">
        <v>72</v>
      </c>
      <c r="F1245" s="165" t="s">
        <v>9941</v>
      </c>
      <c r="G1245" s="165"/>
      <c r="H1245" s="166" t="s">
        <v>11308</v>
      </c>
      <c r="I1245" s="167" t="str">
        <f>IF(Plan_Comptable[[#This Row],[Sous-compte]]="","",LEFT(Plan_Comptable[[#This Row],[Sous-compte]]&amp;"00",4))</f>
        <v/>
      </c>
      <c r="J1245" s="167"/>
    </row>
    <row r="1246" spans="4:10" ht="15" customHeight="1">
      <c r="D1246" s="187" t="s">
        <v>84</v>
      </c>
      <c r="E1246" s="168" t="s">
        <v>11309</v>
      </c>
      <c r="F1246" s="168">
        <v>721</v>
      </c>
      <c r="G1246" s="176">
        <v>721</v>
      </c>
      <c r="H1246" s="167" t="s">
        <v>1236</v>
      </c>
      <c r="I1246" s="167" t="str">
        <f>IF(Plan_Comptable[[#This Row],[Sous-compte]]="","",LEFT(Plan_Comptable[[#This Row],[Sous-compte]]&amp;"00",4))</f>
        <v>7210</v>
      </c>
      <c r="J1246" s="167"/>
    </row>
    <row r="1247" spans="4:10" ht="15" customHeight="1">
      <c r="D1247" s="187" t="s">
        <v>84</v>
      </c>
      <c r="E1247" s="168" t="s">
        <v>11309</v>
      </c>
      <c r="F1247" s="168">
        <v>722</v>
      </c>
      <c r="G1247" s="176"/>
      <c r="H1247" s="167" t="s">
        <v>1239</v>
      </c>
      <c r="I1247" s="167" t="str">
        <f>IF(Plan_Comptable[[#This Row],[Sous-compte]]="","",LEFT(Plan_Comptable[[#This Row],[Sous-compte]]&amp;"00",4))</f>
        <v/>
      </c>
      <c r="J1247" s="167"/>
    </row>
    <row r="1248" spans="4:10" ht="15" customHeight="1">
      <c r="D1248" s="187" t="s">
        <v>84</v>
      </c>
      <c r="E1248" s="168" t="s">
        <v>11309</v>
      </c>
      <c r="F1248" s="168" t="s">
        <v>11310</v>
      </c>
      <c r="G1248" s="173">
        <v>7221</v>
      </c>
      <c r="H1248" s="174" t="s">
        <v>11129</v>
      </c>
      <c r="I1248" s="167" t="str">
        <f>IF(Plan_Comptable[[#This Row],[Sous-compte]]="","",LEFT(Plan_Comptable[[#This Row],[Sous-compte]]&amp;"00",4))</f>
        <v>7221</v>
      </c>
      <c r="J1248" s="167"/>
    </row>
    <row r="1249" spans="4:10" ht="15" customHeight="1">
      <c r="D1249" s="187" t="s">
        <v>84</v>
      </c>
      <c r="E1249" s="168" t="s">
        <v>11309</v>
      </c>
      <c r="F1249" s="168" t="s">
        <v>11310</v>
      </c>
      <c r="G1249" s="173">
        <v>7222</v>
      </c>
      <c r="H1249" s="188" t="s">
        <v>11130</v>
      </c>
      <c r="I1249" s="167" t="str">
        <f>IF(Plan_Comptable[[#This Row],[Sous-compte]]="","",LEFT(Plan_Comptable[[#This Row],[Sous-compte]]&amp;"00",4))</f>
        <v>7222</v>
      </c>
      <c r="J1249" s="167"/>
    </row>
    <row r="1250" spans="4:10" ht="15" customHeight="1">
      <c r="D1250" s="187" t="s">
        <v>84</v>
      </c>
      <c r="E1250" s="168" t="s">
        <v>11309</v>
      </c>
      <c r="F1250" s="184">
        <v>724</v>
      </c>
      <c r="G1250" s="196">
        <v>724</v>
      </c>
      <c r="H1250" s="175" t="s">
        <v>11131</v>
      </c>
      <c r="I1250" s="167" t="str">
        <f>IF(Plan_Comptable[[#This Row],[Sous-compte]]="","",LEFT(Plan_Comptable[[#This Row],[Sous-compte]]&amp;"00",4))</f>
        <v>7240</v>
      </c>
      <c r="J1250" s="167"/>
    </row>
    <row r="1251" spans="4:10" ht="15" customHeight="1">
      <c r="D1251" s="187" t="s">
        <v>84</v>
      </c>
      <c r="E1251" s="168" t="s">
        <v>11309</v>
      </c>
      <c r="F1251" s="168">
        <v>726</v>
      </c>
      <c r="G1251" s="176">
        <v>726</v>
      </c>
      <c r="H1251" s="167" t="s">
        <v>11132</v>
      </c>
      <c r="I1251" s="167" t="str">
        <f>IF(Plan_Comptable[[#This Row],[Sous-compte]]="","",LEFT(Plan_Comptable[[#This Row],[Sous-compte]]&amp;"00",4))</f>
        <v>7260</v>
      </c>
      <c r="J1251" s="167"/>
    </row>
    <row r="1252" spans="4:10" ht="15" customHeight="1">
      <c r="D1252" s="187" t="s">
        <v>84</v>
      </c>
      <c r="E1252" s="189">
        <v>73</v>
      </c>
      <c r="F1252" s="165" t="s">
        <v>9941</v>
      </c>
      <c r="G1252" s="165"/>
      <c r="H1252" s="166" t="s">
        <v>11311</v>
      </c>
      <c r="I1252" s="167" t="str">
        <f>IF(Plan_Comptable[[#This Row],[Sous-compte]]="","",LEFT(Plan_Comptable[[#This Row],[Sous-compte]]&amp;"00",4))</f>
        <v/>
      </c>
      <c r="J1252" s="167"/>
    </row>
    <row r="1253" spans="4:10" ht="15" customHeight="1">
      <c r="D1253" s="187" t="s">
        <v>84</v>
      </c>
      <c r="E1253" s="168" t="s">
        <v>11312</v>
      </c>
      <c r="F1253" s="168">
        <v>734</v>
      </c>
      <c r="G1253" s="176"/>
      <c r="H1253" s="167" t="s">
        <v>11313</v>
      </c>
      <c r="I1253" s="167" t="str">
        <f>IF(Plan_Comptable[[#This Row],[Sous-compte]]="","",LEFT(Plan_Comptable[[#This Row],[Sous-compte]]&amp;"00",4))</f>
        <v/>
      </c>
      <c r="J1253" s="167"/>
    </row>
    <row r="1254" spans="4:10" ht="15" customHeight="1">
      <c r="D1254" s="187" t="s">
        <v>84</v>
      </c>
      <c r="E1254" s="168" t="s">
        <v>11312</v>
      </c>
      <c r="F1254" s="168" t="s">
        <v>11314</v>
      </c>
      <c r="G1254" s="176">
        <v>7341</v>
      </c>
      <c r="H1254" s="167" t="s">
        <v>1753</v>
      </c>
      <c r="I1254" s="167" t="str">
        <f>IF(Plan_Comptable[[#This Row],[Sous-compte]]="","",LEFT(Plan_Comptable[[#This Row],[Sous-compte]]&amp;"00",4))</f>
        <v>7341</v>
      </c>
      <c r="J1254" s="167"/>
    </row>
    <row r="1255" spans="4:10" ht="15" customHeight="1">
      <c r="D1255" s="187" t="s">
        <v>84</v>
      </c>
      <c r="E1255" s="168" t="s">
        <v>11312</v>
      </c>
      <c r="F1255" s="168" t="s">
        <v>11314</v>
      </c>
      <c r="G1255" s="176">
        <v>7342</v>
      </c>
      <c r="H1255" s="167" t="s">
        <v>11134</v>
      </c>
      <c r="I1255" s="167" t="str">
        <f>IF(Plan_Comptable[[#This Row],[Sous-compte]]="","",LEFT(Plan_Comptable[[#This Row],[Sous-compte]]&amp;"00",4))</f>
        <v>7342</v>
      </c>
      <c r="J1255" s="167"/>
    </row>
    <row r="1256" spans="4:10" ht="15" customHeight="1">
      <c r="D1256" s="187" t="s">
        <v>84</v>
      </c>
      <c r="E1256" s="168" t="s">
        <v>11312</v>
      </c>
      <c r="F1256" s="171">
        <v>735</v>
      </c>
      <c r="G1256" s="172"/>
      <c r="H1256" s="179" t="s">
        <v>11315</v>
      </c>
      <c r="I1256" s="167" t="str">
        <f>IF(Plan_Comptable[[#This Row],[Sous-compte]]="","",LEFT(Plan_Comptable[[#This Row],[Sous-compte]]&amp;"00",4))</f>
        <v/>
      </c>
      <c r="J1256" s="167"/>
    </row>
    <row r="1257" spans="4:10" ht="15" customHeight="1">
      <c r="D1257" s="187" t="s">
        <v>84</v>
      </c>
      <c r="E1257" s="168" t="s">
        <v>11312</v>
      </c>
      <c r="F1257" s="168" t="s">
        <v>11316</v>
      </c>
      <c r="G1257" s="176">
        <v>7351</v>
      </c>
      <c r="H1257" s="167" t="s">
        <v>11136</v>
      </c>
      <c r="I1257" s="167" t="str">
        <f>IF(Plan_Comptable[[#This Row],[Sous-compte]]="","",LEFT(Plan_Comptable[[#This Row],[Sous-compte]]&amp;"00",4))</f>
        <v>7351</v>
      </c>
      <c r="J1257" s="167"/>
    </row>
    <row r="1258" spans="4:10" ht="15" customHeight="1">
      <c r="D1258" s="187" t="s">
        <v>84</v>
      </c>
      <c r="E1258" s="168" t="s">
        <v>11312</v>
      </c>
      <c r="F1258" s="168" t="s">
        <v>11316</v>
      </c>
      <c r="G1258" s="176">
        <v>7352</v>
      </c>
      <c r="H1258" s="167" t="s">
        <v>11137</v>
      </c>
      <c r="I1258" s="167" t="str">
        <f>IF(Plan_Comptable[[#This Row],[Sous-compte]]="","",LEFT(Plan_Comptable[[#This Row],[Sous-compte]]&amp;"00",4))</f>
        <v>7352</v>
      </c>
      <c r="J1258" s="167"/>
    </row>
    <row r="1259" spans="4:10" ht="15" customHeight="1">
      <c r="D1259" s="187" t="s">
        <v>84</v>
      </c>
      <c r="E1259" s="168" t="s">
        <v>11312</v>
      </c>
      <c r="F1259" s="168">
        <v>736</v>
      </c>
      <c r="G1259" s="176">
        <v>736</v>
      </c>
      <c r="H1259" s="167" t="s">
        <v>11138</v>
      </c>
      <c r="I1259" s="167" t="str">
        <f>IF(Plan_Comptable[[#This Row],[Sous-compte]]="","",LEFT(Plan_Comptable[[#This Row],[Sous-compte]]&amp;"00",4))</f>
        <v>7360</v>
      </c>
      <c r="J1259" s="167"/>
    </row>
    <row r="1260" spans="4:10" ht="15" customHeight="1">
      <c r="D1260" s="187" t="s">
        <v>84</v>
      </c>
      <c r="E1260" s="168" t="s">
        <v>11312</v>
      </c>
      <c r="F1260" s="168">
        <v>737</v>
      </c>
      <c r="G1260" s="176"/>
      <c r="H1260" s="167" t="s">
        <v>11317</v>
      </c>
      <c r="I1260" s="167" t="str">
        <f>IF(Plan_Comptable[[#This Row],[Sous-compte]]="","",LEFT(Plan_Comptable[[#This Row],[Sous-compte]]&amp;"00",4))</f>
        <v/>
      </c>
      <c r="J1260" s="167"/>
    </row>
    <row r="1261" spans="4:10" ht="15" customHeight="1">
      <c r="D1261" s="187" t="s">
        <v>84</v>
      </c>
      <c r="E1261" s="168" t="s">
        <v>11312</v>
      </c>
      <c r="F1261" s="168" t="s">
        <v>11318</v>
      </c>
      <c r="G1261" s="176">
        <v>7371</v>
      </c>
      <c r="H1261" s="167" t="s">
        <v>1756</v>
      </c>
      <c r="I1261" s="167" t="str">
        <f>IF(Plan_Comptable[[#This Row],[Sous-compte]]="","",LEFT(Plan_Comptable[[#This Row],[Sous-compte]]&amp;"00",4))</f>
        <v>7371</v>
      </c>
      <c r="J1261" s="167"/>
    </row>
    <row r="1262" spans="4:10" ht="15" customHeight="1">
      <c r="D1262" s="187" t="s">
        <v>84</v>
      </c>
      <c r="E1262" s="168" t="s">
        <v>11312</v>
      </c>
      <c r="F1262" s="168" t="s">
        <v>11318</v>
      </c>
      <c r="G1262" s="169">
        <v>7372</v>
      </c>
      <c r="H1262" s="170" t="s">
        <v>11141</v>
      </c>
      <c r="I1262" s="167" t="str">
        <f>IF(Plan_Comptable[[#This Row],[Sous-compte]]="","",LEFT(Plan_Comptable[[#This Row],[Sous-compte]]&amp;"00",4))</f>
        <v>7372</v>
      </c>
      <c r="J1262" s="167"/>
    </row>
    <row r="1263" spans="4:10" ht="15" customHeight="1">
      <c r="D1263" s="187" t="s">
        <v>84</v>
      </c>
      <c r="E1263" s="189" t="s">
        <v>9941</v>
      </c>
      <c r="F1263" s="165" t="s">
        <v>9941</v>
      </c>
      <c r="G1263" s="165"/>
      <c r="H1263" s="166" t="s">
        <v>11319</v>
      </c>
      <c r="I1263" s="167" t="str">
        <f>IF(Plan_Comptable[[#This Row],[Sous-compte]]="","",LEFT(Plan_Comptable[[#This Row],[Sous-compte]]&amp;"00",4))</f>
        <v/>
      </c>
      <c r="J1263" s="167"/>
    </row>
    <row r="1264" spans="4:10" ht="15" customHeight="1">
      <c r="D1264" s="187" t="s">
        <v>84</v>
      </c>
      <c r="E1264" s="189" t="s">
        <v>11320</v>
      </c>
      <c r="F1264" s="184">
        <v>751</v>
      </c>
      <c r="G1264" s="196">
        <v>751</v>
      </c>
      <c r="H1264" s="166" t="s">
        <v>11142</v>
      </c>
      <c r="I1264" s="167" t="str">
        <f>IF(Plan_Comptable[[#This Row],[Sous-compte]]="","",LEFT(Plan_Comptable[[#This Row],[Sous-compte]]&amp;"00",4))</f>
        <v>7510</v>
      </c>
      <c r="J1264" s="167"/>
    </row>
    <row r="1265" spans="4:10" ht="15" customHeight="1">
      <c r="D1265" s="187" t="s">
        <v>84</v>
      </c>
      <c r="E1265" s="168" t="s">
        <v>11320</v>
      </c>
      <c r="F1265" s="165">
        <v>752</v>
      </c>
      <c r="G1265" s="169"/>
      <c r="H1265" s="170" t="s">
        <v>11225</v>
      </c>
      <c r="I1265" s="167" t="str">
        <f>IF(Plan_Comptable[[#This Row],[Sous-compte]]="","",LEFT(Plan_Comptable[[#This Row],[Sous-compte]]&amp;"00",4))</f>
        <v/>
      </c>
      <c r="J1265" s="167"/>
    </row>
    <row r="1266" spans="4:10" ht="15" customHeight="1">
      <c r="D1266" s="187" t="s">
        <v>84</v>
      </c>
      <c r="E1266" s="168" t="s">
        <v>11320</v>
      </c>
      <c r="F1266" s="168" t="s">
        <v>11321</v>
      </c>
      <c r="G1266" s="169">
        <v>7521</v>
      </c>
      <c r="H1266" s="170" t="s">
        <v>11143</v>
      </c>
      <c r="I1266" s="167" t="str">
        <f>IF(Plan_Comptable[[#This Row],[Sous-compte]]="","",LEFT(Plan_Comptable[[#This Row],[Sous-compte]]&amp;"00",4))</f>
        <v>7521</v>
      </c>
      <c r="J1266" s="167"/>
    </row>
    <row r="1267" spans="4:10" ht="15" customHeight="1">
      <c r="D1267" s="187" t="s">
        <v>84</v>
      </c>
      <c r="E1267" s="168" t="s">
        <v>11320</v>
      </c>
      <c r="F1267" s="168" t="s">
        <v>11321</v>
      </c>
      <c r="G1267" s="169">
        <v>7525</v>
      </c>
      <c r="H1267" s="170" t="s">
        <v>11144</v>
      </c>
      <c r="I1267" s="167" t="str">
        <f>IF(Plan_Comptable[[#This Row],[Sous-compte]]="","",LEFT(Plan_Comptable[[#This Row],[Sous-compte]]&amp;"00",4))</f>
        <v>7525</v>
      </c>
      <c r="J1267" s="167"/>
    </row>
    <row r="1268" spans="4:10" ht="15" customHeight="1">
      <c r="D1268" s="187" t="s">
        <v>84</v>
      </c>
      <c r="E1268" s="168" t="s">
        <v>11320</v>
      </c>
      <c r="F1268" s="165">
        <v>754</v>
      </c>
      <c r="G1268" s="169"/>
      <c r="H1268" s="170" t="s">
        <v>11322</v>
      </c>
      <c r="I1268" s="167" t="str">
        <f>IF(Plan_Comptable[[#This Row],[Sous-compte]]="","",LEFT(Plan_Comptable[[#This Row],[Sous-compte]]&amp;"00",4))</f>
        <v/>
      </c>
      <c r="J1268" s="167"/>
    </row>
    <row r="1269" spans="4:10" ht="15" customHeight="1">
      <c r="D1269" s="187" t="s">
        <v>84</v>
      </c>
      <c r="E1269" s="168" t="s">
        <v>11320</v>
      </c>
      <c r="F1269" s="165" t="s">
        <v>11323</v>
      </c>
      <c r="G1269" s="173">
        <v>7541</v>
      </c>
      <c r="H1269" s="174" t="s">
        <v>10781</v>
      </c>
      <c r="I1269" s="167" t="str">
        <f>IF(Plan_Comptable[[#This Row],[Sous-compte]]="","",LEFT(Plan_Comptable[[#This Row],[Sous-compte]]&amp;"00",4))</f>
        <v>7541</v>
      </c>
      <c r="J1269" s="167"/>
    </row>
    <row r="1270" spans="4:10" ht="15" customHeight="1">
      <c r="D1270" s="187" t="s">
        <v>84</v>
      </c>
      <c r="E1270" s="168" t="s">
        <v>11320</v>
      </c>
      <c r="F1270" s="165" t="s">
        <v>11323</v>
      </c>
      <c r="G1270" s="173">
        <v>7542</v>
      </c>
      <c r="H1270" s="174" t="s">
        <v>10783</v>
      </c>
      <c r="I1270" s="167" t="str">
        <f>IF(Plan_Comptable[[#This Row],[Sous-compte]]="","",LEFT(Plan_Comptable[[#This Row],[Sous-compte]]&amp;"00",4))</f>
        <v>7542</v>
      </c>
      <c r="J1270" s="167"/>
    </row>
    <row r="1271" spans="4:10" ht="15" customHeight="1">
      <c r="D1271" s="187" t="s">
        <v>84</v>
      </c>
      <c r="E1271" s="168" t="s">
        <v>11320</v>
      </c>
      <c r="F1271" s="184">
        <v>756</v>
      </c>
      <c r="G1271" s="195">
        <v>756</v>
      </c>
      <c r="H1271" s="170" t="s">
        <v>11145</v>
      </c>
      <c r="I1271" s="167" t="str">
        <f>IF(Plan_Comptable[[#This Row],[Sous-compte]]="","",LEFT(Plan_Comptable[[#This Row],[Sous-compte]]&amp;"00",4))</f>
        <v>7560</v>
      </c>
      <c r="J1271" s="167"/>
    </row>
    <row r="1272" spans="4:10" ht="15" customHeight="1">
      <c r="D1272" s="187" t="s">
        <v>84</v>
      </c>
      <c r="E1272" s="168" t="s">
        <v>11320</v>
      </c>
      <c r="F1272" s="165">
        <v>758</v>
      </c>
      <c r="G1272" s="169"/>
      <c r="H1272" s="170" t="s">
        <v>11324</v>
      </c>
      <c r="I1272" s="167" t="str">
        <f>IF(Plan_Comptable[[#This Row],[Sous-compte]]="","",LEFT(Plan_Comptable[[#This Row],[Sous-compte]]&amp;"00",4))</f>
        <v/>
      </c>
      <c r="J1272" s="167"/>
    </row>
    <row r="1273" spans="4:10" ht="15" customHeight="1">
      <c r="D1273" s="187" t="s">
        <v>84</v>
      </c>
      <c r="E1273" s="168" t="s">
        <v>11320</v>
      </c>
      <c r="F1273" s="168" t="s">
        <v>11325</v>
      </c>
      <c r="G1273" s="172">
        <v>7581</v>
      </c>
      <c r="H1273" s="192" t="s">
        <v>2227</v>
      </c>
      <c r="I1273" s="167" t="str">
        <f>IF(Plan_Comptable[[#This Row],[Sous-compte]]="","",LEFT(Plan_Comptable[[#This Row],[Sous-compte]]&amp;"00",4))</f>
        <v>7581</v>
      </c>
      <c r="J1273" s="167"/>
    </row>
    <row r="1274" spans="4:10" ht="15" customHeight="1">
      <c r="D1274" s="187" t="s">
        <v>84</v>
      </c>
      <c r="E1274" s="168" t="s">
        <v>11320</v>
      </c>
      <c r="F1274" s="168" t="s">
        <v>11325</v>
      </c>
      <c r="G1274" s="169">
        <v>7582</v>
      </c>
      <c r="H1274" s="170" t="s">
        <v>11147</v>
      </c>
      <c r="I1274" s="167" t="str">
        <f>IF(Plan_Comptable[[#This Row],[Sous-compte]]="","",LEFT(Plan_Comptable[[#This Row],[Sous-compte]]&amp;"00",4))</f>
        <v>7582</v>
      </c>
      <c r="J1274" s="167"/>
    </row>
    <row r="1275" spans="4:10" ht="15" customHeight="1">
      <c r="D1275" s="187" t="s">
        <v>84</v>
      </c>
      <c r="E1275" s="168" t="s">
        <v>11320</v>
      </c>
      <c r="F1275" s="168" t="s">
        <v>11325</v>
      </c>
      <c r="G1275" s="173">
        <v>7588</v>
      </c>
      <c r="H1275" s="188" t="s">
        <v>11149</v>
      </c>
      <c r="I1275" s="167" t="str">
        <f>IF(Plan_Comptable[[#This Row],[Sous-compte]]="","",LEFT(Plan_Comptable[[#This Row],[Sous-compte]]&amp;"00",4))</f>
        <v>7588</v>
      </c>
      <c r="J1275" s="167"/>
    </row>
    <row r="1276" spans="4:10" ht="15" customHeight="1">
      <c r="D1276" s="187" t="s">
        <v>84</v>
      </c>
      <c r="E1276" s="168" t="s">
        <v>11320</v>
      </c>
      <c r="F1276" s="171">
        <v>759</v>
      </c>
      <c r="G1276" s="172"/>
      <c r="H1276" s="179" t="s">
        <v>11326</v>
      </c>
      <c r="I1276" s="167" t="str">
        <f>IF(Plan_Comptable[[#This Row],[Sous-compte]]="","",LEFT(Plan_Comptable[[#This Row],[Sous-compte]]&amp;"00",4))</f>
        <v/>
      </c>
      <c r="J1276" s="167"/>
    </row>
    <row r="1277" spans="4:10" ht="15" customHeight="1">
      <c r="D1277" s="187" t="s">
        <v>84</v>
      </c>
      <c r="E1277" s="168" t="s">
        <v>11320</v>
      </c>
      <c r="F1277" s="168" t="s">
        <v>11327</v>
      </c>
      <c r="G1277" s="169">
        <v>7591</v>
      </c>
      <c r="H1277" s="170" t="s">
        <v>11020</v>
      </c>
      <c r="I1277" s="167" t="str">
        <f>IF(Plan_Comptable[[#This Row],[Sous-compte]]="","",LEFT(Plan_Comptable[[#This Row],[Sous-compte]]&amp;"00",4))</f>
        <v>7591</v>
      </c>
      <c r="J1277" s="167"/>
    </row>
    <row r="1278" spans="4:10" ht="15" customHeight="1">
      <c r="D1278" s="187" t="s">
        <v>84</v>
      </c>
      <c r="E1278" s="168" t="s">
        <v>11320</v>
      </c>
      <c r="F1278" s="168" t="s">
        <v>11327</v>
      </c>
      <c r="G1278" s="169">
        <v>7593</v>
      </c>
      <c r="H1278" s="170" t="s">
        <v>11022</v>
      </c>
      <c r="I1278" s="167" t="str">
        <f>IF(Plan_Comptable[[#This Row],[Sous-compte]]="","",LEFT(Plan_Comptable[[#This Row],[Sous-compte]]&amp;"00",4))</f>
        <v>7593</v>
      </c>
      <c r="J1278" s="167"/>
    </row>
    <row r="1279" spans="4:10" ht="15" customHeight="1">
      <c r="D1279" s="187" t="s">
        <v>84</v>
      </c>
      <c r="E1279" s="168" t="s">
        <v>11320</v>
      </c>
      <c r="F1279" s="168" t="s">
        <v>11327</v>
      </c>
      <c r="G1279" s="169">
        <v>7594</v>
      </c>
      <c r="H1279" s="170" t="s">
        <v>11024</v>
      </c>
      <c r="I1279" s="167" t="str">
        <f>IF(Plan_Comptable[[#This Row],[Sous-compte]]="","",LEFT(Plan_Comptable[[#This Row],[Sous-compte]]&amp;"00",4))</f>
        <v>7594</v>
      </c>
      <c r="J1279" s="167"/>
    </row>
    <row r="1280" spans="4:10" ht="15" customHeight="1">
      <c r="D1280" s="187" t="s">
        <v>84</v>
      </c>
      <c r="E1280" s="168" t="s">
        <v>11320</v>
      </c>
      <c r="F1280" s="168" t="s">
        <v>11327</v>
      </c>
      <c r="G1280" s="172">
        <v>7598</v>
      </c>
      <c r="H1280" s="179" t="s">
        <v>11151</v>
      </c>
      <c r="I1280" s="167" t="str">
        <f>IF(Plan_Comptable[[#This Row],[Sous-compte]]="","",LEFT(Plan_Comptable[[#This Row],[Sous-compte]]&amp;"00",4))</f>
        <v>7598</v>
      </c>
      <c r="J1280" s="167"/>
    </row>
    <row r="1281" spans="4:10" ht="15" customHeight="1">
      <c r="D1281" s="187" t="s">
        <v>84</v>
      </c>
      <c r="E1281" s="189">
        <v>77</v>
      </c>
      <c r="F1281" s="165" t="s">
        <v>9941</v>
      </c>
      <c r="G1281" s="165"/>
      <c r="H1281" s="166" t="s">
        <v>11328</v>
      </c>
      <c r="I1281" s="167" t="str">
        <f>IF(Plan_Comptable[[#This Row],[Sous-compte]]="","",LEFT(Plan_Comptable[[#This Row],[Sous-compte]]&amp;"00",4))</f>
        <v/>
      </c>
      <c r="J1281" s="167"/>
    </row>
    <row r="1282" spans="4:10" ht="15" customHeight="1">
      <c r="D1282" s="187" t="s">
        <v>84</v>
      </c>
      <c r="E1282" s="168" t="s">
        <v>11329</v>
      </c>
      <c r="F1282" s="171">
        <v>771</v>
      </c>
      <c r="G1282" s="172"/>
      <c r="H1282" s="179" t="s">
        <v>11330</v>
      </c>
      <c r="I1282" s="167" t="str">
        <f>IF(Plan_Comptable[[#This Row],[Sous-compte]]="","",LEFT(Plan_Comptable[[#This Row],[Sous-compte]]&amp;"00",4))</f>
        <v/>
      </c>
      <c r="J1282" s="167"/>
    </row>
    <row r="1283" spans="4:10" ht="15" customHeight="1">
      <c r="D1283" s="187" t="s">
        <v>84</v>
      </c>
      <c r="E1283" s="168" t="s">
        <v>11329</v>
      </c>
      <c r="F1283" s="165" t="s">
        <v>11331</v>
      </c>
      <c r="G1283" s="173">
        <v>7712</v>
      </c>
      <c r="H1283" s="174" t="s">
        <v>11154</v>
      </c>
      <c r="I1283" s="167" t="str">
        <f>IF(Plan_Comptable[[#This Row],[Sous-compte]]="","",LEFT(Plan_Comptable[[#This Row],[Sous-compte]]&amp;"00",4))</f>
        <v>7712</v>
      </c>
      <c r="J1283" s="167"/>
    </row>
    <row r="1284" spans="4:10" ht="15" customHeight="1">
      <c r="D1284" s="187" t="s">
        <v>84</v>
      </c>
      <c r="E1284" s="168" t="s">
        <v>11329</v>
      </c>
      <c r="F1284" s="165" t="s">
        <v>11331</v>
      </c>
      <c r="G1284" s="173">
        <v>7713</v>
      </c>
      <c r="H1284" s="174" t="s">
        <v>11156</v>
      </c>
      <c r="I1284" s="167" t="str">
        <f>IF(Plan_Comptable[[#This Row],[Sous-compte]]="","",LEFT(Plan_Comptable[[#This Row],[Sous-compte]]&amp;"00",4))</f>
        <v>7713</v>
      </c>
      <c r="J1284" s="167"/>
    </row>
    <row r="1285" spans="4:10" ht="15" customHeight="1">
      <c r="D1285" s="187" t="s">
        <v>84</v>
      </c>
      <c r="E1285" s="168" t="s">
        <v>11329</v>
      </c>
      <c r="F1285" s="171">
        <v>772</v>
      </c>
      <c r="G1285" s="172"/>
      <c r="H1285" s="179" t="s">
        <v>11332</v>
      </c>
      <c r="I1285" s="167" t="str">
        <f>IF(Plan_Comptable[[#This Row],[Sous-compte]]="","",LEFT(Plan_Comptable[[#This Row],[Sous-compte]]&amp;"00",4))</f>
        <v/>
      </c>
      <c r="J1285" s="167"/>
    </row>
    <row r="1286" spans="4:10" ht="15" customHeight="1">
      <c r="D1286" s="187" t="s">
        <v>84</v>
      </c>
      <c r="E1286" s="168" t="s">
        <v>11329</v>
      </c>
      <c r="F1286" s="165" t="s">
        <v>11333</v>
      </c>
      <c r="G1286" s="173">
        <v>7721</v>
      </c>
      <c r="H1286" s="174" t="s">
        <v>11157</v>
      </c>
      <c r="I1286" s="167" t="str">
        <f>IF(Plan_Comptable[[#This Row],[Sous-compte]]="","",LEFT(Plan_Comptable[[#This Row],[Sous-compte]]&amp;"00",4))</f>
        <v>7721</v>
      </c>
      <c r="J1286" s="167"/>
    </row>
    <row r="1287" spans="4:10" ht="15" customHeight="1">
      <c r="D1287" s="187" t="s">
        <v>84</v>
      </c>
      <c r="E1287" s="168" t="s">
        <v>11329</v>
      </c>
      <c r="F1287" s="165" t="s">
        <v>11333</v>
      </c>
      <c r="G1287" s="173">
        <v>7722</v>
      </c>
      <c r="H1287" s="174" t="s">
        <v>11158</v>
      </c>
      <c r="I1287" s="167" t="str">
        <f>IF(Plan_Comptable[[#This Row],[Sous-compte]]="","",LEFT(Plan_Comptable[[#This Row],[Sous-compte]]&amp;"00",4))</f>
        <v>7722</v>
      </c>
      <c r="J1287" s="167"/>
    </row>
    <row r="1288" spans="4:10" ht="15" customHeight="1">
      <c r="D1288" s="187" t="s">
        <v>84</v>
      </c>
      <c r="E1288" s="168" t="s">
        <v>11329</v>
      </c>
      <c r="F1288" s="165">
        <v>773</v>
      </c>
      <c r="G1288" s="169">
        <v>773</v>
      </c>
      <c r="H1288" s="170" t="s">
        <v>11159</v>
      </c>
      <c r="I1288" s="167" t="str">
        <f>IF(Plan_Comptable[[#This Row],[Sous-compte]]="","",LEFT(Plan_Comptable[[#This Row],[Sous-compte]]&amp;"00",4))</f>
        <v>7730</v>
      </c>
      <c r="J1288" s="167"/>
    </row>
    <row r="1289" spans="4:10" ht="15" customHeight="1">
      <c r="D1289" s="187" t="s">
        <v>84</v>
      </c>
      <c r="E1289" s="168" t="s">
        <v>11329</v>
      </c>
      <c r="F1289" s="171">
        <v>774</v>
      </c>
      <c r="G1289" s="172"/>
      <c r="H1289" s="179" t="s">
        <v>11334</v>
      </c>
      <c r="I1289" s="167" t="str">
        <f>IF(Plan_Comptable[[#This Row],[Sous-compte]]="","",LEFT(Plan_Comptable[[#This Row],[Sous-compte]]&amp;"00",4))</f>
        <v/>
      </c>
      <c r="J1289" s="167"/>
    </row>
    <row r="1290" spans="4:10" ht="15" customHeight="1">
      <c r="D1290" s="187" t="s">
        <v>84</v>
      </c>
      <c r="E1290" s="168" t="s">
        <v>11329</v>
      </c>
      <c r="F1290" s="165" t="s">
        <v>11335</v>
      </c>
      <c r="G1290" s="195">
        <v>7745</v>
      </c>
      <c r="H1290" s="174" t="s">
        <v>11160</v>
      </c>
      <c r="I1290" s="167" t="str">
        <f>IF(Plan_Comptable[[#This Row],[Sous-compte]]="","",LEFT(Plan_Comptable[[#This Row],[Sous-compte]]&amp;"00",4))</f>
        <v>7745</v>
      </c>
      <c r="J1290" s="167"/>
    </row>
    <row r="1291" spans="4:10" ht="15" customHeight="1">
      <c r="D1291" s="187" t="s">
        <v>84</v>
      </c>
      <c r="E1291" s="168" t="s">
        <v>11329</v>
      </c>
      <c r="F1291" s="165" t="s">
        <v>11335</v>
      </c>
      <c r="G1291" s="173">
        <v>7746</v>
      </c>
      <c r="H1291" s="174" t="s">
        <v>11161</v>
      </c>
      <c r="I1291" s="167" t="str">
        <f>IF(Plan_Comptable[[#This Row],[Sous-compte]]="","",LEFT(Plan_Comptable[[#This Row],[Sous-compte]]&amp;"00",4))</f>
        <v>7746</v>
      </c>
      <c r="J1291" s="167"/>
    </row>
    <row r="1292" spans="4:10" ht="15" customHeight="1">
      <c r="D1292" s="187" t="s">
        <v>84</v>
      </c>
      <c r="E1292" s="168" t="s">
        <v>11329</v>
      </c>
      <c r="F1292" s="184">
        <v>775</v>
      </c>
      <c r="G1292" s="196">
        <v>775</v>
      </c>
      <c r="H1292" s="175" t="s">
        <v>11162</v>
      </c>
      <c r="I1292" s="167" t="str">
        <f>IF(Plan_Comptable[[#This Row],[Sous-compte]]="","",LEFT(Plan_Comptable[[#This Row],[Sous-compte]]&amp;"00",4))</f>
        <v>7750</v>
      </c>
      <c r="J1292" s="167"/>
    </row>
    <row r="1293" spans="4:10" ht="15" customHeight="1">
      <c r="D1293" s="187" t="s">
        <v>84</v>
      </c>
      <c r="E1293" s="168" t="s">
        <v>11329</v>
      </c>
      <c r="F1293" s="171">
        <v>776</v>
      </c>
      <c r="G1293" s="172">
        <v>776</v>
      </c>
      <c r="H1293" s="179" t="s">
        <v>11163</v>
      </c>
      <c r="I1293" s="167" t="str">
        <f>IF(Plan_Comptable[[#This Row],[Sous-compte]]="","",LEFT(Plan_Comptable[[#This Row],[Sous-compte]]&amp;"00",4))</f>
        <v>7760</v>
      </c>
      <c r="J1293" s="167"/>
    </row>
    <row r="1294" spans="4:10" ht="15" customHeight="1">
      <c r="D1294" s="187" t="s">
        <v>84</v>
      </c>
      <c r="E1294" s="168" t="s">
        <v>11329</v>
      </c>
      <c r="F1294" s="165">
        <v>777</v>
      </c>
      <c r="G1294" s="169">
        <v>777</v>
      </c>
      <c r="H1294" s="170" t="s">
        <v>11165</v>
      </c>
      <c r="I1294" s="167" t="str">
        <f>IF(Plan_Comptable[[#This Row],[Sous-compte]]="","",LEFT(Plan_Comptable[[#This Row],[Sous-compte]]&amp;"00",4))</f>
        <v>7770</v>
      </c>
      <c r="J1294" s="167"/>
    </row>
    <row r="1295" spans="4:10" ht="15" customHeight="1">
      <c r="D1295" s="187" t="s">
        <v>84</v>
      </c>
      <c r="E1295" s="168" t="s">
        <v>11329</v>
      </c>
      <c r="F1295" s="165">
        <v>778</v>
      </c>
      <c r="G1295" s="169"/>
      <c r="H1295" s="170" t="s">
        <v>11336</v>
      </c>
      <c r="I1295" s="167" t="str">
        <f>IF(Plan_Comptable[[#This Row],[Sous-compte]]="","",LEFT(Plan_Comptable[[#This Row],[Sous-compte]]&amp;"00",4))</f>
        <v/>
      </c>
      <c r="J1295" s="167"/>
    </row>
    <row r="1296" spans="4:10" ht="15" customHeight="1">
      <c r="D1296" s="187" t="s">
        <v>84</v>
      </c>
      <c r="E1296" s="168" t="s">
        <v>11329</v>
      </c>
      <c r="F1296" s="168" t="s">
        <v>11337</v>
      </c>
      <c r="G1296" s="169">
        <v>7781</v>
      </c>
      <c r="H1296" s="170" t="s">
        <v>11083</v>
      </c>
      <c r="I1296" s="167" t="str">
        <f>IF(Plan_Comptable[[#This Row],[Sous-compte]]="","",LEFT(Plan_Comptable[[#This Row],[Sous-compte]]&amp;"00",4))</f>
        <v>7781</v>
      </c>
      <c r="J1296" s="167"/>
    </row>
    <row r="1297" spans="4:10" ht="15" customHeight="1">
      <c r="D1297" s="187" t="s">
        <v>84</v>
      </c>
      <c r="E1297" s="168" t="s">
        <v>11329</v>
      </c>
      <c r="F1297" s="168" t="s">
        <v>11337</v>
      </c>
      <c r="G1297" s="169">
        <v>7782</v>
      </c>
      <c r="H1297" s="170" t="s">
        <v>11084</v>
      </c>
      <c r="I1297" s="167" t="str">
        <f>IF(Plan_Comptable[[#This Row],[Sous-compte]]="","",LEFT(Plan_Comptable[[#This Row],[Sous-compte]]&amp;"00",4))</f>
        <v>7782</v>
      </c>
      <c r="J1297" s="167"/>
    </row>
    <row r="1298" spans="4:10" ht="15" customHeight="1">
      <c r="D1298" s="187" t="s">
        <v>84</v>
      </c>
      <c r="E1298" s="168" t="s">
        <v>11329</v>
      </c>
      <c r="F1298" s="168" t="s">
        <v>11337</v>
      </c>
      <c r="G1298" s="169">
        <v>7784</v>
      </c>
      <c r="H1298" s="170" t="s">
        <v>11085</v>
      </c>
      <c r="I1298" s="167" t="str">
        <f>IF(Plan_Comptable[[#This Row],[Sous-compte]]="","",LEFT(Plan_Comptable[[#This Row],[Sous-compte]]&amp;"00",4))</f>
        <v>7784</v>
      </c>
      <c r="J1298" s="167"/>
    </row>
    <row r="1299" spans="4:10" ht="15" customHeight="1">
      <c r="D1299" s="187" t="s">
        <v>84</v>
      </c>
      <c r="E1299" s="168" t="s">
        <v>11329</v>
      </c>
      <c r="F1299" s="171">
        <v>779</v>
      </c>
      <c r="G1299" s="172"/>
      <c r="H1299" s="179" t="s">
        <v>11338</v>
      </c>
      <c r="I1299" s="167" t="str">
        <f>IF(Plan_Comptable[[#This Row],[Sous-compte]]="","",LEFT(Plan_Comptable[[#This Row],[Sous-compte]]&amp;"00",4))</f>
        <v/>
      </c>
      <c r="J1299" s="167"/>
    </row>
    <row r="1300" spans="4:10" ht="15" customHeight="1">
      <c r="D1300" s="187" t="s">
        <v>84</v>
      </c>
      <c r="E1300" s="168" t="s">
        <v>11329</v>
      </c>
      <c r="F1300" s="168" t="s">
        <v>11339</v>
      </c>
      <c r="G1300" s="176">
        <v>7791</v>
      </c>
      <c r="H1300" s="167" t="s">
        <v>11087</v>
      </c>
      <c r="I1300" s="167" t="str">
        <f>IF(Plan_Comptable[[#This Row],[Sous-compte]]="","",LEFT(Plan_Comptable[[#This Row],[Sous-compte]]&amp;"00",4))</f>
        <v>7791</v>
      </c>
      <c r="J1300" s="167"/>
    </row>
    <row r="1301" spans="4:10" ht="15" customHeight="1">
      <c r="D1301" s="187" t="s">
        <v>84</v>
      </c>
      <c r="E1301" s="168" t="s">
        <v>11329</v>
      </c>
      <c r="F1301" s="168" t="s">
        <v>11339</v>
      </c>
      <c r="G1301" s="176">
        <v>7795</v>
      </c>
      <c r="H1301" s="167" t="s">
        <v>11089</v>
      </c>
      <c r="I1301" s="167" t="str">
        <f>IF(Plan_Comptable[[#This Row],[Sous-compte]]="","",LEFT(Plan_Comptable[[#This Row],[Sous-compte]]&amp;"00",4))</f>
        <v>7795</v>
      </c>
      <c r="J1301" s="167"/>
    </row>
    <row r="1302" spans="4:10" ht="15" customHeight="1">
      <c r="D1302" s="187" t="s">
        <v>84</v>
      </c>
      <c r="E1302" s="168" t="s">
        <v>11329</v>
      </c>
      <c r="F1302" s="168" t="s">
        <v>11339</v>
      </c>
      <c r="G1302" s="172">
        <v>7798</v>
      </c>
      <c r="H1302" s="192" t="s">
        <v>11167</v>
      </c>
      <c r="I1302" s="167" t="str">
        <f>IF(Plan_Comptable[[#This Row],[Sous-compte]]="","",LEFT(Plan_Comptable[[#This Row],[Sous-compte]]&amp;"00",4))</f>
        <v>7798</v>
      </c>
      <c r="J1302" s="167"/>
    </row>
    <row r="1303" spans="4:10" ht="15" customHeight="1">
      <c r="D1303" s="187" t="s">
        <v>84</v>
      </c>
      <c r="E1303" s="189">
        <v>78</v>
      </c>
      <c r="F1303" s="165" t="s">
        <v>9941</v>
      </c>
      <c r="G1303" s="165"/>
      <c r="H1303" s="166" t="s">
        <v>11340</v>
      </c>
      <c r="I1303" s="167" t="str">
        <f>IF(Plan_Comptable[[#This Row],[Sous-compte]]="","",LEFT(Plan_Comptable[[#This Row],[Sous-compte]]&amp;"00",4))</f>
        <v/>
      </c>
      <c r="J1303" s="167"/>
    </row>
    <row r="1304" spans="4:10" ht="15" customHeight="1">
      <c r="D1304" s="187" t="s">
        <v>84</v>
      </c>
      <c r="E1304" s="168" t="s">
        <v>11341</v>
      </c>
      <c r="F1304" s="168">
        <v>781</v>
      </c>
      <c r="G1304" s="176">
        <v>781</v>
      </c>
      <c r="H1304" s="167" t="s">
        <v>11168</v>
      </c>
      <c r="I1304" s="167" t="str">
        <f>IF(Plan_Comptable[[#This Row],[Sous-compte]]="","",LEFT(Plan_Comptable[[#This Row],[Sous-compte]]&amp;"00",4))</f>
        <v>7810</v>
      </c>
      <c r="J1304" s="167"/>
    </row>
    <row r="1305" spans="4:10" ht="15" customHeight="1">
      <c r="D1305" s="187" t="s">
        <v>84</v>
      </c>
      <c r="E1305" s="168" t="s">
        <v>11341</v>
      </c>
      <c r="F1305" s="168">
        <v>787</v>
      </c>
      <c r="G1305" s="176">
        <v>787</v>
      </c>
      <c r="H1305" s="167" t="s">
        <v>11170</v>
      </c>
      <c r="I1305" s="167" t="str">
        <f>IF(Plan_Comptable[[#This Row],[Sous-compte]]="","",LEFT(Plan_Comptable[[#This Row],[Sous-compte]]&amp;"00",4))</f>
        <v>7870</v>
      </c>
      <c r="J1305" s="167"/>
    </row>
    <row r="1306" spans="4:10" ht="15" customHeight="1">
      <c r="D1306" s="187" t="s">
        <v>84</v>
      </c>
      <c r="E1306" s="189">
        <v>79</v>
      </c>
      <c r="F1306" s="171" t="s">
        <v>9941</v>
      </c>
      <c r="G1306" s="171"/>
      <c r="H1306" s="183" t="s">
        <v>11342</v>
      </c>
      <c r="I1306" s="167" t="str">
        <f>IF(Plan_Comptable[[#This Row],[Sous-compte]]="","",LEFT(Plan_Comptable[[#This Row],[Sous-compte]]&amp;"00",4))</f>
        <v/>
      </c>
      <c r="J1306" s="167"/>
    </row>
    <row r="1307" spans="4:10" ht="15" customHeight="1">
      <c r="D1307" s="187" t="s">
        <v>84</v>
      </c>
      <c r="E1307" s="168" t="s">
        <v>11343</v>
      </c>
      <c r="F1307" s="171">
        <v>791</v>
      </c>
      <c r="G1307" s="172"/>
      <c r="H1307" s="179" t="s">
        <v>11344</v>
      </c>
      <c r="I1307" s="167" t="str">
        <f>IF(Plan_Comptable[[#This Row],[Sous-compte]]="","",LEFT(Plan_Comptable[[#This Row],[Sous-compte]]&amp;"00",4))</f>
        <v/>
      </c>
      <c r="J1307" s="167"/>
    </row>
    <row r="1308" spans="4:10" ht="15" customHeight="1">
      <c r="D1308" s="187" t="s">
        <v>84</v>
      </c>
      <c r="E1308" s="168" t="s">
        <v>11343</v>
      </c>
      <c r="F1308" s="168" t="s">
        <v>11345</v>
      </c>
      <c r="G1308" s="176">
        <v>7911</v>
      </c>
      <c r="H1308" s="167" t="s">
        <v>11172</v>
      </c>
      <c r="I1308" s="167" t="str">
        <f>IF(Plan_Comptable[[#This Row],[Sous-compte]]="","",LEFT(Plan_Comptable[[#This Row],[Sous-compte]]&amp;"00",4))</f>
        <v>7911</v>
      </c>
      <c r="J1308" s="167"/>
    </row>
    <row r="1309" spans="4:10" ht="15" customHeight="1">
      <c r="D1309" s="187" t="s">
        <v>84</v>
      </c>
      <c r="E1309" s="168" t="s">
        <v>11343</v>
      </c>
      <c r="F1309" s="168" t="s">
        <v>11345</v>
      </c>
      <c r="G1309" s="172">
        <v>7913</v>
      </c>
      <c r="H1309" s="179" t="s">
        <v>11173</v>
      </c>
      <c r="I1309" s="167" t="str">
        <f>IF(Plan_Comptable[[#This Row],[Sous-compte]]="","",LEFT(Plan_Comptable[[#This Row],[Sous-compte]]&amp;"00",4))</f>
        <v>7913</v>
      </c>
      <c r="J1309" s="167"/>
    </row>
    <row r="1310" spans="4:10" ht="15" customHeight="1">
      <c r="D1310" s="187" t="s">
        <v>84</v>
      </c>
      <c r="E1310" s="168" t="s">
        <v>11343</v>
      </c>
      <c r="F1310" s="168" t="s">
        <v>11345</v>
      </c>
      <c r="G1310" s="172">
        <v>7914</v>
      </c>
      <c r="H1310" s="179" t="s">
        <v>11174</v>
      </c>
      <c r="I1310" s="167" t="str">
        <f>IF(Plan_Comptable[[#This Row],[Sous-compte]]="","",LEFT(Plan_Comptable[[#This Row],[Sous-compte]]&amp;"00",4))</f>
        <v>7914</v>
      </c>
      <c r="J1310" s="167"/>
    </row>
    <row r="1311" spans="4:10" ht="15" customHeight="1">
      <c r="D1311" s="187" t="s">
        <v>84</v>
      </c>
      <c r="E1311" s="168" t="s">
        <v>11343</v>
      </c>
      <c r="F1311" s="171">
        <v>797</v>
      </c>
      <c r="G1311" s="172"/>
      <c r="H1311" s="179" t="s">
        <v>11346</v>
      </c>
      <c r="I1311" s="167" t="str">
        <f>IF(Plan_Comptable[[#This Row],[Sous-compte]]="","",LEFT(Plan_Comptable[[#This Row],[Sous-compte]]&amp;"00",4))</f>
        <v/>
      </c>
      <c r="J1311" s="167"/>
    </row>
    <row r="1312" spans="4:10" ht="15" customHeight="1">
      <c r="D1312" s="187" t="s">
        <v>84</v>
      </c>
      <c r="E1312" s="168" t="s">
        <v>11343</v>
      </c>
      <c r="F1312" s="168" t="s">
        <v>11347</v>
      </c>
      <c r="G1312" s="176">
        <v>7971</v>
      </c>
      <c r="H1312" s="167" t="s">
        <v>11172</v>
      </c>
      <c r="I1312" s="167" t="str">
        <f>IF(Plan_Comptable[[#This Row],[Sous-compte]]="","",LEFT(Plan_Comptable[[#This Row],[Sous-compte]]&amp;"00",4))</f>
        <v>7971</v>
      </c>
      <c r="J1312" s="167"/>
    </row>
    <row r="1313" spans="4:10" ht="15" customHeight="1">
      <c r="D1313" s="187" t="s">
        <v>84</v>
      </c>
      <c r="E1313" s="168" t="s">
        <v>11343</v>
      </c>
      <c r="F1313" s="168" t="s">
        <v>11347</v>
      </c>
      <c r="G1313" s="172">
        <v>7972</v>
      </c>
      <c r="H1313" s="179" t="s">
        <v>11175</v>
      </c>
      <c r="I1313" s="167" t="str">
        <f>IF(Plan_Comptable[[#This Row],[Sous-compte]]="","",LEFT(Plan_Comptable[[#This Row],[Sous-compte]]&amp;"00",4))</f>
        <v>7972</v>
      </c>
      <c r="J1313" s="167"/>
    </row>
    <row r="1314" spans="4:10" ht="15" customHeight="1">
      <c r="D1314" s="187" t="s">
        <v>84</v>
      </c>
      <c r="E1314" s="168" t="s">
        <v>11343</v>
      </c>
      <c r="F1314" s="168">
        <v>798</v>
      </c>
      <c r="G1314" s="176">
        <v>798</v>
      </c>
      <c r="H1314" s="167" t="s">
        <v>11177</v>
      </c>
      <c r="I1314" s="167" t="str">
        <f>IF(Plan_Comptable[[#This Row],[Sous-compte]]="","",LEFT(Plan_Comptable[[#This Row],[Sous-compte]]&amp;"00",4))</f>
        <v>7980</v>
      </c>
      <c r="J1314" s="167"/>
    </row>
    <row r="1315" spans="4:10" ht="15" customHeight="1">
      <c r="D1315" s="187" t="s">
        <v>84</v>
      </c>
      <c r="E1315" s="197" t="s">
        <v>11343</v>
      </c>
      <c r="F1315" s="198">
        <v>799</v>
      </c>
      <c r="G1315" s="195">
        <v>799</v>
      </c>
      <c r="H1315" s="162" t="s">
        <v>11179</v>
      </c>
      <c r="I1315" s="167" t="str">
        <f>IF(Plan_Comptable[[#This Row],[Sous-compte]]="","",LEFT(Plan_Comptable[[#This Row],[Sous-compte]]&amp;"00",4))</f>
        <v>7990</v>
      </c>
      <c r="J1315" s="167"/>
    </row>
    <row r="1316" spans="4:10" ht="15" customHeight="1">
      <c r="D1316" s="187" t="s">
        <v>87</v>
      </c>
      <c r="E1316" s="189">
        <v>81</v>
      </c>
      <c r="F1316" s="165" t="s">
        <v>9941</v>
      </c>
      <c r="G1316" s="165"/>
      <c r="H1316" s="166" t="s">
        <v>11348</v>
      </c>
      <c r="I1316" s="167" t="str">
        <f>IF(Plan_Comptable[[#This Row],[Sous-compte]]="","",LEFT(Plan_Comptable[[#This Row],[Sous-compte]]&amp;"00",4))</f>
        <v/>
      </c>
      <c r="J1316" s="167"/>
    </row>
    <row r="1317" spans="4:10" ht="15" customHeight="1">
      <c r="D1317" s="187" t="s">
        <v>87</v>
      </c>
      <c r="E1317" s="168" t="s">
        <v>11349</v>
      </c>
      <c r="F1317" s="168">
        <v>811</v>
      </c>
      <c r="G1317" s="176">
        <v>811</v>
      </c>
      <c r="H1317" s="167" t="s">
        <v>1236</v>
      </c>
      <c r="I1317" s="167" t="str">
        <f>IF(Plan_Comptable[[#This Row],[Sous-compte]]="","",LEFT(Plan_Comptable[[#This Row],[Sous-compte]]&amp;"00",4))</f>
        <v>8110</v>
      </c>
      <c r="J1317" s="167"/>
    </row>
    <row r="1318" spans="4:10" ht="15" customHeight="1">
      <c r="D1318" s="187" t="s">
        <v>87</v>
      </c>
      <c r="E1318" s="168" t="s">
        <v>11349</v>
      </c>
      <c r="F1318" s="168">
        <v>812</v>
      </c>
      <c r="G1318" s="176">
        <v>812</v>
      </c>
      <c r="H1318" s="167" t="s">
        <v>1239</v>
      </c>
      <c r="I1318" s="167" t="str">
        <f>IF(Plan_Comptable[[#This Row],[Sous-compte]]="","",LEFT(Plan_Comptable[[#This Row],[Sous-compte]]&amp;"00",4))</f>
        <v>8120</v>
      </c>
      <c r="J1318" s="167"/>
    </row>
    <row r="1319" spans="4:10" ht="15" customHeight="1">
      <c r="D1319" s="187" t="s">
        <v>87</v>
      </c>
      <c r="E1319" s="168" t="s">
        <v>11349</v>
      </c>
      <c r="F1319" s="168">
        <v>816</v>
      </c>
      <c r="G1319" s="176">
        <v>816</v>
      </c>
      <c r="H1319" s="167" t="s">
        <v>1241</v>
      </c>
      <c r="I1319" s="167" t="str">
        <f>IF(Plan_Comptable[[#This Row],[Sous-compte]]="","",LEFT(Plan_Comptable[[#This Row],[Sous-compte]]&amp;"00",4))</f>
        <v>8160</v>
      </c>
      <c r="J1319" s="167"/>
    </row>
    <row r="1320" spans="4:10" ht="15" customHeight="1">
      <c r="D1320" s="187" t="s">
        <v>87</v>
      </c>
      <c r="E1320" s="189">
        <v>82</v>
      </c>
      <c r="F1320" s="165" t="s">
        <v>9941</v>
      </c>
      <c r="G1320" s="165" t="s">
        <v>9941</v>
      </c>
      <c r="H1320" s="166" t="s">
        <v>11350</v>
      </c>
      <c r="I1320" s="167" t="str">
        <f>IF(Plan_Comptable[[#This Row],[Sous-compte]]="","",LEFT(Plan_Comptable[[#This Row],[Sous-compte]]&amp;"00",4))</f>
        <v/>
      </c>
      <c r="J1320" s="167"/>
    </row>
    <row r="1321" spans="4:10" ht="15" customHeight="1">
      <c r="D1321" s="187" t="s">
        <v>87</v>
      </c>
      <c r="E1321" s="168" t="s">
        <v>11351</v>
      </c>
      <c r="F1321" s="168">
        <v>821</v>
      </c>
      <c r="G1321" s="176">
        <v>821</v>
      </c>
      <c r="H1321" s="167" t="s">
        <v>1236</v>
      </c>
      <c r="I1321" s="167" t="str">
        <f>IF(Plan_Comptable[[#This Row],[Sous-compte]]="","",LEFT(Plan_Comptable[[#This Row],[Sous-compte]]&amp;"00",4))</f>
        <v>8210</v>
      </c>
      <c r="J1321" s="167"/>
    </row>
    <row r="1322" spans="4:10" ht="15" customHeight="1">
      <c r="D1322" s="187" t="s">
        <v>87</v>
      </c>
      <c r="E1322" s="168" t="s">
        <v>11351</v>
      </c>
      <c r="F1322" s="168">
        <v>822</v>
      </c>
      <c r="G1322" s="176">
        <v>822</v>
      </c>
      <c r="H1322" s="167" t="s">
        <v>1239</v>
      </c>
      <c r="I1322" s="167" t="str">
        <f>IF(Plan_Comptable[[#This Row],[Sous-compte]]="","",LEFT(Plan_Comptable[[#This Row],[Sous-compte]]&amp;"00",4))</f>
        <v>8220</v>
      </c>
      <c r="J1322" s="167"/>
    </row>
    <row r="1323" spans="4:10" ht="15" customHeight="1">
      <c r="D1323" s="187" t="s">
        <v>87</v>
      </c>
      <c r="E1323" s="168" t="s">
        <v>11351</v>
      </c>
      <c r="F1323" s="168">
        <v>826</v>
      </c>
      <c r="G1323" s="176">
        <v>826</v>
      </c>
      <c r="H1323" s="167" t="s">
        <v>1241</v>
      </c>
      <c r="I1323" s="167" t="str">
        <f>IF(Plan_Comptable[[#This Row],[Sous-compte]]="","",LEFT(Plan_Comptable[[#This Row],[Sous-compte]]&amp;"00",4))</f>
        <v>8260</v>
      </c>
      <c r="J1323" s="167"/>
    </row>
    <row r="1324" spans="4:10" ht="15" customHeight="1">
      <c r="D1324" s="187" t="s">
        <v>87</v>
      </c>
      <c r="E1324" s="189">
        <v>83</v>
      </c>
      <c r="F1324" s="165" t="s">
        <v>9941</v>
      </c>
      <c r="G1324" s="165" t="s">
        <v>9941</v>
      </c>
      <c r="H1324" s="166" t="s">
        <v>11352</v>
      </c>
      <c r="I1324" s="167" t="str">
        <f>IF(Plan_Comptable[[#This Row],[Sous-compte]]="","",LEFT(Plan_Comptable[[#This Row],[Sous-compte]]&amp;"00",4))</f>
        <v/>
      </c>
      <c r="J1324" s="167"/>
    </row>
    <row r="1325" spans="4:10" ht="15" customHeight="1">
      <c r="D1325" s="187" t="s">
        <v>87</v>
      </c>
      <c r="E1325" s="168" t="s">
        <v>11353</v>
      </c>
      <c r="F1325" s="168">
        <v>831</v>
      </c>
      <c r="G1325" s="176">
        <v>831</v>
      </c>
      <c r="H1325" s="167" t="s">
        <v>11184</v>
      </c>
      <c r="I1325" s="167" t="str">
        <f>IF(Plan_Comptable[[#This Row],[Sous-compte]]="","",LEFT(Plan_Comptable[[#This Row],[Sous-compte]]&amp;"00",4))</f>
        <v>8310</v>
      </c>
      <c r="J1325" s="167"/>
    </row>
    <row r="1326" spans="4:10" ht="15" customHeight="1">
      <c r="D1326" s="187" t="s">
        <v>87</v>
      </c>
      <c r="E1326" s="168" t="s">
        <v>11353</v>
      </c>
      <c r="F1326" s="184">
        <v>833</v>
      </c>
      <c r="G1326" s="173">
        <v>833</v>
      </c>
      <c r="H1326" s="175" t="s">
        <v>11185</v>
      </c>
      <c r="I1326" s="167" t="str">
        <f>IF(Plan_Comptable[[#This Row],[Sous-compte]]="","",LEFT(Plan_Comptable[[#This Row],[Sous-compte]]&amp;"00",4))</f>
        <v>8330</v>
      </c>
      <c r="J1326" s="167"/>
    </row>
    <row r="1327" spans="4:10" ht="15" customHeight="1">
      <c r="D1327" s="187" t="s">
        <v>87</v>
      </c>
      <c r="E1327" s="168" t="s">
        <v>11353</v>
      </c>
      <c r="F1327" s="168">
        <v>834</v>
      </c>
      <c r="G1327" s="207">
        <v>834</v>
      </c>
      <c r="H1327" s="167" t="s">
        <v>11186</v>
      </c>
      <c r="I1327" s="167" t="str">
        <f>IF(Plan_Comptable[[#This Row],[Sous-compte]]="","",LEFT(Plan_Comptable[[#This Row],[Sous-compte]]&amp;"00",4))</f>
        <v>8340</v>
      </c>
      <c r="J1327" s="167"/>
    </row>
    <row r="1328" spans="4:10" ht="15" customHeight="1">
      <c r="D1328" s="187" t="s">
        <v>87</v>
      </c>
      <c r="E1328" s="168" t="s">
        <v>11353</v>
      </c>
      <c r="F1328" s="168">
        <v>835</v>
      </c>
      <c r="G1328" s="176">
        <v>835</v>
      </c>
      <c r="H1328" s="167" t="s">
        <v>11187</v>
      </c>
      <c r="I1328" s="167" t="str">
        <f>IF(Plan_Comptable[[#This Row],[Sous-compte]]="","",LEFT(Plan_Comptable[[#This Row],[Sous-compte]]&amp;"00",4))</f>
        <v>8350</v>
      </c>
      <c r="J1328" s="167"/>
    </row>
    <row r="1329" spans="4:10" ht="15" customHeight="1">
      <c r="D1329" s="187" t="s">
        <v>87</v>
      </c>
      <c r="E1329" s="168" t="s">
        <v>11353</v>
      </c>
      <c r="F1329" s="168">
        <v>836</v>
      </c>
      <c r="G1329" s="176">
        <v>836</v>
      </c>
      <c r="H1329" s="167" t="s">
        <v>11188</v>
      </c>
      <c r="I1329" s="167" t="str">
        <f>IF(Plan_Comptable[[#This Row],[Sous-compte]]="","",LEFT(Plan_Comptable[[#This Row],[Sous-compte]]&amp;"00",4))</f>
        <v>8360</v>
      </c>
      <c r="J1329" s="167"/>
    </row>
    <row r="1330" spans="4:10" ht="15" customHeight="1">
      <c r="D1330" s="187" t="s">
        <v>87</v>
      </c>
      <c r="E1330" s="168" t="s">
        <v>11353</v>
      </c>
      <c r="F1330" s="184">
        <v>837</v>
      </c>
      <c r="G1330" s="196">
        <v>837</v>
      </c>
      <c r="H1330" s="167" t="s">
        <v>11189</v>
      </c>
      <c r="I1330" s="167" t="str">
        <f>IF(Plan_Comptable[[#This Row],[Sous-compte]]="","",LEFT(Plan_Comptable[[#This Row],[Sous-compte]]&amp;"00",4))</f>
        <v>8370</v>
      </c>
      <c r="J1330" s="167"/>
    </row>
    <row r="1331" spans="4:10" ht="15" customHeight="1">
      <c r="D1331" s="187" t="s">
        <v>87</v>
      </c>
      <c r="E1331" s="168" t="s">
        <v>11353</v>
      </c>
      <c r="F1331" s="171">
        <v>839</v>
      </c>
      <c r="G1331" s="172">
        <v>839</v>
      </c>
      <c r="H1331" s="179" t="s">
        <v>11192</v>
      </c>
      <c r="I1331" s="167" t="str">
        <f>IF(Plan_Comptable[[#This Row],[Sous-compte]]="","",LEFT(Plan_Comptable[[#This Row],[Sous-compte]]&amp;"00",4))</f>
        <v>8390</v>
      </c>
      <c r="J1331" s="167"/>
    </row>
    <row r="1332" spans="4:10" ht="15" customHeight="1">
      <c r="D1332" s="187" t="s">
        <v>87</v>
      </c>
      <c r="E1332" s="189">
        <v>84</v>
      </c>
      <c r="F1332" s="165" t="s">
        <v>9941</v>
      </c>
      <c r="G1332" s="165" t="s">
        <v>9941</v>
      </c>
      <c r="H1332" s="166" t="s">
        <v>11354</v>
      </c>
      <c r="I1332" s="167" t="str">
        <f>IF(Plan_Comptable[[#This Row],[Sous-compte]]="","",LEFT(Plan_Comptable[[#This Row],[Sous-compte]]&amp;"00",4))</f>
        <v/>
      </c>
      <c r="J1332" s="167"/>
    </row>
    <row r="1333" spans="4:10" ht="15" customHeight="1">
      <c r="D1333" s="187" t="s">
        <v>87</v>
      </c>
      <c r="E1333" s="168" t="s">
        <v>11355</v>
      </c>
      <c r="F1333" s="168">
        <v>841</v>
      </c>
      <c r="G1333" s="176">
        <v>841</v>
      </c>
      <c r="H1333" s="167" t="s">
        <v>11194</v>
      </c>
      <c r="I1333" s="167" t="str">
        <f>IF(Plan_Comptable[[#This Row],[Sous-compte]]="","",LEFT(Plan_Comptable[[#This Row],[Sous-compte]]&amp;"00",4))</f>
        <v>8410</v>
      </c>
      <c r="J1333" s="167"/>
    </row>
    <row r="1334" spans="4:10" ht="15" customHeight="1">
      <c r="D1334" s="187" t="s">
        <v>87</v>
      </c>
      <c r="E1334" s="168" t="s">
        <v>11355</v>
      </c>
      <c r="F1334" s="184">
        <v>843</v>
      </c>
      <c r="G1334" s="195">
        <v>843</v>
      </c>
      <c r="H1334" s="167" t="s">
        <v>11195</v>
      </c>
      <c r="I1334" s="167" t="str">
        <f>IF(Plan_Comptable[[#This Row],[Sous-compte]]="","",LEFT(Plan_Comptable[[#This Row],[Sous-compte]]&amp;"00",4))</f>
        <v>8430</v>
      </c>
      <c r="J1334" s="167"/>
    </row>
    <row r="1335" spans="4:10" ht="15" customHeight="1">
      <c r="D1335" s="187" t="s">
        <v>87</v>
      </c>
      <c r="E1335" s="168" t="s">
        <v>11355</v>
      </c>
      <c r="F1335" s="184">
        <v>844</v>
      </c>
      <c r="G1335" s="196">
        <v>844</v>
      </c>
      <c r="H1335" s="167" t="s">
        <v>11196</v>
      </c>
      <c r="I1335" s="167" t="str">
        <f>IF(Plan_Comptable[[#This Row],[Sous-compte]]="","",LEFT(Plan_Comptable[[#This Row],[Sous-compte]]&amp;"00",4))</f>
        <v>8440</v>
      </c>
      <c r="J1335" s="167"/>
    </row>
    <row r="1336" spans="4:10" ht="15" customHeight="1">
      <c r="D1336" s="187" t="s">
        <v>87</v>
      </c>
      <c r="E1336" s="168" t="s">
        <v>11355</v>
      </c>
      <c r="F1336" s="168">
        <v>845</v>
      </c>
      <c r="G1336" s="176">
        <v>845</v>
      </c>
      <c r="H1336" s="167" t="s">
        <v>11197</v>
      </c>
      <c r="I1336" s="167" t="str">
        <f>IF(Plan_Comptable[[#This Row],[Sous-compte]]="","",LEFT(Plan_Comptable[[#This Row],[Sous-compte]]&amp;"00",4))</f>
        <v>8450</v>
      </c>
      <c r="J1336" s="167"/>
    </row>
    <row r="1337" spans="4:10" ht="15" customHeight="1">
      <c r="D1337" s="187" t="s">
        <v>87</v>
      </c>
      <c r="E1337" s="168" t="s">
        <v>11355</v>
      </c>
      <c r="F1337" s="168">
        <v>846</v>
      </c>
      <c r="G1337" s="176">
        <v>846</v>
      </c>
      <c r="H1337" s="167" t="s">
        <v>11198</v>
      </c>
      <c r="I1337" s="167" t="str">
        <f>IF(Plan_Comptable[[#This Row],[Sous-compte]]="","",LEFT(Plan_Comptable[[#This Row],[Sous-compte]]&amp;"00",4))</f>
        <v>8460</v>
      </c>
      <c r="J1337" s="167"/>
    </row>
    <row r="1338" spans="4:10" ht="15" customHeight="1">
      <c r="D1338" s="187" t="s">
        <v>87</v>
      </c>
      <c r="E1338" s="168" t="s">
        <v>11355</v>
      </c>
      <c r="F1338" s="184">
        <v>847</v>
      </c>
      <c r="G1338" s="196">
        <v>847</v>
      </c>
      <c r="H1338" s="167" t="s">
        <v>11199</v>
      </c>
      <c r="I1338" s="167" t="str">
        <f>IF(Plan_Comptable[[#This Row],[Sous-compte]]="","",LEFT(Plan_Comptable[[#This Row],[Sous-compte]]&amp;"00",4))</f>
        <v>8470</v>
      </c>
      <c r="J1338" s="167"/>
    </row>
    <row r="1339" spans="4:10" ht="15" customHeight="1">
      <c r="D1339" s="187" t="s">
        <v>87</v>
      </c>
      <c r="E1339" s="168" t="s">
        <v>11355</v>
      </c>
      <c r="F1339" s="168">
        <v>848</v>
      </c>
      <c r="G1339" s="176">
        <v>848</v>
      </c>
      <c r="H1339" s="167" t="s">
        <v>11200</v>
      </c>
      <c r="I1339" s="167" t="str">
        <f>IF(Plan_Comptable[[#This Row],[Sous-compte]]="","",LEFT(Plan_Comptable[[#This Row],[Sous-compte]]&amp;"00",4))</f>
        <v>8480</v>
      </c>
      <c r="J1339" s="167"/>
    </row>
    <row r="1340" spans="4:10" ht="15" customHeight="1">
      <c r="D1340" s="187" t="s">
        <v>87</v>
      </c>
      <c r="E1340" s="168" t="s">
        <v>11355</v>
      </c>
      <c r="F1340" s="171">
        <v>849</v>
      </c>
      <c r="G1340" s="172">
        <v>849</v>
      </c>
      <c r="H1340" s="179" t="s">
        <v>11202</v>
      </c>
      <c r="I1340" s="167" t="str">
        <f>IF(Plan_Comptable[[#This Row],[Sous-compte]]="","",LEFT(Plan_Comptable[[#This Row],[Sous-compte]]&amp;"00",4))</f>
        <v>8490</v>
      </c>
      <c r="J1340" s="167"/>
    </row>
    <row r="1341" spans="4:10" ht="15" customHeight="1">
      <c r="D1341" s="187" t="s">
        <v>87</v>
      </c>
      <c r="E1341" s="189">
        <v>85</v>
      </c>
      <c r="F1341" s="165" t="s">
        <v>9941</v>
      </c>
      <c r="G1341" s="165" t="s">
        <v>9941</v>
      </c>
      <c r="H1341" s="166" t="s">
        <v>11356</v>
      </c>
      <c r="I1341" s="167" t="str">
        <f>IF(Plan_Comptable[[#This Row],[Sous-compte]]="","",LEFT(Plan_Comptable[[#This Row],[Sous-compte]]&amp;"00",4))</f>
        <v/>
      </c>
      <c r="J1341" s="167"/>
    </row>
    <row r="1342" spans="4:10" ht="15" customHeight="1">
      <c r="D1342" s="187" t="s">
        <v>87</v>
      </c>
      <c r="E1342" s="168" t="s">
        <v>11357</v>
      </c>
      <c r="F1342" s="168">
        <v>851</v>
      </c>
      <c r="G1342" s="176">
        <v>851</v>
      </c>
      <c r="H1342" s="167" t="s">
        <v>11204</v>
      </c>
      <c r="I1342" s="167" t="str">
        <f>IF(Plan_Comptable[[#This Row],[Sous-compte]]="","",LEFT(Plan_Comptable[[#This Row],[Sous-compte]]&amp;"00",4))</f>
        <v>8510</v>
      </c>
      <c r="J1342" s="167"/>
    </row>
    <row r="1343" spans="4:10" ht="15" customHeight="1">
      <c r="D1343" s="187" t="s">
        <v>87</v>
      </c>
      <c r="E1343" s="168" t="s">
        <v>11357</v>
      </c>
      <c r="F1343" s="168">
        <v>852</v>
      </c>
      <c r="G1343" s="176">
        <v>852</v>
      </c>
      <c r="H1343" s="167" t="s">
        <v>11205</v>
      </c>
      <c r="I1343" s="167" t="str">
        <f>IF(Plan_Comptable[[#This Row],[Sous-compte]]="","",LEFT(Plan_Comptable[[#This Row],[Sous-compte]]&amp;"00",4))</f>
        <v>8520</v>
      </c>
      <c r="J1343" s="167"/>
    </row>
    <row r="1344" spans="4:10" ht="15" customHeight="1">
      <c r="D1344" s="187" t="s">
        <v>87</v>
      </c>
      <c r="E1344" s="168" t="s">
        <v>11357</v>
      </c>
      <c r="F1344" s="171">
        <v>853</v>
      </c>
      <c r="G1344" s="172">
        <v>853</v>
      </c>
      <c r="H1344" s="179" t="s">
        <v>11206</v>
      </c>
      <c r="I1344" s="167" t="str">
        <f>IF(Plan_Comptable[[#This Row],[Sous-compte]]="","",LEFT(Plan_Comptable[[#This Row],[Sous-compte]]&amp;"00",4))</f>
        <v>8530</v>
      </c>
      <c r="J1344" s="167"/>
    </row>
    <row r="1345" spans="4:10" ht="15" customHeight="1">
      <c r="D1345" s="187" t="s">
        <v>87</v>
      </c>
      <c r="E1345" s="168" t="s">
        <v>11357</v>
      </c>
      <c r="F1345" s="168">
        <v>854</v>
      </c>
      <c r="G1345" s="176">
        <v>854</v>
      </c>
      <c r="H1345" s="167" t="s">
        <v>11207</v>
      </c>
      <c r="I1345" s="167" t="str">
        <f>IF(Plan_Comptable[[#This Row],[Sous-compte]]="","",LEFT(Plan_Comptable[[#This Row],[Sous-compte]]&amp;"00",4))</f>
        <v>8540</v>
      </c>
      <c r="J1345" s="167"/>
    </row>
    <row r="1346" spans="4:10" ht="15" customHeight="1">
      <c r="D1346" s="187" t="s">
        <v>87</v>
      </c>
      <c r="E1346" s="168" t="s">
        <v>11357</v>
      </c>
      <c r="F1346" s="168">
        <v>858</v>
      </c>
      <c r="G1346" s="176">
        <v>858</v>
      </c>
      <c r="H1346" s="167" t="s">
        <v>11208</v>
      </c>
      <c r="I1346" s="167" t="str">
        <f>IF(Plan_Comptable[[#This Row],[Sous-compte]]="","",LEFT(Plan_Comptable[[#This Row],[Sous-compte]]&amp;"00",4))</f>
        <v>8580</v>
      </c>
      <c r="J1346" s="167"/>
    </row>
    <row r="1347" spans="4:10" ht="15" customHeight="1">
      <c r="D1347" s="187" t="s">
        <v>87</v>
      </c>
      <c r="E1347" s="182">
        <v>86</v>
      </c>
      <c r="F1347" s="171" t="s">
        <v>9941</v>
      </c>
      <c r="G1347" s="171" t="s">
        <v>9941</v>
      </c>
      <c r="H1347" s="183" t="s">
        <v>11358</v>
      </c>
      <c r="I1347" s="167" t="str">
        <f>IF(Plan_Comptable[[#This Row],[Sous-compte]]="","",LEFT(Plan_Comptable[[#This Row],[Sous-compte]]&amp;"00",4))</f>
        <v/>
      </c>
      <c r="J1347" s="167"/>
    </row>
    <row r="1348" spans="4:10" ht="15" customHeight="1">
      <c r="D1348" s="187" t="s">
        <v>87</v>
      </c>
      <c r="E1348" s="168" t="s">
        <v>11359</v>
      </c>
      <c r="F1348" s="168">
        <v>861</v>
      </c>
      <c r="G1348" s="176">
        <v>861</v>
      </c>
      <c r="H1348" s="167" t="s">
        <v>11210</v>
      </c>
      <c r="I1348" s="167" t="str">
        <f>IF(Plan_Comptable[[#This Row],[Sous-compte]]="","",LEFT(Plan_Comptable[[#This Row],[Sous-compte]]&amp;"00",4))</f>
        <v>8610</v>
      </c>
      <c r="J1348" s="167"/>
    </row>
    <row r="1349" spans="4:10" ht="15" customHeight="1">
      <c r="D1349" s="187" t="s">
        <v>87</v>
      </c>
      <c r="E1349" s="168" t="s">
        <v>11359</v>
      </c>
      <c r="F1349" s="171">
        <v>862</v>
      </c>
      <c r="G1349" s="172">
        <v>862</v>
      </c>
      <c r="H1349" s="179" t="s">
        <v>11212</v>
      </c>
      <c r="I1349" s="167" t="str">
        <f>IF(Plan_Comptable[[#This Row],[Sous-compte]]="","",LEFT(Plan_Comptable[[#This Row],[Sous-compte]]&amp;"00",4))</f>
        <v>8620</v>
      </c>
      <c r="J1349" s="167"/>
    </row>
    <row r="1350" spans="4:10" ht="15" customHeight="1">
      <c r="D1350" s="187" t="s">
        <v>87</v>
      </c>
      <c r="E1350" s="168" t="s">
        <v>11359</v>
      </c>
      <c r="F1350" s="171">
        <v>863</v>
      </c>
      <c r="G1350" s="172">
        <v>863</v>
      </c>
      <c r="H1350" s="179" t="s">
        <v>11213</v>
      </c>
      <c r="I1350" s="167" t="str">
        <f>IF(Plan_Comptable[[#This Row],[Sous-compte]]="","",LEFT(Plan_Comptable[[#This Row],[Sous-compte]]&amp;"00",4))</f>
        <v>8630</v>
      </c>
      <c r="J1350" s="167"/>
    </row>
    <row r="1351" spans="4:10" ht="15" customHeight="1">
      <c r="D1351" s="187" t="s">
        <v>87</v>
      </c>
      <c r="E1351" s="168" t="s">
        <v>11359</v>
      </c>
      <c r="F1351" s="168">
        <v>864</v>
      </c>
      <c r="G1351" s="176">
        <v>864</v>
      </c>
      <c r="H1351" s="167" t="s">
        <v>11214</v>
      </c>
      <c r="I1351" s="167" t="str">
        <f>IF(Plan_Comptable[[#This Row],[Sous-compte]]="","",LEFT(Plan_Comptable[[#This Row],[Sous-compte]]&amp;"00",4))</f>
        <v>8640</v>
      </c>
      <c r="J1351" s="167"/>
    </row>
    <row r="1352" spans="4:10" ht="15" customHeight="1">
      <c r="D1352" s="187" t="s">
        <v>87</v>
      </c>
      <c r="E1352" s="168" t="s">
        <v>11359</v>
      </c>
      <c r="F1352" s="168">
        <v>868</v>
      </c>
      <c r="G1352" s="176">
        <v>868</v>
      </c>
      <c r="H1352" s="167" t="s">
        <v>11215</v>
      </c>
      <c r="I1352" s="167" t="str">
        <f>IF(Plan_Comptable[[#This Row],[Sous-compte]]="","",LEFT(Plan_Comptable[[#This Row],[Sous-compte]]&amp;"00",4))</f>
        <v>8680</v>
      </c>
      <c r="J1352" s="167"/>
    </row>
    <row r="1353" spans="4:10" ht="15" customHeight="1">
      <c r="D1353" s="187" t="s">
        <v>87</v>
      </c>
      <c r="E1353" s="189">
        <v>87</v>
      </c>
      <c r="F1353" s="165" t="s">
        <v>9941</v>
      </c>
      <c r="G1353" s="165" t="s">
        <v>9941</v>
      </c>
      <c r="H1353" s="166" t="s">
        <v>11360</v>
      </c>
      <c r="I1353" s="167" t="str">
        <f>IF(Plan_Comptable[[#This Row],[Sous-compte]]="","",LEFT(Plan_Comptable[[#This Row],[Sous-compte]]&amp;"00",4))</f>
        <v/>
      </c>
      <c r="J1353" s="167"/>
    </row>
    <row r="1354" spans="4:10" ht="15" customHeight="1">
      <c r="D1354" s="187" t="s">
        <v>87</v>
      </c>
      <c r="E1354" s="168" t="s">
        <v>11361</v>
      </c>
      <c r="F1354" s="168">
        <v>871</v>
      </c>
      <c r="G1354" s="176">
        <v>871</v>
      </c>
      <c r="H1354" s="167" t="s">
        <v>11216</v>
      </c>
      <c r="I1354" s="167" t="str">
        <f>IF(Plan_Comptable[[#This Row],[Sous-compte]]="","",LEFT(Plan_Comptable[[#This Row],[Sous-compte]]&amp;"00",4))</f>
        <v>8710</v>
      </c>
      <c r="J1354" s="167"/>
    </row>
    <row r="1355" spans="4:10" ht="15" customHeight="1">
      <c r="D1355" s="187" t="s">
        <v>87</v>
      </c>
      <c r="E1355" s="168" t="s">
        <v>11361</v>
      </c>
      <c r="F1355" s="168">
        <v>874</v>
      </c>
      <c r="G1355" s="176">
        <v>874</v>
      </c>
      <c r="H1355" s="167" t="s">
        <v>11217</v>
      </c>
      <c r="I1355" s="167" t="str">
        <f>IF(Plan_Comptable[[#This Row],[Sous-compte]]="","",LEFT(Plan_Comptable[[#This Row],[Sous-compte]]&amp;"00",4))</f>
        <v>8740</v>
      </c>
      <c r="J1355" s="167"/>
    </row>
    <row r="1356" spans="4:10" ht="15" customHeight="1">
      <c r="D1356" s="187" t="s">
        <v>87</v>
      </c>
      <c r="E1356" s="168" t="s">
        <v>11361</v>
      </c>
      <c r="F1356" s="168">
        <v>878</v>
      </c>
      <c r="G1356" s="176">
        <v>878</v>
      </c>
      <c r="H1356" s="167" t="s">
        <v>11218</v>
      </c>
      <c r="I1356" s="167" t="str">
        <f>IF(Plan_Comptable[[#This Row],[Sous-compte]]="","",LEFT(Plan_Comptable[[#This Row],[Sous-compte]]&amp;"00",4))</f>
        <v>8780</v>
      </c>
      <c r="J1356" s="167"/>
    </row>
    <row r="1357" spans="4:10" ht="15" customHeight="1">
      <c r="D1357" s="187" t="s">
        <v>87</v>
      </c>
      <c r="E1357" s="189">
        <v>88</v>
      </c>
      <c r="F1357" s="165" t="s">
        <v>9941</v>
      </c>
      <c r="G1357" s="165" t="s">
        <v>9941</v>
      </c>
      <c r="H1357" s="166" t="s">
        <v>11362</v>
      </c>
      <c r="I1357" s="167" t="str">
        <f>IF(Plan_Comptable[[#This Row],[Sous-compte]]="","",LEFT(Plan_Comptable[[#This Row],[Sous-compte]]&amp;"00",4))</f>
        <v/>
      </c>
      <c r="J1357" s="167"/>
    </row>
    <row r="1358" spans="4:10" ht="15" customHeight="1">
      <c r="D1358" s="187" t="s">
        <v>87</v>
      </c>
      <c r="E1358" s="168" t="s">
        <v>11363</v>
      </c>
      <c r="F1358" s="168">
        <v>881</v>
      </c>
      <c r="G1358" s="176">
        <v>881</v>
      </c>
      <c r="H1358" s="167" t="s">
        <v>11221</v>
      </c>
      <c r="I1358" s="167" t="str">
        <f>IF(Plan_Comptable[[#This Row],[Sous-compte]]="","",LEFT(Plan_Comptable[[#This Row],[Sous-compte]]&amp;"00",4))</f>
        <v>8810</v>
      </c>
      <c r="J1358" s="167"/>
    </row>
    <row r="1359" spans="4:10" ht="15" customHeight="1">
      <c r="D1359" s="187" t="s">
        <v>87</v>
      </c>
      <c r="E1359" s="168" t="s">
        <v>11363</v>
      </c>
      <c r="F1359" s="168">
        <v>884</v>
      </c>
      <c r="G1359" s="176">
        <v>884</v>
      </c>
      <c r="H1359" s="167" t="s">
        <v>11223</v>
      </c>
      <c r="I1359" s="167" t="str">
        <f>IF(Plan_Comptable[[#This Row],[Sous-compte]]="","",LEFT(Plan_Comptable[[#This Row],[Sous-compte]]&amp;"00",4))</f>
        <v>8840</v>
      </c>
      <c r="J1359" s="167"/>
    </row>
    <row r="1360" spans="4:10" ht="15" customHeight="1">
      <c r="D1360" s="187" t="s">
        <v>87</v>
      </c>
      <c r="E1360" s="168" t="s">
        <v>11363</v>
      </c>
      <c r="F1360" s="168">
        <v>886</v>
      </c>
      <c r="G1360" s="176">
        <v>886</v>
      </c>
      <c r="H1360" s="167" t="s">
        <v>11224</v>
      </c>
      <c r="I1360" s="167" t="str">
        <f>IF(Plan_Comptable[[#This Row],[Sous-compte]]="","",LEFT(Plan_Comptable[[#This Row],[Sous-compte]]&amp;"00",4))</f>
        <v>8860</v>
      </c>
      <c r="J1360" s="167"/>
    </row>
    <row r="1361" spans="4:10" ht="15" customHeight="1">
      <c r="D1361" s="187" t="s">
        <v>87</v>
      </c>
      <c r="E1361" s="168" t="s">
        <v>11363</v>
      </c>
      <c r="F1361" s="168">
        <v>888</v>
      </c>
      <c r="G1361" s="176">
        <v>888</v>
      </c>
      <c r="H1361" s="167" t="s">
        <v>11226</v>
      </c>
      <c r="I1361" s="167" t="str">
        <f>IF(Plan_Comptable[[#This Row],[Sous-compte]]="","",LEFT(Plan_Comptable[[#This Row],[Sous-compte]]&amp;"00",4))</f>
        <v>8880</v>
      </c>
      <c r="J1361" s="167"/>
    </row>
    <row r="1362" spans="4:10" ht="15" customHeight="1">
      <c r="D1362" s="187" t="s">
        <v>87</v>
      </c>
      <c r="E1362" s="189">
        <v>89</v>
      </c>
      <c r="F1362" s="165" t="s">
        <v>9941</v>
      </c>
      <c r="G1362" s="165"/>
      <c r="H1362" s="166" t="s">
        <v>11364</v>
      </c>
      <c r="I1362" s="167" t="str">
        <f>IF(Plan_Comptable[[#This Row],[Sous-compte]]="","",LEFT(Plan_Comptable[[#This Row],[Sous-compte]]&amp;"00",4))</f>
        <v/>
      </c>
      <c r="J1362" s="167"/>
    </row>
    <row r="1363" spans="4:10" ht="15" customHeight="1">
      <c r="D1363" s="187" t="s">
        <v>87</v>
      </c>
      <c r="E1363" s="168" t="s">
        <v>11365</v>
      </c>
      <c r="F1363" s="168">
        <v>891</v>
      </c>
      <c r="G1363" s="176"/>
      <c r="H1363" s="167" t="s">
        <v>11366</v>
      </c>
      <c r="I1363" s="167" t="str">
        <f>IF(Plan_Comptable[[#This Row],[Sous-compte]]="","",LEFT(Plan_Comptable[[#This Row],[Sous-compte]]&amp;"00",4))</f>
        <v/>
      </c>
      <c r="J1363" s="167"/>
    </row>
    <row r="1364" spans="4:10" ht="15" customHeight="1">
      <c r="D1364" s="187" t="s">
        <v>87</v>
      </c>
      <c r="E1364" s="168" t="s">
        <v>11365</v>
      </c>
      <c r="F1364" s="168" t="s">
        <v>11367</v>
      </c>
      <c r="G1364" s="176">
        <v>8911</v>
      </c>
      <c r="H1364" s="167" t="s">
        <v>11228</v>
      </c>
      <c r="I1364" s="167" t="str">
        <f>IF(Plan_Comptable[[#This Row],[Sous-compte]]="","",LEFT(Plan_Comptable[[#This Row],[Sous-compte]]&amp;"00",4))</f>
        <v>8911</v>
      </c>
      <c r="J1364" s="167"/>
    </row>
    <row r="1365" spans="4:10" ht="15" customHeight="1">
      <c r="D1365" s="187" t="s">
        <v>87</v>
      </c>
      <c r="E1365" s="168" t="s">
        <v>11365</v>
      </c>
      <c r="F1365" s="168" t="s">
        <v>11367</v>
      </c>
      <c r="G1365" s="176">
        <v>8912</v>
      </c>
      <c r="H1365" s="167" t="s">
        <v>11229</v>
      </c>
      <c r="I1365" s="167" t="str">
        <f>IF(Plan_Comptable[[#This Row],[Sous-compte]]="","",LEFT(Plan_Comptable[[#This Row],[Sous-compte]]&amp;"00",4))</f>
        <v>8912</v>
      </c>
      <c r="J1365" s="167"/>
    </row>
    <row r="1366" spans="4:10" ht="15" customHeight="1">
      <c r="D1366" s="187" t="s">
        <v>87</v>
      </c>
      <c r="E1366" s="168" t="s">
        <v>11365</v>
      </c>
      <c r="F1366" s="168" t="s">
        <v>11367</v>
      </c>
      <c r="G1366" s="176">
        <v>8913</v>
      </c>
      <c r="H1366" s="167" t="s">
        <v>11231</v>
      </c>
      <c r="I1366" s="167" t="str">
        <f>IF(Plan_Comptable[[#This Row],[Sous-compte]]="","",LEFT(Plan_Comptable[[#This Row],[Sous-compte]]&amp;"00",4))</f>
        <v>8913</v>
      </c>
      <c r="J1366" s="167"/>
    </row>
    <row r="1367" spans="4:10" ht="15" customHeight="1">
      <c r="D1367" s="187" t="s">
        <v>87</v>
      </c>
      <c r="E1367" s="168" t="s">
        <v>11365</v>
      </c>
      <c r="F1367" s="168">
        <v>892</v>
      </c>
      <c r="G1367" s="176">
        <v>892</v>
      </c>
      <c r="H1367" s="167" t="s">
        <v>11233</v>
      </c>
      <c r="I1367" s="167" t="str">
        <f>IF(Plan_Comptable[[#This Row],[Sous-compte]]="","",LEFT(Plan_Comptable[[#This Row],[Sous-compte]]&amp;"00",4))</f>
        <v>8920</v>
      </c>
      <c r="J1367" s="167"/>
    </row>
    <row r="1368" spans="4:10" ht="15" customHeight="1">
      <c r="D1368" s="187" t="s">
        <v>87</v>
      </c>
      <c r="E1368" s="168" t="s">
        <v>11365</v>
      </c>
      <c r="F1368" s="168">
        <v>895</v>
      </c>
      <c r="G1368" s="176">
        <v>895</v>
      </c>
      <c r="H1368" s="167" t="s">
        <v>11234</v>
      </c>
      <c r="I1368" s="167" t="str">
        <f>IF(Plan_Comptable[[#This Row],[Sous-compte]]="","",LEFT(Plan_Comptable[[#This Row],[Sous-compte]]&amp;"00",4))</f>
        <v>8950</v>
      </c>
      <c r="J1368" s="167"/>
    </row>
    <row r="1369" spans="4:10" ht="15" customHeight="1">
      <c r="D1369" s="187" t="s">
        <v>87</v>
      </c>
      <c r="E1369" s="168" t="s">
        <v>11365</v>
      </c>
      <c r="F1369" s="168">
        <v>899</v>
      </c>
      <c r="G1369" s="176"/>
      <c r="H1369" s="167" t="s">
        <v>11368</v>
      </c>
      <c r="I1369" s="167" t="str">
        <f>IF(Plan_Comptable[[#This Row],[Sous-compte]]="","",LEFT(Plan_Comptable[[#This Row],[Sous-compte]]&amp;"00",4))</f>
        <v/>
      </c>
      <c r="J1369" s="167"/>
    </row>
    <row r="1370" spans="4:10" ht="15" customHeight="1">
      <c r="D1370" s="187" t="s">
        <v>87</v>
      </c>
      <c r="E1370" s="168" t="s">
        <v>11365</v>
      </c>
      <c r="F1370" s="168" t="s">
        <v>11369</v>
      </c>
      <c r="G1370" s="176">
        <v>8991</v>
      </c>
      <c r="H1370" s="167" t="s">
        <v>11235</v>
      </c>
      <c r="I1370" s="167" t="str">
        <f>IF(Plan_Comptable[[#This Row],[Sous-compte]]="","",LEFT(Plan_Comptable[[#This Row],[Sous-compte]]&amp;"00",4))</f>
        <v>8991</v>
      </c>
      <c r="J1370" s="167"/>
    </row>
    <row r="1371" spans="4:10" ht="15" customHeight="1">
      <c r="D1371" s="187" t="s">
        <v>87</v>
      </c>
      <c r="E1371" s="168" t="s">
        <v>11365</v>
      </c>
      <c r="F1371" s="168" t="s">
        <v>11369</v>
      </c>
      <c r="G1371" s="176">
        <v>8994</v>
      </c>
      <c r="H1371" s="167" t="s">
        <v>11236</v>
      </c>
      <c r="I1371" s="167" t="str">
        <f>IF(Plan_Comptable[[#This Row],[Sous-compte]]="","",LEFT(Plan_Comptable[[#This Row],[Sous-compte]]&amp;"00",4))</f>
        <v>8994</v>
      </c>
      <c r="J1371" s="167"/>
    </row>
    <row r="1372" spans="4:10" ht="15" customHeight="1">
      <c r="E1372" s="208"/>
    </row>
    <row r="1373" spans="4:10" ht="15" customHeight="1">
      <c r="E1373" s="209" t="s">
        <v>11370</v>
      </c>
      <c r="F1373" s="209"/>
      <c r="G1373" s="209"/>
      <c r="H1373" s="209"/>
    </row>
    <row r="1374" spans="4:10" ht="15" customHeight="1">
      <c r="E1374" s="208"/>
    </row>
    <row r="1375" spans="4:10" ht="15" customHeight="1">
      <c r="E1375" s="210" t="s">
        <v>11371</v>
      </c>
    </row>
    <row r="1376" spans="4:10" ht="15" customHeight="1">
      <c r="E1376" s="211" t="s">
        <v>11372</v>
      </c>
      <c r="F1376" s="187"/>
      <c r="H1376" s="162" t="s">
        <v>11373</v>
      </c>
    </row>
    <row r="1377" spans="5:8" ht="15" customHeight="1">
      <c r="E1377" s="212">
        <v>91</v>
      </c>
      <c r="F1377" s="187"/>
      <c r="H1377" s="162" t="s">
        <v>11374</v>
      </c>
    </row>
    <row r="1378" spans="5:8" ht="15" customHeight="1">
      <c r="E1378" s="210" t="s">
        <v>11375</v>
      </c>
    </row>
    <row r="1379" spans="5:8" ht="15" customHeight="1">
      <c r="F1379" s="213" t="s">
        <v>11376</v>
      </c>
      <c r="G1379" s="167"/>
      <c r="H1379" s="167" t="s">
        <v>11377</v>
      </c>
    </row>
    <row r="1380" spans="5:8" ht="15" customHeight="1">
      <c r="G1380" s="176" t="s">
        <v>11378</v>
      </c>
      <c r="H1380" s="162" t="s">
        <v>11379</v>
      </c>
    </row>
    <row r="1381" spans="5:8" ht="15" customHeight="1">
      <c r="G1381" s="214" t="s">
        <v>11380</v>
      </c>
      <c r="H1381" s="162" t="s">
        <v>11381</v>
      </c>
    </row>
    <row r="1382" spans="5:8" ht="15" customHeight="1">
      <c r="G1382" s="214" t="s">
        <v>11382</v>
      </c>
      <c r="H1382" s="162" t="s">
        <v>11383</v>
      </c>
    </row>
    <row r="1383" spans="5:8" ht="15" customHeight="1">
      <c r="G1383" s="214" t="s">
        <v>11384</v>
      </c>
      <c r="H1383" s="162" t="s">
        <v>11385</v>
      </c>
    </row>
    <row r="1384" spans="5:8" ht="15" customHeight="1">
      <c r="E1384" s="167"/>
      <c r="G1384" s="214" t="s">
        <v>11386</v>
      </c>
      <c r="H1384" s="162" t="s">
        <v>11387</v>
      </c>
    </row>
    <row r="1385" spans="5:8" ht="15" customHeight="1">
      <c r="F1385" s="213" t="s">
        <v>11388</v>
      </c>
      <c r="H1385" s="162" t="s">
        <v>11389</v>
      </c>
    </row>
    <row r="1386" spans="5:8" ht="15" customHeight="1">
      <c r="G1386" s="213" t="s">
        <v>11390</v>
      </c>
      <c r="H1386" s="162" t="s">
        <v>11391</v>
      </c>
    </row>
    <row r="1387" spans="5:8" ht="15" customHeight="1">
      <c r="G1387" s="213" t="s">
        <v>11392</v>
      </c>
      <c r="H1387" s="162" t="s">
        <v>11393</v>
      </c>
    </row>
    <row r="1388" spans="5:8" ht="15" customHeight="1">
      <c r="G1388" s="213" t="s">
        <v>11394</v>
      </c>
      <c r="H1388" s="162" t="s">
        <v>11395</v>
      </c>
    </row>
    <row r="1389" spans="5:8" ht="15" customHeight="1">
      <c r="G1389" s="213" t="s">
        <v>11396</v>
      </c>
      <c r="H1389" s="162" t="s">
        <v>11397</v>
      </c>
    </row>
    <row r="1390" spans="5:8" ht="15" customHeight="1">
      <c r="G1390" s="213" t="s">
        <v>11398</v>
      </c>
      <c r="H1390" s="162" t="s">
        <v>11399</v>
      </c>
    </row>
    <row r="1391" spans="5:8" ht="15" customHeight="1">
      <c r="F1391" s="213" t="s">
        <v>11400</v>
      </c>
      <c r="H1391" s="162" t="s">
        <v>11401</v>
      </c>
    </row>
    <row r="1392" spans="5:8" ht="15" customHeight="1">
      <c r="G1392" s="215" t="s">
        <v>11402</v>
      </c>
      <c r="H1392" s="216" t="s">
        <v>1574</v>
      </c>
    </row>
    <row r="1393" spans="5:8" ht="15" customHeight="1">
      <c r="G1393" s="213" t="s">
        <v>11403</v>
      </c>
      <c r="H1393" s="162" t="s">
        <v>11404</v>
      </c>
    </row>
    <row r="1394" spans="5:8" ht="15" customHeight="1">
      <c r="G1394" s="214" t="s">
        <v>11405</v>
      </c>
      <c r="H1394" s="162" t="s">
        <v>1576</v>
      </c>
    </row>
    <row r="1395" spans="5:8" ht="15" customHeight="1">
      <c r="G1395" s="215" t="s">
        <v>11406</v>
      </c>
      <c r="H1395" s="162" t="s">
        <v>1577</v>
      </c>
    </row>
    <row r="1396" spans="5:8" ht="15" customHeight="1">
      <c r="E1396" s="167"/>
    </row>
    <row r="1397" spans="5:8" ht="15" customHeight="1">
      <c r="F1397" s="213" t="s">
        <v>11407</v>
      </c>
      <c r="H1397" s="162" t="s">
        <v>11408</v>
      </c>
    </row>
    <row r="1398" spans="5:8" ht="15" customHeight="1">
      <c r="G1398" s="214" t="s">
        <v>11409</v>
      </c>
      <c r="H1398" s="162" t="s">
        <v>1573</v>
      </c>
    </row>
    <row r="1399" spans="5:8" ht="15" customHeight="1">
      <c r="G1399" s="213" t="s">
        <v>11410</v>
      </c>
      <c r="H1399" s="162" t="s">
        <v>11411</v>
      </c>
    </row>
    <row r="1400" spans="5:8" ht="15" customHeight="1">
      <c r="G1400" s="213" t="s">
        <v>11412</v>
      </c>
      <c r="H1400" s="162" t="s">
        <v>11413</v>
      </c>
    </row>
    <row r="1401" spans="5:8" ht="15" customHeight="1">
      <c r="E1401" s="210" t="s">
        <v>11414</v>
      </c>
    </row>
    <row r="1402" spans="5:8" ht="15" customHeight="1">
      <c r="E1402" s="213"/>
      <c r="F1402" s="162">
        <v>905</v>
      </c>
      <c r="G1402" s="217"/>
      <c r="H1402" s="217" t="s">
        <v>11415</v>
      </c>
    </row>
    <row r="1403" spans="5:8" ht="15" customHeight="1">
      <c r="E1403" s="213"/>
      <c r="G1403" s="161">
        <v>9051</v>
      </c>
      <c r="H1403" s="162" t="s">
        <v>11416</v>
      </c>
    </row>
    <row r="1404" spans="5:8" ht="15" customHeight="1">
      <c r="E1404" s="214"/>
      <c r="G1404" s="161">
        <v>9058</v>
      </c>
      <c r="H1404" s="162" t="s">
        <v>11417</v>
      </c>
    </row>
    <row r="1405" spans="5:8" ht="15" customHeight="1">
      <c r="E1405" s="213"/>
      <c r="F1405" s="162">
        <v>906</v>
      </c>
      <c r="H1405" s="213" t="s">
        <v>11418</v>
      </c>
    </row>
    <row r="1406" spans="5:8" ht="15" customHeight="1">
      <c r="E1406" s="213"/>
      <c r="G1406" s="161">
        <v>9061</v>
      </c>
      <c r="H1406" s="162" t="s">
        <v>11419</v>
      </c>
    </row>
    <row r="1407" spans="5:8" ht="15" customHeight="1">
      <c r="E1407" s="213"/>
      <c r="G1407" s="161">
        <v>9062</v>
      </c>
      <c r="H1407" s="162" t="s">
        <v>11420</v>
      </c>
    </row>
    <row r="1408" spans="5:8" ht="15" customHeight="1">
      <c r="E1408" s="213"/>
      <c r="G1408" s="161">
        <v>9063</v>
      </c>
      <c r="H1408" s="162" t="s">
        <v>11421</v>
      </c>
    </row>
    <row r="1409" spans="5:8" ht="15" customHeight="1">
      <c r="E1409" s="213"/>
      <c r="G1409" s="218">
        <v>9064</v>
      </c>
      <c r="H1409" s="192" t="s">
        <v>11422</v>
      </c>
    </row>
    <row r="1410" spans="5:8" ht="15" customHeight="1">
      <c r="E1410" s="213"/>
      <c r="G1410" s="161">
        <v>9068</v>
      </c>
      <c r="H1410" s="162" t="s">
        <v>11423</v>
      </c>
    </row>
    <row r="1411" spans="5:8" ht="15" customHeight="1">
      <c r="E1411" s="213"/>
      <c r="F1411" s="162">
        <v>907</v>
      </c>
      <c r="H1411" s="213" t="s">
        <v>11424</v>
      </c>
    </row>
    <row r="1412" spans="5:8" ht="15" customHeight="1">
      <c r="E1412" s="215"/>
      <c r="G1412" s="161">
        <v>9071</v>
      </c>
      <c r="H1412" s="162" t="s">
        <v>11425</v>
      </c>
    </row>
    <row r="1413" spans="5:8" ht="15" customHeight="1">
      <c r="E1413" s="215"/>
      <c r="G1413" s="161">
        <v>9072</v>
      </c>
      <c r="H1413" s="162" t="s">
        <v>11426</v>
      </c>
    </row>
    <row r="1414" spans="5:8" ht="15" customHeight="1">
      <c r="E1414" s="215"/>
      <c r="G1414" s="161">
        <v>9073</v>
      </c>
      <c r="H1414" s="162" t="s">
        <v>11427</v>
      </c>
    </row>
    <row r="1415" spans="5:8" ht="15" customHeight="1">
      <c r="E1415" s="215"/>
      <c r="G1415" s="161">
        <v>9078</v>
      </c>
      <c r="H1415" s="162" t="s">
        <v>1577</v>
      </c>
    </row>
    <row r="1416" spans="5:8" ht="15" customHeight="1">
      <c r="E1416" s="213"/>
      <c r="F1416" s="192">
        <v>908</v>
      </c>
      <c r="G1416" s="192"/>
      <c r="H1416" s="213" t="s">
        <v>11428</v>
      </c>
    </row>
    <row r="1417" spans="5:8" ht="15" customHeight="1">
      <c r="E1417" s="215"/>
      <c r="G1417" s="161">
        <v>9081</v>
      </c>
      <c r="H1417" s="162" t="s">
        <v>11429</v>
      </c>
    </row>
    <row r="1418" spans="5:8" ht="15" customHeight="1">
      <c r="E1418" s="215"/>
      <c r="G1418" s="161">
        <v>9082</v>
      </c>
      <c r="H1418" s="162" t="s">
        <v>11430</v>
      </c>
    </row>
    <row r="1419" spans="5:8" ht="15" customHeight="1">
      <c r="E1419" s="215"/>
      <c r="G1419" s="161">
        <v>9083</v>
      </c>
      <c r="H1419" s="162" t="s">
        <v>11431</v>
      </c>
    </row>
    <row r="1420" spans="5:8" ht="15" customHeight="1">
      <c r="E1420" s="215"/>
      <c r="G1420" s="161">
        <v>9088</v>
      </c>
      <c r="H1420" s="162" t="s">
        <v>11432</v>
      </c>
    </row>
    <row r="1421" spans="5:8" ht="15" customHeight="1">
      <c r="E1421" s="211" t="s">
        <v>11433</v>
      </c>
      <c r="F1421" s="187"/>
      <c r="H1421" s="162" t="s">
        <v>11374</v>
      </c>
    </row>
    <row r="1422" spans="5:8" ht="15" customHeight="1">
      <c r="E1422" s="187" t="s">
        <v>11434</v>
      </c>
      <c r="F1422" s="187"/>
      <c r="G1422" s="187"/>
      <c r="H1422" s="187"/>
    </row>
    <row r="1423" spans="5:8" ht="15" customHeight="1">
      <c r="E1423" s="187" t="s">
        <v>11435</v>
      </c>
      <c r="F1423" s="187"/>
      <c r="G1423" s="187"/>
      <c r="H1423" s="187"/>
    </row>
    <row r="1424" spans="5:8" ht="15" customHeight="1">
      <c r="E1424" s="210" t="s">
        <v>11436</v>
      </c>
    </row>
    <row r="1425" spans="5:8" ht="15" customHeight="1">
      <c r="E1425" s="219">
        <v>92</v>
      </c>
      <c r="H1425" s="162" t="s">
        <v>11437</v>
      </c>
    </row>
    <row r="1426" spans="5:8" ht="15" customHeight="1">
      <c r="E1426" s="219">
        <v>93</v>
      </c>
      <c r="H1426" s="162" t="s">
        <v>11438</v>
      </c>
    </row>
    <row r="1427" spans="5:8" ht="15" customHeight="1">
      <c r="E1427" s="219">
        <v>94</v>
      </c>
      <c r="H1427" s="162" t="s">
        <v>11439</v>
      </c>
    </row>
    <row r="1428" spans="5:8" ht="15" customHeight="1">
      <c r="E1428" s="219">
        <v>95</v>
      </c>
      <c r="H1428" s="162" t="s">
        <v>11440</v>
      </c>
    </row>
    <row r="1429" spans="5:8" ht="15" customHeight="1">
      <c r="E1429" s="219">
        <v>96</v>
      </c>
      <c r="H1429" s="162" t="s">
        <v>11441</v>
      </c>
    </row>
    <row r="1430" spans="5:8" ht="15" customHeight="1">
      <c r="E1430" s="219">
        <v>97</v>
      </c>
      <c r="H1430" s="162" t="s">
        <v>11442</v>
      </c>
    </row>
    <row r="1431" spans="5:8" ht="15" customHeight="1">
      <c r="E1431" s="219">
        <v>98</v>
      </c>
      <c r="H1431" s="162" t="s">
        <v>11443</v>
      </c>
    </row>
    <row r="1432" spans="5:8" ht="15" customHeight="1">
      <c r="E1432" s="219">
        <v>99</v>
      </c>
      <c r="H1432" s="162" t="s">
        <v>11444</v>
      </c>
    </row>
    <row r="1434" spans="5:8">
      <c r="E1434" s="220" t="s">
        <v>11445</v>
      </c>
    </row>
    <row r="1435" spans="5:8">
      <c r="E1435" s="174" t="s">
        <v>11446</v>
      </c>
      <c r="F1435" s="174"/>
      <c r="G1435" s="174"/>
      <c r="H1435" s="174"/>
    </row>
    <row r="1436" spans="5:8">
      <c r="E1436" s="174" t="s">
        <v>11447</v>
      </c>
      <c r="F1436" s="174"/>
      <c r="G1436" s="174"/>
      <c r="H1436" s="174"/>
    </row>
    <row r="1437" spans="5:8">
      <c r="E1437" s="192" t="s">
        <v>11448</v>
      </c>
    </row>
    <row r="1438" spans="5:8">
      <c r="E1438" s="192" t="s">
        <v>11449</v>
      </c>
    </row>
    <row r="1439" spans="5:8">
      <c r="E1439" s="174" t="s">
        <v>11450</v>
      </c>
      <c r="F1439" s="174"/>
      <c r="G1439" s="174"/>
      <c r="H1439" s="174"/>
    </row>
    <row r="1440" spans="5:8">
      <c r="E1440" s="192" t="s">
        <v>11451</v>
      </c>
    </row>
    <row r="1441" spans="5:5">
      <c r="E1441" s="192" t="s">
        <v>11452</v>
      </c>
    </row>
    <row r="1442" spans="5:5">
      <c r="E1442" s="220" t="s">
        <v>11453</v>
      </c>
    </row>
    <row r="1443" spans="5:5">
      <c r="E1443" s="220" t="s">
        <v>11454</v>
      </c>
    </row>
  </sheetData>
  <sheetProtection algorithmName="SHA-512" hashValue="l5ttTDS0W4AfT9IkQ1EuGwQ2zpNmrfIkRtG+fLk6vDtg+IxBeBcUwuUawzGOjElsMjxWAciLFtA4BCxzj3KiZg==" saltValue="NvB016UAY2Mpu8SnnHf94w==" spinCount="100000" sheet="1" objects="1" scenarios="1" selectLockedCell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4E4ED9-3FC2-4D0D-81F2-095330FAC6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79</vt:i4>
      </vt:variant>
      <vt:variant>
        <vt:lpstr>Plages nommées</vt:lpstr>
      </vt:variant>
      <vt:variant>
        <vt:i4>98</vt:i4>
      </vt:variant>
    </vt:vector>
  </HeadingPairs>
  <TitlesOfParts>
    <vt:vector size="177" baseType="lpstr">
      <vt:lpstr>Table TFT</vt:lpstr>
      <vt:lpstr>COUVERTURE</vt:lpstr>
      <vt:lpstr>GARDE</vt:lpstr>
      <vt:lpstr>RECEVABILITE</vt:lpstr>
      <vt:lpstr>NOTE36 (TABLE DES CODES)</vt:lpstr>
      <vt:lpstr>NOTE36 Suite (Nomenclature)</vt:lpstr>
      <vt:lpstr>FICHE R1</vt:lpstr>
      <vt:lpstr>FICHE R2</vt:lpstr>
      <vt:lpstr>FICHE R3</vt:lpstr>
      <vt:lpstr>BILAN</vt:lpstr>
      <vt:lpstr>RESULTAT</vt:lpstr>
      <vt:lpstr>ACTIF</vt:lpstr>
      <vt:lpstr>PASSIF</vt:lpstr>
      <vt:lpstr>TFT</vt:lpstr>
      <vt:lpstr>FICHE R4</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37</vt:lpstr>
      <vt:lpstr>NOTE 38</vt:lpstr>
      <vt:lpstr>NOTE 39</vt:lpstr>
      <vt:lpstr>GARDE (DGI-INS)</vt:lpstr>
      <vt:lpstr>NOTES DGI - INS</vt:lpstr>
      <vt:lpstr>COMP-CHARGES</vt:lpstr>
      <vt:lpstr>COMP-TVA</vt:lpstr>
      <vt:lpstr>COMP-TVA (2)</vt:lpstr>
      <vt:lpstr>SUPPL1</vt:lpstr>
      <vt:lpstr>SUPPL2</vt:lpstr>
      <vt:lpstr>SUPPL3</vt:lpstr>
      <vt:lpstr>SUPPL4</vt:lpstr>
      <vt:lpstr>SUPPL5</vt:lpstr>
      <vt:lpstr>SUPPL6</vt:lpstr>
      <vt:lpstr>SUPPL7</vt:lpstr>
      <vt:lpstr>COMMENTAIRE</vt:lpstr>
      <vt:lpstr>AAD</vt:lpstr>
      <vt:lpstr>AAI</vt:lpstr>
      <vt:lpstr>AAP</vt:lpstr>
      <vt:lpstr>AAQ</vt:lpstr>
      <vt:lpstr>ABK</vt:lpstr>
      <vt:lpstr>ABT</vt:lpstr>
      <vt:lpstr>ABU</vt:lpstr>
      <vt:lpstr>ad</vt:lpstr>
      <vt:lpstr>AI</vt:lpstr>
      <vt:lpstr>AP</vt:lpstr>
      <vt:lpstr>AQ</vt:lpstr>
      <vt:lpstr>BK</vt:lpstr>
      <vt:lpstr>BT</vt:lpstr>
      <vt:lpstr>BU</vt:lpstr>
      <vt:lpstr>ECEN</vt:lpstr>
      <vt:lpstr>ECH</vt:lpstr>
      <vt:lpstr>ECHN</vt:lpstr>
      <vt:lpstr>ECN</vt:lpstr>
      <vt:lpstr>EPA</vt:lpstr>
      <vt:lpstr>EPB</vt:lpstr>
      <vt:lpstr>EPH</vt:lpstr>
      <vt:lpstr>EPN</vt:lpstr>
      <vt:lpstr>Forme</vt:lpstr>
      <vt:lpstr>'NOTE36 Suite (Nomenclature)'!Impression_des_titres</vt:lpstr>
      <vt:lpstr>TBFT!Impression_des_titres</vt:lpstr>
      <vt:lpstr>ACTIF!Zone_d_impression</vt:lpstr>
      <vt:lpstr>BILAN!Zone_d_impression</vt:lpstr>
      <vt:lpstr>'COMP-TVA'!Zone_d_impression</vt:lpstr>
      <vt:lpstr>'FICHE R1'!Zone_d_impression</vt:lpstr>
      <vt:lpstr>'FICHE R2'!Zone_d_impression</vt:lpstr>
      <vt:lpstr>'FICHE R3'!Zone_d_impression</vt:lpstr>
      <vt:lpstr>'FICHE R4'!Zone_d_impression</vt:lpstr>
      <vt:lpstr>GARDE!Zone_d_impression</vt:lpstr>
      <vt:lpstr>'NOTE 1'!Zone_d_impression</vt:lpstr>
      <vt:lpstr>'NOTE 10'!Zone_d_impression</vt:lpstr>
      <vt:lpstr>'NOTE 11'!Zone_d_impression</vt:lpstr>
      <vt:lpstr>'NOTE 12'!Zone_d_impression</vt:lpstr>
      <vt:lpstr>'NOTE 13'!Zone_d_impression</vt:lpstr>
      <vt:lpstr>'NOTE 14'!Zone_d_impression</vt:lpstr>
      <vt:lpstr>'NOTE 15A'!Zone_d_impression</vt:lpstr>
      <vt:lpstr>'NOTE 15B'!Zone_d_impression</vt:lpstr>
      <vt:lpstr>'NOTE 16A'!Zone_d_impression</vt:lpstr>
      <vt:lpstr>'NOTE 16B'!Zone_d_impression</vt:lpstr>
      <vt:lpstr>'NOTE 16B BIS'!Zone_d_impression</vt:lpstr>
      <vt:lpstr>'NOTE 16C'!Zone_d_impression</vt:lpstr>
      <vt:lpstr>'NOTE 17'!Zone_d_impression</vt:lpstr>
      <vt:lpstr>'NOTE 18'!Zone_d_impression</vt:lpstr>
      <vt:lpstr>'NOTE 19'!Zone_d_impression</vt:lpstr>
      <vt:lpstr>'NOTE 2'!Zone_d_impression</vt:lpstr>
      <vt:lpstr>'NOTE 20'!Zone_d_impression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37'!Zone_d_impression</vt:lpstr>
      <vt:lpstr>'NOTE 38'!Zone_d_impression</vt:lpstr>
      <vt:lpstr>'NOTE 39'!Zone_d_impression</vt:lpstr>
      <vt:lpstr>'NOTE 3A'!Zone_d_impression</vt:lpstr>
      <vt:lpstr>'NOTE 3B'!Zone_d_impression</vt:lpstr>
      <vt:lpstr>'NOTE 3C'!Zone_d_impression</vt:lpstr>
      <vt:lpstr>'NOTE 3C BIS'!Zone_d_impression</vt:lpstr>
      <vt:lpstr>'NOTE 3D'!Zone_d_impression</vt:lpstr>
      <vt:lpstr>'NOTE 3E'!Zone_d_impression</vt:lpstr>
      <vt:lpstr>'NOTE 4'!Zone_d_impression</vt:lpstr>
      <vt:lpstr>'NOTE 5'!Zone_d_impression</vt:lpstr>
      <vt:lpstr>'NOTE 6'!Zone_d_impression</vt:lpstr>
      <vt:lpstr>'NOTE 7'!Zone_d_impression</vt:lpstr>
      <vt:lpstr>'NOTE 8'!Zone_d_impression</vt:lpstr>
      <vt:lpstr>'NOTE 8A'!Zone_d_impression</vt:lpstr>
      <vt:lpstr>'NOTE 8B'!Zone_d_impression</vt:lpstr>
      <vt:lpstr>'NOTE 8C'!Zone_d_impression</vt:lpstr>
      <vt:lpstr>'NOTE 9'!Zone_d_impression</vt:lpstr>
      <vt:lpstr>'NOTE36 (TABLE DES CODES)'!Zone_d_impression</vt:lpstr>
      <vt:lpstr>'NOTE36 Suite (Nomenclature)'!Zone_d_impression</vt:lpstr>
      <vt:lpstr>'NOTES DGI - INS'!Zone_d_impression</vt:lpstr>
      <vt:lpstr>PASSIF!Zone_d_impression</vt:lpstr>
      <vt:lpstr>RECEVABILITE!Zone_d_impression</vt:lpstr>
      <vt:lpstr>RESULTAT!Zone_d_impression</vt:lpstr>
      <vt:lpstr>SUPPL1!Zone_d_impression</vt:lpstr>
      <vt:lpstr>SUPPL2!Zone_d_impression</vt:lpstr>
      <vt:lpstr>SUPPL3!Zone_d_impression</vt:lpstr>
      <vt:lpstr>SUPPL4!Zone_d_impression</vt:lpstr>
      <vt:lpstr>SUPPL5!Zone_d_impression</vt:lpstr>
      <vt:lpstr>SUPPL6!Zone_d_impression</vt:lpstr>
      <vt:lpstr>TBFT!Zone_d_impression</vt:lpstr>
      <vt:lpstr>TFT!Zone_d_impression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Barnard Herbert Gérald N'DIA</dc:creator>
  <cp:lastModifiedBy>Barnard N'DIA</cp:lastModifiedBy>
  <cp:lastPrinted>2023-02-28T00:05:52Z</cp:lastPrinted>
  <dcterms:created xsi:type="dcterms:W3CDTF">2015-06-05T18:19:34Z</dcterms:created>
  <dcterms:modified xsi:type="dcterms:W3CDTF">2026-06-25T20:39:33Z</dcterms:modified>
</cp:coreProperties>
</file>