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printerSettings/printerSettings4.bin" ContentType="application/vnd.openxmlformats-officedocument.spreadsheetml.printerSettings"/>
  <Override PartName="/xl/printerSettings/printerSettings5.bin" ContentType="application/vnd.openxmlformats-officedocument.spreadsheetml.printerSettings"/>
  <Override PartName="/xl/printerSettings/printerSettings6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:\Read Drive\Niks\IIT\Spring 2016\CC\Project\"/>
    </mc:Choice>
  </mc:AlternateContent>
  <bookViews>
    <workbookView xWindow="0" yWindow="0" windowWidth="20490" windowHeight="8115" tabRatio="752"/>
  </bookViews>
  <sheets>
    <sheet name="Summary" sheetId="13" r:id="rId1"/>
    <sheet name="Sheet1" sheetId="1" r:id="rId2"/>
    <sheet name="PrCloudDet" sheetId="11" r:id="rId3"/>
    <sheet name="PrCloudQty" sheetId="12" r:id="rId4"/>
    <sheet name="Prices" sheetId="10" r:id="rId5"/>
    <sheet name="m4.10xlarge" sheetId="2" r:id="rId6"/>
    <sheet name="m3.large" sheetId="3" r:id="rId7"/>
    <sheet name="m3.2xlarge" sheetId="4" r:id="rId8"/>
    <sheet name="c3.8xlarge" sheetId="5" r:id="rId9"/>
    <sheet name="g2.2xlarge" sheetId="6" r:id="rId10"/>
    <sheet name="r3.4xlarge" sheetId="7" r:id="rId11"/>
    <sheet name="i2.8xlarge" sheetId="8" r:id="rId12"/>
    <sheet name="d2.8xlarge" sheetId="9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5" i="13" l="1"/>
  <c r="J44" i="13"/>
  <c r="J43" i="13"/>
  <c r="J42" i="13"/>
  <c r="J41" i="13"/>
  <c r="J40" i="13"/>
  <c r="J39" i="13"/>
  <c r="J38" i="13"/>
  <c r="I45" i="13"/>
  <c r="I44" i="13"/>
  <c r="I43" i="13"/>
  <c r="I42" i="13"/>
  <c r="I41" i="13"/>
  <c r="I40" i="13"/>
  <c r="I39" i="13"/>
  <c r="I38" i="13"/>
  <c r="H45" i="13"/>
  <c r="H44" i="13"/>
  <c r="H43" i="13"/>
  <c r="H42" i="13"/>
  <c r="H41" i="13"/>
  <c r="H40" i="13"/>
  <c r="H39" i="13"/>
  <c r="H38" i="13"/>
  <c r="G45" i="13"/>
  <c r="G44" i="13"/>
  <c r="G43" i="13"/>
  <c r="G42" i="13"/>
  <c r="G41" i="13"/>
  <c r="G40" i="13"/>
  <c r="G39" i="13"/>
  <c r="G38" i="13"/>
  <c r="F45" i="13"/>
  <c r="F44" i="13"/>
  <c r="F43" i="13"/>
  <c r="F42" i="13"/>
  <c r="F41" i="13"/>
  <c r="F40" i="13"/>
  <c r="F39" i="13"/>
  <c r="F38" i="13"/>
  <c r="E45" i="13"/>
  <c r="E44" i="13"/>
  <c r="E43" i="13"/>
  <c r="E42" i="13"/>
  <c r="E41" i="13"/>
  <c r="E40" i="13"/>
  <c r="E39" i="13"/>
  <c r="E38" i="13"/>
  <c r="D45" i="13"/>
  <c r="D44" i="13"/>
  <c r="D43" i="13"/>
  <c r="D42" i="13"/>
  <c r="D41" i="13"/>
  <c r="D40" i="13"/>
  <c r="D39" i="13"/>
  <c r="D38" i="13"/>
  <c r="C40" i="13"/>
  <c r="C41" i="13"/>
  <c r="C42" i="13"/>
  <c r="C43" i="13"/>
  <c r="C44" i="13"/>
  <c r="C45" i="13"/>
  <c r="C39" i="13"/>
  <c r="B45" i="13"/>
  <c r="B44" i="13"/>
  <c r="B43" i="13"/>
  <c r="B42" i="13"/>
  <c r="B41" i="13"/>
  <c r="B40" i="13"/>
  <c r="B39" i="13"/>
  <c r="C38" i="13"/>
  <c r="B38" i="13"/>
  <c r="A45" i="13"/>
  <c r="A44" i="13"/>
  <c r="A43" i="13"/>
  <c r="A42" i="13"/>
  <c r="A41" i="13"/>
  <c r="A40" i="13"/>
  <c r="A39" i="13"/>
  <c r="A38" i="13"/>
  <c r="J4" i="13" l="1"/>
  <c r="J5" i="13"/>
  <c r="J6" i="13"/>
  <c r="J7" i="13"/>
  <c r="J8" i="13"/>
  <c r="J9" i="13"/>
  <c r="J3" i="13"/>
  <c r="I4" i="13"/>
  <c r="I5" i="13"/>
  <c r="I6" i="13"/>
  <c r="I7" i="13"/>
  <c r="I8" i="13"/>
  <c r="I9" i="13"/>
  <c r="I3" i="13"/>
  <c r="H4" i="13"/>
  <c r="H5" i="13"/>
  <c r="H6" i="13"/>
  <c r="H7" i="13"/>
  <c r="H8" i="13"/>
  <c r="H9" i="13"/>
  <c r="H3" i="13"/>
  <c r="G4" i="13"/>
  <c r="G5" i="13"/>
  <c r="G6" i="13"/>
  <c r="G7" i="13"/>
  <c r="G8" i="13"/>
  <c r="G9" i="13"/>
  <c r="G3" i="13"/>
  <c r="F4" i="13"/>
  <c r="F5" i="13"/>
  <c r="F6" i="13"/>
  <c r="F7" i="13"/>
  <c r="F8" i="13"/>
  <c r="F9" i="13"/>
  <c r="F3" i="13"/>
  <c r="E4" i="13"/>
  <c r="E5" i="13"/>
  <c r="E6" i="13"/>
  <c r="E7" i="13"/>
  <c r="E8" i="13"/>
  <c r="E9" i="13"/>
  <c r="E3" i="13"/>
  <c r="D4" i="13"/>
  <c r="D5" i="13"/>
  <c r="D6" i="13"/>
  <c r="D7" i="13"/>
  <c r="D8" i="13"/>
  <c r="D9" i="13"/>
  <c r="D3" i="13"/>
  <c r="C22" i="4"/>
  <c r="H22" i="4" s="1"/>
  <c r="I22" i="4" s="1"/>
  <c r="F21" i="4"/>
  <c r="C21" i="4"/>
  <c r="H21" i="4" s="1"/>
  <c r="I21" i="4" s="1"/>
  <c r="K20" i="4"/>
  <c r="G20" i="4"/>
  <c r="C20" i="4"/>
  <c r="H20" i="4" s="1"/>
  <c r="I20" i="4" s="1"/>
  <c r="H19" i="4"/>
  <c r="I19" i="4" s="1"/>
  <c r="C19" i="4"/>
  <c r="I18" i="4"/>
  <c r="C18" i="4"/>
  <c r="H18" i="4" s="1"/>
  <c r="F17" i="4"/>
  <c r="C17" i="4"/>
  <c r="H17" i="4" s="1"/>
  <c r="I17" i="4" s="1"/>
  <c r="K16" i="4"/>
  <c r="G16" i="4"/>
  <c r="C16" i="4"/>
  <c r="H16" i="4" s="1"/>
  <c r="I16" i="4" s="1"/>
  <c r="K14" i="4"/>
  <c r="E14" i="4"/>
  <c r="F20" i="4" s="1"/>
  <c r="F22" i="5"/>
  <c r="C22" i="5"/>
  <c r="H22" i="5" s="1"/>
  <c r="I22" i="5" s="1"/>
  <c r="K21" i="5"/>
  <c r="G21" i="5"/>
  <c r="F21" i="5"/>
  <c r="C21" i="5"/>
  <c r="H21" i="5" s="1"/>
  <c r="I21" i="5" s="1"/>
  <c r="G20" i="5"/>
  <c r="C20" i="5"/>
  <c r="H20" i="5" s="1"/>
  <c r="I20" i="5" s="1"/>
  <c r="C19" i="5"/>
  <c r="H19" i="5" s="1"/>
  <c r="I19" i="5" s="1"/>
  <c r="F18" i="5"/>
  <c r="C18" i="5"/>
  <c r="H18" i="5" s="1"/>
  <c r="I18" i="5" s="1"/>
  <c r="K17" i="5"/>
  <c r="G17" i="5"/>
  <c r="F17" i="5"/>
  <c r="C17" i="5"/>
  <c r="H17" i="5" s="1"/>
  <c r="I17" i="5" s="1"/>
  <c r="K16" i="5"/>
  <c r="H16" i="5"/>
  <c r="I16" i="5" s="1"/>
  <c r="G16" i="5"/>
  <c r="C16" i="5"/>
  <c r="K14" i="5"/>
  <c r="E14" i="5"/>
  <c r="F20" i="5" s="1"/>
  <c r="K22" i="6"/>
  <c r="G22" i="6"/>
  <c r="F22" i="6"/>
  <c r="C22" i="6"/>
  <c r="H22" i="6" s="1"/>
  <c r="I22" i="6" s="1"/>
  <c r="G21" i="6"/>
  <c r="C21" i="6"/>
  <c r="I20" i="6"/>
  <c r="H20" i="6"/>
  <c r="C20" i="6"/>
  <c r="F19" i="6"/>
  <c r="C19" i="6"/>
  <c r="H19" i="6" s="1"/>
  <c r="I19" i="6" s="1"/>
  <c r="K18" i="6"/>
  <c r="G18" i="6"/>
  <c r="F18" i="6"/>
  <c r="C18" i="6"/>
  <c r="H18" i="6" s="1"/>
  <c r="I18" i="6" s="1"/>
  <c r="K17" i="6"/>
  <c r="L17" i="6" s="1"/>
  <c r="G17" i="6"/>
  <c r="C17" i="6"/>
  <c r="H17" i="6" s="1"/>
  <c r="I17" i="6" s="1"/>
  <c r="C16" i="6"/>
  <c r="K14" i="6"/>
  <c r="E14" i="6"/>
  <c r="F21" i="6" s="1"/>
  <c r="K22" i="7"/>
  <c r="L22" i="7" s="1"/>
  <c r="G22" i="7"/>
  <c r="C22" i="7"/>
  <c r="H22" i="7" s="1"/>
  <c r="I22" i="7" s="1"/>
  <c r="C21" i="7"/>
  <c r="I20" i="7"/>
  <c r="C20" i="7"/>
  <c r="H20" i="7" s="1"/>
  <c r="K19" i="7"/>
  <c r="G19" i="7"/>
  <c r="C19" i="7"/>
  <c r="H19" i="7" s="1"/>
  <c r="I19" i="7" s="1"/>
  <c r="H18" i="7"/>
  <c r="I18" i="7" s="1"/>
  <c r="C18" i="7"/>
  <c r="K18" i="7" s="1"/>
  <c r="L18" i="7" s="1"/>
  <c r="C17" i="7"/>
  <c r="H17" i="7" s="1"/>
  <c r="I17" i="7" s="1"/>
  <c r="C16" i="7"/>
  <c r="H16" i="7" s="1"/>
  <c r="I16" i="7" s="1"/>
  <c r="K14" i="7"/>
  <c r="E14" i="7"/>
  <c r="C22" i="8"/>
  <c r="H22" i="8" s="1"/>
  <c r="I22" i="8" s="1"/>
  <c r="M21" i="8"/>
  <c r="K21" i="8"/>
  <c r="C21" i="8"/>
  <c r="H21" i="8" s="1"/>
  <c r="I21" i="8" s="1"/>
  <c r="F20" i="8"/>
  <c r="C20" i="8"/>
  <c r="K19" i="8"/>
  <c r="M19" i="8" s="1"/>
  <c r="G19" i="8"/>
  <c r="C19" i="8"/>
  <c r="H19" i="8" s="1"/>
  <c r="I19" i="8" s="1"/>
  <c r="C18" i="8"/>
  <c r="M17" i="8"/>
  <c r="K17" i="8"/>
  <c r="C17" i="8"/>
  <c r="H17" i="8" s="1"/>
  <c r="I17" i="8" s="1"/>
  <c r="F16" i="8"/>
  <c r="C16" i="8"/>
  <c r="K14" i="8"/>
  <c r="E14" i="8"/>
  <c r="K22" i="9"/>
  <c r="G22" i="9"/>
  <c r="C22" i="9"/>
  <c r="H22" i="9" s="1"/>
  <c r="I22" i="9" s="1"/>
  <c r="F21" i="9"/>
  <c r="C21" i="9"/>
  <c r="K20" i="9"/>
  <c r="G20" i="9"/>
  <c r="C20" i="9"/>
  <c r="H20" i="9" s="1"/>
  <c r="I20" i="9" s="1"/>
  <c r="H19" i="9"/>
  <c r="I19" i="9" s="1"/>
  <c r="F19" i="9"/>
  <c r="C19" i="9"/>
  <c r="K18" i="9"/>
  <c r="G18" i="9"/>
  <c r="C18" i="9"/>
  <c r="H18" i="9" s="1"/>
  <c r="I18" i="9" s="1"/>
  <c r="H17" i="9"/>
  <c r="I17" i="9" s="1"/>
  <c r="F17" i="9"/>
  <c r="C17" i="9"/>
  <c r="K16" i="9"/>
  <c r="I16" i="9"/>
  <c r="G16" i="9"/>
  <c r="C16" i="9"/>
  <c r="H16" i="9" s="1"/>
  <c r="K14" i="9"/>
  <c r="M22" i="9" s="1"/>
  <c r="E14" i="9"/>
  <c r="F20" i="9" s="1"/>
  <c r="C22" i="3"/>
  <c r="K21" i="3"/>
  <c r="M21" i="3" s="1"/>
  <c r="C21" i="3"/>
  <c r="H21" i="3" s="1"/>
  <c r="I21" i="3" s="1"/>
  <c r="H20" i="3"/>
  <c r="I20" i="3" s="1"/>
  <c r="C20" i="3"/>
  <c r="M19" i="3"/>
  <c r="K19" i="3"/>
  <c r="I19" i="3"/>
  <c r="G19" i="3"/>
  <c r="C19" i="3"/>
  <c r="H19" i="3" s="1"/>
  <c r="F18" i="3"/>
  <c r="C18" i="3"/>
  <c r="K17" i="3"/>
  <c r="M17" i="3" s="1"/>
  <c r="G17" i="3"/>
  <c r="C17" i="3"/>
  <c r="H17" i="3" s="1"/>
  <c r="I17" i="3" s="1"/>
  <c r="F16" i="3"/>
  <c r="C16" i="3"/>
  <c r="K14" i="3"/>
  <c r="E14" i="3"/>
  <c r="F22" i="3" s="1"/>
  <c r="G17" i="2"/>
  <c r="G18" i="2"/>
  <c r="G19" i="2"/>
  <c r="G20" i="2"/>
  <c r="G21" i="2"/>
  <c r="G22" i="2"/>
  <c r="G16" i="2"/>
  <c r="M17" i="2"/>
  <c r="M18" i="2"/>
  <c r="M19" i="2"/>
  <c r="M20" i="2"/>
  <c r="M21" i="2"/>
  <c r="M22" i="2"/>
  <c r="M16" i="2"/>
  <c r="I17" i="2"/>
  <c r="I18" i="2"/>
  <c r="I19" i="2"/>
  <c r="I20" i="2"/>
  <c r="I21" i="2"/>
  <c r="I22" i="2"/>
  <c r="I16" i="2"/>
  <c r="H17" i="2"/>
  <c r="H18" i="2"/>
  <c r="H19" i="2"/>
  <c r="H20" i="2"/>
  <c r="H21" i="2"/>
  <c r="H22" i="2"/>
  <c r="H16" i="2"/>
  <c r="K22" i="3" l="1"/>
  <c r="L22" i="3" s="1"/>
  <c r="M21" i="5"/>
  <c r="M17" i="5"/>
  <c r="L21" i="5"/>
  <c r="L17" i="5"/>
  <c r="M16" i="5"/>
  <c r="L16" i="5"/>
  <c r="H18" i="3"/>
  <c r="I18" i="3" s="1"/>
  <c r="K20" i="3"/>
  <c r="L20" i="3" s="1"/>
  <c r="K17" i="9"/>
  <c r="L17" i="9" s="1"/>
  <c r="K19" i="9"/>
  <c r="K18" i="8"/>
  <c r="L18" i="8" s="1"/>
  <c r="K16" i="3"/>
  <c r="L16" i="3" s="1"/>
  <c r="K22" i="8"/>
  <c r="M22" i="8" s="1"/>
  <c r="K21" i="7"/>
  <c r="H21" i="7"/>
  <c r="I21" i="7" s="1"/>
  <c r="K16" i="6"/>
  <c r="H16" i="6"/>
  <c r="I16" i="6" s="1"/>
  <c r="F21" i="3"/>
  <c r="G20" i="3"/>
  <c r="F17" i="3"/>
  <c r="G16" i="3"/>
  <c r="G22" i="3"/>
  <c r="F19" i="3"/>
  <c r="G18" i="3"/>
  <c r="H16" i="3"/>
  <c r="I16" i="3" s="1"/>
  <c r="F20" i="3"/>
  <c r="G21" i="3"/>
  <c r="H22" i="3"/>
  <c r="I22" i="3" s="1"/>
  <c r="G22" i="8"/>
  <c r="F19" i="8"/>
  <c r="G18" i="8"/>
  <c r="F22" i="8"/>
  <c r="G21" i="8"/>
  <c r="F18" i="8"/>
  <c r="G17" i="8"/>
  <c r="F21" i="8"/>
  <c r="G20" i="8"/>
  <c r="F17" i="8"/>
  <c r="G16" i="8"/>
  <c r="H18" i="8"/>
  <c r="I18" i="8" s="1"/>
  <c r="K21" i="6"/>
  <c r="L21" i="6" s="1"/>
  <c r="H21" i="6"/>
  <c r="I21" i="6" s="1"/>
  <c r="L22" i="9"/>
  <c r="L18" i="9"/>
  <c r="M17" i="9"/>
  <c r="M20" i="9"/>
  <c r="L20" i="9"/>
  <c r="M19" i="9"/>
  <c r="L16" i="9"/>
  <c r="M18" i="9"/>
  <c r="L19" i="9"/>
  <c r="M22" i="3"/>
  <c r="K18" i="3"/>
  <c r="L18" i="3" s="1"/>
  <c r="M16" i="9"/>
  <c r="M16" i="3"/>
  <c r="L17" i="3"/>
  <c r="L21" i="3"/>
  <c r="G17" i="9"/>
  <c r="F18" i="9"/>
  <c r="G21" i="9"/>
  <c r="K21" i="9"/>
  <c r="L21" i="9" s="1"/>
  <c r="F22" i="9"/>
  <c r="K16" i="8"/>
  <c r="M18" i="8"/>
  <c r="L19" i="8"/>
  <c r="K20" i="8"/>
  <c r="L20" i="8" s="1"/>
  <c r="K20" i="6"/>
  <c r="M20" i="4"/>
  <c r="L17" i="4"/>
  <c r="M16" i="4"/>
  <c r="L20" i="4"/>
  <c r="L16" i="4"/>
  <c r="K19" i="4"/>
  <c r="M19" i="4" s="1"/>
  <c r="H21" i="9"/>
  <c r="I21" i="9" s="1"/>
  <c r="H16" i="8"/>
  <c r="I16" i="8" s="1"/>
  <c r="H20" i="8"/>
  <c r="I20" i="8" s="1"/>
  <c r="F22" i="7"/>
  <c r="G21" i="7"/>
  <c r="F18" i="7"/>
  <c r="G17" i="7"/>
  <c r="F21" i="7"/>
  <c r="G20" i="7"/>
  <c r="F17" i="7"/>
  <c r="G16" i="7"/>
  <c r="F16" i="7"/>
  <c r="L19" i="3"/>
  <c r="F16" i="9"/>
  <c r="G19" i="9"/>
  <c r="L17" i="8"/>
  <c r="M20" i="8"/>
  <c r="L21" i="8"/>
  <c r="K17" i="7"/>
  <c r="G18" i="7"/>
  <c r="F19" i="7"/>
  <c r="F20" i="7"/>
  <c r="M22" i="6"/>
  <c r="K20" i="5"/>
  <c r="L20" i="5" s="1"/>
  <c r="L19" i="4"/>
  <c r="K16" i="7"/>
  <c r="M16" i="7" s="1"/>
  <c r="M18" i="7"/>
  <c r="L19" i="7"/>
  <c r="K20" i="7"/>
  <c r="M20" i="7" s="1"/>
  <c r="M22" i="7"/>
  <c r="F16" i="6"/>
  <c r="M17" i="6"/>
  <c r="L18" i="6"/>
  <c r="G19" i="6"/>
  <c r="K19" i="6"/>
  <c r="M19" i="6" s="1"/>
  <c r="F20" i="6"/>
  <c r="M21" i="6"/>
  <c r="L22" i="6"/>
  <c r="G18" i="5"/>
  <c r="K18" i="5"/>
  <c r="L18" i="5" s="1"/>
  <c r="F19" i="5"/>
  <c r="G22" i="5"/>
  <c r="K22" i="5"/>
  <c r="L22" i="5" s="1"/>
  <c r="G17" i="4"/>
  <c r="K17" i="4"/>
  <c r="M17" i="4" s="1"/>
  <c r="F18" i="4"/>
  <c r="G21" i="4"/>
  <c r="K21" i="4"/>
  <c r="L21" i="4" s="1"/>
  <c r="F22" i="4"/>
  <c r="L16" i="7"/>
  <c r="M19" i="7"/>
  <c r="G16" i="6"/>
  <c r="F17" i="6"/>
  <c r="M18" i="6"/>
  <c r="L19" i="6"/>
  <c r="G20" i="6"/>
  <c r="F16" i="5"/>
  <c r="G19" i="5"/>
  <c r="K19" i="5"/>
  <c r="L19" i="5" s="1"/>
  <c r="G18" i="4"/>
  <c r="K18" i="4"/>
  <c r="M18" i="4" s="1"/>
  <c r="F19" i="4"/>
  <c r="G22" i="4"/>
  <c r="K22" i="4"/>
  <c r="M22" i="4" s="1"/>
  <c r="F16" i="4"/>
  <c r="G19" i="4"/>
  <c r="L4" i="13"/>
  <c r="M4" i="13"/>
  <c r="N4" i="13"/>
  <c r="O4" i="13"/>
  <c r="P4" i="13"/>
  <c r="Q4" i="13"/>
  <c r="R4" i="13"/>
  <c r="L5" i="13"/>
  <c r="M5" i="13"/>
  <c r="N5" i="13"/>
  <c r="O5" i="13"/>
  <c r="P5" i="13"/>
  <c r="Q5" i="13"/>
  <c r="R5" i="13"/>
  <c r="L6" i="13"/>
  <c r="M6" i="13"/>
  <c r="N6" i="13"/>
  <c r="O6" i="13"/>
  <c r="P6" i="13"/>
  <c r="Q6" i="13"/>
  <c r="R6" i="13"/>
  <c r="L7" i="13"/>
  <c r="M7" i="13"/>
  <c r="N7" i="13"/>
  <c r="O7" i="13"/>
  <c r="P7" i="13"/>
  <c r="Q7" i="13"/>
  <c r="R7" i="13"/>
  <c r="L8" i="13"/>
  <c r="M8" i="13"/>
  <c r="N8" i="13"/>
  <c r="O8" i="13"/>
  <c r="P8" i="13"/>
  <c r="Q8" i="13"/>
  <c r="R8" i="13"/>
  <c r="L9" i="13"/>
  <c r="M9" i="13"/>
  <c r="N9" i="13"/>
  <c r="O9" i="13"/>
  <c r="P9" i="13"/>
  <c r="Q9" i="13"/>
  <c r="R9" i="13"/>
  <c r="R3" i="13"/>
  <c r="Q3" i="13"/>
  <c r="P3" i="13"/>
  <c r="O3" i="13"/>
  <c r="N3" i="13"/>
  <c r="M3" i="13"/>
  <c r="L3" i="13"/>
  <c r="K4" i="13"/>
  <c r="K5" i="13"/>
  <c r="K6" i="13"/>
  <c r="K7" i="13"/>
  <c r="K8" i="13"/>
  <c r="K9" i="13"/>
  <c r="K3" i="13"/>
  <c r="K21" i="2"/>
  <c r="K14" i="2"/>
  <c r="B17" i="11"/>
  <c r="B18" i="11" s="1"/>
  <c r="I18" i="11"/>
  <c r="H18" i="11"/>
  <c r="G18" i="11"/>
  <c r="F18" i="11"/>
  <c r="E18" i="11"/>
  <c r="D18" i="11"/>
  <c r="C18" i="11"/>
  <c r="I17" i="11"/>
  <c r="H17" i="11"/>
  <c r="G17" i="11"/>
  <c r="F17" i="11"/>
  <c r="E17" i="11"/>
  <c r="D17" i="11"/>
  <c r="C17" i="11"/>
  <c r="I10" i="12"/>
  <c r="H10" i="12"/>
  <c r="G10" i="12"/>
  <c r="F10" i="12"/>
  <c r="E10" i="12"/>
  <c r="D10" i="12"/>
  <c r="C10" i="12"/>
  <c r="B10" i="12"/>
  <c r="E14" i="2"/>
  <c r="F17" i="2" s="1"/>
  <c r="C17" i="2"/>
  <c r="K17" i="2" s="1"/>
  <c r="C18" i="2"/>
  <c r="K18" i="2" s="1"/>
  <c r="C19" i="2"/>
  <c r="K19" i="2" s="1"/>
  <c r="L19" i="2" s="1"/>
  <c r="C20" i="2"/>
  <c r="K20" i="2" s="1"/>
  <c r="C21" i="2"/>
  <c r="C22" i="2"/>
  <c r="K22" i="2" s="1"/>
  <c r="C16" i="2"/>
  <c r="K16" i="2" s="1"/>
  <c r="E9" i="5"/>
  <c r="E9" i="6"/>
  <c r="E9" i="7"/>
  <c r="E9" i="9"/>
  <c r="E9" i="4"/>
  <c r="M18" i="5" l="1"/>
  <c r="L17" i="7"/>
  <c r="M17" i="7"/>
  <c r="M18" i="3"/>
  <c r="M21" i="4"/>
  <c r="M20" i="3"/>
  <c r="M16" i="6"/>
  <c r="L16" i="6"/>
  <c r="M21" i="7"/>
  <c r="L21" i="7"/>
  <c r="M19" i="5"/>
  <c r="M20" i="5"/>
  <c r="M16" i="8"/>
  <c r="L16" i="8"/>
  <c r="M22" i="5"/>
  <c r="L20" i="7"/>
  <c r="L22" i="4"/>
  <c r="M20" i="6"/>
  <c r="L20" i="6"/>
  <c r="M21" i="9"/>
  <c r="L18" i="4"/>
  <c r="L22" i="8"/>
  <c r="L20" i="2"/>
  <c r="L16" i="2"/>
  <c r="L22" i="2"/>
  <c r="L18" i="2"/>
  <c r="L21" i="2"/>
  <c r="L17" i="2"/>
  <c r="F16" i="2"/>
  <c r="F22" i="2"/>
  <c r="F20" i="2"/>
  <c r="F18" i="2"/>
  <c r="F21" i="2"/>
  <c r="F19" i="2"/>
  <c r="E9" i="2"/>
  <c r="D10" i="6"/>
  <c r="F9" i="6"/>
  <c r="C10" i="6"/>
  <c r="E10" i="6" s="1"/>
  <c r="F10" i="6" l="1"/>
  <c r="G10" i="6"/>
  <c r="G9" i="6"/>
  <c r="C25" i="10"/>
  <c r="C24" i="10"/>
  <c r="I22" i="12" l="1"/>
  <c r="H22" i="12"/>
  <c r="G22" i="12"/>
  <c r="F22" i="12"/>
  <c r="E22" i="12"/>
  <c r="D22" i="12"/>
  <c r="C22" i="12"/>
  <c r="B22" i="12"/>
  <c r="I21" i="12"/>
  <c r="H21" i="12"/>
  <c r="G21" i="12"/>
  <c r="F21" i="12"/>
  <c r="E21" i="12"/>
  <c r="D21" i="12"/>
  <c r="C21" i="12"/>
  <c r="B21" i="12"/>
  <c r="D5" i="9"/>
  <c r="D5" i="8"/>
  <c r="D5" i="7"/>
  <c r="D5" i="6"/>
  <c r="D5" i="5"/>
  <c r="D5" i="4"/>
  <c r="D5" i="3"/>
  <c r="D6" i="6"/>
  <c r="G9" i="4"/>
  <c r="G9" i="5"/>
  <c r="G9" i="7"/>
  <c r="G9" i="9"/>
  <c r="G9" i="2"/>
  <c r="M7" i="1"/>
  <c r="D8" i="2"/>
  <c r="C8" i="2"/>
  <c r="I16" i="12"/>
  <c r="H16" i="12"/>
  <c r="G16" i="12"/>
  <c r="F16" i="12"/>
  <c r="E16" i="12"/>
  <c r="D16" i="12"/>
  <c r="C16" i="12"/>
  <c r="B16" i="12"/>
  <c r="D9" i="3"/>
  <c r="C9" i="3"/>
  <c r="E9" i="3" s="1"/>
  <c r="D9" i="8"/>
  <c r="C9" i="8"/>
  <c r="E9" i="8" s="1"/>
  <c r="I12" i="12"/>
  <c r="H12" i="12"/>
  <c r="G12" i="12"/>
  <c r="F12" i="12"/>
  <c r="E12" i="12"/>
  <c r="D12" i="12"/>
  <c r="C12" i="12"/>
  <c r="B12" i="12"/>
  <c r="D8" i="9"/>
  <c r="C8" i="9"/>
  <c r="E8" i="9" s="1"/>
  <c r="D8" i="8"/>
  <c r="C8" i="8"/>
  <c r="E8" i="8" s="1"/>
  <c r="D8" i="7"/>
  <c r="C8" i="7"/>
  <c r="E8" i="7" s="1"/>
  <c r="D8" i="6"/>
  <c r="C8" i="6"/>
  <c r="E8" i="6" s="1"/>
  <c r="D8" i="5"/>
  <c r="C8" i="5"/>
  <c r="E8" i="5" s="1"/>
  <c r="D8" i="4"/>
  <c r="C8" i="4"/>
  <c r="E8" i="4" s="1"/>
  <c r="D8" i="3"/>
  <c r="C8" i="3"/>
  <c r="E8" i="3" s="1"/>
  <c r="C12" i="10"/>
  <c r="G8" i="3" l="1"/>
  <c r="G8" i="5"/>
  <c r="G8" i="7"/>
  <c r="G8" i="9"/>
  <c r="G9" i="3"/>
  <c r="G8" i="4"/>
  <c r="G8" i="6"/>
  <c r="G8" i="8"/>
  <c r="G9" i="8"/>
  <c r="G8" i="2"/>
  <c r="D10" i="1" l="1"/>
  <c r="D9" i="1"/>
  <c r="D8" i="1"/>
  <c r="D7" i="1"/>
  <c r="D6" i="1"/>
  <c r="D5" i="1"/>
  <c r="D4" i="1"/>
  <c r="C4" i="9" l="1"/>
  <c r="C4" i="8"/>
  <c r="E4" i="8" s="1"/>
  <c r="C4" i="7"/>
  <c r="E4" i="7" s="1"/>
  <c r="C4" i="6"/>
  <c r="E4" i="6" s="1"/>
  <c r="C4" i="5"/>
  <c r="C4" i="4"/>
  <c r="E4" i="4" s="1"/>
  <c r="C4" i="3"/>
  <c r="E4" i="3" s="1"/>
  <c r="C4" i="2"/>
  <c r="D6" i="9"/>
  <c r="C6" i="9"/>
  <c r="E6" i="9" s="1"/>
  <c r="D6" i="8"/>
  <c r="C6" i="8"/>
  <c r="E6" i="8" s="1"/>
  <c r="D6" i="7"/>
  <c r="C6" i="7"/>
  <c r="E6" i="7" s="1"/>
  <c r="C6" i="6"/>
  <c r="E6" i="6" s="1"/>
  <c r="D6" i="5"/>
  <c r="C6" i="5"/>
  <c r="E6" i="5" s="1"/>
  <c r="D6" i="4"/>
  <c r="C6" i="4"/>
  <c r="E6" i="4" s="1"/>
  <c r="D6" i="3"/>
  <c r="C6" i="3"/>
  <c r="E6" i="3" s="1"/>
  <c r="C7" i="3"/>
  <c r="E7" i="3" s="1"/>
  <c r="C7" i="4"/>
  <c r="E7" i="4" s="1"/>
  <c r="C7" i="5"/>
  <c r="E7" i="5" s="1"/>
  <c r="C7" i="6"/>
  <c r="E7" i="6" s="1"/>
  <c r="C7" i="7"/>
  <c r="C7" i="8"/>
  <c r="E7" i="8" s="1"/>
  <c r="C7" i="9"/>
  <c r="E7" i="9" s="1"/>
  <c r="C7" i="2"/>
  <c r="D6" i="2"/>
  <c r="C5" i="2"/>
  <c r="C6" i="2"/>
  <c r="D5" i="2"/>
  <c r="I9" i="11"/>
  <c r="I11" i="11" s="1"/>
  <c r="H9" i="11"/>
  <c r="H11" i="11" s="1"/>
  <c r="G9" i="11"/>
  <c r="G11" i="11" s="1"/>
  <c r="F9" i="11"/>
  <c r="F11" i="11" s="1"/>
  <c r="E9" i="11"/>
  <c r="E11" i="11" s="1"/>
  <c r="D9" i="11"/>
  <c r="D11" i="11" s="1"/>
  <c r="C9" i="11"/>
  <c r="C11" i="11" s="1"/>
  <c r="B9" i="11"/>
  <c r="B11" i="11" s="1"/>
  <c r="F8" i="11"/>
  <c r="I7" i="11"/>
  <c r="H7" i="11"/>
  <c r="G7" i="11"/>
  <c r="F7" i="11"/>
  <c r="E7" i="11"/>
  <c r="D7" i="11"/>
  <c r="C7" i="11"/>
  <c r="B7" i="11"/>
  <c r="C5" i="9"/>
  <c r="E5" i="9" s="1"/>
  <c r="C5" i="8"/>
  <c r="E5" i="8" s="1"/>
  <c r="C5" i="7"/>
  <c r="E5" i="7" s="1"/>
  <c r="C5" i="6"/>
  <c r="E5" i="6" s="1"/>
  <c r="C5" i="5"/>
  <c r="E5" i="5" s="1"/>
  <c r="C5" i="4"/>
  <c r="E5" i="4" s="1"/>
  <c r="C5" i="3"/>
  <c r="E5" i="3" s="1"/>
  <c r="F9" i="3"/>
  <c r="F8" i="3"/>
  <c r="F9" i="4"/>
  <c r="F8" i="4"/>
  <c r="F9" i="5"/>
  <c r="F8" i="5"/>
  <c r="F8" i="6"/>
  <c r="F9" i="7"/>
  <c r="F8" i="7"/>
  <c r="F9" i="8"/>
  <c r="F8" i="8"/>
  <c r="F9" i="9"/>
  <c r="F8" i="9"/>
  <c r="F9" i="2"/>
  <c r="E8" i="2"/>
  <c r="F8" i="2" s="1"/>
  <c r="M4" i="1"/>
  <c r="C8" i="11" s="1"/>
  <c r="C12" i="11" s="1"/>
  <c r="C15" i="11" s="1"/>
  <c r="M5" i="1"/>
  <c r="D8" i="11" s="1"/>
  <c r="D12" i="11" s="1"/>
  <c r="D15" i="11" s="1"/>
  <c r="M6" i="1"/>
  <c r="E8" i="11" s="1"/>
  <c r="M8" i="1"/>
  <c r="G8" i="11" s="1"/>
  <c r="G12" i="11" s="1"/>
  <c r="G15" i="11" s="1"/>
  <c r="M9" i="1"/>
  <c r="H8" i="11" s="1"/>
  <c r="H12" i="11" s="1"/>
  <c r="H15" i="11" s="1"/>
  <c r="M10" i="1"/>
  <c r="I8" i="11" s="1"/>
  <c r="M3" i="1"/>
  <c r="B8" i="11" s="1"/>
  <c r="G7" i="7" l="1"/>
  <c r="E7" i="7"/>
  <c r="F7" i="7" s="1"/>
  <c r="G4" i="5"/>
  <c r="E4" i="5"/>
  <c r="F4" i="5" s="1"/>
  <c r="G4" i="9"/>
  <c r="E4" i="9"/>
  <c r="F4" i="9" s="1"/>
  <c r="F5" i="6"/>
  <c r="G5" i="6"/>
  <c r="E6" i="2"/>
  <c r="F6" i="2" s="1"/>
  <c r="G6" i="2"/>
  <c r="F7" i="9"/>
  <c r="G7" i="9"/>
  <c r="F6" i="8"/>
  <c r="G6" i="8"/>
  <c r="G4" i="2"/>
  <c r="E4" i="2"/>
  <c r="F4" i="2" s="1"/>
  <c r="F4" i="6"/>
  <c r="G4" i="6"/>
  <c r="G5" i="3"/>
  <c r="F5" i="7"/>
  <c r="G5" i="7"/>
  <c r="E5" i="2"/>
  <c r="F5" i="2" s="1"/>
  <c r="G5" i="2"/>
  <c r="F7" i="8"/>
  <c r="G7" i="8"/>
  <c r="F7" i="4"/>
  <c r="G7" i="4"/>
  <c r="F6" i="4"/>
  <c r="G6" i="4"/>
  <c r="F6" i="6"/>
  <c r="G6" i="6"/>
  <c r="F4" i="3"/>
  <c r="G4" i="3"/>
  <c r="F4" i="7"/>
  <c r="G4" i="7"/>
  <c r="F7" i="5"/>
  <c r="G7" i="5"/>
  <c r="F5" i="4"/>
  <c r="G5" i="4"/>
  <c r="F5" i="8"/>
  <c r="G5" i="8"/>
  <c r="F7" i="3"/>
  <c r="G7" i="3"/>
  <c r="F6" i="7"/>
  <c r="G6" i="7"/>
  <c r="F6" i="9"/>
  <c r="G6" i="9"/>
  <c r="F4" i="4"/>
  <c r="G4" i="4"/>
  <c r="G11" i="4" s="1"/>
  <c r="F4" i="8"/>
  <c r="G4" i="8"/>
  <c r="F5" i="5"/>
  <c r="G5" i="5"/>
  <c r="F5" i="9"/>
  <c r="G5" i="9"/>
  <c r="E7" i="2"/>
  <c r="F7" i="2" s="1"/>
  <c r="G7" i="2"/>
  <c r="F7" i="6"/>
  <c r="G7" i="6"/>
  <c r="F6" i="3"/>
  <c r="G6" i="3"/>
  <c r="F6" i="5"/>
  <c r="G6" i="5"/>
  <c r="I12" i="11"/>
  <c r="B12" i="11"/>
  <c r="F12" i="11"/>
  <c r="E12" i="11"/>
  <c r="G14" i="11"/>
  <c r="G16" i="11"/>
  <c r="G20" i="12" s="1"/>
  <c r="D16" i="11"/>
  <c r="D20" i="12" s="1"/>
  <c r="D14" i="11"/>
  <c r="H14" i="11"/>
  <c r="H16" i="11"/>
  <c r="H20" i="12" s="1"/>
  <c r="C14" i="11"/>
  <c r="C16" i="11"/>
  <c r="C20" i="12" s="1"/>
  <c r="F5" i="3"/>
  <c r="C1" i="3"/>
  <c r="J20" i="4" l="1"/>
  <c r="J17" i="4"/>
  <c r="J16" i="4"/>
  <c r="J21" i="4"/>
  <c r="J19" i="4"/>
  <c r="J18" i="4"/>
  <c r="J22" i="4"/>
  <c r="F11" i="4"/>
  <c r="F11" i="3"/>
  <c r="G11" i="8"/>
  <c r="G11" i="7"/>
  <c r="G11" i="5"/>
  <c r="F11" i="5"/>
  <c r="F11" i="8"/>
  <c r="F11" i="7"/>
  <c r="G11" i="6"/>
  <c r="F11" i="9"/>
  <c r="G11" i="3"/>
  <c r="F11" i="6"/>
  <c r="G11" i="9"/>
  <c r="G11" i="2"/>
  <c r="F11" i="2"/>
  <c r="E14" i="11"/>
  <c r="E15" i="11"/>
  <c r="B14" i="11"/>
  <c r="B15" i="11"/>
  <c r="I16" i="11"/>
  <c r="I20" i="12" s="1"/>
  <c r="I15" i="11"/>
  <c r="I14" i="11"/>
  <c r="F16" i="11"/>
  <c r="F20" i="12" s="1"/>
  <c r="F15" i="11"/>
  <c r="B16" i="11"/>
  <c r="B20" i="12" s="1"/>
  <c r="F14" i="11"/>
  <c r="E16" i="11"/>
  <c r="E20" i="12" s="1"/>
  <c r="D21" i="5" l="1"/>
  <c r="D19" i="5"/>
  <c r="D18" i="5"/>
  <c r="D22" i="5"/>
  <c r="D17" i="5"/>
  <c r="D20" i="5"/>
  <c r="D16" i="5"/>
  <c r="J17" i="9"/>
  <c r="J21" i="9"/>
  <c r="J20" i="9"/>
  <c r="J16" i="9"/>
  <c r="J19" i="9"/>
  <c r="J18" i="9"/>
  <c r="J22" i="9"/>
  <c r="J19" i="6"/>
  <c r="J22" i="6"/>
  <c r="J18" i="6"/>
  <c r="J17" i="6"/>
  <c r="J21" i="6"/>
  <c r="J16" i="6"/>
  <c r="J20" i="6"/>
  <c r="J22" i="5"/>
  <c r="J21" i="5"/>
  <c r="J18" i="5"/>
  <c r="J17" i="5"/>
  <c r="J16" i="5"/>
  <c r="J19" i="5"/>
  <c r="J20" i="5"/>
  <c r="D16" i="4"/>
  <c r="N16" i="4" s="1"/>
  <c r="O16" i="4" s="1"/>
  <c r="D22" i="4"/>
  <c r="N22" i="4" s="1"/>
  <c r="O22" i="4" s="1"/>
  <c r="D21" i="4"/>
  <c r="N21" i="4" s="1"/>
  <c r="O21" i="4" s="1"/>
  <c r="D20" i="4"/>
  <c r="N20" i="4" s="1"/>
  <c r="O20" i="4" s="1"/>
  <c r="D18" i="4"/>
  <c r="N18" i="4" s="1"/>
  <c r="O18" i="4" s="1"/>
  <c r="D17" i="4"/>
  <c r="N17" i="4" s="1"/>
  <c r="O17" i="4" s="1"/>
  <c r="D19" i="4"/>
  <c r="N19" i="4" s="1"/>
  <c r="O19" i="4" s="1"/>
  <c r="D20" i="6"/>
  <c r="N20" i="6" s="1"/>
  <c r="O20" i="6" s="1"/>
  <c r="D19" i="6"/>
  <c r="N19" i="6" s="1"/>
  <c r="O19" i="6" s="1"/>
  <c r="D22" i="6"/>
  <c r="N22" i="6" s="1"/>
  <c r="O22" i="6" s="1"/>
  <c r="D18" i="6"/>
  <c r="N18" i="6" s="1"/>
  <c r="O18" i="6" s="1"/>
  <c r="D16" i="6"/>
  <c r="N16" i="6" s="1"/>
  <c r="O16" i="6" s="1"/>
  <c r="D17" i="6"/>
  <c r="N17" i="6" s="1"/>
  <c r="O17" i="6" s="1"/>
  <c r="D21" i="6"/>
  <c r="N21" i="6" s="1"/>
  <c r="O21" i="6" s="1"/>
  <c r="D20" i="7"/>
  <c r="D16" i="7"/>
  <c r="D19" i="7"/>
  <c r="N19" i="7" s="1"/>
  <c r="O19" i="7" s="1"/>
  <c r="D17" i="7"/>
  <c r="D21" i="7"/>
  <c r="D22" i="7"/>
  <c r="D18" i="7"/>
  <c r="J20" i="7"/>
  <c r="J19" i="7"/>
  <c r="J16" i="7"/>
  <c r="J17" i="7"/>
  <c r="J22" i="7"/>
  <c r="J21" i="7"/>
  <c r="J18" i="7"/>
  <c r="D17" i="8"/>
  <c r="D21" i="8"/>
  <c r="D19" i="8"/>
  <c r="D20" i="8"/>
  <c r="D22" i="8"/>
  <c r="D16" i="8"/>
  <c r="D18" i="8"/>
  <c r="J20" i="8"/>
  <c r="J19" i="8"/>
  <c r="J16" i="8"/>
  <c r="J17" i="8"/>
  <c r="J21" i="8"/>
  <c r="J18" i="8"/>
  <c r="J22" i="8"/>
  <c r="J21" i="3"/>
  <c r="J20" i="3"/>
  <c r="J17" i="3"/>
  <c r="J18" i="3"/>
  <c r="J22" i="3"/>
  <c r="J16" i="3"/>
  <c r="J19" i="3"/>
  <c r="D18" i="9"/>
  <c r="N18" i="9" s="1"/>
  <c r="O18" i="9" s="1"/>
  <c r="D22" i="9"/>
  <c r="N22" i="9" s="1"/>
  <c r="O22" i="9" s="1"/>
  <c r="D20" i="9"/>
  <c r="N20" i="9" s="1"/>
  <c r="O20" i="9" s="1"/>
  <c r="D16" i="9"/>
  <c r="N16" i="9" s="1"/>
  <c r="O16" i="9" s="1"/>
  <c r="D17" i="9"/>
  <c r="N17" i="9" s="1"/>
  <c r="O17" i="9" s="1"/>
  <c r="D19" i="9"/>
  <c r="N19" i="9" s="1"/>
  <c r="O19" i="9" s="1"/>
  <c r="D21" i="9"/>
  <c r="N21" i="9" s="1"/>
  <c r="O21" i="9" s="1"/>
  <c r="D21" i="3"/>
  <c r="N21" i="3" s="1"/>
  <c r="O21" i="3" s="1"/>
  <c r="D17" i="3"/>
  <c r="N17" i="3" s="1"/>
  <c r="O17" i="3" s="1"/>
  <c r="D19" i="3"/>
  <c r="D18" i="3"/>
  <c r="D22" i="3"/>
  <c r="N22" i="3" s="1"/>
  <c r="O22" i="3" s="1"/>
  <c r="D16" i="3"/>
  <c r="N16" i="3" s="1"/>
  <c r="O16" i="3" s="1"/>
  <c r="P16" i="3" s="1"/>
  <c r="D20" i="3"/>
  <c r="N20" i="3" s="1"/>
  <c r="O20" i="3" s="1"/>
  <c r="J18" i="2"/>
  <c r="J22" i="2"/>
  <c r="J19" i="2"/>
  <c r="J16" i="2"/>
  <c r="J20" i="2"/>
  <c r="J17" i="2"/>
  <c r="J21" i="2"/>
  <c r="D19" i="2"/>
  <c r="D20" i="2"/>
  <c r="D17" i="2"/>
  <c r="D21" i="2"/>
  <c r="D18" i="2"/>
  <c r="N18" i="2" s="1"/>
  <c r="O18" i="2" s="1"/>
  <c r="P18" i="2" s="1"/>
  <c r="C5" i="13" s="1"/>
  <c r="D22" i="2"/>
  <c r="D16" i="2"/>
  <c r="N18" i="3" l="1"/>
  <c r="O18" i="3" s="1"/>
  <c r="P21" i="9"/>
  <c r="P20" i="9"/>
  <c r="N20" i="8"/>
  <c r="O20" i="8" s="1"/>
  <c r="N22" i="7"/>
  <c r="O22" i="7" s="1"/>
  <c r="N16" i="7"/>
  <c r="O16" i="7" s="1"/>
  <c r="P16" i="6"/>
  <c r="P20" i="6"/>
  <c r="P20" i="4"/>
  <c r="N22" i="5"/>
  <c r="O22" i="5" s="1"/>
  <c r="N19" i="2"/>
  <c r="O19" i="2" s="1"/>
  <c r="P19" i="2" s="1"/>
  <c r="C6" i="13" s="1"/>
  <c r="P20" i="3"/>
  <c r="N19" i="3"/>
  <c r="O19" i="3" s="1"/>
  <c r="P19" i="9"/>
  <c r="P22" i="9"/>
  <c r="N18" i="8"/>
  <c r="O18" i="8" s="1"/>
  <c r="N19" i="8"/>
  <c r="O19" i="8" s="1"/>
  <c r="N21" i="7"/>
  <c r="O21" i="7" s="1"/>
  <c r="N20" i="7"/>
  <c r="O20" i="7" s="1"/>
  <c r="P18" i="6"/>
  <c r="P19" i="4"/>
  <c r="P21" i="4"/>
  <c r="N16" i="5"/>
  <c r="O16" i="5" s="1"/>
  <c r="N18" i="5"/>
  <c r="O18" i="5" s="1"/>
  <c r="P17" i="3"/>
  <c r="P17" i="9"/>
  <c r="P18" i="9"/>
  <c r="N16" i="8"/>
  <c r="O16" i="8" s="1"/>
  <c r="N21" i="8"/>
  <c r="O21" i="8" s="1"/>
  <c r="N17" i="7"/>
  <c r="O17" i="7" s="1"/>
  <c r="P21" i="6"/>
  <c r="P22" i="6"/>
  <c r="P17" i="4"/>
  <c r="P22" i="4"/>
  <c r="N20" i="5"/>
  <c r="O20" i="5" s="1"/>
  <c r="N19" i="5"/>
  <c r="O19" i="5" s="1"/>
  <c r="P22" i="3"/>
  <c r="P21" i="3"/>
  <c r="P16" i="9"/>
  <c r="N22" i="8"/>
  <c r="O22" i="8" s="1"/>
  <c r="N17" i="8"/>
  <c r="O17" i="8" s="1"/>
  <c r="N18" i="7"/>
  <c r="O18" i="7" s="1"/>
  <c r="P19" i="7"/>
  <c r="P17" i="6"/>
  <c r="P19" i="6"/>
  <c r="P18" i="4"/>
  <c r="P16" i="4"/>
  <c r="N17" i="5"/>
  <c r="O17" i="5" s="1"/>
  <c r="N21" i="5"/>
  <c r="O21" i="5" s="1"/>
  <c r="N22" i="2"/>
  <c r="O22" i="2" s="1"/>
  <c r="P22" i="2" s="1"/>
  <c r="C9" i="13" s="1"/>
  <c r="N21" i="2"/>
  <c r="O21" i="2" s="1"/>
  <c r="P21" i="2" s="1"/>
  <c r="C8" i="13" s="1"/>
  <c r="N20" i="2"/>
  <c r="O20" i="2" s="1"/>
  <c r="P20" i="2" s="1"/>
  <c r="C7" i="13" s="1"/>
  <c r="N16" i="2"/>
  <c r="O16" i="2" s="1"/>
  <c r="P16" i="2" s="1"/>
  <c r="C3" i="13" s="1"/>
  <c r="N17" i="2"/>
  <c r="O17" i="2" s="1"/>
  <c r="P17" i="2" s="1"/>
  <c r="C4" i="13" s="1"/>
  <c r="P17" i="7" l="1"/>
  <c r="P18" i="8"/>
  <c r="P16" i="7"/>
  <c r="P21" i="5"/>
  <c r="P18" i="7"/>
  <c r="P21" i="8"/>
  <c r="P18" i="5"/>
  <c r="P20" i="7"/>
  <c r="P19" i="3"/>
  <c r="P22" i="5"/>
  <c r="P22" i="7"/>
  <c r="P17" i="5"/>
  <c r="P17" i="8"/>
  <c r="P19" i="5"/>
  <c r="P16" i="8"/>
  <c r="P16" i="5"/>
  <c r="P21" i="7"/>
  <c r="P20" i="8"/>
  <c r="P22" i="8"/>
  <c r="P20" i="5"/>
  <c r="P19" i="8"/>
  <c r="P18" i="3"/>
</calcChain>
</file>

<file path=xl/sharedStrings.xml><?xml version="1.0" encoding="utf-8"?>
<sst xmlns="http://schemas.openxmlformats.org/spreadsheetml/2006/main" count="486" uniqueCount="123">
  <si>
    <t>m4.10xlarge</t>
  </si>
  <si>
    <t>m3.large</t>
  </si>
  <si>
    <t>m3.2xlarge</t>
  </si>
  <si>
    <t>c3.8xlarge</t>
  </si>
  <si>
    <t>g2.2xlarge</t>
  </si>
  <si>
    <t>r3.4xlarge</t>
  </si>
  <si>
    <t>i2.8xlarge</t>
  </si>
  <si>
    <t>d2.8xlarge</t>
  </si>
  <si>
    <t>Storage (GB)</t>
  </si>
  <si>
    <t>Physical Processor</t>
  </si>
  <si>
    <t>Clock Speed (GHz)</t>
  </si>
  <si>
    <t>Price</t>
  </si>
  <si>
    <t>Intel Xeon E5- 2676 v3</t>
  </si>
  <si>
    <t>Intel Xeon E5- 2670 v2</t>
  </si>
  <si>
    <t>Intel Xeon E5-2670 v2</t>
  </si>
  <si>
    <t>Intel Xeon E5-2680 v2</t>
  </si>
  <si>
    <t>Intel Xeon E5-2670</t>
  </si>
  <si>
    <t>Intel Xeon E5-2676 v3</t>
  </si>
  <si>
    <t>Instance Type</t>
  </si>
  <si>
    <t>vCPU</t>
  </si>
  <si>
    <t>Memory (GiB)</t>
  </si>
  <si>
    <t>No. of Cores / Processor</t>
  </si>
  <si>
    <t>Instructions per Cycle</t>
  </si>
  <si>
    <t>No. of hardware threads / core</t>
  </si>
  <si>
    <t>Max Memory supported</t>
  </si>
  <si>
    <t>768 GB</t>
  </si>
  <si>
    <t>Processor</t>
  </si>
  <si>
    <t>Description</t>
  </si>
  <si>
    <t>No. of instances can be managed in single node:</t>
  </si>
  <si>
    <t>Memory</t>
  </si>
  <si>
    <t>Quantity</t>
  </si>
  <si>
    <t>Cost per Unit</t>
  </si>
  <si>
    <t>Final Cost</t>
  </si>
  <si>
    <t>Details</t>
  </si>
  <si>
    <t>HDD</t>
  </si>
  <si>
    <t>Network Adapter</t>
  </si>
  <si>
    <t>Network Switch</t>
  </si>
  <si>
    <t>Motherboard</t>
  </si>
  <si>
    <t>Rack</t>
  </si>
  <si>
    <t>System Admin</t>
  </si>
  <si>
    <t>Case</t>
  </si>
  <si>
    <t>Cooling Power Consumption</t>
  </si>
  <si>
    <t>No. of instances / Node</t>
  </si>
  <si>
    <t>Intel Xeon E5-2670 v2 Ivy Bridge-EP 2.5 GHz 25MB L3 Cache LGA 2011 115W BX80635E52670V2 Server Processor</t>
  </si>
  <si>
    <t>Theorotical Giga Flops value / instance</t>
  </si>
  <si>
    <t>Intel Xeon E5-2680 v3 Haswell 2.5 GHz LGA 2011-3 120W BX80644E52680V3 Server Processor</t>
  </si>
  <si>
    <t>Intel Xeon E5-2680 v2 Ivy Bridge-EP 2.8 GHz 25MB L3 Cache LGA 2011 115W BX80635E52680V2 Server Processor</t>
  </si>
  <si>
    <t>Intel Xeon E5-2690 v3 Haswell 2.6 GHz 12 x 256KB L2 Cache 30 MB L3 Cache LGA 2011-3 135W BX80644E52690V3 Server Processor</t>
  </si>
  <si>
    <t>Public AWS Cloud</t>
  </si>
  <si>
    <t>Private Cloud</t>
  </si>
  <si>
    <t>Intel Xeon E5-2640 V4 2.4 GHz 25MB L3 Cache LGA 2011 90W BX80660E52640V4 Server Processor</t>
  </si>
  <si>
    <t>Total no. of Hardware Threads</t>
  </si>
  <si>
    <t>Instance Gflops</t>
  </si>
  <si>
    <t>Processor Gflops</t>
  </si>
  <si>
    <t>No. of Processors</t>
  </si>
  <si>
    <t>Flops / Machine</t>
  </si>
  <si>
    <t>Networking Performance
(Gbps)</t>
  </si>
  <si>
    <t>Networking Performance (Gbps)</t>
  </si>
  <si>
    <t>GIGABYTE MD80-TM0 E-ATX / SSI EEB Server Motherboard Dual LGA 2011-3 Intel C612</t>
  </si>
  <si>
    <t>Kingston 16GB 288-Pin DDR4 SDRAM ECC Registered DDR4 2133 (PC4 17000) Server Memory Model KVR21R15D4/16</t>
  </si>
  <si>
    <t>Processor Quantity</t>
  </si>
  <si>
    <t>Memory Quantity</t>
  </si>
  <si>
    <t>HDD Quantity</t>
  </si>
  <si>
    <t>Kingston 64GB (4 x 16GB) 288-Pin DDR4 SDRAM ECC Registered DDR4 2133 (PC4 17000) Server Memory Model KVR21R15D4K4/64</t>
  </si>
  <si>
    <t>Black Diamond Memory 32GB 288-Pin DDR4 SDRAM ECC Registered DDR4 2133 (PC4 17000) Server Memory Model BD32G2133MQR26</t>
  </si>
  <si>
    <t>Storage Type</t>
  </si>
  <si>
    <t>EBS</t>
  </si>
  <si>
    <t>SSD</t>
  </si>
  <si>
    <t>System Administrator</t>
  </si>
  <si>
    <t>Black Diamond Memory Sonic Series BDSSDS1T 2.5" 1TB SATA III TLC Internal Solid State Drive</t>
  </si>
  <si>
    <t>Black Diamond Memory Sonic Series BDSSDS512G 2.5" 512GB SATA III Internal Solid State Drive</t>
  </si>
  <si>
    <t>Black Diamond Memory Sonic Series BDSSDS256G 2.5" 256GB SATA III Internal Solid State Drive</t>
  </si>
  <si>
    <t>SAMSUNG 850 EVO 2.5" 2 TB SATA III 3-D Vertical Internal Solid State Drive (SSD) MZ-75E2T0B/AM</t>
  </si>
  <si>
    <t>Seagate Archive HDD v2 ST8000AS0002 8TB 128MB Cache SATA 6.0Gb/s 3.5" Internal Hard Drive Bare Drive</t>
  </si>
  <si>
    <t>Tripp Lite SU5000XFMRT2U Step Down Transformer 5000 VA 5kVA 2U Rackmount 13 Outlets</t>
  </si>
  <si>
    <t>UPS Make</t>
  </si>
  <si>
    <t>UPS Quantity</t>
  </si>
  <si>
    <t>Network Adapter Quantity</t>
  </si>
  <si>
    <t>APC AR3300 42U NetShelter SX 600mm Wide x 1200mm Deep Enclosure</t>
  </si>
  <si>
    <t>Rack Quantity</t>
  </si>
  <si>
    <t>Kingston SSD Now mS200 mSATA 30GB SATA III Internal Solid State Drive (SSD) SMS200S3/30G</t>
  </si>
  <si>
    <t>Power Requirement</t>
  </si>
  <si>
    <t>Nvidia GRID K520 8GB PCIe x16 Cloud Gaming GPU Graphics Card 900-12055-0020-000</t>
  </si>
  <si>
    <t>GPU</t>
  </si>
  <si>
    <t>GPU Quantity</t>
  </si>
  <si>
    <t>Lenovo ThinkServer I350-T4 AnyFabric 1 Gb 4-port Base-T Ethernet Adapter by Intel</t>
  </si>
  <si>
    <t>Network Switch Quantity</t>
  </si>
  <si>
    <t>NETGEAR ProSAFE XS728T 28-Port 10-Gigabit Ethernet Smart Managed Switch (XS728T) - Lifetime Warranty</t>
  </si>
  <si>
    <t>To be discussed with Suraj</t>
  </si>
  <si>
    <t>Power Consumption</t>
  </si>
  <si>
    <t>Power Consumption (W)</t>
  </si>
  <si>
    <t>Cooling Power</t>
  </si>
  <si>
    <t>1 Gflops</t>
  </si>
  <si>
    <t>100 Gflops</t>
  </si>
  <si>
    <t>10 Tflops</t>
  </si>
  <si>
    <t>100 Tflops</t>
  </si>
  <si>
    <t>NORCO RPC-170 Black 1U Rackmount Server Chassis</t>
  </si>
  <si>
    <t>Gflops</t>
  </si>
  <si>
    <t>No. of machines required</t>
  </si>
  <si>
    <t>Hardware cost for 5 years</t>
  </si>
  <si>
    <t>Network cost for 5 years</t>
  </si>
  <si>
    <t>Administration cost for 5 years</t>
  </si>
  <si>
    <t>Network Switches Quantity</t>
  </si>
  <si>
    <t>Network Power cost for 5 years</t>
  </si>
  <si>
    <t>System &amp; Cooling Power cost for 5 years</t>
  </si>
  <si>
    <t>Power Cost</t>
  </si>
  <si>
    <t>Rack cost for 5 years</t>
  </si>
  <si>
    <t>Rack Power cost for 5 years</t>
  </si>
  <si>
    <t>Total Cost</t>
  </si>
  <si>
    <t>Cost / hour</t>
  </si>
  <si>
    <t>Cost / hour / Gflop</t>
  </si>
  <si>
    <t>pr.m4.10xlarge</t>
  </si>
  <si>
    <t>pr.m3.large</t>
  </si>
  <si>
    <t>pr.m3.2xlarge</t>
  </si>
  <si>
    <t>pr.c3.8xlarge</t>
  </si>
  <si>
    <t>pr.g2.2xlarge</t>
  </si>
  <si>
    <t>pr.r3.4xlarge</t>
  </si>
  <si>
    <t>pr.i2.8xlarge</t>
  </si>
  <si>
    <t>pr.d2.8xlarge</t>
  </si>
  <si>
    <t>10 GFlops</t>
  </si>
  <si>
    <t>1 Tflops</t>
  </si>
  <si>
    <t>1 Pflops</t>
  </si>
  <si>
    <t>No. of System Admin(s)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</si>
</sst>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8" fontId="0" fillId="0" borderId="0" xfId="0" applyNumberForma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2" fillId="2" borderId="0" xfId="0" applyFont="1" applyFill="1" applyAlignment="1">
      <alignment wrapText="1"/>
    </xf>
    <xf numFmtId="0" fontId="0" fillId="0" borderId="0" xfId="0" applyAlignment="1">
      <alignment vertical="top" wrapText="1"/>
    </xf>
    <xf numFmtId="0" fontId="0" fillId="3" borderId="0" xfId="0" applyFill="1"/>
    <xf numFmtId="0" fontId="0" fillId="0" borderId="0" xfId="0" applyAlignment="1">
      <alignment vertical="top" wrapText="1"/>
    </xf>
    <xf numFmtId="0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Summary!$C$2</c:f>
              <c:strCache>
                <c:ptCount val="1"/>
                <c:pt idx="0">
                  <c:v>pr.m4.10xlarge</c:v>
                </c:pt>
              </c:strCache>
            </c:strRef>
          </c:tx>
          <c:spPr>
            <a:ln w="22225" cap="rnd">
              <a:solidFill>
                <a:srgbClr val="00CCFF"/>
              </a:solidFill>
              <a:prstDash val="solid"/>
            </a:ln>
            <a:effectLst/>
          </c:spPr>
          <c:marker>
            <c:symbol val="square"/>
            <c:size val="5"/>
            <c:spPr>
              <a:solidFill>
                <a:srgbClr val="BDD7EE"/>
              </a:solidFill>
              <a:ln w="22225">
                <a:solidFill>
                  <a:srgbClr val="BDD7EE"/>
                </a:solidFill>
                <a:prstDash val="solid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Summary!$C$3:$C$9</c:f>
              <c:numCache>
                <c:formatCode>General</c:formatCode>
                <c:ptCount val="7"/>
                <c:pt idx="0">
                  <c:v>1.6037835936549224E-2</c:v>
                </c:pt>
                <c:pt idx="1">
                  <c:v>1.6037835936549224E-2</c:v>
                </c:pt>
                <c:pt idx="2">
                  <c:v>1.6037835936549224E-2</c:v>
                </c:pt>
                <c:pt idx="3">
                  <c:v>8.1316404277146474E-3</c:v>
                </c:pt>
                <c:pt idx="4">
                  <c:v>1.3549014201421487E-3</c:v>
                </c:pt>
                <c:pt idx="5">
                  <c:v>3.4818855660250875E-4</c:v>
                </c:pt>
                <c:pt idx="6">
                  <c:v>2.517022885749695E-4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352-4DE5-B270-2018E9F3D2AD}"/>
            </c:ext>
          </c:extLst>
        </c:ser>
        <c:ser>
          <c:idx val="1"/>
          <c:order val="1"/>
          <c:tx>
            <c:strRef>
              <c:f>Summary!$D$2</c:f>
              <c:strCache>
                <c:ptCount val="1"/>
                <c:pt idx="0">
                  <c:v>pr.m3.large</c:v>
                </c:pt>
              </c:strCache>
            </c:strRef>
          </c:tx>
          <c:spPr>
            <a:ln w="22225" cap="rnd">
              <a:solidFill>
                <a:srgbClr val="ED7D31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8CBAD"/>
              </a:solidFill>
              <a:ln w="22225">
                <a:solidFill>
                  <a:srgbClr val="F8CBAD"/>
                </a:solidFill>
                <a:prstDash val="solid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Summary!$D$3:$D$9</c:f>
              <c:numCache>
                <c:formatCode>General</c:formatCode>
                <c:ptCount val="7"/>
                <c:pt idx="0">
                  <c:v>1.2956871331918583E-2</c:v>
                </c:pt>
                <c:pt idx="1">
                  <c:v>1.2956871331918583E-2</c:v>
                </c:pt>
                <c:pt idx="2">
                  <c:v>1.2956871331918583E-2</c:v>
                </c:pt>
                <c:pt idx="3">
                  <c:v>6.631914924850919E-3</c:v>
                </c:pt>
                <c:pt idx="4">
                  <c:v>1.2105237187929206E-3</c:v>
                </c:pt>
                <c:pt idx="5">
                  <c:v>4.0515342796120863E-4</c:v>
                </c:pt>
                <c:pt idx="6">
                  <c:v>3.2796441353917722E-4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352-4DE5-B270-2018E9F3D2AD}"/>
            </c:ext>
          </c:extLst>
        </c:ser>
        <c:ser>
          <c:idx val="2"/>
          <c:order val="2"/>
          <c:tx>
            <c:strRef>
              <c:f>Summary!$E$2</c:f>
              <c:strCache>
                <c:ptCount val="1"/>
                <c:pt idx="0">
                  <c:v>pr.m3.2xlarge</c:v>
                </c:pt>
              </c:strCache>
            </c:strRef>
          </c:tx>
          <c:spPr>
            <a:ln w="22225" cap="rnd">
              <a:solidFill>
                <a:srgbClr val="E2EFDA"/>
              </a:solidFill>
              <a:prstDash val="solid"/>
            </a:ln>
            <a:effectLst/>
          </c:spPr>
          <c:marker>
            <c:symbol val="triangle"/>
            <c:size val="5"/>
            <c:spPr>
              <a:solidFill>
                <a:srgbClr val="70AD47"/>
              </a:solidFill>
              <a:ln w="22225">
                <a:solidFill>
                  <a:srgbClr val="70AD47"/>
                </a:solidFill>
                <a:prstDash val="solid"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Summary!$E$3:$E$9</c:f>
              <c:numCache>
                <c:formatCode>General</c:formatCode>
                <c:ptCount val="7"/>
                <c:pt idx="0">
                  <c:v>1.2953114811518803E-2</c:v>
                </c:pt>
                <c:pt idx="1">
                  <c:v>1.2953114811518803E-2</c:v>
                </c:pt>
                <c:pt idx="2">
                  <c:v>1.2953114811518803E-2</c:v>
                </c:pt>
                <c:pt idx="3">
                  <c:v>6.6281584044511378E-3</c:v>
                </c:pt>
                <c:pt idx="4">
                  <c:v>1.2067671983931397E-3</c:v>
                </c:pt>
                <c:pt idx="5">
                  <c:v>4.0139690756142769E-4</c:v>
                </c:pt>
                <c:pt idx="6">
                  <c:v>3.2420789313939639E-4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352-4DE5-B270-2018E9F3D2AD}"/>
            </c:ext>
          </c:extLst>
        </c:ser>
        <c:ser>
          <c:idx val="3"/>
          <c:order val="3"/>
          <c:tx>
            <c:strRef>
              <c:f>Summary!$F$2</c:f>
              <c:strCache>
                <c:ptCount val="1"/>
                <c:pt idx="0">
                  <c:v>pr.c3.8xlarge</c:v>
                </c:pt>
              </c:strCache>
            </c:strRef>
          </c:tx>
          <c:spPr>
            <a:ln w="22225" cap="rnd">
              <a:solidFill>
                <a:srgbClr val="4472C4"/>
              </a:solidFill>
              <a:prstDash val="solid"/>
            </a:ln>
            <a:effectLst/>
          </c:spPr>
          <c:marker>
            <c:symbol val="x"/>
            <c:size val="5"/>
            <c:spPr>
              <a:solidFill>
                <a:srgbClr val="D9E1F2"/>
              </a:solidFill>
              <a:ln w="22225">
                <a:solidFill>
                  <a:srgbClr val="D9E1F2"/>
                </a:solidFill>
                <a:prstDash val="solid"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Summary!$F$3:$F$9</c:f>
              <c:numCache>
                <c:formatCode>General</c:formatCode>
                <c:ptCount val="7"/>
                <c:pt idx="0">
                  <c:v>2.2974529791922018E-2</c:v>
                </c:pt>
                <c:pt idx="1">
                  <c:v>2.2974529791922018E-2</c:v>
                </c:pt>
                <c:pt idx="2">
                  <c:v>2.2974529791922018E-2</c:v>
                </c:pt>
                <c:pt idx="3">
                  <c:v>1.1679964779301191E-2</c:v>
                </c:pt>
                <c:pt idx="4">
                  <c:v>1.9989090541976196E-3</c:v>
                </c:pt>
                <c:pt idx="5">
                  <c:v>5.6074782056956217E-4</c:v>
                </c:pt>
                <c:pt idx="6">
                  <c:v>4.2291029481593477E-4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352-4DE5-B270-2018E9F3D2AD}"/>
            </c:ext>
          </c:extLst>
        </c:ser>
        <c:ser>
          <c:idx val="4"/>
          <c:order val="4"/>
          <c:tx>
            <c:strRef>
              <c:f>Summary!$G$2</c:f>
              <c:strCache>
                <c:ptCount val="1"/>
                <c:pt idx="0">
                  <c:v>pr.g2.2xlarge</c:v>
                </c:pt>
              </c:strCache>
            </c:strRef>
          </c:tx>
          <c:spPr>
            <a:ln w="22225" cap="rnd">
              <a:solidFill>
                <a:srgbClr val="A5A5A5"/>
              </a:solidFill>
              <a:prstDash val="solid"/>
            </a:ln>
            <a:effectLst/>
          </c:spPr>
          <c:marker>
            <c:symbol val="star"/>
            <c:size val="5"/>
            <c:spPr>
              <a:solidFill>
                <a:srgbClr val="EDEDED"/>
              </a:solidFill>
              <a:ln w="22225">
                <a:solidFill>
                  <a:srgbClr val="EDEDED"/>
                </a:solidFill>
                <a:prstDash val="solid"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Summary!$G$3:$G$9</c:f>
              <c:numCache>
                <c:formatCode>General</c:formatCode>
                <c:ptCount val="7"/>
                <c:pt idx="0">
                  <c:v>8.1149827335356506E-4</c:v>
                </c:pt>
                <c:pt idx="1">
                  <c:v>8.1149827335356506E-4</c:v>
                </c:pt>
                <c:pt idx="2">
                  <c:v>8.1149827335356506E-4</c:v>
                </c:pt>
                <c:pt idx="3">
                  <c:v>4.2447325226941854E-4</c:v>
                </c:pt>
                <c:pt idx="4">
                  <c:v>9.2737519911578677E-5</c:v>
                </c:pt>
                <c:pt idx="5">
                  <c:v>4.3456792309821808E-5</c:v>
                </c:pt>
                <c:pt idx="6">
                  <c:v>3.8733585063560129E-5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4352-4DE5-B270-2018E9F3D2AD}"/>
            </c:ext>
          </c:extLst>
        </c:ser>
        <c:ser>
          <c:idx val="5"/>
          <c:order val="5"/>
          <c:tx>
            <c:strRef>
              <c:f>Summary!$H$2</c:f>
              <c:strCache>
                <c:ptCount val="1"/>
                <c:pt idx="0">
                  <c:v>pr.r3.4xlarge</c:v>
                </c:pt>
              </c:strCache>
            </c:strRef>
          </c:tx>
          <c:spPr>
            <a:ln w="22225" cap="rnd">
              <a:solidFill>
                <a:srgbClr val="F4B084"/>
              </a:solidFill>
              <a:prstDash val="solid"/>
            </a:ln>
            <a:effectLst/>
          </c:spPr>
          <c:marker>
            <c:symbol val="dot"/>
            <c:size val="5"/>
            <c:spPr>
              <a:solidFill>
                <a:srgbClr val="833C0C"/>
              </a:solidFill>
              <a:ln w="22225">
                <a:solidFill>
                  <a:srgbClr val="833C0C"/>
                </a:solidFill>
                <a:prstDash val="solid"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Summary!$H$3:$H$9</c:f>
              <c:numCache>
                <c:formatCode>General</c:formatCode>
                <c:ptCount val="7"/>
                <c:pt idx="0">
                  <c:v>1.3019811522605574E-2</c:v>
                </c:pt>
                <c:pt idx="1">
                  <c:v>1.3019811522605574E-2</c:v>
                </c:pt>
                <c:pt idx="2">
                  <c:v>1.3019811522605574E-2</c:v>
                </c:pt>
                <c:pt idx="3">
                  <c:v>6.6948551155379095E-3</c:v>
                </c:pt>
                <c:pt idx="4">
                  <c:v>1.2734639094799109E-3</c:v>
                </c:pt>
                <c:pt idx="5">
                  <c:v>4.6809361864819907E-4</c:v>
                </c:pt>
                <c:pt idx="6">
                  <c:v>3.9090460422616766E-4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4352-4DE5-B270-2018E9F3D2AD}"/>
            </c:ext>
          </c:extLst>
        </c:ser>
        <c:ser>
          <c:idx val="6"/>
          <c:order val="6"/>
          <c:tx>
            <c:strRef>
              <c:f>Summary!$I$2</c:f>
              <c:strCache>
                <c:ptCount val="1"/>
                <c:pt idx="0">
                  <c:v>pr.i2.8xlarge</c:v>
                </c:pt>
              </c:strCache>
            </c:strRef>
          </c:tx>
          <c:spPr>
            <a:ln w="22225" cap="rnd">
              <a:solidFill>
                <a:srgbClr val="FFFF00"/>
              </a:solidFill>
              <a:prstDash val="solid"/>
            </a:ln>
            <a:effectLst/>
          </c:spPr>
          <c:marker>
            <c:symbol val="dash"/>
            <c:size val="5"/>
            <c:spPr>
              <a:solidFill>
                <a:srgbClr val="FF0000"/>
              </a:solidFill>
              <a:ln w="22225">
                <a:solidFill>
                  <a:srgbClr val="FF0000"/>
                </a:solidFill>
                <a:prstDash val="solid"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Summary!$I$3:$I$9</c:f>
              <c:numCache>
                <c:formatCode>General</c:formatCode>
                <c:ptCount val="7"/>
                <c:pt idx="0">
                  <c:v>1.321822329279238E-2</c:v>
                </c:pt>
                <c:pt idx="1">
                  <c:v>1.321822329279238E-2</c:v>
                </c:pt>
                <c:pt idx="2">
                  <c:v>1.321822329279238E-2</c:v>
                </c:pt>
                <c:pt idx="3">
                  <c:v>6.893266885724717E-3</c:v>
                </c:pt>
                <c:pt idx="4">
                  <c:v>1.4718756796667186E-3</c:v>
                </c:pt>
                <c:pt idx="5">
                  <c:v>6.6650538883500691E-4</c:v>
                </c:pt>
                <c:pt idx="6">
                  <c:v>5.8931637441297555E-4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4352-4DE5-B270-2018E9F3D2AD}"/>
            </c:ext>
          </c:extLst>
        </c:ser>
        <c:ser>
          <c:idx val="7"/>
          <c:order val="7"/>
          <c:tx>
            <c:strRef>
              <c:f>Summary!$J$2</c:f>
              <c:strCache>
                <c:ptCount val="1"/>
                <c:pt idx="0">
                  <c:v>pr.d2.8xlarge</c:v>
                </c:pt>
              </c:strCache>
            </c:strRef>
          </c:tx>
          <c:spPr>
            <a:ln w="22225" cap="rnd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3FFFFF"/>
              </a:solidFill>
              <a:ln w="22225">
                <a:solidFill>
                  <a:srgbClr val="3FFFFF"/>
                </a:solidFill>
                <a:prstDash val="solid"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Summary!$J$3:$J$9</c:f>
              <c:numCache>
                <c:formatCode>General</c:formatCode>
                <c:ptCount val="7"/>
                <c:pt idx="0">
                  <c:v>1.6177631356391473E-2</c:v>
                </c:pt>
                <c:pt idx="1">
                  <c:v>1.6177631356391473E-2</c:v>
                </c:pt>
                <c:pt idx="2">
                  <c:v>1.6177631356391473E-2</c:v>
                </c:pt>
                <c:pt idx="3">
                  <c:v>8.2714358475568933E-3</c:v>
                </c:pt>
                <c:pt idx="4">
                  <c:v>1.4946968399843963E-3</c:v>
                </c:pt>
                <c:pt idx="5">
                  <c:v>4.8798397644475648E-4</c:v>
                </c:pt>
                <c:pt idx="6">
                  <c:v>3.9149770841721729E-4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4352-4DE5-B270-2018E9F3D2AD}"/>
            </c:ext>
          </c:extLst>
        </c:ser>
        <c:ser>
          <c:idx val="8"/>
          <c:order val="8"/>
          <c:tx>
            <c:strRef>
              <c:f>Summary!$K$2</c:f>
              <c:strCache>
                <c:ptCount val="1"/>
                <c:pt idx="0">
                  <c:v>m4.10xlarge</c:v>
                </c:pt>
              </c:strCache>
            </c:strRef>
          </c:tx>
          <c:spPr>
            <a:ln w="22225" cap="rnd">
              <a:solidFill>
                <a:srgbClr val="00CCFF"/>
              </a:solidFill>
              <a:prstDash val="dash"/>
            </a:ln>
            <a:effectLst/>
          </c:spPr>
          <c:marker>
            <c:symbol val="square"/>
            <c:size val="5"/>
            <c:spPr>
              <a:solidFill>
                <a:srgbClr val="BDD7EE"/>
              </a:solidFill>
              <a:ln w="22225">
                <a:solidFill>
                  <a:srgbClr val="BDD7EE"/>
                </a:solidFill>
                <a:prstDash val="dash"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Summary!$K$3:$K$9</c:f>
              <c:numCache>
                <c:formatCode>General</c:formatCode>
                <c:ptCount val="7"/>
                <c:pt idx="0">
                  <c:v>3.1171875000000002E-3</c:v>
                </c:pt>
                <c:pt idx="1">
                  <c:v>3.1171875000000002E-3</c:v>
                </c:pt>
                <c:pt idx="2">
                  <c:v>3.1171875000000002E-3</c:v>
                </c:pt>
                <c:pt idx="3">
                  <c:v>3.1171875000000002E-3</c:v>
                </c:pt>
                <c:pt idx="4">
                  <c:v>3.1171875000000002E-3</c:v>
                </c:pt>
                <c:pt idx="5">
                  <c:v>3.1171875000000002E-3</c:v>
                </c:pt>
                <c:pt idx="6">
                  <c:v>3.1171875000000002E-3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4352-4DE5-B270-2018E9F3D2AD}"/>
            </c:ext>
          </c:extLst>
        </c:ser>
        <c:ser>
          <c:idx val="9"/>
          <c:order val="9"/>
          <c:tx>
            <c:strRef>
              <c:f>Summary!$L$2</c:f>
              <c:strCache>
                <c:ptCount val="1"/>
                <c:pt idx="0">
                  <c:v>m3.large</c:v>
                </c:pt>
              </c:strCache>
            </c:strRef>
          </c:tx>
          <c:spPr>
            <a:ln w="22225" cap="rnd">
              <a:solidFill>
                <a:srgbClr val="ED7D31"/>
              </a:solidFill>
              <a:prstDash val="dash"/>
            </a:ln>
            <a:effectLst/>
          </c:spPr>
          <c:marker>
            <c:symbol val="diamond"/>
            <c:size val="5"/>
            <c:spPr>
              <a:solidFill>
                <a:srgbClr val="F8CBAD"/>
              </a:solidFill>
              <a:ln w="22225">
                <a:solidFill>
                  <a:srgbClr val="F8CBAD"/>
                </a:solidFill>
                <a:prstDash val="dash"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Summary!$L$3:$L$9</c:f>
              <c:numCache>
                <c:formatCode>General</c:formatCode>
                <c:ptCount val="7"/>
                <c:pt idx="0">
                  <c:v>6.6500000000000005E-3</c:v>
                </c:pt>
                <c:pt idx="1">
                  <c:v>6.6500000000000005E-3</c:v>
                </c:pt>
                <c:pt idx="2">
                  <c:v>6.6500000000000005E-3</c:v>
                </c:pt>
                <c:pt idx="3">
                  <c:v>6.6500000000000005E-3</c:v>
                </c:pt>
                <c:pt idx="4">
                  <c:v>6.6500000000000005E-3</c:v>
                </c:pt>
                <c:pt idx="5">
                  <c:v>6.6500000000000005E-3</c:v>
                </c:pt>
                <c:pt idx="6">
                  <c:v>6.6500000000000005E-3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4352-4DE5-B270-2018E9F3D2AD}"/>
            </c:ext>
          </c:extLst>
        </c:ser>
        <c:ser>
          <c:idx val="10"/>
          <c:order val="10"/>
          <c:tx>
            <c:strRef>
              <c:f>Summary!$M$2</c:f>
              <c:strCache>
                <c:ptCount val="1"/>
                <c:pt idx="0">
                  <c:v>m3.2xlarge</c:v>
                </c:pt>
              </c:strCache>
            </c:strRef>
          </c:tx>
          <c:spPr>
            <a:ln w="22225" cap="rnd">
              <a:solidFill>
                <a:srgbClr val="E2EFDA"/>
              </a:solidFill>
              <a:prstDash val="dash"/>
            </a:ln>
            <a:effectLst/>
          </c:spPr>
          <c:marker>
            <c:symbol val="triangle"/>
            <c:size val="5"/>
            <c:spPr>
              <a:solidFill>
                <a:srgbClr val="70AD47"/>
              </a:solidFill>
              <a:ln w="22225">
                <a:solidFill>
                  <a:srgbClr val="70AD47"/>
                </a:solidFill>
                <a:prstDash val="dash"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Summary!$M$3:$M$9</c:f>
              <c:numCache>
                <c:formatCode>General</c:formatCode>
                <c:ptCount val="7"/>
                <c:pt idx="0">
                  <c:v>6.6500000000000005E-3</c:v>
                </c:pt>
                <c:pt idx="1">
                  <c:v>6.6500000000000005E-3</c:v>
                </c:pt>
                <c:pt idx="2">
                  <c:v>6.6500000000000005E-3</c:v>
                </c:pt>
                <c:pt idx="3">
                  <c:v>6.6500000000000005E-3</c:v>
                </c:pt>
                <c:pt idx="4">
                  <c:v>6.6500000000000005E-3</c:v>
                </c:pt>
                <c:pt idx="5">
                  <c:v>6.6500000000000005E-3</c:v>
                </c:pt>
                <c:pt idx="6">
                  <c:v>6.6500000000000005E-3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4352-4DE5-B270-2018E9F3D2AD}"/>
            </c:ext>
          </c:extLst>
        </c:ser>
        <c:ser>
          <c:idx val="11"/>
          <c:order val="11"/>
          <c:tx>
            <c:strRef>
              <c:f>Summary!$N$2</c:f>
              <c:strCache>
                <c:ptCount val="1"/>
                <c:pt idx="0">
                  <c:v>c3.8xlarge</c:v>
                </c:pt>
              </c:strCache>
            </c:strRef>
          </c:tx>
          <c:spPr>
            <a:ln w="22225" cap="rnd">
              <a:solidFill>
                <a:srgbClr val="4472C4"/>
              </a:solidFill>
              <a:prstDash val="dash"/>
            </a:ln>
            <a:effectLst/>
          </c:spPr>
          <c:marker>
            <c:symbol val="x"/>
            <c:size val="5"/>
            <c:spPr>
              <a:solidFill>
                <a:srgbClr val="D9E1F2"/>
              </a:solidFill>
              <a:ln w="22225">
                <a:solidFill>
                  <a:srgbClr val="D9E1F2"/>
                </a:solidFill>
                <a:prstDash val="dash"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Summary!$N$3:$N$9</c:f>
              <c:numCache>
                <c:formatCode>General</c:formatCode>
                <c:ptCount val="7"/>
                <c:pt idx="0">
                  <c:v>4.6874999999999998E-3</c:v>
                </c:pt>
                <c:pt idx="1">
                  <c:v>4.6874999999999998E-3</c:v>
                </c:pt>
                <c:pt idx="2">
                  <c:v>4.6874999999999998E-3</c:v>
                </c:pt>
                <c:pt idx="3">
                  <c:v>4.6874999999999998E-3</c:v>
                </c:pt>
                <c:pt idx="4">
                  <c:v>4.6874999999999998E-3</c:v>
                </c:pt>
                <c:pt idx="5">
                  <c:v>4.6874999999999998E-3</c:v>
                </c:pt>
                <c:pt idx="6">
                  <c:v>4.6874999999999998E-3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4352-4DE5-B270-2018E9F3D2AD}"/>
            </c:ext>
          </c:extLst>
        </c:ser>
        <c:ser>
          <c:idx val="12"/>
          <c:order val="12"/>
          <c:tx>
            <c:strRef>
              <c:f>Summary!$O$2</c:f>
              <c:strCache>
                <c:ptCount val="1"/>
                <c:pt idx="0">
                  <c:v>g2.2xlarge</c:v>
                </c:pt>
              </c:strCache>
            </c:strRef>
          </c:tx>
          <c:spPr>
            <a:ln w="22225" cap="rnd">
              <a:solidFill>
                <a:srgbClr val="A5A5A5"/>
              </a:solidFill>
              <a:prstDash val="dash"/>
            </a:ln>
            <a:effectLst/>
          </c:spPr>
          <c:marker>
            <c:symbol val="star"/>
            <c:size val="5"/>
            <c:spPr>
              <a:solidFill>
                <a:srgbClr val="EDEDED"/>
              </a:solidFill>
              <a:ln w="22225">
                <a:solidFill>
                  <a:srgbClr val="EDEDED"/>
                </a:solidFill>
                <a:prstDash val="dash"/>
              </a:ln>
              <a:effectLst>
                <a:glow rad="63500">
                  <a:schemeClr val="accent1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Summary!$O$3:$O$9</c:f>
              <c:numCache>
                <c:formatCode>General</c:formatCode>
                <c:ptCount val="7"/>
                <c:pt idx="0">
                  <c:v>2.567546215831885E-4</c:v>
                </c:pt>
                <c:pt idx="1">
                  <c:v>2.567546215831885E-4</c:v>
                </c:pt>
                <c:pt idx="2">
                  <c:v>2.567546215831885E-4</c:v>
                </c:pt>
                <c:pt idx="3">
                  <c:v>2.567546215831885E-4</c:v>
                </c:pt>
                <c:pt idx="4">
                  <c:v>2.567546215831885E-4</c:v>
                </c:pt>
                <c:pt idx="5">
                  <c:v>2.567546215831885E-4</c:v>
                </c:pt>
                <c:pt idx="6">
                  <c:v>2.567546215831885E-4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C-4352-4DE5-B270-2018E9F3D2AD}"/>
            </c:ext>
          </c:extLst>
        </c:ser>
        <c:ser>
          <c:idx val="13"/>
          <c:order val="13"/>
          <c:tx>
            <c:strRef>
              <c:f>Summary!$P$2</c:f>
              <c:strCache>
                <c:ptCount val="1"/>
                <c:pt idx="0">
                  <c:v>r3.4xlarge</c:v>
                </c:pt>
              </c:strCache>
            </c:strRef>
          </c:tx>
          <c:spPr>
            <a:ln w="22225" cap="rnd">
              <a:solidFill>
                <a:srgbClr val="F4B084"/>
              </a:solidFill>
              <a:prstDash val="dash"/>
            </a:ln>
            <a:effectLst/>
          </c:spPr>
          <c:marker>
            <c:symbol val="dot"/>
            <c:size val="5"/>
            <c:spPr>
              <a:solidFill>
                <a:srgbClr val="833C0C"/>
              </a:solidFill>
              <a:ln w="22225">
                <a:solidFill>
                  <a:srgbClr val="833C0C"/>
                </a:solidFill>
                <a:prstDash val="dash"/>
              </a:ln>
              <a:effectLst>
                <a:glow rad="63500">
                  <a:schemeClr val="accent2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Summary!$P$3:$P$9</c:f>
              <c:numCache>
                <c:formatCode>General</c:formatCode>
                <c:ptCount val="7"/>
                <c:pt idx="0">
                  <c:v>8.3125000000000004E-3</c:v>
                </c:pt>
                <c:pt idx="1">
                  <c:v>8.3125000000000004E-3</c:v>
                </c:pt>
                <c:pt idx="2">
                  <c:v>8.3125000000000004E-3</c:v>
                </c:pt>
                <c:pt idx="3">
                  <c:v>8.3125000000000004E-3</c:v>
                </c:pt>
                <c:pt idx="4">
                  <c:v>8.3125000000000004E-3</c:v>
                </c:pt>
                <c:pt idx="5">
                  <c:v>8.3125000000000004E-3</c:v>
                </c:pt>
                <c:pt idx="6">
                  <c:v>8.3125000000000004E-3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4352-4DE5-B270-2018E9F3D2AD}"/>
            </c:ext>
          </c:extLst>
        </c:ser>
        <c:ser>
          <c:idx val="14"/>
          <c:order val="14"/>
          <c:tx>
            <c:strRef>
              <c:f>Summary!$Q$2</c:f>
              <c:strCache>
                <c:ptCount val="1"/>
                <c:pt idx="0">
                  <c:v>i2.8xlarge</c:v>
                </c:pt>
              </c:strCache>
            </c:strRef>
          </c:tx>
          <c:spPr>
            <a:ln w="22225" cap="rnd">
              <a:solidFill>
                <a:srgbClr val="FFFF00"/>
              </a:solidFill>
              <a:prstDash val="dash"/>
            </a:ln>
            <a:effectLst/>
          </c:spPr>
          <c:marker>
            <c:symbol val="dash"/>
            <c:size val="5"/>
            <c:spPr>
              <a:solidFill>
                <a:srgbClr val="FF0000"/>
              </a:solidFill>
              <a:ln w="22225">
                <a:solidFill>
                  <a:srgbClr val="FF0000"/>
                </a:solidFill>
                <a:prstDash val="dash"/>
              </a:ln>
              <a:effectLst>
                <a:glow rad="63500">
                  <a:schemeClr val="accent3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Summary!$Q$3:$Q$9</c:f>
              <c:numCache>
                <c:formatCode>General</c:formatCode>
                <c:ptCount val="7"/>
                <c:pt idx="0">
                  <c:v>2.1312500000000002E-2</c:v>
                </c:pt>
                <c:pt idx="1">
                  <c:v>2.1312500000000002E-2</c:v>
                </c:pt>
                <c:pt idx="2">
                  <c:v>2.1312500000000002E-2</c:v>
                </c:pt>
                <c:pt idx="3">
                  <c:v>2.1312500000000002E-2</c:v>
                </c:pt>
                <c:pt idx="4">
                  <c:v>2.1312500000000002E-2</c:v>
                </c:pt>
                <c:pt idx="5">
                  <c:v>2.1312500000000002E-2</c:v>
                </c:pt>
                <c:pt idx="6">
                  <c:v>2.1312500000000002E-2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E-4352-4DE5-B270-2018E9F3D2AD}"/>
            </c:ext>
          </c:extLst>
        </c:ser>
        <c:ser>
          <c:idx val="15"/>
          <c:order val="15"/>
          <c:tx>
            <c:strRef>
              <c:f>Summary!$R$2</c:f>
              <c:strCache>
                <c:ptCount val="1"/>
                <c:pt idx="0">
                  <c:v>d2.8xlarge</c:v>
                </c:pt>
              </c:strCache>
            </c:strRef>
          </c:tx>
          <c:spPr>
            <a:ln w="22225" cap="rnd">
              <a:solidFill>
                <a:srgbClr val="C00000"/>
              </a:solidFill>
              <a:prstDash val="dash"/>
            </a:ln>
            <a:effectLst/>
          </c:spPr>
          <c:marker>
            <c:symbol val="circle"/>
            <c:size val="5"/>
            <c:spPr>
              <a:solidFill>
                <a:srgbClr val="3FFFFF"/>
              </a:solidFill>
              <a:ln w="22225">
                <a:solidFill>
                  <a:srgbClr val="3FFFFF"/>
                </a:solidFill>
                <a:prstDash val="dash"/>
              </a:ln>
              <a:effectLst>
                <a:glow rad="63500">
                  <a:schemeClr val="accent4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Summary!$R$3:$R$9</c:f>
              <c:numCache>
                <c:formatCode>General</c:formatCode>
                <c:ptCount val="7"/>
                <c:pt idx="0">
                  <c:v>7.9861111111111105E-3</c:v>
                </c:pt>
                <c:pt idx="1">
                  <c:v>7.9861111111111105E-3</c:v>
                </c:pt>
                <c:pt idx="2">
                  <c:v>7.9861111111111105E-3</c:v>
                </c:pt>
                <c:pt idx="3">
                  <c:v>7.9861111111111105E-3</c:v>
                </c:pt>
                <c:pt idx="4">
                  <c:v>7.9861111111111105E-3</c:v>
                </c:pt>
                <c:pt idx="5">
                  <c:v>7.9861111111111105E-3</c:v>
                </c:pt>
                <c:pt idx="6">
                  <c:v>7.9861111111111105E-3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F-4352-4DE5-B270-2018E9F3D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8854303"/>
        <c:axId val="848854719"/>
      </c:lineChart>
      <c:catAx>
        <c:axId val="8488543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854719"/>
        <c:crosses val="autoZero"/>
        <c:auto val="1"/>
        <c:lblAlgn val="ctr"/>
        <c:lblOffset val="100"/>
        <c:noMultiLvlLbl val="0"/>
      </c:catAx>
      <c:valAx>
        <c:axId val="8488547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/ hour / 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85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85724</xdr:colOff>
      <xdr:row>9</xdr:row>
      <xdr:rowOff>147635</xdr:rowOff>
    </xdr:from>
    <xdr:to>
      <xdr:col>13</xdr:col>
      <xdr:colOff>247650</xdr:colOff>
      <xdr:row>34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257175</xdr:colOff>
          <xdr:row>15</xdr:row>
          <xdr:rowOff>9525</xdr:rowOff>
        </xdr:from>
        <xdr:to>
          <xdr:col>3</xdr:col>
          <xdr:colOff>266700</xdr:colOff>
          <xdr:row>16</xdr:row>
          <xdr:rowOff>142875</xdr:rowOff>
        </xdr:to>
        <xdr:sp macro="" textlink="">
          <xdr:nvSpPr>
            <xdr:cNvPr id="13314" name="cmdRefresh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R45"/>
  <sheetViews>
    <sheetView tabSelected="1" topLeftCell="A22" workbookViewId="0">
      <selection activeCell="A38" sqref="A38"/>
    </sheetView>
  </sheetViews>
  <sheetFormatPr defaultRowHeight="15" x14ac:dyDescent="0.25"/>
  <cols>
    <col min="1" max="1" width="8" bestFit="1" customWidth="1"/>
    <col min="2" max="2" width="10.140625" bestFit="1" customWidth="1"/>
    <col min="3" max="3" width="14.28515625" bestFit="1" customWidth="1"/>
    <col min="4" max="4" width="12" bestFit="1" customWidth="1"/>
    <col min="5" max="5" width="13.28515625" bestFit="1" customWidth="1"/>
    <col min="6" max="6" width="12.28515625" bestFit="1" customWidth="1"/>
    <col min="7" max="7" width="12.42578125" bestFit="1" customWidth="1"/>
    <col min="8" max="8" width="12.140625" bestFit="1" customWidth="1"/>
    <col min="9" max="9" width="12" bestFit="1" customWidth="1"/>
    <col min="10" max="10" width="12.5703125" bestFit="1" customWidth="1"/>
    <col min="11" max="11" width="11.7109375" bestFit="1" customWidth="1"/>
    <col min="12" max="12" width="8.7109375" bestFit="1" customWidth="1"/>
    <col min="13" max="13" width="10.7109375" bestFit="1" customWidth="1"/>
    <col min="14" max="14" width="9.85546875" bestFit="1" customWidth="1"/>
    <col min="15" max="15" width="10" bestFit="1" customWidth="1"/>
    <col min="16" max="16" width="9.7109375" bestFit="1" customWidth="1"/>
    <col min="17" max="17" width="9.5703125" bestFit="1" customWidth="1"/>
    <col min="18" max="18" width="10.140625" bestFit="1" customWidth="1"/>
  </cols>
  <sheetData>
    <row r="2" spans="1:18" x14ac:dyDescent="0.25">
      <c r="A2" t="s">
        <v>97</v>
      </c>
      <c r="C2" t="s">
        <v>111</v>
      </c>
      <c r="D2" t="s">
        <v>112</v>
      </c>
      <c r="E2" t="s">
        <v>113</v>
      </c>
      <c r="F2" t="s">
        <v>114</v>
      </c>
      <c r="G2" t="s">
        <v>115</v>
      </c>
      <c r="H2" t="s">
        <v>116</v>
      </c>
      <c r="I2" t="s">
        <v>117</v>
      </c>
      <c r="J2" t="s">
        <v>118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</row>
    <row r="3" spans="1:18" x14ac:dyDescent="0.25">
      <c r="A3">
        <v>1</v>
      </c>
      <c r="B3" t="s">
        <v>92</v>
      </c>
      <c r="C3">
        <f>m4.10xlarge!P16</f>
        <v>1.6037835936549224E-2</v>
      </c>
      <c r="D3">
        <f>m3.large!P16</f>
        <v>1.2956871331918583E-2</v>
      </c>
      <c r="E3">
        <f>m3.2xlarge!P16</f>
        <v>1.2953114811518803E-2</v>
      </c>
      <c r="F3">
        <f>c3.8xlarge!P16</f>
        <v>2.2974529791922018E-2</v>
      </c>
      <c r="G3">
        <f>g2.2xlarge!P16</f>
        <v>8.1149827335356506E-4</v>
      </c>
      <c r="H3">
        <f>r3.4xlarge!P16</f>
        <v>1.3019811522605574E-2</v>
      </c>
      <c r="I3">
        <f>i2.8xlarge!P16</f>
        <v>1.321822329279238E-2</v>
      </c>
      <c r="J3">
        <f>d2.8xlarge!P16</f>
        <v>1.6177631356391473E-2</v>
      </c>
      <c r="K3">
        <f>Sheet1!$I$3/Sheet1!$M$3</f>
        <v>3.1171875000000002E-3</v>
      </c>
      <c r="L3">
        <f>Sheet1!$I$4/Sheet1!$M$4</f>
        <v>6.6500000000000005E-3</v>
      </c>
      <c r="M3">
        <f>Sheet1!$I$5/Sheet1!$M$5</f>
        <v>6.6500000000000005E-3</v>
      </c>
      <c r="N3">
        <f>Sheet1!$I$6/Sheet1!$M$6</f>
        <v>4.6874999999999998E-3</v>
      </c>
      <c r="O3">
        <f>Sheet1!$I$7/Sheet1!$M$7</f>
        <v>2.567546215831885E-4</v>
      </c>
      <c r="P3">
        <f>Sheet1!$I$8/Sheet1!$M$8</f>
        <v>8.3125000000000004E-3</v>
      </c>
      <c r="Q3">
        <f>Sheet1!$I$9/Sheet1!$M$9</f>
        <v>2.1312500000000002E-2</v>
      </c>
      <c r="R3">
        <f>Sheet1!$I$10/Sheet1!$M$10</f>
        <v>7.9861111111111105E-3</v>
      </c>
    </row>
    <row r="4" spans="1:18" x14ac:dyDescent="0.25">
      <c r="A4">
        <v>10</v>
      </c>
      <c r="B4" t="s">
        <v>119</v>
      </c>
      <c r="C4">
        <f>m4.10xlarge!P17</f>
        <v>1.6037835936549224E-2</v>
      </c>
      <c r="D4">
        <f>m3.large!P17</f>
        <v>1.2956871331918583E-2</v>
      </c>
      <c r="E4">
        <f>m3.2xlarge!P17</f>
        <v>1.2953114811518803E-2</v>
      </c>
      <c r="F4">
        <f>c3.8xlarge!P17</f>
        <v>2.2974529791922018E-2</v>
      </c>
      <c r="G4">
        <f>g2.2xlarge!P17</f>
        <v>8.1149827335356506E-4</v>
      </c>
      <c r="H4">
        <f>r3.4xlarge!P17</f>
        <v>1.3019811522605574E-2</v>
      </c>
      <c r="I4">
        <f>i2.8xlarge!P17</f>
        <v>1.321822329279238E-2</v>
      </c>
      <c r="J4">
        <f>d2.8xlarge!P17</f>
        <v>1.6177631356391473E-2</v>
      </c>
      <c r="K4">
        <f>Sheet1!$I$3/Sheet1!$M$3</f>
        <v>3.1171875000000002E-3</v>
      </c>
      <c r="L4">
        <f>Sheet1!$I$4/Sheet1!$M$4</f>
        <v>6.6500000000000005E-3</v>
      </c>
      <c r="M4">
        <f>Sheet1!$I$5/Sheet1!$M$5</f>
        <v>6.6500000000000005E-3</v>
      </c>
      <c r="N4">
        <f>Sheet1!$I$6/Sheet1!$M$6</f>
        <v>4.6874999999999998E-3</v>
      </c>
      <c r="O4">
        <f>Sheet1!$I$7/Sheet1!$M$7</f>
        <v>2.567546215831885E-4</v>
      </c>
      <c r="P4">
        <f>Sheet1!$I$8/Sheet1!$M$8</f>
        <v>8.3125000000000004E-3</v>
      </c>
      <c r="Q4">
        <f>Sheet1!$I$9/Sheet1!$M$9</f>
        <v>2.1312500000000002E-2</v>
      </c>
      <c r="R4">
        <f>Sheet1!$I$10/Sheet1!$M$10</f>
        <v>7.9861111111111105E-3</v>
      </c>
    </row>
    <row r="5" spans="1:18" x14ac:dyDescent="0.25">
      <c r="A5">
        <v>100</v>
      </c>
      <c r="B5" t="s">
        <v>93</v>
      </c>
      <c r="C5">
        <f>m4.10xlarge!P18</f>
        <v>1.6037835936549224E-2</v>
      </c>
      <c r="D5">
        <f>m3.large!P18</f>
        <v>1.2956871331918583E-2</v>
      </c>
      <c r="E5">
        <f>m3.2xlarge!P18</f>
        <v>1.2953114811518803E-2</v>
      </c>
      <c r="F5">
        <f>c3.8xlarge!P18</f>
        <v>2.2974529791922018E-2</v>
      </c>
      <c r="G5">
        <f>g2.2xlarge!P18</f>
        <v>8.1149827335356506E-4</v>
      </c>
      <c r="H5">
        <f>r3.4xlarge!P18</f>
        <v>1.3019811522605574E-2</v>
      </c>
      <c r="I5">
        <f>i2.8xlarge!P18</f>
        <v>1.321822329279238E-2</v>
      </c>
      <c r="J5">
        <f>d2.8xlarge!P18</f>
        <v>1.6177631356391473E-2</v>
      </c>
      <c r="K5">
        <f>Sheet1!$I$3/Sheet1!$M$3</f>
        <v>3.1171875000000002E-3</v>
      </c>
      <c r="L5">
        <f>Sheet1!$I$4/Sheet1!$M$4</f>
        <v>6.6500000000000005E-3</v>
      </c>
      <c r="M5">
        <f>Sheet1!$I$5/Sheet1!$M$5</f>
        <v>6.6500000000000005E-3</v>
      </c>
      <c r="N5">
        <f>Sheet1!$I$6/Sheet1!$M$6</f>
        <v>4.6874999999999998E-3</v>
      </c>
      <c r="O5">
        <f>Sheet1!$I$7/Sheet1!$M$7</f>
        <v>2.567546215831885E-4</v>
      </c>
      <c r="P5">
        <f>Sheet1!$I$8/Sheet1!$M$8</f>
        <v>8.3125000000000004E-3</v>
      </c>
      <c r="Q5">
        <f>Sheet1!$I$9/Sheet1!$M$9</f>
        <v>2.1312500000000002E-2</v>
      </c>
      <c r="R5">
        <f>Sheet1!$I$10/Sheet1!$M$10</f>
        <v>7.9861111111111105E-3</v>
      </c>
    </row>
    <row r="6" spans="1:18" x14ac:dyDescent="0.25">
      <c r="A6">
        <v>1000</v>
      </c>
      <c r="B6" t="s">
        <v>120</v>
      </c>
      <c r="C6">
        <f>m4.10xlarge!P19</f>
        <v>8.1316404277146474E-3</v>
      </c>
      <c r="D6">
        <f>m3.large!P19</f>
        <v>6.631914924850919E-3</v>
      </c>
      <c r="E6">
        <f>m3.2xlarge!P19</f>
        <v>6.6281584044511378E-3</v>
      </c>
      <c r="F6">
        <f>c3.8xlarge!P19</f>
        <v>1.1679964779301191E-2</v>
      </c>
      <c r="G6">
        <f>g2.2xlarge!P19</f>
        <v>4.2447325226941854E-4</v>
      </c>
      <c r="H6">
        <f>r3.4xlarge!P19</f>
        <v>6.6948551155379095E-3</v>
      </c>
      <c r="I6">
        <f>i2.8xlarge!P19</f>
        <v>6.893266885724717E-3</v>
      </c>
      <c r="J6">
        <f>d2.8xlarge!P19</f>
        <v>8.2714358475568933E-3</v>
      </c>
      <c r="K6">
        <f>Sheet1!$I$3/Sheet1!$M$3</f>
        <v>3.1171875000000002E-3</v>
      </c>
      <c r="L6">
        <f>Sheet1!$I$4/Sheet1!$M$4</f>
        <v>6.6500000000000005E-3</v>
      </c>
      <c r="M6">
        <f>Sheet1!$I$5/Sheet1!$M$5</f>
        <v>6.6500000000000005E-3</v>
      </c>
      <c r="N6">
        <f>Sheet1!$I$6/Sheet1!$M$6</f>
        <v>4.6874999999999998E-3</v>
      </c>
      <c r="O6">
        <f>Sheet1!$I$7/Sheet1!$M$7</f>
        <v>2.567546215831885E-4</v>
      </c>
      <c r="P6">
        <f>Sheet1!$I$8/Sheet1!$M$8</f>
        <v>8.3125000000000004E-3</v>
      </c>
      <c r="Q6">
        <f>Sheet1!$I$9/Sheet1!$M$9</f>
        <v>2.1312500000000002E-2</v>
      </c>
      <c r="R6">
        <f>Sheet1!$I$10/Sheet1!$M$10</f>
        <v>7.9861111111111105E-3</v>
      </c>
    </row>
    <row r="7" spans="1:18" x14ac:dyDescent="0.25">
      <c r="A7">
        <v>10000</v>
      </c>
      <c r="B7" t="s">
        <v>94</v>
      </c>
      <c r="C7">
        <f>m4.10xlarge!P20</f>
        <v>1.3549014201421487E-3</v>
      </c>
      <c r="D7">
        <f>m3.large!P20</f>
        <v>1.2105237187929206E-3</v>
      </c>
      <c r="E7">
        <f>m3.2xlarge!P20</f>
        <v>1.2067671983931397E-3</v>
      </c>
      <c r="F7">
        <f>c3.8xlarge!P20</f>
        <v>1.9989090541976196E-3</v>
      </c>
      <c r="G7">
        <f>g2.2xlarge!P20</f>
        <v>9.2737519911578677E-5</v>
      </c>
      <c r="H7">
        <f>r3.4xlarge!P20</f>
        <v>1.2734639094799109E-3</v>
      </c>
      <c r="I7">
        <f>i2.8xlarge!P20</f>
        <v>1.4718756796667186E-3</v>
      </c>
      <c r="J7">
        <f>d2.8xlarge!P20</f>
        <v>1.4946968399843963E-3</v>
      </c>
      <c r="K7">
        <f>Sheet1!$I$3/Sheet1!$M$3</f>
        <v>3.1171875000000002E-3</v>
      </c>
      <c r="L7">
        <f>Sheet1!$I$4/Sheet1!$M$4</f>
        <v>6.6500000000000005E-3</v>
      </c>
      <c r="M7">
        <f>Sheet1!$I$5/Sheet1!$M$5</f>
        <v>6.6500000000000005E-3</v>
      </c>
      <c r="N7">
        <f>Sheet1!$I$6/Sheet1!$M$6</f>
        <v>4.6874999999999998E-3</v>
      </c>
      <c r="O7">
        <f>Sheet1!$I$7/Sheet1!$M$7</f>
        <v>2.567546215831885E-4</v>
      </c>
      <c r="P7">
        <f>Sheet1!$I$8/Sheet1!$M$8</f>
        <v>8.3125000000000004E-3</v>
      </c>
      <c r="Q7">
        <f>Sheet1!$I$9/Sheet1!$M$9</f>
        <v>2.1312500000000002E-2</v>
      </c>
      <c r="R7">
        <f>Sheet1!$I$10/Sheet1!$M$10</f>
        <v>7.9861111111111105E-3</v>
      </c>
    </row>
    <row r="8" spans="1:18" x14ac:dyDescent="0.25">
      <c r="A8">
        <v>100000</v>
      </c>
      <c r="B8" t="s">
        <v>95</v>
      </c>
      <c r="C8">
        <f>m4.10xlarge!P21</f>
        <v>3.4818855660250875E-4</v>
      </c>
      <c r="D8">
        <f>m3.large!P21</f>
        <v>4.0515342796120863E-4</v>
      </c>
      <c r="E8">
        <f>m3.2xlarge!P21</f>
        <v>4.0139690756142769E-4</v>
      </c>
      <c r="F8">
        <f>c3.8xlarge!P21</f>
        <v>5.6074782056956217E-4</v>
      </c>
      <c r="G8">
        <f>g2.2xlarge!P21</f>
        <v>4.3456792309821808E-5</v>
      </c>
      <c r="H8">
        <f>r3.4xlarge!P21</f>
        <v>4.6809361864819907E-4</v>
      </c>
      <c r="I8">
        <f>i2.8xlarge!P21</f>
        <v>6.6650538883500691E-4</v>
      </c>
      <c r="J8">
        <f>d2.8xlarge!P21</f>
        <v>4.8798397644475648E-4</v>
      </c>
      <c r="K8">
        <f>Sheet1!$I$3/Sheet1!$M$3</f>
        <v>3.1171875000000002E-3</v>
      </c>
      <c r="L8">
        <f>Sheet1!$I$4/Sheet1!$M$4</f>
        <v>6.6500000000000005E-3</v>
      </c>
      <c r="M8">
        <f>Sheet1!$I$5/Sheet1!$M$5</f>
        <v>6.6500000000000005E-3</v>
      </c>
      <c r="N8">
        <f>Sheet1!$I$6/Sheet1!$M$6</f>
        <v>4.6874999999999998E-3</v>
      </c>
      <c r="O8">
        <f>Sheet1!$I$7/Sheet1!$M$7</f>
        <v>2.567546215831885E-4</v>
      </c>
      <c r="P8">
        <f>Sheet1!$I$8/Sheet1!$M$8</f>
        <v>8.3125000000000004E-3</v>
      </c>
      <c r="Q8">
        <f>Sheet1!$I$9/Sheet1!$M$9</f>
        <v>2.1312500000000002E-2</v>
      </c>
      <c r="R8">
        <f>Sheet1!$I$10/Sheet1!$M$10</f>
        <v>7.9861111111111105E-3</v>
      </c>
    </row>
    <row r="9" spans="1:18" x14ac:dyDescent="0.25">
      <c r="A9">
        <v>1000000</v>
      </c>
      <c r="B9" t="s">
        <v>121</v>
      </c>
      <c r="C9">
        <f>m4.10xlarge!P22</f>
        <v>2.517022885749695E-4</v>
      </c>
      <c r="D9">
        <f>m3.large!P22</f>
        <v>3.2796441353917722E-4</v>
      </c>
      <c r="E9">
        <f>m3.2xlarge!P22</f>
        <v>3.2420789313939639E-4</v>
      </c>
      <c r="F9">
        <f>c3.8xlarge!P22</f>
        <v>4.2291029481593477E-4</v>
      </c>
      <c r="G9">
        <f>g2.2xlarge!P22</f>
        <v>3.8733585063560129E-5</v>
      </c>
      <c r="H9">
        <f>r3.4xlarge!P22</f>
        <v>3.9090460422616766E-4</v>
      </c>
      <c r="I9">
        <f>i2.8xlarge!P22</f>
        <v>5.8931637441297555E-4</v>
      </c>
      <c r="J9">
        <f>d2.8xlarge!P22</f>
        <v>3.9149770841721729E-4</v>
      </c>
      <c r="K9">
        <f>Sheet1!$I$3/Sheet1!$M$3</f>
        <v>3.1171875000000002E-3</v>
      </c>
      <c r="L9">
        <f>Sheet1!$I$4/Sheet1!$M$4</f>
        <v>6.6500000000000005E-3</v>
      </c>
      <c r="M9">
        <f>Sheet1!$I$5/Sheet1!$M$5</f>
        <v>6.6500000000000005E-3</v>
      </c>
      <c r="N9">
        <f>Sheet1!$I$6/Sheet1!$M$6</f>
        <v>4.6874999999999998E-3</v>
      </c>
      <c r="O9">
        <f>Sheet1!$I$7/Sheet1!$M$7</f>
        <v>2.567546215831885E-4</v>
      </c>
      <c r="P9">
        <f>Sheet1!$I$8/Sheet1!$M$8</f>
        <v>8.3125000000000004E-3</v>
      </c>
      <c r="Q9">
        <f>Sheet1!$I$9/Sheet1!$M$9</f>
        <v>2.1312500000000002E-2</v>
      </c>
      <c r="R9">
        <f>Sheet1!$I$10/Sheet1!$M$10</f>
        <v>7.9861111111111105E-3</v>
      </c>
    </row>
    <row r="21" spans="2:2" x14ac:dyDescent="0.25">
      <c r="B21" s="11"/>
    </row>
    <row r="38" spans="1:10" x14ac:dyDescent="0.25">
      <c r="A38" t="str">
        <f>A2</f>
        <v>Gflops</v>
      </c>
      <c r="B38">
        <f>B2</f>
        <v>0</v>
      </c>
      <c r="C38" t="str">
        <f>C2</f>
        <v>pr.m4.10xlarge</v>
      </c>
      <c r="D38" t="str">
        <f>D2</f>
        <v>pr.m3.large</v>
      </c>
      <c r="E38" t="str">
        <f>E2</f>
        <v>pr.m3.2xlarge</v>
      </c>
      <c r="F38" t="str">
        <f>F2</f>
        <v>pr.c3.8xlarge</v>
      </c>
      <c r="G38" t="str">
        <f>G2</f>
        <v>pr.g2.2xlarge</v>
      </c>
      <c r="H38" t="str">
        <f>H2</f>
        <v>pr.r3.4xlarge</v>
      </c>
      <c r="I38" t="str">
        <f>I2</f>
        <v>pr.i2.8xlarge</v>
      </c>
      <c r="J38" t="str">
        <f>J2</f>
        <v>pr.d2.8xlarge</v>
      </c>
    </row>
    <row r="39" spans="1:10" x14ac:dyDescent="0.25">
      <c r="A39">
        <f>A3</f>
        <v>1</v>
      </c>
      <c r="B39" t="str">
        <f>B3</f>
        <v>1 Gflops</v>
      </c>
      <c r="C39">
        <f>C3/K3</f>
        <v>5.1449699245070191</v>
      </c>
      <c r="D39">
        <f>D3/L3</f>
        <v>1.9484017040479071</v>
      </c>
      <c r="E39">
        <f>E3/M3</f>
        <v>1.9478368137622259</v>
      </c>
      <c r="F39">
        <f>F3/N3</f>
        <v>4.9012330222766973</v>
      </c>
      <c r="G39">
        <f>G3/O3</f>
        <v>3.1605985058798236</v>
      </c>
      <c r="H39">
        <f>H3/P3</f>
        <v>1.5662931155014224</v>
      </c>
      <c r="I39">
        <f>I3/Q3</f>
        <v>0.62020989057090337</v>
      </c>
      <c r="J39">
        <f>J3/R3</f>
        <v>2.0257207959307584</v>
      </c>
    </row>
    <row r="40" spans="1:10" x14ac:dyDescent="0.25">
      <c r="A40">
        <f>A4</f>
        <v>10</v>
      </c>
      <c r="B40" t="str">
        <f>B4</f>
        <v>10 GFlops</v>
      </c>
      <c r="C40">
        <f t="shared" ref="C40:K45" si="0">C4/K4</f>
        <v>5.1449699245070191</v>
      </c>
      <c r="D40">
        <f t="shared" si="0"/>
        <v>1.9484017040479071</v>
      </c>
      <c r="E40">
        <f t="shared" si="0"/>
        <v>1.9478368137622259</v>
      </c>
      <c r="F40">
        <f t="shared" si="0"/>
        <v>4.9012330222766973</v>
      </c>
      <c r="G40">
        <f t="shared" si="0"/>
        <v>3.1605985058798236</v>
      </c>
      <c r="H40">
        <f t="shared" si="0"/>
        <v>1.5662931155014224</v>
      </c>
      <c r="I40">
        <f t="shared" si="0"/>
        <v>0.62020989057090337</v>
      </c>
      <c r="J40">
        <f t="shared" si="0"/>
        <v>2.0257207959307584</v>
      </c>
    </row>
    <row r="41" spans="1:10" x14ac:dyDescent="0.25">
      <c r="A41">
        <f>A5</f>
        <v>100</v>
      </c>
      <c r="B41" t="str">
        <f>B5</f>
        <v>100 Gflops</v>
      </c>
      <c r="C41">
        <f t="shared" si="0"/>
        <v>5.1449699245070191</v>
      </c>
      <c r="D41">
        <f t="shared" si="0"/>
        <v>1.9484017040479071</v>
      </c>
      <c r="E41">
        <f t="shared" si="0"/>
        <v>1.9478368137622259</v>
      </c>
      <c r="F41">
        <f t="shared" si="0"/>
        <v>4.9012330222766973</v>
      </c>
      <c r="G41">
        <f t="shared" si="0"/>
        <v>3.1605985058798236</v>
      </c>
      <c r="H41">
        <f t="shared" si="0"/>
        <v>1.5662931155014224</v>
      </c>
      <c r="I41">
        <f t="shared" si="0"/>
        <v>0.62020989057090337</v>
      </c>
      <c r="J41">
        <f t="shared" si="0"/>
        <v>2.0257207959307584</v>
      </c>
    </row>
    <row r="42" spans="1:10" x14ac:dyDescent="0.25">
      <c r="A42">
        <f>A6</f>
        <v>1000</v>
      </c>
      <c r="B42" t="str">
        <f>B6</f>
        <v>1 Tflops</v>
      </c>
      <c r="C42">
        <f t="shared" si="0"/>
        <v>2.6086465532518166</v>
      </c>
      <c r="D42">
        <f t="shared" si="0"/>
        <v>0.99728043982720582</v>
      </c>
      <c r="E42">
        <f t="shared" si="0"/>
        <v>0.99671554954152441</v>
      </c>
      <c r="F42">
        <f t="shared" si="0"/>
        <v>2.491725819584254</v>
      </c>
      <c r="G42">
        <f t="shared" si="0"/>
        <v>1.6532253622234769</v>
      </c>
      <c r="H42">
        <f t="shared" si="0"/>
        <v>0.80539610412486129</v>
      </c>
      <c r="I42">
        <f t="shared" si="0"/>
        <v>0.32343774243869639</v>
      </c>
      <c r="J42">
        <f t="shared" si="0"/>
        <v>1.0357276191723415</v>
      </c>
    </row>
    <row r="43" spans="1:10" x14ac:dyDescent="0.25">
      <c r="A43">
        <f>A7</f>
        <v>10000</v>
      </c>
      <c r="B43" t="str">
        <f>B7</f>
        <v>10 Tflops</v>
      </c>
      <c r="C43">
        <f t="shared" si="0"/>
        <v>0.43465509217592735</v>
      </c>
      <c r="D43">
        <f t="shared" si="0"/>
        <v>0.18203364192374744</v>
      </c>
      <c r="E43">
        <f t="shared" si="0"/>
        <v>0.18146875163806611</v>
      </c>
      <c r="F43">
        <f t="shared" si="0"/>
        <v>0.42643393156215886</v>
      </c>
      <c r="G43">
        <f t="shared" si="0"/>
        <v>0.36119123908946549</v>
      </c>
      <c r="H43">
        <f t="shared" si="0"/>
        <v>0.15319866580209454</v>
      </c>
      <c r="I43">
        <f t="shared" si="0"/>
        <v>6.9061615468233126E-2</v>
      </c>
      <c r="J43">
        <f t="shared" si="0"/>
        <v>0.18716203909369833</v>
      </c>
    </row>
    <row r="44" spans="1:10" x14ac:dyDescent="0.25">
      <c r="A44">
        <f>A8</f>
        <v>100000</v>
      </c>
      <c r="B44" t="str">
        <f>B8</f>
        <v>100 Tflops</v>
      </c>
      <c r="C44">
        <f t="shared" si="0"/>
        <v>0.11169958708050405</v>
      </c>
      <c r="D44">
        <f t="shared" si="0"/>
        <v>6.0925327512963701E-2</v>
      </c>
      <c r="E44">
        <f t="shared" si="0"/>
        <v>6.0360437227282356E-2</v>
      </c>
      <c r="F44">
        <f t="shared" si="0"/>
        <v>0.11962620172150661</v>
      </c>
      <c r="G44">
        <f t="shared" si="0"/>
        <v>0.16925417755622291</v>
      </c>
      <c r="H44">
        <f t="shared" si="0"/>
        <v>5.6312014273467555E-2</v>
      </c>
      <c r="I44">
        <f t="shared" si="0"/>
        <v>3.1272980121290643E-2</v>
      </c>
      <c r="J44">
        <f t="shared" si="0"/>
        <v>6.1104080528734728E-2</v>
      </c>
    </row>
    <row r="45" spans="1:10" x14ac:dyDescent="0.25">
      <c r="A45">
        <f>A9</f>
        <v>1000000</v>
      </c>
      <c r="B45" t="str">
        <f>B9</f>
        <v>1 Pflops</v>
      </c>
      <c r="C45">
        <f t="shared" si="0"/>
        <v>8.0746598841092962E-2</v>
      </c>
      <c r="D45">
        <f t="shared" si="0"/>
        <v>4.9317956923184539E-2</v>
      </c>
      <c r="E45">
        <f t="shared" si="0"/>
        <v>4.8753066637503215E-2</v>
      </c>
      <c r="F45">
        <f t="shared" si="0"/>
        <v>9.0220862894066084E-2</v>
      </c>
      <c r="G45">
        <f t="shared" si="0"/>
        <v>0.15085837530293664</v>
      </c>
      <c r="H45">
        <f t="shared" si="0"/>
        <v>4.7026117801644229E-2</v>
      </c>
      <c r="I45">
        <f t="shared" si="0"/>
        <v>2.7651208183600024E-2</v>
      </c>
      <c r="J45">
        <f t="shared" si="0"/>
        <v>4.9022321749634168E-2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3314" r:id="rId3" name="cmdRefresh">
          <controlPr defaultSize="0" autoLine="0" r:id="rId4">
            <anchor moveWithCells="1">
              <from>
                <xdr:col>2</xdr:col>
                <xdr:colOff>257175</xdr:colOff>
                <xdr:row>15</xdr:row>
                <xdr:rowOff>9525</xdr:rowOff>
              </from>
              <to>
                <xdr:col>3</xdr:col>
                <xdr:colOff>266700</xdr:colOff>
                <xdr:row>16</xdr:row>
                <xdr:rowOff>142875</xdr:rowOff>
              </to>
            </anchor>
          </controlPr>
        </control>
      </mc:Choice>
      <mc:Fallback>
        <control shapeId="13314" r:id="rId3" name="cmdRefresh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24"/>
  <sheetViews>
    <sheetView topLeftCell="D9" workbookViewId="0">
      <selection activeCell="P16" sqref="P16:P22"/>
    </sheetView>
  </sheetViews>
  <sheetFormatPr defaultRowHeight="15" x14ac:dyDescent="0.25"/>
  <cols>
    <col min="1" max="1" width="9.140625" style="2"/>
    <col min="2" max="2" width="18" style="2" customWidth="1"/>
    <col min="3" max="3" width="29.7109375" style="2" customWidth="1"/>
    <col min="4" max="4" width="14.85546875" style="2" customWidth="1"/>
    <col min="5" max="5" width="27.28515625" style="2" customWidth="1"/>
    <col min="6" max="6" width="15.5703125" style="2" customWidth="1"/>
    <col min="7" max="7" width="11.5703125" style="2" bestFit="1" customWidth="1"/>
    <col min="8" max="14" width="9.140625" style="2"/>
    <col min="15" max="16" width="11.5703125" style="2" bestFit="1" customWidth="1"/>
    <col min="17" max="16384" width="9.140625" style="2"/>
  </cols>
  <sheetData>
    <row r="1" spans="2:16" x14ac:dyDescent="0.25">
      <c r="B1" s="2" t="s">
        <v>28</v>
      </c>
    </row>
    <row r="3" spans="2:16" ht="45" x14ac:dyDescent="0.25">
      <c r="B3" s="2" t="s">
        <v>27</v>
      </c>
      <c r="C3" s="2" t="s">
        <v>33</v>
      </c>
      <c r="D3" s="2" t="s">
        <v>30</v>
      </c>
      <c r="E3" s="2" t="s">
        <v>31</v>
      </c>
      <c r="F3" s="2" t="s">
        <v>32</v>
      </c>
      <c r="G3" s="3" t="s">
        <v>89</v>
      </c>
    </row>
    <row r="4" spans="2:16" ht="30" x14ac:dyDescent="0.25">
      <c r="B4" s="2" t="s">
        <v>40</v>
      </c>
      <c r="C4" s="2" t="str">
        <f>PrCloudQty!F2</f>
        <v>NORCO RPC-170 Black 1U Rackmount Server Chassis</v>
      </c>
      <c r="D4" s="2">
        <v>1</v>
      </c>
      <c r="E4" s="8">
        <f>_xlfn.IFNA(VLOOKUP(TEXT(C4,"text"),Prices!$B$2:$C$300,2,FALSE),0)</f>
        <v>96.84</v>
      </c>
      <c r="F4" s="2">
        <f>_xlfn.IFNA(D4*E4,0)</f>
        <v>96.84</v>
      </c>
      <c r="G4" s="3">
        <f>_xlfn.IFNA(VLOOKUP(TEXT(C4,"text"),Prices!$B$2:$D$300,3,FALSE)*D4,0)</f>
        <v>10</v>
      </c>
    </row>
    <row r="5" spans="2:16" ht="75" x14ac:dyDescent="0.25">
      <c r="B5" s="2" t="s">
        <v>26</v>
      </c>
      <c r="C5" s="2" t="str">
        <f>PrCloudDet!F2</f>
        <v>Intel Xeon E5-2690 v3 Haswell 2.6 GHz 12 x 256KB L2 Cache 30 MB L3 Cache LGA 2011-3 135W BX80644E52690V3 Server Processor</v>
      </c>
      <c r="D5" s="2">
        <f>PrCloudQty!F4</f>
        <v>2</v>
      </c>
      <c r="E5" s="8">
        <f>_xlfn.IFNA(VLOOKUP(TEXT(C5,"text"),Prices!$B$2:$C$300,2,FALSE),0)</f>
        <v>2149.9899999999998</v>
      </c>
      <c r="F5" s="3">
        <f t="shared" ref="F5:F8" si="0">_xlfn.IFNA(D5*E5,0)</f>
        <v>4299.9799999999996</v>
      </c>
      <c r="G5" s="3">
        <f>_xlfn.IFNA(VLOOKUP(TEXT(C5,"text"),Prices!$B$2:$D$300,3,FALSE)*D5,0)</f>
        <v>270</v>
      </c>
    </row>
    <row r="6" spans="2:16" ht="75" x14ac:dyDescent="0.25">
      <c r="B6" s="2" t="s">
        <v>29</v>
      </c>
      <c r="C6" s="2" t="str">
        <f>PrCloudQty!F5</f>
        <v>Kingston 64GB (4 x 16GB) 288-Pin DDR4 SDRAM ECC Registered DDR4 2133 (PC4 17000) Server Memory Model KVR21R15D4K4/64</v>
      </c>
      <c r="D6" s="2">
        <f>PrCloudQty!F6</f>
        <v>2</v>
      </c>
      <c r="E6" s="8">
        <f>_xlfn.IFNA(VLOOKUP(TEXT(C6,"text"),Prices!$B$2:$C$300,2,FALSE),0)</f>
        <v>365.99</v>
      </c>
      <c r="F6" s="3">
        <f t="shared" si="0"/>
        <v>731.98</v>
      </c>
      <c r="G6" s="3">
        <f>_xlfn.IFNA(VLOOKUP(TEXT(C6,"text"),Prices!$B$2:$D$300,3,FALSE)*D6,0)</f>
        <v>40</v>
      </c>
    </row>
    <row r="7" spans="2:16" ht="45" x14ac:dyDescent="0.25">
      <c r="B7" s="2" t="s">
        <v>37</v>
      </c>
      <c r="C7" s="2" t="str">
        <f>PrCloudQty!F7</f>
        <v>GIGABYTE MD80-TM0 E-ATX / SSI EEB Server Motherboard Dual LGA 2011-3 Intel C612</v>
      </c>
      <c r="D7" s="2">
        <v>1</v>
      </c>
      <c r="E7" s="8">
        <f>_xlfn.IFNA(VLOOKUP(TEXT(C7,"text"),Prices!$B$2:$C$300,2,FALSE),0)</f>
        <v>659.99</v>
      </c>
      <c r="F7" s="3">
        <f t="shared" si="0"/>
        <v>659.99</v>
      </c>
      <c r="G7" s="3">
        <f>_xlfn.IFNA(VLOOKUP(TEXT(C7,"text"),Prices!$B$2:$D$300,3,FALSE)*D7,0)</f>
        <v>25</v>
      </c>
    </row>
    <row r="8" spans="2:16" ht="45" x14ac:dyDescent="0.25">
      <c r="B8" s="2" t="s">
        <v>34</v>
      </c>
      <c r="C8" s="2" t="str">
        <f>PrCloudQty!F8</f>
        <v>Black Diamond Memory Sonic Series BDSSDS1T 2.5" 1TB SATA III TLC Internal Solid State Drive</v>
      </c>
      <c r="D8" s="2">
        <f>PrCloudQty!F9</f>
        <v>1</v>
      </c>
      <c r="E8" s="8">
        <f>_xlfn.IFNA(VLOOKUP(TEXT(C8,"text"),Prices!$B$2:$C$300,2,FALSE),0)</f>
        <v>259.99</v>
      </c>
      <c r="F8" s="3">
        <f t="shared" si="0"/>
        <v>259.99</v>
      </c>
      <c r="G8" s="3">
        <f>_xlfn.IFNA(VLOOKUP(TEXT(C8,"text"),Prices!$B$2:$D$300,3,FALSE)*D8,0)</f>
        <v>25</v>
      </c>
    </row>
    <row r="9" spans="2:16" x14ac:dyDescent="0.25">
      <c r="B9" s="2" t="s">
        <v>35</v>
      </c>
      <c r="D9" s="7"/>
      <c r="E9" s="8">
        <f>_xlfn.IFNA(VLOOKUP(TEXT(C9,"text"),Prices!$B$2:$C$300,2,FALSE),0)</f>
        <v>0</v>
      </c>
      <c r="F9" s="7">
        <f t="shared" ref="F9:F10" si="1">_xlfn.IFNA(D9*E9,0)</f>
        <v>0</v>
      </c>
      <c r="G9" s="7">
        <f>_xlfn.IFNA(VLOOKUP(TEXT(C9,"text"),Prices!$B$2:$D$300,3,FALSE)*D9,0)</f>
        <v>0</v>
      </c>
    </row>
    <row r="10" spans="2:16" s="7" customFormat="1" ht="45" x14ac:dyDescent="0.25">
      <c r="B10" s="3" t="s">
        <v>83</v>
      </c>
      <c r="C10" s="7" t="str">
        <f>PrCloudQty!F17</f>
        <v>Nvidia GRID K520 8GB PCIe x16 Cloud Gaming GPU Graphics Card 900-12055-0020-000</v>
      </c>
      <c r="D10" s="7">
        <f>PrCloudQty!F18</f>
        <v>3</v>
      </c>
      <c r="E10" s="8">
        <f>_xlfn.IFNA(VLOOKUP(TEXT(C10,"text"),Prices!$B$2:$C$300,2,FALSE),0)</f>
        <v>1895</v>
      </c>
      <c r="F10" s="7">
        <f t="shared" si="1"/>
        <v>5685</v>
      </c>
      <c r="G10" s="7">
        <f>_xlfn.IFNA(VLOOKUP(TEXT(C10,"text"),Prices!$B$2:$D$300,3,FALSE)*D10,0)</f>
        <v>675</v>
      </c>
    </row>
    <row r="11" spans="2:16" s="8" customFormat="1" x14ac:dyDescent="0.25">
      <c r="F11" s="8">
        <f>SUM(F4:F10)</f>
        <v>11733.779999999999</v>
      </c>
      <c r="G11" s="8">
        <f>SUM(G4:G10)</f>
        <v>1045</v>
      </c>
    </row>
    <row r="12" spans="2:16" s="8" customFormat="1" x14ac:dyDescent="0.25"/>
    <row r="13" spans="2:16" s="10" customFormat="1" x14ac:dyDescent="0.25"/>
    <row r="14" spans="2:16" s="10" customFormat="1" ht="33.75" customHeight="1" x14ac:dyDescent="0.25">
      <c r="E14" s="12" t="str">
        <f>PrCloudQty!B19</f>
        <v>NETGEAR ProSAFE XS728T 28-Port 10-Gigabit Ethernet Smart Managed Switch (XS728T) - Lifetime Warranty</v>
      </c>
      <c r="F14" s="12"/>
      <c r="G14" s="10" t="s">
        <v>105</v>
      </c>
      <c r="I14" s="10" t="s">
        <v>39</v>
      </c>
      <c r="J14" s="10" t="s">
        <v>105</v>
      </c>
      <c r="K14" s="12" t="str">
        <f>PrCloudQty!B15</f>
        <v>APC AR3300 42U NetShelter SX 600mm Wide x 1200mm Deep Enclosure</v>
      </c>
      <c r="L14" s="12"/>
      <c r="M14" s="10" t="s">
        <v>105</v>
      </c>
    </row>
    <row r="15" spans="2:16" s="10" customFormat="1" ht="45" x14ac:dyDescent="0.25">
      <c r="B15" s="10" t="s">
        <v>97</v>
      </c>
      <c r="C15" s="10" t="s">
        <v>98</v>
      </c>
      <c r="D15" s="10" t="s">
        <v>99</v>
      </c>
      <c r="E15" s="10" t="s">
        <v>102</v>
      </c>
      <c r="F15" s="10" t="s">
        <v>100</v>
      </c>
      <c r="G15" s="10" t="s">
        <v>103</v>
      </c>
      <c r="H15" s="10" t="s">
        <v>122</v>
      </c>
      <c r="I15" s="10" t="s">
        <v>101</v>
      </c>
      <c r="J15" s="10" t="s">
        <v>104</v>
      </c>
      <c r="K15" s="10" t="s">
        <v>79</v>
      </c>
      <c r="L15" s="10" t="s">
        <v>106</v>
      </c>
      <c r="M15" s="10" t="s">
        <v>107</v>
      </c>
      <c r="N15" s="10" t="s">
        <v>108</v>
      </c>
      <c r="O15" s="10" t="s">
        <v>109</v>
      </c>
      <c r="P15" s="10" t="s">
        <v>110</v>
      </c>
    </row>
    <row r="16" spans="2:16" s="10" customFormat="1" x14ac:dyDescent="0.25">
      <c r="B16" s="10">
        <v>1</v>
      </c>
      <c r="C16" s="10">
        <f>_xlfn.CEILING.MATH(B16/PrCloudDet!$B$11)</f>
        <v>1</v>
      </c>
      <c r="D16" s="10">
        <f>$F$11*C16</f>
        <v>11733.779999999999</v>
      </c>
      <c r="E16" s="10">
        <v>1</v>
      </c>
      <c r="F16" s="10">
        <f>_xlfn.IFNA(VLOOKUP($E$14,Prices!$B$2:$D$50,2,FALSE),0)*E16</f>
        <v>2413.9899999999998</v>
      </c>
      <c r="G16" s="10">
        <f>(((_xlfn.IFNA(VLOOKUP($E$14,Prices!$B$2:$D$50,3,FALSE),0)*E16)*24*1826)/1000)*(_xlfn.IFNA(VLOOKUP($G$14,Prices!$B$2:$D$50,2,FALSE),0))*2</f>
        <v>335.25359999999995</v>
      </c>
      <c r="H16" s="10">
        <f>_xlfn.CEILING.MATH(C16/1000)</f>
        <v>1</v>
      </c>
      <c r="I16" s="10">
        <f>_xlfn.IFNA(VLOOKUP($I$14,Prices!$B$2:$D$50,2,FALSE),0)*H16</f>
        <v>526450</v>
      </c>
      <c r="J16" s="10">
        <f>(($G$11*24*1826)/1000)*(_xlfn.IFNA(VLOOKUP($J$14,Prices!$B$2:$D$50,2,FALSE),0))*C16*2</f>
        <v>14013.600480000001</v>
      </c>
      <c r="K16" s="10">
        <f t="shared" ref="K16:K22" si="2">_xlfn.CEILING.MATH(C16/42)</f>
        <v>1</v>
      </c>
      <c r="L16" s="10">
        <f>_xlfn.IFNA(VLOOKUP($K$14,Prices!$B$2:$D$50,2,FALSE),0)*K16</f>
        <v>1654.73</v>
      </c>
      <c r="M16" s="10">
        <f>(((_xlfn.IFNA(VLOOKUP($K$14,Prices!$B$2:$D$50,3,FALSE),0)*K16)*24*1826)/1000)*(_xlfn.IFNA(VLOOKUP($M$14,Prices!$B$2:$D$50,2,FALSE),0))*2</f>
        <v>1341.0143999999998</v>
      </c>
      <c r="N16" s="10">
        <f t="shared" ref="N16:N22" si="3">D16+F16+G16+I16+J16+L16+M16</f>
        <v>557942.36847999995</v>
      </c>
      <c r="O16" s="10">
        <f>N16/1826/24</f>
        <v>12.731434110989412</v>
      </c>
      <c r="P16" s="10">
        <f>O16/(C16*PrCloudDet!$F$11)</f>
        <v>8.1149827335356506E-4</v>
      </c>
    </row>
    <row r="17" spans="2:16" s="10" customFormat="1" x14ac:dyDescent="0.25">
      <c r="B17" s="10">
        <v>10</v>
      </c>
      <c r="C17" s="10">
        <f>_xlfn.CEILING.MATH(B17/PrCloudDet!$B$11)</f>
        <v>1</v>
      </c>
      <c r="D17" s="10">
        <f t="shared" ref="D17:D22" si="4">$F$11*C17</f>
        <v>11733.779999999999</v>
      </c>
      <c r="E17" s="10">
        <v>1</v>
      </c>
      <c r="F17" s="10">
        <f>_xlfn.IFNA(VLOOKUP($E$14,Prices!$B$2:$D$50,2,FALSE),0)</f>
        <v>2413.9899999999998</v>
      </c>
      <c r="G17" s="10">
        <f>(((_xlfn.IFNA(VLOOKUP($E$14,Prices!$B$2:$D$50,3,FALSE),0)*E17)*24*1826)/1000)*(_xlfn.IFNA(VLOOKUP($G$14,Prices!$B$2:$D$50,2,FALSE),0))*2</f>
        <v>335.25359999999995</v>
      </c>
      <c r="H17" s="10">
        <f t="shared" ref="H17:H22" si="5">_xlfn.CEILING.MATH(C17/1000)</f>
        <v>1</v>
      </c>
      <c r="I17" s="10">
        <f>_xlfn.IFNA(VLOOKUP($I$14,Prices!$B$2:$D$50,2,FALSE),0)*H17</f>
        <v>526450</v>
      </c>
      <c r="J17" s="10">
        <f>(($G$11*24*1826)/1000)*(_xlfn.IFNA(VLOOKUP($J$14,Prices!$B$2:$D$50,2,FALSE),0))*C17*2</f>
        <v>14013.600480000001</v>
      </c>
      <c r="K17" s="10">
        <f t="shared" si="2"/>
        <v>1</v>
      </c>
      <c r="L17" s="10">
        <f>_xlfn.IFNA(VLOOKUP($K$14,Prices!$B$2:$D$50,2,FALSE),0)*K17</f>
        <v>1654.73</v>
      </c>
      <c r="M17" s="10">
        <f>(((_xlfn.IFNA(VLOOKUP($K$14,Prices!$B$2:$D$50,3,FALSE),0)*K17)*24*1826)/1000)*(_xlfn.IFNA(VLOOKUP($M$14,Prices!$B$2:$D$50,2,FALSE),0))*2</f>
        <v>1341.0143999999998</v>
      </c>
      <c r="N17" s="10">
        <f t="shared" si="3"/>
        <v>557942.36847999995</v>
      </c>
      <c r="O17" s="10">
        <f t="shared" ref="O17:O22" si="6">N17/1826/24</f>
        <v>12.731434110989412</v>
      </c>
      <c r="P17" s="10">
        <f>O17/(C17*PrCloudDet!$F$11)</f>
        <v>8.1149827335356506E-4</v>
      </c>
    </row>
    <row r="18" spans="2:16" s="10" customFormat="1" x14ac:dyDescent="0.25">
      <c r="B18" s="10">
        <v>100</v>
      </c>
      <c r="C18" s="10">
        <f>_xlfn.CEILING.MATH(B18/PrCloudDet!$B$11)</f>
        <v>1</v>
      </c>
      <c r="D18" s="10">
        <f t="shared" si="4"/>
        <v>11733.779999999999</v>
      </c>
      <c r="E18" s="10">
        <v>1</v>
      </c>
      <c r="F18" s="10">
        <f>_xlfn.IFNA(VLOOKUP($E$14,Prices!$B$2:$D$50,2,FALSE),0)</f>
        <v>2413.9899999999998</v>
      </c>
      <c r="G18" s="10">
        <f>(((_xlfn.IFNA(VLOOKUP($E$14,Prices!$B$2:$D$50,3,FALSE),0)*E18)*24*1826)/1000)*(_xlfn.IFNA(VLOOKUP($G$14,Prices!$B$2:$D$50,2,FALSE),0))*2</f>
        <v>335.25359999999995</v>
      </c>
      <c r="H18" s="10">
        <f t="shared" si="5"/>
        <v>1</v>
      </c>
      <c r="I18" s="10">
        <f>_xlfn.IFNA(VLOOKUP($I$14,Prices!$B$2:$D$50,2,FALSE),0)*H18</f>
        <v>526450</v>
      </c>
      <c r="J18" s="10">
        <f>(($G$11*24*1826)/1000)*(_xlfn.IFNA(VLOOKUP($J$14,Prices!$B$2:$D$50,2,FALSE),0))*C18*2</f>
        <v>14013.600480000001</v>
      </c>
      <c r="K18" s="10">
        <f t="shared" si="2"/>
        <v>1</v>
      </c>
      <c r="L18" s="10">
        <f>_xlfn.IFNA(VLOOKUP($K$14,Prices!$B$2:$D$50,2,FALSE),0)*K18</f>
        <v>1654.73</v>
      </c>
      <c r="M18" s="10">
        <f>(((_xlfn.IFNA(VLOOKUP($K$14,Prices!$B$2:$D$50,3,FALSE),0)*K18)*24*1826)/1000)*(_xlfn.IFNA(VLOOKUP($M$14,Prices!$B$2:$D$50,2,FALSE),0))*2</f>
        <v>1341.0143999999998</v>
      </c>
      <c r="N18" s="10">
        <f t="shared" si="3"/>
        <v>557942.36847999995</v>
      </c>
      <c r="O18" s="10">
        <f t="shared" si="6"/>
        <v>12.731434110989412</v>
      </c>
      <c r="P18" s="10">
        <f>O18/(C18*PrCloudDet!$F$11)</f>
        <v>8.1149827335356506E-4</v>
      </c>
    </row>
    <row r="19" spans="2:16" s="10" customFormat="1" x14ac:dyDescent="0.25">
      <c r="B19" s="10">
        <v>1000</v>
      </c>
      <c r="C19" s="10">
        <f>_xlfn.CEILING.MATH(B19/PrCloudDet!$B$11)</f>
        <v>2</v>
      </c>
      <c r="D19" s="10">
        <f t="shared" si="4"/>
        <v>23467.559999999998</v>
      </c>
      <c r="E19" s="10">
        <v>1</v>
      </c>
      <c r="F19" s="10">
        <f>_xlfn.IFNA(VLOOKUP($E$14,Prices!$B$2:$D$50,2,FALSE),0)</f>
        <v>2413.9899999999998</v>
      </c>
      <c r="G19" s="10">
        <f>(((_xlfn.IFNA(VLOOKUP($E$14,Prices!$B$2:$D$50,3,FALSE),0)*E19)*24*1826)/1000)*(_xlfn.IFNA(VLOOKUP($G$14,Prices!$B$2:$D$50,2,FALSE),0))*2</f>
        <v>335.25359999999995</v>
      </c>
      <c r="H19" s="10">
        <f t="shared" si="5"/>
        <v>1</v>
      </c>
      <c r="I19" s="10">
        <f>_xlfn.IFNA(VLOOKUP($I$14,Prices!$B$2:$D$50,2,FALSE),0)*H19</f>
        <v>526450</v>
      </c>
      <c r="J19" s="10">
        <f>(($G$11*24*1826)/1000)*(_xlfn.IFNA(VLOOKUP($J$14,Prices!$B$2:$D$50,2,FALSE),0))*C19*2</f>
        <v>28027.200960000002</v>
      </c>
      <c r="K19" s="10">
        <f t="shared" si="2"/>
        <v>1</v>
      </c>
      <c r="L19" s="10">
        <f>_xlfn.IFNA(VLOOKUP($K$14,Prices!$B$2:$D$50,2,FALSE),0)*K19</f>
        <v>1654.73</v>
      </c>
      <c r="M19" s="10">
        <f>(((_xlfn.IFNA(VLOOKUP($K$14,Prices!$B$2:$D$50,3,FALSE),0)*K19)*24*1826)/1000)*(_xlfn.IFNA(VLOOKUP($M$14,Prices!$B$2:$D$50,2,FALSE),0))*2</f>
        <v>1341.0143999999998</v>
      </c>
      <c r="N19" s="10">
        <f t="shared" si="3"/>
        <v>583689.74896</v>
      </c>
      <c r="O19" s="10">
        <f t="shared" si="6"/>
        <v>13.318951920408908</v>
      </c>
      <c r="P19" s="10">
        <f>O19/(C19*PrCloudDet!$F$11)</f>
        <v>4.2447325226941854E-4</v>
      </c>
    </row>
    <row r="20" spans="2:16" s="10" customFormat="1" x14ac:dyDescent="0.25">
      <c r="B20" s="10">
        <v>10000</v>
      </c>
      <c r="C20" s="10">
        <f>_xlfn.CEILING.MATH(B20/PrCloudDet!$B$11)</f>
        <v>14</v>
      </c>
      <c r="D20" s="10">
        <f t="shared" si="4"/>
        <v>164272.91999999998</v>
      </c>
      <c r="E20" s="10">
        <v>1</v>
      </c>
      <c r="F20" s="10">
        <f>_xlfn.IFNA(VLOOKUP($E$14,Prices!$B$2:$D$50,2,FALSE),0)</f>
        <v>2413.9899999999998</v>
      </c>
      <c r="G20" s="10">
        <f>(((_xlfn.IFNA(VLOOKUP($E$14,Prices!$B$2:$D$50,3,FALSE),0)*E20)*24*1826)/1000)*(_xlfn.IFNA(VLOOKUP($G$14,Prices!$B$2:$D$50,2,FALSE),0))*2</f>
        <v>335.25359999999995</v>
      </c>
      <c r="H20" s="10">
        <f t="shared" si="5"/>
        <v>1</v>
      </c>
      <c r="I20" s="10">
        <f>_xlfn.IFNA(VLOOKUP($I$14,Prices!$B$2:$D$50,2,FALSE),0)*H20</f>
        <v>526450</v>
      </c>
      <c r="J20" s="10">
        <f>(($G$11*24*1826)/1000)*(_xlfn.IFNA(VLOOKUP($J$14,Prices!$B$2:$D$50,2,FALSE),0))*C20*2</f>
        <v>196190.40672000003</v>
      </c>
      <c r="K20" s="10">
        <f t="shared" si="2"/>
        <v>1</v>
      </c>
      <c r="L20" s="10">
        <f>_xlfn.IFNA(VLOOKUP($K$14,Prices!$B$2:$D$50,2,FALSE),0)*K20</f>
        <v>1654.73</v>
      </c>
      <c r="M20" s="10">
        <f>(((_xlfn.IFNA(VLOOKUP($K$14,Prices!$B$2:$D$50,3,FALSE),0)*K20)*24*1826)/1000)*(_xlfn.IFNA(VLOOKUP($M$14,Prices!$B$2:$D$50,2,FALSE),0))*2</f>
        <v>1341.0143999999998</v>
      </c>
      <c r="N20" s="10">
        <f t="shared" si="3"/>
        <v>892658.31471999991</v>
      </c>
      <c r="O20" s="10">
        <f t="shared" si="6"/>
        <v>20.369165633442858</v>
      </c>
      <c r="P20" s="10">
        <f>O20/(C20*PrCloudDet!$F$11)</f>
        <v>9.2737519911578677E-5</v>
      </c>
    </row>
    <row r="21" spans="2:16" s="10" customFormat="1" x14ac:dyDescent="0.25">
      <c r="B21" s="10">
        <v>100000</v>
      </c>
      <c r="C21" s="10">
        <f>_xlfn.CEILING.MATH(B21/PrCloudDet!$B$11)</f>
        <v>131</v>
      </c>
      <c r="D21" s="10">
        <f t="shared" si="4"/>
        <v>1537125.18</v>
      </c>
      <c r="E21" s="10">
        <v>1</v>
      </c>
      <c r="F21" s="10">
        <f>_xlfn.IFNA(VLOOKUP($E$14,Prices!$B$2:$D$50,2,FALSE),0)</f>
        <v>2413.9899999999998</v>
      </c>
      <c r="G21" s="10">
        <f>(((_xlfn.IFNA(VLOOKUP($E$14,Prices!$B$2:$D$50,3,FALSE),0)*E21)*24*1826)/1000)*(_xlfn.IFNA(VLOOKUP($G$14,Prices!$B$2:$D$50,2,FALSE),0))*2</f>
        <v>335.25359999999995</v>
      </c>
      <c r="H21" s="10">
        <f t="shared" si="5"/>
        <v>1</v>
      </c>
      <c r="I21" s="10">
        <f>_xlfn.IFNA(VLOOKUP($I$14,Prices!$B$2:$D$50,2,FALSE),0)*H21</f>
        <v>526450</v>
      </c>
      <c r="J21" s="10">
        <f>(($G$11*24*1826)/1000)*(_xlfn.IFNA(VLOOKUP($J$14,Prices!$B$2:$D$50,2,FALSE),0))*C21*2</f>
        <v>1835781.6628800002</v>
      </c>
      <c r="K21" s="10">
        <f t="shared" si="2"/>
        <v>4</v>
      </c>
      <c r="L21" s="10">
        <f>_xlfn.IFNA(VLOOKUP($K$14,Prices!$B$2:$D$50,2,FALSE),0)*K21</f>
        <v>6618.92</v>
      </c>
      <c r="M21" s="10">
        <f>(((_xlfn.IFNA(VLOOKUP($K$14,Prices!$B$2:$D$50,3,FALSE),0)*K21)*24*1826)/1000)*(_xlfn.IFNA(VLOOKUP($M$14,Prices!$B$2:$D$50,2,FALSE),0))*2</f>
        <v>5364.0575999999992</v>
      </c>
      <c r="N21" s="10">
        <f t="shared" si="3"/>
        <v>3914089.0640799999</v>
      </c>
      <c r="O21" s="10">
        <f t="shared" si="6"/>
        <v>89.313824937933546</v>
      </c>
      <c r="P21" s="10">
        <f>O21/(C21*PrCloudDet!$F$11)</f>
        <v>4.3456792309821808E-5</v>
      </c>
    </row>
    <row r="22" spans="2:16" s="10" customFormat="1" x14ac:dyDescent="0.25">
      <c r="B22" s="10">
        <v>1000000</v>
      </c>
      <c r="C22" s="10">
        <f>_xlfn.CEILING.MATH(B22/PrCloudDet!$B$11)</f>
        <v>1303</v>
      </c>
      <c r="D22" s="10">
        <f t="shared" si="4"/>
        <v>15289115.339999998</v>
      </c>
      <c r="E22" s="10">
        <v>1</v>
      </c>
      <c r="F22" s="10">
        <f>_xlfn.IFNA(VLOOKUP($E$14,Prices!$B$2:$D$50,2,FALSE),0)</f>
        <v>2413.9899999999998</v>
      </c>
      <c r="G22" s="10">
        <f>(((_xlfn.IFNA(VLOOKUP($E$14,Prices!$B$2:$D$50,3,FALSE),0)*E22)*24*1826)/1000)*(_xlfn.IFNA(VLOOKUP($G$14,Prices!$B$2:$D$50,2,FALSE),0))*2</f>
        <v>335.25359999999995</v>
      </c>
      <c r="H22" s="10">
        <f t="shared" si="5"/>
        <v>2</v>
      </c>
      <c r="I22" s="10">
        <f>_xlfn.IFNA(VLOOKUP($I$14,Prices!$B$2:$D$50,2,FALSE),0)*H22</f>
        <v>1052900</v>
      </c>
      <c r="J22" s="10">
        <f>(($G$11*24*1826)/1000)*(_xlfn.IFNA(VLOOKUP($J$14,Prices!$B$2:$D$50,2,FALSE),0))*C22*2</f>
        <v>18259721.425440002</v>
      </c>
      <c r="K22" s="10">
        <f t="shared" si="2"/>
        <v>32</v>
      </c>
      <c r="L22" s="10">
        <f>_xlfn.IFNA(VLOOKUP($K$14,Prices!$B$2:$D$50,2,FALSE),0)*K22</f>
        <v>52951.360000000001</v>
      </c>
      <c r="M22" s="10">
        <f>(((_xlfn.IFNA(VLOOKUP($K$14,Prices!$B$2:$D$50,3,FALSE),0)*K22)*24*1826)/1000)*(_xlfn.IFNA(VLOOKUP($M$14,Prices!$B$2:$D$50,2,FALSE),0))*2</f>
        <v>42912.460799999993</v>
      </c>
      <c r="N22" s="10">
        <f t="shared" si="3"/>
        <v>34700349.829839997</v>
      </c>
      <c r="O22" s="10">
        <f t="shared" si="6"/>
        <v>791.81156055677241</v>
      </c>
      <c r="P22" s="10">
        <f>O22/(C22*PrCloudDet!$F$11)</f>
        <v>3.8733585063560129E-5</v>
      </c>
    </row>
    <row r="23" spans="2:16" s="8" customFormat="1" x14ac:dyDescent="0.25"/>
    <row r="24" spans="2:16" s="8" customFormat="1" x14ac:dyDescent="0.25"/>
  </sheetData>
  <mergeCells count="2">
    <mergeCell ref="E14:F14"/>
    <mergeCell ref="K14:L1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P24"/>
  <sheetViews>
    <sheetView topLeftCell="D7" workbookViewId="0">
      <selection activeCell="P16" sqref="P16:P22"/>
    </sheetView>
  </sheetViews>
  <sheetFormatPr defaultRowHeight="15" x14ac:dyDescent="0.25"/>
  <cols>
    <col min="1" max="1" width="9.140625" style="2"/>
    <col min="2" max="2" width="18" style="2" customWidth="1"/>
    <col min="3" max="3" width="29.7109375" style="2" customWidth="1"/>
    <col min="4" max="4" width="14.85546875" style="2" customWidth="1"/>
    <col min="5" max="5" width="27.28515625" style="2" customWidth="1"/>
    <col min="6" max="6" width="15.5703125" style="2" customWidth="1"/>
    <col min="7" max="7" width="11.5703125" style="2" bestFit="1" customWidth="1"/>
    <col min="8" max="14" width="9.140625" style="2"/>
    <col min="15" max="15" width="10.5703125" style="2" bestFit="1" customWidth="1"/>
    <col min="16" max="16" width="11.5703125" style="2" bestFit="1" customWidth="1"/>
    <col min="17" max="16384" width="9.140625" style="2"/>
  </cols>
  <sheetData>
    <row r="1" spans="2:16" x14ac:dyDescent="0.25">
      <c r="B1" s="2" t="s">
        <v>28</v>
      </c>
    </row>
    <row r="3" spans="2:16" ht="45" x14ac:dyDescent="0.25">
      <c r="B3" s="2" t="s">
        <v>27</v>
      </c>
      <c r="C3" s="2" t="s">
        <v>33</v>
      </c>
      <c r="D3" s="2" t="s">
        <v>30</v>
      </c>
      <c r="E3" s="2" t="s">
        <v>31</v>
      </c>
      <c r="F3" s="2" t="s">
        <v>32</v>
      </c>
      <c r="G3" s="3" t="s">
        <v>89</v>
      </c>
    </row>
    <row r="4" spans="2:16" ht="30" x14ac:dyDescent="0.25">
      <c r="B4" s="2" t="s">
        <v>40</v>
      </c>
      <c r="C4" s="2" t="str">
        <f>PrCloudQty!G2</f>
        <v>NORCO RPC-170 Black 1U Rackmount Server Chassis</v>
      </c>
      <c r="D4" s="2">
        <v>1</v>
      </c>
      <c r="E4" s="8">
        <f>_xlfn.IFNA(VLOOKUP(TEXT(C4,"text"),Prices!$B$2:$C$300,2,FALSE),0)</f>
        <v>96.84</v>
      </c>
      <c r="F4" s="2">
        <f>_xlfn.IFNA(D4*E4,0)</f>
        <v>96.84</v>
      </c>
      <c r="G4" s="3">
        <f>_xlfn.IFNA(VLOOKUP(TEXT(C4,"text"),Prices!$B$2:$D$300,3,FALSE)*D4,0)</f>
        <v>10</v>
      </c>
    </row>
    <row r="5" spans="2:16" ht="60" x14ac:dyDescent="0.25">
      <c r="B5" s="2" t="s">
        <v>26</v>
      </c>
      <c r="C5" s="2" t="str">
        <f>PrCloudDet!G2</f>
        <v>Intel Xeon E5-2680 v3 Haswell 2.5 GHz LGA 2011-3 120W BX80644E52680V3 Server Processor</v>
      </c>
      <c r="D5" s="2">
        <f>PrCloudQty!G4</f>
        <v>2</v>
      </c>
      <c r="E5" s="8">
        <f>_xlfn.IFNA(VLOOKUP(TEXT(C5,"text"),Prices!$B$2:$C$300,2,FALSE),0)</f>
        <v>1719.99</v>
      </c>
      <c r="F5" s="3">
        <f t="shared" ref="F5:F9" si="0">_xlfn.IFNA(D5*E5,0)</f>
        <v>3439.98</v>
      </c>
      <c r="G5" s="3">
        <f>_xlfn.IFNA(VLOOKUP(TEXT(C5,"text"),Prices!$B$2:$D$300,3,FALSE)*D5,0)</f>
        <v>240</v>
      </c>
    </row>
    <row r="6" spans="2:16" ht="75" x14ac:dyDescent="0.25">
      <c r="B6" s="2" t="s">
        <v>29</v>
      </c>
      <c r="C6" s="2" t="str">
        <f>PrCloudQty!G5</f>
        <v>Black Diamond Memory 32GB 288-Pin DDR4 SDRAM ECC Registered DDR4 2133 (PC4 17000) Server Memory Model BD32G2133MQR26</v>
      </c>
      <c r="D6" s="2">
        <f>PrCloudQty!G6</f>
        <v>23</v>
      </c>
      <c r="E6" s="8">
        <f>_xlfn.IFNA(VLOOKUP(TEXT(C6,"text"),Prices!$B$2:$C$300,2,FALSE),0)</f>
        <v>214.99</v>
      </c>
      <c r="F6" s="3">
        <f t="shared" si="0"/>
        <v>4944.7700000000004</v>
      </c>
      <c r="G6" s="3">
        <f>_xlfn.IFNA(VLOOKUP(TEXT(C6,"text"),Prices!$B$2:$D$300,3,FALSE)*D6,0)</f>
        <v>115</v>
      </c>
    </row>
    <row r="7" spans="2:16" ht="45" x14ac:dyDescent="0.25">
      <c r="B7" s="2" t="s">
        <v>37</v>
      </c>
      <c r="C7" s="2" t="str">
        <f>PrCloudQty!G7</f>
        <v>GIGABYTE MD80-TM0 E-ATX / SSI EEB Server Motherboard Dual LGA 2011-3 Intel C612</v>
      </c>
      <c r="D7" s="2">
        <v>1</v>
      </c>
      <c r="E7" s="8">
        <f>_xlfn.IFNA(VLOOKUP(TEXT(C7,"text"),Prices!$B$2:$C$300,2,FALSE),0)</f>
        <v>659.99</v>
      </c>
      <c r="F7" s="3">
        <f t="shared" si="0"/>
        <v>659.99</v>
      </c>
      <c r="G7" s="3">
        <f>_xlfn.IFNA(VLOOKUP(TEXT(C7,"text"),Prices!$B$2:$D$300,3,FALSE)*D7,0)</f>
        <v>25</v>
      </c>
    </row>
    <row r="8" spans="2:16" ht="45" x14ac:dyDescent="0.25">
      <c r="B8" s="2" t="s">
        <v>34</v>
      </c>
      <c r="C8" s="2" t="str">
        <f>PrCloudQty!G8</f>
        <v>Black Diamond Memory Sonic Series BDSSDS1T 2.5" 1TB SATA III TLC Internal Solid State Drive</v>
      </c>
      <c r="D8" s="2">
        <f>PrCloudQty!G9</f>
        <v>2</v>
      </c>
      <c r="E8" s="8">
        <f>_xlfn.IFNA(VLOOKUP(TEXT(C8,"text"),Prices!$B$2:$C$300,2,FALSE),0)</f>
        <v>259.99</v>
      </c>
      <c r="F8" s="3">
        <f t="shared" si="0"/>
        <v>519.98</v>
      </c>
      <c r="G8" s="3">
        <f>_xlfn.IFNA(VLOOKUP(TEXT(C8,"text"),Prices!$B$2:$D$300,3,FALSE)*D8,0)</f>
        <v>50</v>
      </c>
    </row>
    <row r="9" spans="2:16" x14ac:dyDescent="0.25">
      <c r="B9" s="2" t="s">
        <v>35</v>
      </c>
      <c r="E9" s="8">
        <f>_xlfn.IFNA(VLOOKUP(TEXT(C9,"text"),Prices!$B$2:$C$300,2,FALSE),0)</f>
        <v>0</v>
      </c>
      <c r="F9" s="3">
        <f t="shared" si="0"/>
        <v>0</v>
      </c>
      <c r="G9" s="3">
        <f>_xlfn.IFNA(VLOOKUP(TEXT(C9,"text"),Prices!$B$2:$D$300,3,FALSE)*D9,0)</f>
        <v>0</v>
      </c>
    </row>
    <row r="10" spans="2:16" s="7" customFormat="1" x14ac:dyDescent="0.25"/>
    <row r="11" spans="2:16" s="8" customFormat="1" x14ac:dyDescent="0.25">
      <c r="F11" s="8">
        <f>SUM(F4:F10)</f>
        <v>9661.56</v>
      </c>
      <c r="G11" s="8">
        <f>SUM(G4:G10)</f>
        <v>440</v>
      </c>
    </row>
    <row r="12" spans="2:16" s="8" customFormat="1" x14ac:dyDescent="0.25"/>
    <row r="13" spans="2:16" s="10" customFormat="1" x14ac:dyDescent="0.25"/>
    <row r="14" spans="2:16" s="10" customFormat="1" ht="33.75" customHeight="1" x14ac:dyDescent="0.25">
      <c r="E14" s="12" t="str">
        <f>PrCloudQty!B19</f>
        <v>NETGEAR ProSAFE XS728T 28-Port 10-Gigabit Ethernet Smart Managed Switch (XS728T) - Lifetime Warranty</v>
      </c>
      <c r="F14" s="12"/>
      <c r="G14" s="10" t="s">
        <v>105</v>
      </c>
      <c r="I14" s="10" t="s">
        <v>39</v>
      </c>
      <c r="J14" s="10" t="s">
        <v>105</v>
      </c>
      <c r="K14" s="12" t="str">
        <f>PrCloudQty!B15</f>
        <v>APC AR3300 42U NetShelter SX 600mm Wide x 1200mm Deep Enclosure</v>
      </c>
      <c r="L14" s="12"/>
      <c r="M14" s="10" t="s">
        <v>105</v>
      </c>
    </row>
    <row r="15" spans="2:16" s="10" customFormat="1" ht="45" x14ac:dyDescent="0.25">
      <c r="B15" s="10" t="s">
        <v>97</v>
      </c>
      <c r="C15" s="10" t="s">
        <v>98</v>
      </c>
      <c r="D15" s="10" t="s">
        <v>99</v>
      </c>
      <c r="E15" s="10" t="s">
        <v>102</v>
      </c>
      <c r="F15" s="10" t="s">
        <v>100</v>
      </c>
      <c r="G15" s="10" t="s">
        <v>103</v>
      </c>
      <c r="H15" s="10" t="s">
        <v>122</v>
      </c>
      <c r="I15" s="10" t="s">
        <v>101</v>
      </c>
      <c r="J15" s="10" t="s">
        <v>104</v>
      </c>
      <c r="K15" s="10" t="s">
        <v>79</v>
      </c>
      <c r="L15" s="10" t="s">
        <v>106</v>
      </c>
      <c r="M15" s="10" t="s">
        <v>107</v>
      </c>
      <c r="N15" s="10" t="s">
        <v>108</v>
      </c>
      <c r="O15" s="10" t="s">
        <v>109</v>
      </c>
      <c r="P15" s="10" t="s">
        <v>110</v>
      </c>
    </row>
    <row r="16" spans="2:16" s="10" customFormat="1" x14ac:dyDescent="0.25">
      <c r="B16" s="10">
        <v>1</v>
      </c>
      <c r="C16" s="10">
        <f>_xlfn.CEILING.MATH(B16/PrCloudDet!$B$11)</f>
        <v>1</v>
      </c>
      <c r="D16" s="10">
        <f>$F$11*C16</f>
        <v>9661.56</v>
      </c>
      <c r="E16" s="10">
        <v>1</v>
      </c>
      <c r="F16" s="10">
        <f>_xlfn.IFNA(VLOOKUP($E$14,Prices!$B$2:$D$50,2,FALSE),0)*E16</f>
        <v>2413.9899999999998</v>
      </c>
      <c r="G16" s="10">
        <f>(((_xlfn.IFNA(VLOOKUP($E$14,Prices!$B$2:$D$50,3,FALSE),0)*E16)*24*1826)/1000)*(_xlfn.IFNA(VLOOKUP($G$14,Prices!$B$2:$D$50,2,FALSE),0))*2</f>
        <v>335.25359999999995</v>
      </c>
      <c r="H16" s="10">
        <f>_xlfn.CEILING.MATH(C16/1000)</f>
        <v>1</v>
      </c>
      <c r="I16" s="10">
        <f>_xlfn.IFNA(VLOOKUP($I$14,Prices!$B$2:$D$50,2,FALSE),0)*H16</f>
        <v>526450</v>
      </c>
      <c r="J16" s="10">
        <f>(($G$11*24*1826)/1000)*(_xlfn.IFNA(VLOOKUP($J$14,Prices!$B$2:$D$50,2,FALSE),0))*C16*2</f>
        <v>5900.4633600000006</v>
      </c>
      <c r="K16" s="10">
        <f t="shared" ref="K16:K22" si="1">_xlfn.CEILING.MATH(C16/42)</f>
        <v>1</v>
      </c>
      <c r="L16" s="10">
        <f>_xlfn.IFNA(VLOOKUP($K$14,Prices!$B$2:$D$50,2,FALSE),0)*K16</f>
        <v>1654.73</v>
      </c>
      <c r="M16" s="10">
        <f>(((_xlfn.IFNA(VLOOKUP($K$14,Prices!$B$2:$D$50,3,FALSE),0)*K16)*24*1826)/1000)*(_xlfn.IFNA(VLOOKUP($M$14,Prices!$B$2:$D$50,2,FALSE),0))*2</f>
        <v>1341.0143999999998</v>
      </c>
      <c r="N16" s="10">
        <f t="shared" ref="N16:N22" si="2">D16+F16+G16+I16+J16+L16+M16</f>
        <v>547757.01136</v>
      </c>
      <c r="O16" s="10">
        <f>N16/1826/24</f>
        <v>12.499019061701352</v>
      </c>
      <c r="P16" s="10">
        <f>O16/(C16*PrCloudDet!$G$11)</f>
        <v>1.3019811522605574E-2</v>
      </c>
    </row>
    <row r="17" spans="2:16" s="10" customFormat="1" x14ac:dyDescent="0.25">
      <c r="B17" s="10">
        <v>10</v>
      </c>
      <c r="C17" s="10">
        <f>_xlfn.CEILING.MATH(B17/PrCloudDet!$B$11)</f>
        <v>1</v>
      </c>
      <c r="D17" s="10">
        <f t="shared" ref="D17:D22" si="3">$F$11*C17</f>
        <v>9661.56</v>
      </c>
      <c r="E17" s="10">
        <v>1</v>
      </c>
      <c r="F17" s="10">
        <f>_xlfn.IFNA(VLOOKUP($E$14,Prices!$B$2:$D$50,2,FALSE),0)</f>
        <v>2413.9899999999998</v>
      </c>
      <c r="G17" s="10">
        <f>(((_xlfn.IFNA(VLOOKUP($E$14,Prices!$B$2:$D$50,3,FALSE),0)*E17)*24*1826)/1000)*(_xlfn.IFNA(VLOOKUP($G$14,Prices!$B$2:$D$50,2,FALSE),0))*2</f>
        <v>335.25359999999995</v>
      </c>
      <c r="H17" s="10">
        <f t="shared" ref="H17:H22" si="4">_xlfn.CEILING.MATH(C17/1000)</f>
        <v>1</v>
      </c>
      <c r="I17" s="10">
        <f>_xlfn.IFNA(VLOOKUP($I$14,Prices!$B$2:$D$50,2,FALSE),0)*H17</f>
        <v>526450</v>
      </c>
      <c r="J17" s="10">
        <f>(($G$11*24*1826)/1000)*(_xlfn.IFNA(VLOOKUP($J$14,Prices!$B$2:$D$50,2,FALSE),0))*C17*2</f>
        <v>5900.4633600000006</v>
      </c>
      <c r="K17" s="10">
        <f t="shared" si="1"/>
        <v>1</v>
      </c>
      <c r="L17" s="10">
        <f>_xlfn.IFNA(VLOOKUP($K$14,Prices!$B$2:$D$50,2,FALSE),0)*K17</f>
        <v>1654.73</v>
      </c>
      <c r="M17" s="10">
        <f>(((_xlfn.IFNA(VLOOKUP($K$14,Prices!$B$2:$D$50,3,FALSE),0)*K17)*24*1826)/1000)*(_xlfn.IFNA(VLOOKUP($M$14,Prices!$B$2:$D$50,2,FALSE),0))*2</f>
        <v>1341.0143999999998</v>
      </c>
      <c r="N17" s="10">
        <f t="shared" si="2"/>
        <v>547757.01136</v>
      </c>
      <c r="O17" s="10">
        <f t="shared" ref="O17:O22" si="5">N17/1826/24</f>
        <v>12.499019061701352</v>
      </c>
      <c r="P17" s="10">
        <f>O17/(C17*PrCloudDet!$G$11)</f>
        <v>1.3019811522605574E-2</v>
      </c>
    </row>
    <row r="18" spans="2:16" s="10" customFormat="1" x14ac:dyDescent="0.25">
      <c r="B18" s="10">
        <v>100</v>
      </c>
      <c r="C18" s="10">
        <f>_xlfn.CEILING.MATH(B18/PrCloudDet!$B$11)</f>
        <v>1</v>
      </c>
      <c r="D18" s="10">
        <f t="shared" si="3"/>
        <v>9661.56</v>
      </c>
      <c r="E18" s="10">
        <v>1</v>
      </c>
      <c r="F18" s="10">
        <f>_xlfn.IFNA(VLOOKUP($E$14,Prices!$B$2:$D$50,2,FALSE),0)</f>
        <v>2413.9899999999998</v>
      </c>
      <c r="G18" s="10">
        <f>(((_xlfn.IFNA(VLOOKUP($E$14,Prices!$B$2:$D$50,3,FALSE),0)*E18)*24*1826)/1000)*(_xlfn.IFNA(VLOOKUP($G$14,Prices!$B$2:$D$50,2,FALSE),0))*2</f>
        <v>335.25359999999995</v>
      </c>
      <c r="H18" s="10">
        <f t="shared" si="4"/>
        <v>1</v>
      </c>
      <c r="I18" s="10">
        <f>_xlfn.IFNA(VLOOKUP($I$14,Prices!$B$2:$D$50,2,FALSE),0)*H18</f>
        <v>526450</v>
      </c>
      <c r="J18" s="10">
        <f>(($G$11*24*1826)/1000)*(_xlfn.IFNA(VLOOKUP($J$14,Prices!$B$2:$D$50,2,FALSE),0))*C18*2</f>
        <v>5900.4633600000006</v>
      </c>
      <c r="K18" s="10">
        <f t="shared" si="1"/>
        <v>1</v>
      </c>
      <c r="L18" s="10">
        <f>_xlfn.IFNA(VLOOKUP($K$14,Prices!$B$2:$D$50,2,FALSE),0)*K18</f>
        <v>1654.73</v>
      </c>
      <c r="M18" s="10">
        <f>(((_xlfn.IFNA(VLOOKUP($K$14,Prices!$B$2:$D$50,3,FALSE),0)*K18)*24*1826)/1000)*(_xlfn.IFNA(VLOOKUP($M$14,Prices!$B$2:$D$50,2,FALSE),0))*2</f>
        <v>1341.0143999999998</v>
      </c>
      <c r="N18" s="10">
        <f t="shared" si="2"/>
        <v>547757.01136</v>
      </c>
      <c r="O18" s="10">
        <f t="shared" si="5"/>
        <v>12.499019061701352</v>
      </c>
      <c r="P18" s="10">
        <f>O18/(C18*PrCloudDet!$G$11)</f>
        <v>1.3019811522605574E-2</v>
      </c>
    </row>
    <row r="19" spans="2:16" s="10" customFormat="1" x14ac:dyDescent="0.25">
      <c r="B19" s="10">
        <v>1000</v>
      </c>
      <c r="C19" s="10">
        <f>_xlfn.CEILING.MATH(B19/PrCloudDet!$B$11)</f>
        <v>2</v>
      </c>
      <c r="D19" s="10">
        <f t="shared" si="3"/>
        <v>19323.12</v>
      </c>
      <c r="E19" s="10">
        <v>1</v>
      </c>
      <c r="F19" s="10">
        <f>_xlfn.IFNA(VLOOKUP($E$14,Prices!$B$2:$D$50,2,FALSE),0)</f>
        <v>2413.9899999999998</v>
      </c>
      <c r="G19" s="10">
        <f>(((_xlfn.IFNA(VLOOKUP($E$14,Prices!$B$2:$D$50,3,FALSE),0)*E19)*24*1826)/1000)*(_xlfn.IFNA(VLOOKUP($G$14,Prices!$B$2:$D$50,2,FALSE),0))*2</f>
        <v>335.25359999999995</v>
      </c>
      <c r="H19" s="10">
        <f t="shared" si="4"/>
        <v>1</v>
      </c>
      <c r="I19" s="10">
        <f>_xlfn.IFNA(VLOOKUP($I$14,Prices!$B$2:$D$50,2,FALSE),0)*H19</f>
        <v>526450</v>
      </c>
      <c r="J19" s="10">
        <f>(($G$11*24*1826)/1000)*(_xlfn.IFNA(VLOOKUP($J$14,Prices!$B$2:$D$50,2,FALSE),0))*C19*2</f>
        <v>11800.926720000001</v>
      </c>
      <c r="K19" s="10">
        <f t="shared" si="1"/>
        <v>1</v>
      </c>
      <c r="L19" s="10">
        <f>_xlfn.IFNA(VLOOKUP($K$14,Prices!$B$2:$D$50,2,FALSE),0)*K19</f>
        <v>1654.73</v>
      </c>
      <c r="M19" s="10">
        <f>(((_xlfn.IFNA(VLOOKUP($K$14,Prices!$B$2:$D$50,3,FALSE),0)*K19)*24*1826)/1000)*(_xlfn.IFNA(VLOOKUP($M$14,Prices!$B$2:$D$50,2,FALSE),0))*2</f>
        <v>1341.0143999999998</v>
      </c>
      <c r="N19" s="10">
        <f t="shared" si="2"/>
        <v>563319.03472</v>
      </c>
      <c r="O19" s="10">
        <f t="shared" si="5"/>
        <v>12.854121821832786</v>
      </c>
      <c r="P19" s="10">
        <f>O19/(C19*PrCloudDet!$G$11)</f>
        <v>6.6948551155379095E-3</v>
      </c>
    </row>
    <row r="20" spans="2:16" s="10" customFormat="1" x14ac:dyDescent="0.25">
      <c r="B20" s="10">
        <v>10000</v>
      </c>
      <c r="C20" s="10">
        <f>_xlfn.CEILING.MATH(B20/PrCloudDet!$B$11)</f>
        <v>14</v>
      </c>
      <c r="D20" s="10">
        <f t="shared" si="3"/>
        <v>135261.84</v>
      </c>
      <c r="E20" s="10">
        <v>1</v>
      </c>
      <c r="F20" s="10">
        <f>_xlfn.IFNA(VLOOKUP($E$14,Prices!$B$2:$D$50,2,FALSE),0)</f>
        <v>2413.9899999999998</v>
      </c>
      <c r="G20" s="10">
        <f>(((_xlfn.IFNA(VLOOKUP($E$14,Prices!$B$2:$D$50,3,FALSE),0)*E20)*24*1826)/1000)*(_xlfn.IFNA(VLOOKUP($G$14,Prices!$B$2:$D$50,2,FALSE),0))*2</f>
        <v>335.25359999999995</v>
      </c>
      <c r="H20" s="10">
        <f t="shared" si="4"/>
        <v>1</v>
      </c>
      <c r="I20" s="10">
        <f>_xlfn.IFNA(VLOOKUP($I$14,Prices!$B$2:$D$50,2,FALSE),0)*H20</f>
        <v>526450</v>
      </c>
      <c r="J20" s="10">
        <f>(($G$11*24*1826)/1000)*(_xlfn.IFNA(VLOOKUP($J$14,Prices!$B$2:$D$50,2,FALSE),0))*C20*2</f>
        <v>82606.487040000007</v>
      </c>
      <c r="K20" s="10">
        <f t="shared" si="1"/>
        <v>1</v>
      </c>
      <c r="L20" s="10">
        <f>_xlfn.IFNA(VLOOKUP($K$14,Prices!$B$2:$D$50,2,FALSE),0)*K20</f>
        <v>1654.73</v>
      </c>
      <c r="M20" s="10">
        <f>(((_xlfn.IFNA(VLOOKUP($K$14,Prices!$B$2:$D$50,3,FALSE),0)*K20)*24*1826)/1000)*(_xlfn.IFNA(VLOOKUP($M$14,Prices!$B$2:$D$50,2,FALSE),0))*2</f>
        <v>1341.0143999999998</v>
      </c>
      <c r="N20" s="10">
        <f t="shared" si="2"/>
        <v>750063.31504000002</v>
      </c>
      <c r="O20" s="10">
        <f t="shared" si="5"/>
        <v>17.115354943410004</v>
      </c>
      <c r="P20" s="10">
        <f>O20/(C20*PrCloudDet!$G$11)</f>
        <v>1.2734639094799109E-3</v>
      </c>
    </row>
    <row r="21" spans="2:16" s="10" customFormat="1" x14ac:dyDescent="0.25">
      <c r="B21" s="10">
        <v>100000</v>
      </c>
      <c r="C21" s="10">
        <f>_xlfn.CEILING.MATH(B21/PrCloudDet!$B$11)</f>
        <v>131</v>
      </c>
      <c r="D21" s="10">
        <f t="shared" si="3"/>
        <v>1265664.3599999999</v>
      </c>
      <c r="E21" s="10">
        <v>1</v>
      </c>
      <c r="F21" s="10">
        <f>_xlfn.IFNA(VLOOKUP($E$14,Prices!$B$2:$D$50,2,FALSE),0)</f>
        <v>2413.9899999999998</v>
      </c>
      <c r="G21" s="10">
        <f>(((_xlfn.IFNA(VLOOKUP($E$14,Prices!$B$2:$D$50,3,FALSE),0)*E21)*24*1826)/1000)*(_xlfn.IFNA(VLOOKUP($G$14,Prices!$B$2:$D$50,2,FALSE),0))*2</f>
        <v>335.25359999999995</v>
      </c>
      <c r="H21" s="10">
        <f t="shared" si="4"/>
        <v>1</v>
      </c>
      <c r="I21" s="10">
        <f>_xlfn.IFNA(VLOOKUP($I$14,Prices!$B$2:$D$50,2,FALSE),0)*H21</f>
        <v>526450</v>
      </c>
      <c r="J21" s="10">
        <f>(($G$11*24*1826)/1000)*(_xlfn.IFNA(VLOOKUP($J$14,Prices!$B$2:$D$50,2,FALSE),0))*C21*2</f>
        <v>772960.70016000012</v>
      </c>
      <c r="K21" s="10">
        <f t="shared" si="1"/>
        <v>4</v>
      </c>
      <c r="L21" s="10">
        <f>_xlfn.IFNA(VLOOKUP($K$14,Prices!$B$2:$D$50,2,FALSE),0)*K21</f>
        <v>6618.92</v>
      </c>
      <c r="M21" s="10">
        <f>(((_xlfn.IFNA(VLOOKUP($K$14,Prices!$B$2:$D$50,3,FALSE),0)*K21)*24*1826)/1000)*(_xlfn.IFNA(VLOOKUP($M$14,Prices!$B$2:$D$50,2,FALSE),0))*2</f>
        <v>5364.0575999999992</v>
      </c>
      <c r="N21" s="10">
        <f t="shared" si="2"/>
        <v>2579807.2813599999</v>
      </c>
      <c r="O21" s="10">
        <f t="shared" si="5"/>
        <v>58.867453481197515</v>
      </c>
      <c r="P21" s="10">
        <f>O21/(C21*PrCloudDet!$G$11)</f>
        <v>4.6809361864819907E-4</v>
      </c>
    </row>
    <row r="22" spans="2:16" s="10" customFormat="1" x14ac:dyDescent="0.25">
      <c r="B22" s="10">
        <v>1000000</v>
      </c>
      <c r="C22" s="10">
        <f>_xlfn.CEILING.MATH(B22/PrCloudDet!$B$11)</f>
        <v>1303</v>
      </c>
      <c r="D22" s="10">
        <f t="shared" si="3"/>
        <v>12589012.68</v>
      </c>
      <c r="E22" s="10">
        <v>1</v>
      </c>
      <c r="F22" s="10">
        <f>_xlfn.IFNA(VLOOKUP($E$14,Prices!$B$2:$D$50,2,FALSE),0)</f>
        <v>2413.9899999999998</v>
      </c>
      <c r="G22" s="10">
        <f>(((_xlfn.IFNA(VLOOKUP($E$14,Prices!$B$2:$D$50,3,FALSE),0)*E22)*24*1826)/1000)*(_xlfn.IFNA(VLOOKUP($G$14,Prices!$B$2:$D$50,2,FALSE),0))*2</f>
        <v>335.25359999999995</v>
      </c>
      <c r="H22" s="10">
        <f t="shared" si="4"/>
        <v>2</v>
      </c>
      <c r="I22" s="10">
        <f>_xlfn.IFNA(VLOOKUP($I$14,Prices!$B$2:$D$50,2,FALSE),0)*H22</f>
        <v>1052900</v>
      </c>
      <c r="J22" s="10">
        <f>(($G$11*24*1826)/1000)*(_xlfn.IFNA(VLOOKUP($J$14,Prices!$B$2:$D$50,2,FALSE),0))*C22*2</f>
        <v>7688303.758080001</v>
      </c>
      <c r="K22" s="10">
        <f t="shared" si="1"/>
        <v>32</v>
      </c>
      <c r="L22" s="10">
        <f>_xlfn.IFNA(VLOOKUP($K$14,Prices!$B$2:$D$50,2,FALSE),0)*K22</f>
        <v>52951.360000000001</v>
      </c>
      <c r="M22" s="10">
        <f>(((_xlfn.IFNA(VLOOKUP($K$14,Prices!$B$2:$D$50,3,FALSE),0)*K22)*24*1826)/1000)*(_xlfn.IFNA(VLOOKUP($M$14,Prices!$B$2:$D$50,2,FALSE),0))*2</f>
        <v>42912.460799999993</v>
      </c>
      <c r="N22" s="10">
        <f t="shared" si="2"/>
        <v>21428829.50248</v>
      </c>
      <c r="O22" s="10">
        <f t="shared" si="5"/>
        <v>488.97475133442862</v>
      </c>
      <c r="P22" s="10">
        <f>O22/(C22*PrCloudDet!$G$11)</f>
        <v>3.9090460422616766E-4</v>
      </c>
    </row>
    <row r="23" spans="2:16" s="8" customFormat="1" x14ac:dyDescent="0.25"/>
    <row r="24" spans="2:16" s="8" customFormat="1" x14ac:dyDescent="0.25"/>
  </sheetData>
  <mergeCells count="2">
    <mergeCell ref="E14:F14"/>
    <mergeCell ref="K14:L1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1:P24"/>
  <sheetViews>
    <sheetView topLeftCell="D10" workbookViewId="0">
      <selection activeCell="P16" sqref="P16"/>
    </sheetView>
  </sheetViews>
  <sheetFormatPr defaultRowHeight="15" x14ac:dyDescent="0.25"/>
  <cols>
    <col min="1" max="1" width="9.140625" style="2"/>
    <col min="2" max="2" width="18" style="2" customWidth="1"/>
    <col min="3" max="3" width="29.7109375" style="2" customWidth="1"/>
    <col min="4" max="4" width="14.85546875" style="2" customWidth="1"/>
    <col min="5" max="5" width="27.28515625" style="2" customWidth="1"/>
    <col min="6" max="6" width="15.5703125" style="2" customWidth="1"/>
    <col min="7" max="7" width="11.5703125" style="2" bestFit="1" customWidth="1"/>
    <col min="8" max="14" width="9.140625" style="2"/>
    <col min="15" max="16" width="11.5703125" style="2" bestFit="1" customWidth="1"/>
    <col min="17" max="16384" width="9.140625" style="2"/>
  </cols>
  <sheetData>
    <row r="1" spans="2:16" x14ac:dyDescent="0.25">
      <c r="B1" s="2" t="s">
        <v>28</v>
      </c>
    </row>
    <row r="3" spans="2:16" ht="45" x14ac:dyDescent="0.25">
      <c r="B3" s="2" t="s">
        <v>27</v>
      </c>
      <c r="C3" s="2" t="s">
        <v>33</v>
      </c>
      <c r="D3" s="2" t="s">
        <v>30</v>
      </c>
      <c r="E3" s="2" t="s">
        <v>31</v>
      </c>
      <c r="F3" s="2" t="s">
        <v>32</v>
      </c>
      <c r="G3" s="3" t="s">
        <v>89</v>
      </c>
    </row>
    <row r="4" spans="2:16" ht="30" x14ac:dyDescent="0.25">
      <c r="B4" s="2" t="s">
        <v>40</v>
      </c>
      <c r="C4" s="2" t="str">
        <f>PrCloudQty!H2</f>
        <v>NORCO RPC-170 Black 1U Rackmount Server Chassis</v>
      </c>
      <c r="D4" s="2">
        <v>1</v>
      </c>
      <c r="E4" s="8">
        <f>_xlfn.IFNA(VLOOKUP(TEXT(C4,"text"),Prices!$B$2:$C$300,2,FALSE),0)</f>
        <v>96.84</v>
      </c>
      <c r="F4" s="2">
        <f>_xlfn.IFNA(D4*E4,0)</f>
        <v>96.84</v>
      </c>
      <c r="G4" s="3">
        <f>_xlfn.IFNA(VLOOKUP(TEXT(C4,"text"),Prices!$B$2:$D$300,3,FALSE)*D4,0)</f>
        <v>10</v>
      </c>
    </row>
    <row r="5" spans="2:16" ht="60" x14ac:dyDescent="0.25">
      <c r="B5" s="2" t="s">
        <v>26</v>
      </c>
      <c r="C5" s="2" t="str">
        <f>PrCloudDet!H2</f>
        <v>Intel Xeon E5-2680 v3 Haswell 2.5 GHz LGA 2011-3 120W BX80644E52680V3 Server Processor</v>
      </c>
      <c r="D5" s="2">
        <f>PrCloudQty!H4</f>
        <v>2</v>
      </c>
      <c r="E5" s="8">
        <f>_xlfn.IFNA(VLOOKUP(TEXT(C5,"text"),Prices!$B$2:$C$300,2,FALSE),0)</f>
        <v>1719.99</v>
      </c>
      <c r="F5" s="3">
        <f t="shared" ref="F5:F9" si="0">_xlfn.IFNA(D5*E5,0)</f>
        <v>3439.98</v>
      </c>
      <c r="G5" s="3">
        <f>_xlfn.IFNA(VLOOKUP(TEXT(C5,"text"),Prices!$B$2:$D$300,3,FALSE)*D5,0)</f>
        <v>240</v>
      </c>
    </row>
    <row r="6" spans="2:16" ht="75" x14ac:dyDescent="0.25">
      <c r="B6" s="2" t="s">
        <v>29</v>
      </c>
      <c r="C6" s="2" t="str">
        <f>PrCloudQty!H5</f>
        <v>Black Diamond Memory 32GB 288-Pin DDR4 SDRAM ECC Registered DDR4 2133 (PC4 17000) Server Memory Model BD32G2133MQR26</v>
      </c>
      <c r="D6" s="2">
        <f>PrCloudQty!H6</f>
        <v>23</v>
      </c>
      <c r="E6" s="8">
        <f>_xlfn.IFNA(VLOOKUP(TEXT(C6,"text"),Prices!$B$2:$C$300,2,FALSE),0)</f>
        <v>214.99</v>
      </c>
      <c r="F6" s="3">
        <f t="shared" si="0"/>
        <v>4944.7700000000004</v>
      </c>
      <c r="G6" s="3">
        <f>_xlfn.IFNA(VLOOKUP(TEXT(C6,"text"),Prices!$B$2:$D$300,3,FALSE)*D6,0)</f>
        <v>115</v>
      </c>
    </row>
    <row r="7" spans="2:16" ht="45" x14ac:dyDescent="0.25">
      <c r="B7" s="2" t="s">
        <v>37</v>
      </c>
      <c r="C7" s="2" t="str">
        <f>PrCloudQty!H7</f>
        <v>GIGABYTE MD80-TM0 E-ATX / SSI EEB Server Motherboard Dual LGA 2011-3 Intel C612</v>
      </c>
      <c r="D7" s="2">
        <v>1</v>
      </c>
      <c r="E7" s="8">
        <f>_xlfn.IFNA(VLOOKUP(TEXT(C7,"text"),Prices!$B$2:$C$300,2,FALSE),0)</f>
        <v>659.99</v>
      </c>
      <c r="F7" s="3">
        <f t="shared" si="0"/>
        <v>659.99</v>
      </c>
      <c r="G7" s="3">
        <f>_xlfn.IFNA(VLOOKUP(TEXT(C7,"text"),Prices!$B$2:$D$300,3,FALSE)*D7,0)</f>
        <v>25</v>
      </c>
    </row>
    <row r="8" spans="2:16" ht="60" x14ac:dyDescent="0.25">
      <c r="B8" s="2" t="s">
        <v>34</v>
      </c>
      <c r="C8" s="2" t="str">
        <f>PrCloudQty!H8</f>
        <v>SAMSUNG 850 EVO 2.5" 2 TB SATA III 3-D Vertical Internal Solid State Drive (SSD) MZ-75E2T0B/AM</v>
      </c>
      <c r="D8" s="2">
        <f>PrCloudQty!H9</f>
        <v>10</v>
      </c>
      <c r="E8" s="8">
        <f>_xlfn.IFNA(VLOOKUP(TEXT(C8,"text"),Prices!$B$2:$C$300,2,FALSE),0)</f>
        <v>602.73</v>
      </c>
      <c r="F8" s="3">
        <f t="shared" si="0"/>
        <v>6027.3</v>
      </c>
      <c r="G8" s="3">
        <f>_xlfn.IFNA(VLOOKUP(TEXT(C8,"text"),Prices!$B$2:$D$300,3,FALSE)*D8,0)</f>
        <v>250</v>
      </c>
    </row>
    <row r="9" spans="2:16" ht="45" x14ac:dyDescent="0.25">
      <c r="B9" s="2" t="s">
        <v>35</v>
      </c>
      <c r="C9" s="2" t="str">
        <f>PrCloudQty!H13</f>
        <v>Lenovo ThinkServer I350-T4 AnyFabric 1 Gb 4-port Base-T Ethernet Adapter by Intel</v>
      </c>
      <c r="D9" s="2">
        <f>PrCloudQty!H14</f>
        <v>1</v>
      </c>
      <c r="E9" s="8">
        <f>_xlfn.IFNA(VLOOKUP(TEXT(C9,"text"),Prices!$B$2:$C$300,2,FALSE),0)</f>
        <v>90.99</v>
      </c>
      <c r="F9" s="3">
        <f t="shared" si="0"/>
        <v>90.99</v>
      </c>
      <c r="G9" s="3">
        <f>_xlfn.IFNA(VLOOKUP(TEXT(C9,"text"),Prices!$B$2:$D$300,3,FALSE)*D9,0)</f>
        <v>5</v>
      </c>
    </row>
    <row r="10" spans="2:16" s="7" customFormat="1" x14ac:dyDescent="0.25"/>
    <row r="11" spans="2:16" s="8" customFormat="1" x14ac:dyDescent="0.25">
      <c r="F11" s="8">
        <f>SUM(F4:F10)</f>
        <v>15259.87</v>
      </c>
      <c r="G11" s="8">
        <f>SUM(G4:G10)</f>
        <v>645</v>
      </c>
    </row>
    <row r="12" spans="2:16" s="8" customFormat="1" x14ac:dyDescent="0.25"/>
    <row r="13" spans="2:16" s="10" customFormat="1" x14ac:dyDescent="0.25"/>
    <row r="14" spans="2:16" s="10" customFormat="1" ht="33.75" customHeight="1" x14ac:dyDescent="0.25">
      <c r="E14" s="12" t="str">
        <f>PrCloudQty!B19</f>
        <v>NETGEAR ProSAFE XS728T 28-Port 10-Gigabit Ethernet Smart Managed Switch (XS728T) - Lifetime Warranty</v>
      </c>
      <c r="F14" s="12"/>
      <c r="G14" s="10" t="s">
        <v>105</v>
      </c>
      <c r="I14" s="10" t="s">
        <v>39</v>
      </c>
      <c r="J14" s="10" t="s">
        <v>105</v>
      </c>
      <c r="K14" s="12" t="str">
        <f>PrCloudQty!B15</f>
        <v>APC AR3300 42U NetShelter SX 600mm Wide x 1200mm Deep Enclosure</v>
      </c>
      <c r="L14" s="12"/>
      <c r="M14" s="10" t="s">
        <v>105</v>
      </c>
    </row>
    <row r="15" spans="2:16" s="10" customFormat="1" ht="45" x14ac:dyDescent="0.25">
      <c r="B15" s="10" t="s">
        <v>97</v>
      </c>
      <c r="C15" s="10" t="s">
        <v>98</v>
      </c>
      <c r="D15" s="10" t="s">
        <v>99</v>
      </c>
      <c r="E15" s="10" t="s">
        <v>102</v>
      </c>
      <c r="F15" s="10" t="s">
        <v>100</v>
      </c>
      <c r="G15" s="10" t="s">
        <v>103</v>
      </c>
      <c r="H15" s="10" t="s">
        <v>122</v>
      </c>
      <c r="I15" s="10" t="s">
        <v>101</v>
      </c>
      <c r="J15" s="10" t="s">
        <v>104</v>
      </c>
      <c r="K15" s="10" t="s">
        <v>79</v>
      </c>
      <c r="L15" s="10" t="s">
        <v>106</v>
      </c>
      <c r="M15" s="10" t="s">
        <v>107</v>
      </c>
      <c r="N15" s="10" t="s">
        <v>108</v>
      </c>
      <c r="O15" s="10" t="s">
        <v>109</v>
      </c>
      <c r="P15" s="10" t="s">
        <v>110</v>
      </c>
    </row>
    <row r="16" spans="2:16" s="10" customFormat="1" x14ac:dyDescent="0.25">
      <c r="B16" s="10">
        <v>1</v>
      </c>
      <c r="C16" s="10">
        <f>_xlfn.CEILING.MATH(B16/PrCloudDet!$B$11)</f>
        <v>1</v>
      </c>
      <c r="D16" s="10">
        <f>$F$11*C16</f>
        <v>15259.87</v>
      </c>
      <c r="E16" s="10">
        <v>1</v>
      </c>
      <c r="F16" s="10">
        <f>_xlfn.IFNA(VLOOKUP($E$14,Prices!$B$2:$D$50,2,FALSE),0)*E16</f>
        <v>2413.9899999999998</v>
      </c>
      <c r="G16" s="10">
        <f>(((_xlfn.IFNA(VLOOKUP($E$14,Prices!$B$2:$D$50,3,FALSE),0)*E16)*24*1826)/1000)*(_xlfn.IFNA(VLOOKUP($G$14,Prices!$B$2:$D$50,2,FALSE),0))*2</f>
        <v>335.25359999999995</v>
      </c>
      <c r="H16" s="10">
        <f>_xlfn.CEILING.MATH(C16/1000)</f>
        <v>1</v>
      </c>
      <c r="I16" s="10">
        <f>_xlfn.IFNA(VLOOKUP($I$14,Prices!$B$2:$D$50,2,FALSE),0)*H16</f>
        <v>526450</v>
      </c>
      <c r="J16" s="10">
        <f>(($G$11*24*1826)/1000)*(_xlfn.IFNA(VLOOKUP($J$14,Prices!$B$2:$D$50,2,FALSE),0))*C16*2</f>
        <v>8649.5428799999991</v>
      </c>
      <c r="K16" s="10">
        <f t="shared" ref="K16:K22" si="1">_xlfn.CEILING.MATH(C16/42)</f>
        <v>1</v>
      </c>
      <c r="L16" s="10">
        <f>_xlfn.IFNA(VLOOKUP($K$14,Prices!$B$2:$D$50,2,FALSE),0)*K16</f>
        <v>1654.73</v>
      </c>
      <c r="M16" s="10">
        <f>(((_xlfn.IFNA(VLOOKUP($K$14,Prices!$B$2:$D$50,3,FALSE),0)*K16)*24*1826)/1000)*(_xlfn.IFNA(VLOOKUP($M$14,Prices!$B$2:$D$50,2,FALSE),0))*2</f>
        <v>1341.0143999999998</v>
      </c>
      <c r="N16" s="10">
        <f t="shared" ref="N16:N22" si="2">D16+F16+G16+I16+J16+L16+M16</f>
        <v>556104.40087999997</v>
      </c>
      <c r="O16" s="10">
        <f>N16/1826/24</f>
        <v>12.689494361080685</v>
      </c>
      <c r="P16" s="10">
        <f>O16/(C16*PrCloudDet!$H$11)</f>
        <v>1.321822329279238E-2</v>
      </c>
    </row>
    <row r="17" spans="2:16" s="10" customFormat="1" x14ac:dyDescent="0.25">
      <c r="B17" s="10">
        <v>10</v>
      </c>
      <c r="C17" s="10">
        <f>_xlfn.CEILING.MATH(B17/PrCloudDet!$B$11)</f>
        <v>1</v>
      </c>
      <c r="D17" s="10">
        <f t="shared" ref="D17:D22" si="3">$F$11*C17</f>
        <v>15259.87</v>
      </c>
      <c r="E17" s="10">
        <v>1</v>
      </c>
      <c r="F17" s="10">
        <f>_xlfn.IFNA(VLOOKUP($E$14,Prices!$B$2:$D$50,2,FALSE),0)</f>
        <v>2413.9899999999998</v>
      </c>
      <c r="G17" s="10">
        <f>(((_xlfn.IFNA(VLOOKUP($E$14,Prices!$B$2:$D$50,3,FALSE),0)*E17)*24*1826)/1000)*(_xlfn.IFNA(VLOOKUP($G$14,Prices!$B$2:$D$50,2,FALSE),0))*2</f>
        <v>335.25359999999995</v>
      </c>
      <c r="H17" s="10">
        <f t="shared" ref="H17:H22" si="4">_xlfn.CEILING.MATH(C17/1000)</f>
        <v>1</v>
      </c>
      <c r="I17" s="10">
        <f>_xlfn.IFNA(VLOOKUP($I$14,Prices!$B$2:$D$50,2,FALSE),0)*H17</f>
        <v>526450</v>
      </c>
      <c r="J17" s="10">
        <f>(($G$11*24*1826)/1000)*(_xlfn.IFNA(VLOOKUP($J$14,Prices!$B$2:$D$50,2,FALSE),0))*C17*2</f>
        <v>8649.5428799999991</v>
      </c>
      <c r="K17" s="10">
        <f t="shared" si="1"/>
        <v>1</v>
      </c>
      <c r="L17" s="10">
        <f>_xlfn.IFNA(VLOOKUP($K$14,Prices!$B$2:$D$50,2,FALSE),0)*K17</f>
        <v>1654.73</v>
      </c>
      <c r="M17" s="10">
        <f>(((_xlfn.IFNA(VLOOKUP($K$14,Prices!$B$2:$D$50,3,FALSE),0)*K17)*24*1826)/1000)*(_xlfn.IFNA(VLOOKUP($M$14,Prices!$B$2:$D$50,2,FALSE),0))*2</f>
        <v>1341.0143999999998</v>
      </c>
      <c r="N17" s="10">
        <f t="shared" si="2"/>
        <v>556104.40087999997</v>
      </c>
      <c r="O17" s="10">
        <f t="shared" ref="O17:O22" si="5">N17/1826/24</f>
        <v>12.689494361080685</v>
      </c>
      <c r="P17" s="10">
        <f>O17/(C17*PrCloudDet!$H$11)</f>
        <v>1.321822329279238E-2</v>
      </c>
    </row>
    <row r="18" spans="2:16" s="10" customFormat="1" x14ac:dyDescent="0.25">
      <c r="B18" s="10">
        <v>100</v>
      </c>
      <c r="C18" s="10">
        <f>_xlfn.CEILING.MATH(B18/PrCloudDet!$B$11)</f>
        <v>1</v>
      </c>
      <c r="D18" s="10">
        <f t="shared" si="3"/>
        <v>15259.87</v>
      </c>
      <c r="E18" s="10">
        <v>1</v>
      </c>
      <c r="F18" s="10">
        <f>_xlfn.IFNA(VLOOKUP($E$14,Prices!$B$2:$D$50,2,FALSE),0)</f>
        <v>2413.9899999999998</v>
      </c>
      <c r="G18" s="10">
        <f>(((_xlfn.IFNA(VLOOKUP($E$14,Prices!$B$2:$D$50,3,FALSE),0)*E18)*24*1826)/1000)*(_xlfn.IFNA(VLOOKUP($G$14,Prices!$B$2:$D$50,2,FALSE),0))*2</f>
        <v>335.25359999999995</v>
      </c>
      <c r="H18" s="10">
        <f t="shared" si="4"/>
        <v>1</v>
      </c>
      <c r="I18" s="10">
        <f>_xlfn.IFNA(VLOOKUP($I$14,Prices!$B$2:$D$50,2,FALSE),0)*H18</f>
        <v>526450</v>
      </c>
      <c r="J18" s="10">
        <f>(($G$11*24*1826)/1000)*(_xlfn.IFNA(VLOOKUP($J$14,Prices!$B$2:$D$50,2,FALSE),0))*C18*2</f>
        <v>8649.5428799999991</v>
      </c>
      <c r="K18" s="10">
        <f t="shared" si="1"/>
        <v>1</v>
      </c>
      <c r="L18" s="10">
        <f>_xlfn.IFNA(VLOOKUP($K$14,Prices!$B$2:$D$50,2,FALSE),0)*K18</f>
        <v>1654.73</v>
      </c>
      <c r="M18" s="10">
        <f>(((_xlfn.IFNA(VLOOKUP($K$14,Prices!$B$2:$D$50,3,FALSE),0)*K18)*24*1826)/1000)*(_xlfn.IFNA(VLOOKUP($M$14,Prices!$B$2:$D$50,2,FALSE),0))*2</f>
        <v>1341.0143999999998</v>
      </c>
      <c r="N18" s="10">
        <f t="shared" si="2"/>
        <v>556104.40087999997</v>
      </c>
      <c r="O18" s="10">
        <f t="shared" si="5"/>
        <v>12.689494361080685</v>
      </c>
      <c r="P18" s="10">
        <f>O18/(C18*PrCloudDet!$H$11)</f>
        <v>1.321822329279238E-2</v>
      </c>
    </row>
    <row r="19" spans="2:16" s="10" customFormat="1" x14ac:dyDescent="0.25">
      <c r="B19" s="10">
        <v>1000</v>
      </c>
      <c r="C19" s="10">
        <f>_xlfn.CEILING.MATH(B19/PrCloudDet!$B$11)</f>
        <v>2</v>
      </c>
      <c r="D19" s="10">
        <f t="shared" si="3"/>
        <v>30519.74</v>
      </c>
      <c r="E19" s="10">
        <v>1</v>
      </c>
      <c r="F19" s="10">
        <f>_xlfn.IFNA(VLOOKUP($E$14,Prices!$B$2:$D$50,2,FALSE),0)</f>
        <v>2413.9899999999998</v>
      </c>
      <c r="G19" s="10">
        <f>(((_xlfn.IFNA(VLOOKUP($E$14,Prices!$B$2:$D$50,3,FALSE),0)*E19)*24*1826)/1000)*(_xlfn.IFNA(VLOOKUP($G$14,Prices!$B$2:$D$50,2,FALSE),0))*2</f>
        <v>335.25359999999995</v>
      </c>
      <c r="H19" s="10">
        <f t="shared" si="4"/>
        <v>1</v>
      </c>
      <c r="I19" s="10">
        <f>_xlfn.IFNA(VLOOKUP($I$14,Prices!$B$2:$D$50,2,FALSE),0)*H19</f>
        <v>526450</v>
      </c>
      <c r="J19" s="10">
        <f>(($G$11*24*1826)/1000)*(_xlfn.IFNA(VLOOKUP($J$14,Prices!$B$2:$D$50,2,FALSE),0))*C19*2</f>
        <v>17299.085759999998</v>
      </c>
      <c r="K19" s="10">
        <f t="shared" si="1"/>
        <v>1</v>
      </c>
      <c r="L19" s="10">
        <f>_xlfn.IFNA(VLOOKUP($K$14,Prices!$B$2:$D$50,2,FALSE),0)*K19</f>
        <v>1654.73</v>
      </c>
      <c r="M19" s="10">
        <f>(((_xlfn.IFNA(VLOOKUP($K$14,Prices!$B$2:$D$50,3,FALSE),0)*K19)*24*1826)/1000)*(_xlfn.IFNA(VLOOKUP($M$14,Prices!$B$2:$D$50,2,FALSE),0))*2</f>
        <v>1341.0143999999998</v>
      </c>
      <c r="N19" s="10">
        <f t="shared" si="2"/>
        <v>580013.81376000005</v>
      </c>
      <c r="O19" s="10">
        <f t="shared" si="5"/>
        <v>13.235072420591457</v>
      </c>
      <c r="P19" s="10">
        <f>O19/(C19*PrCloudDet!$H$11)</f>
        <v>6.893266885724717E-3</v>
      </c>
    </row>
    <row r="20" spans="2:16" s="10" customFormat="1" x14ac:dyDescent="0.25">
      <c r="B20" s="10">
        <v>10000</v>
      </c>
      <c r="C20" s="10">
        <f>_xlfn.CEILING.MATH(B20/PrCloudDet!$B$11)</f>
        <v>14</v>
      </c>
      <c r="D20" s="10">
        <f t="shared" si="3"/>
        <v>213638.18000000002</v>
      </c>
      <c r="E20" s="10">
        <v>1</v>
      </c>
      <c r="F20" s="10">
        <f>_xlfn.IFNA(VLOOKUP($E$14,Prices!$B$2:$D$50,2,FALSE),0)</f>
        <v>2413.9899999999998</v>
      </c>
      <c r="G20" s="10">
        <f>(((_xlfn.IFNA(VLOOKUP($E$14,Prices!$B$2:$D$50,3,FALSE),0)*E20)*24*1826)/1000)*(_xlfn.IFNA(VLOOKUP($G$14,Prices!$B$2:$D$50,2,FALSE),0))*2</f>
        <v>335.25359999999995</v>
      </c>
      <c r="H20" s="10">
        <f t="shared" si="4"/>
        <v>1</v>
      </c>
      <c r="I20" s="10">
        <f>_xlfn.IFNA(VLOOKUP($I$14,Prices!$B$2:$D$50,2,FALSE),0)*H20</f>
        <v>526450</v>
      </c>
      <c r="J20" s="10">
        <f>(($G$11*24*1826)/1000)*(_xlfn.IFNA(VLOOKUP($J$14,Prices!$B$2:$D$50,2,FALSE),0))*C20*2</f>
        <v>121093.60031999998</v>
      </c>
      <c r="K20" s="10">
        <f t="shared" si="1"/>
        <v>1</v>
      </c>
      <c r="L20" s="10">
        <f>_xlfn.IFNA(VLOOKUP($K$14,Prices!$B$2:$D$50,2,FALSE),0)*K20</f>
        <v>1654.73</v>
      </c>
      <c r="M20" s="10">
        <f>(((_xlfn.IFNA(VLOOKUP($K$14,Prices!$B$2:$D$50,3,FALSE),0)*K20)*24*1826)/1000)*(_xlfn.IFNA(VLOOKUP($M$14,Prices!$B$2:$D$50,2,FALSE),0))*2</f>
        <v>1341.0143999999998</v>
      </c>
      <c r="N20" s="10">
        <f t="shared" si="2"/>
        <v>866926.76831999992</v>
      </c>
      <c r="O20" s="10">
        <f t="shared" si="5"/>
        <v>19.782009134720699</v>
      </c>
      <c r="P20" s="10">
        <f>O20/(C20*PrCloudDet!$H$11)</f>
        <v>1.4718756796667186E-3</v>
      </c>
    </row>
    <row r="21" spans="2:16" s="10" customFormat="1" x14ac:dyDescent="0.25">
      <c r="B21" s="10">
        <v>100000</v>
      </c>
      <c r="C21" s="10">
        <f>_xlfn.CEILING.MATH(B21/PrCloudDet!$B$11)</f>
        <v>131</v>
      </c>
      <c r="D21" s="10">
        <f t="shared" si="3"/>
        <v>1999042.9700000002</v>
      </c>
      <c r="E21" s="10">
        <v>1</v>
      </c>
      <c r="F21" s="10">
        <f>_xlfn.IFNA(VLOOKUP($E$14,Prices!$B$2:$D$50,2,FALSE),0)</f>
        <v>2413.9899999999998</v>
      </c>
      <c r="G21" s="10">
        <f>(((_xlfn.IFNA(VLOOKUP($E$14,Prices!$B$2:$D$50,3,FALSE),0)*E21)*24*1826)/1000)*(_xlfn.IFNA(VLOOKUP($G$14,Prices!$B$2:$D$50,2,FALSE),0))*2</f>
        <v>335.25359999999995</v>
      </c>
      <c r="H21" s="10">
        <f t="shared" si="4"/>
        <v>1</v>
      </c>
      <c r="I21" s="10">
        <f>_xlfn.IFNA(VLOOKUP($I$14,Prices!$B$2:$D$50,2,FALSE),0)*H21</f>
        <v>526450</v>
      </c>
      <c r="J21" s="10">
        <f>(($G$11*24*1826)/1000)*(_xlfn.IFNA(VLOOKUP($J$14,Prices!$B$2:$D$50,2,FALSE),0))*C21*2</f>
        <v>1133090.1172799999</v>
      </c>
      <c r="K21" s="10">
        <f t="shared" si="1"/>
        <v>4</v>
      </c>
      <c r="L21" s="10">
        <f>_xlfn.IFNA(VLOOKUP($K$14,Prices!$B$2:$D$50,2,FALSE),0)*K21</f>
        <v>6618.92</v>
      </c>
      <c r="M21" s="10">
        <f>(((_xlfn.IFNA(VLOOKUP($K$14,Prices!$B$2:$D$50,3,FALSE),0)*K21)*24*1826)/1000)*(_xlfn.IFNA(VLOOKUP($M$14,Prices!$B$2:$D$50,2,FALSE),0))*2</f>
        <v>5364.0575999999992</v>
      </c>
      <c r="N21" s="10">
        <f t="shared" si="2"/>
        <v>3673315.3084800001</v>
      </c>
      <c r="O21" s="10">
        <f t="shared" si="5"/>
        <v>83.819717699890475</v>
      </c>
      <c r="P21" s="10">
        <f>O21/(C21*PrCloudDet!$H$11)</f>
        <v>6.6650538883500691E-4</v>
      </c>
    </row>
    <row r="22" spans="2:16" s="10" customFormat="1" x14ac:dyDescent="0.25">
      <c r="B22" s="10">
        <v>1000000</v>
      </c>
      <c r="C22" s="10">
        <f>_xlfn.CEILING.MATH(B22/PrCloudDet!$B$11)</f>
        <v>1303</v>
      </c>
      <c r="D22" s="10">
        <f t="shared" si="3"/>
        <v>19883610.609999999</v>
      </c>
      <c r="E22" s="10">
        <v>1</v>
      </c>
      <c r="F22" s="10">
        <f>_xlfn.IFNA(VLOOKUP($E$14,Prices!$B$2:$D$50,2,FALSE),0)</f>
        <v>2413.9899999999998</v>
      </c>
      <c r="G22" s="10">
        <f>(((_xlfn.IFNA(VLOOKUP($E$14,Prices!$B$2:$D$50,3,FALSE),0)*E22)*24*1826)/1000)*(_xlfn.IFNA(VLOOKUP($G$14,Prices!$B$2:$D$50,2,FALSE),0))*2</f>
        <v>335.25359999999995</v>
      </c>
      <c r="H22" s="10">
        <f t="shared" si="4"/>
        <v>2</v>
      </c>
      <c r="I22" s="10">
        <f>_xlfn.IFNA(VLOOKUP($I$14,Prices!$B$2:$D$50,2,FALSE),0)*H22</f>
        <v>1052900</v>
      </c>
      <c r="J22" s="10">
        <f>(($G$11*24*1826)/1000)*(_xlfn.IFNA(VLOOKUP($J$14,Prices!$B$2:$D$50,2,FALSE),0))*C22*2</f>
        <v>11270354.372639999</v>
      </c>
      <c r="K22" s="10">
        <f t="shared" si="1"/>
        <v>32</v>
      </c>
      <c r="L22" s="10">
        <f>_xlfn.IFNA(VLOOKUP($K$14,Prices!$B$2:$D$50,2,FALSE),0)*K22</f>
        <v>52951.360000000001</v>
      </c>
      <c r="M22" s="10">
        <f>(((_xlfn.IFNA(VLOOKUP($K$14,Prices!$B$2:$D$50,3,FALSE),0)*K22)*24*1826)/1000)*(_xlfn.IFNA(VLOOKUP($M$14,Prices!$B$2:$D$50,2,FALSE),0))*2</f>
        <v>42912.460799999993</v>
      </c>
      <c r="N22" s="10">
        <f t="shared" si="2"/>
        <v>32305478.047039997</v>
      </c>
      <c r="O22" s="10">
        <f t="shared" si="5"/>
        <v>737.1640664257028</v>
      </c>
      <c r="P22" s="10">
        <f>O22/(C22*PrCloudDet!$H$11)</f>
        <v>5.8931637441297555E-4</v>
      </c>
    </row>
    <row r="23" spans="2:16" s="8" customFormat="1" x14ac:dyDescent="0.25"/>
    <row r="24" spans="2:16" s="8" customFormat="1" x14ac:dyDescent="0.25"/>
  </sheetData>
  <mergeCells count="2">
    <mergeCell ref="E14:F14"/>
    <mergeCell ref="K14:L1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1:P24"/>
  <sheetViews>
    <sheetView workbookViewId="0"/>
  </sheetViews>
  <sheetFormatPr defaultRowHeight="15" x14ac:dyDescent="0.25"/>
  <cols>
    <col min="1" max="1" width="9.140625" style="2"/>
    <col min="2" max="2" width="18" style="2" customWidth="1"/>
    <col min="3" max="3" width="29.7109375" style="2" customWidth="1"/>
    <col min="4" max="4" width="14.85546875" style="2" customWidth="1"/>
    <col min="5" max="5" width="27.28515625" style="2" customWidth="1"/>
    <col min="6" max="6" width="15.5703125" style="2" customWidth="1"/>
    <col min="7" max="7" width="11.5703125" style="2" bestFit="1" customWidth="1"/>
    <col min="8" max="14" width="9.140625" style="2"/>
    <col min="15" max="16" width="11.5703125" style="2" bestFit="1" customWidth="1"/>
    <col min="17" max="16384" width="9.140625" style="2"/>
  </cols>
  <sheetData>
    <row r="1" spans="2:16" x14ac:dyDescent="0.25">
      <c r="B1" s="2" t="s">
        <v>28</v>
      </c>
    </row>
    <row r="3" spans="2:16" ht="45" x14ac:dyDescent="0.25">
      <c r="B3" s="2" t="s">
        <v>27</v>
      </c>
      <c r="C3" s="2" t="s">
        <v>33</v>
      </c>
      <c r="D3" s="2" t="s">
        <v>30</v>
      </c>
      <c r="E3" s="2" t="s">
        <v>31</v>
      </c>
      <c r="F3" s="2" t="s">
        <v>32</v>
      </c>
      <c r="G3" s="3" t="s">
        <v>89</v>
      </c>
    </row>
    <row r="4" spans="2:16" ht="30" x14ac:dyDescent="0.25">
      <c r="B4" s="2" t="s">
        <v>40</v>
      </c>
      <c r="C4" s="2" t="str">
        <f>PrCloudQty!I2</f>
        <v>NORCO RPC-170 Black 1U Rackmount Server Chassis</v>
      </c>
      <c r="D4" s="2">
        <v>1</v>
      </c>
      <c r="E4" s="8">
        <f>_xlfn.IFNA(VLOOKUP(TEXT(C4,"text"),Prices!$B$2:$C$300,2,FALSE),0)</f>
        <v>96.84</v>
      </c>
      <c r="F4" s="2">
        <f>_xlfn.IFNA(D4*E4,0)</f>
        <v>96.84</v>
      </c>
      <c r="G4" s="3">
        <f>_xlfn.IFNA(VLOOKUP(TEXT(C4,"text"),Prices!$B$2:$D$300,3,FALSE)*D4,0)</f>
        <v>10</v>
      </c>
    </row>
    <row r="5" spans="2:16" ht="60" x14ac:dyDescent="0.25">
      <c r="B5" s="2" t="s">
        <v>26</v>
      </c>
      <c r="C5" s="2" t="str">
        <f>PrCloudDet!I2</f>
        <v>Intel Xeon E5-2640 V4 2.4 GHz 25MB L3 Cache LGA 2011 90W BX80660E52640V4 Server Processor</v>
      </c>
      <c r="D5" s="2">
        <f>PrCloudQty!I4</f>
        <v>2</v>
      </c>
      <c r="E5" s="8">
        <f>_xlfn.IFNA(VLOOKUP(TEXT(C5,"text"),Prices!$B$2:$C$300,2,FALSE),0)</f>
        <v>989.99</v>
      </c>
      <c r="F5" s="3">
        <f t="shared" ref="F5:F9" si="0">_xlfn.IFNA(D5*E5,0)</f>
        <v>1979.98</v>
      </c>
      <c r="G5" s="3">
        <f>_xlfn.IFNA(VLOOKUP(TEXT(C5,"text"),Prices!$B$2:$D$300,3,FALSE)*D5,0)</f>
        <v>180</v>
      </c>
    </row>
    <row r="6" spans="2:16" ht="75" x14ac:dyDescent="0.25">
      <c r="B6" s="2" t="s">
        <v>29</v>
      </c>
      <c r="C6" s="2" t="str">
        <f>PrCloudQty!I5</f>
        <v>Kingston 64GB (4 x 16GB) 288-Pin DDR4 SDRAM ECC Registered DDR4 2133 (PC4 17000) Server Memory Model KVR21R15D4K4/64</v>
      </c>
      <c r="D6" s="2">
        <f>PrCloudQty!I6</f>
        <v>4</v>
      </c>
      <c r="E6" s="8">
        <f>_xlfn.IFNA(VLOOKUP(TEXT(C6,"text"),Prices!$B$2:$C$300,2,FALSE),0)</f>
        <v>365.99</v>
      </c>
      <c r="F6" s="3">
        <f t="shared" si="0"/>
        <v>1463.96</v>
      </c>
      <c r="G6" s="3">
        <f>_xlfn.IFNA(VLOOKUP(TEXT(C6,"text"),Prices!$B$2:$D$300,3,FALSE)*D6,0)</f>
        <v>80</v>
      </c>
    </row>
    <row r="7" spans="2:16" ht="45" x14ac:dyDescent="0.25">
      <c r="B7" s="2" t="s">
        <v>37</v>
      </c>
      <c r="C7" s="2" t="str">
        <f>PrCloudQty!I7</f>
        <v>GIGABYTE MD80-TM0 E-ATX / SSI EEB Server Motherboard Dual LGA 2011-3 Intel C612</v>
      </c>
      <c r="D7" s="2">
        <v>1</v>
      </c>
      <c r="E7" s="8">
        <f>_xlfn.IFNA(VLOOKUP(TEXT(C7,"text"),Prices!$B$2:$C$300,2,FALSE),0)</f>
        <v>659.99</v>
      </c>
      <c r="F7" s="3">
        <f t="shared" si="0"/>
        <v>659.99</v>
      </c>
      <c r="G7" s="3">
        <f>_xlfn.IFNA(VLOOKUP(TEXT(C7,"text"),Prices!$B$2:$D$300,3,FALSE)*D7,0)</f>
        <v>25</v>
      </c>
    </row>
    <row r="8" spans="2:16" ht="60" x14ac:dyDescent="0.25">
      <c r="B8" s="2" t="s">
        <v>34</v>
      </c>
      <c r="C8" s="2" t="str">
        <f>PrCloudQty!I8</f>
        <v>Seagate Archive HDD v2 ST8000AS0002 8TB 128MB Cache SATA 6.0Gb/s 3.5" Internal Hard Drive Bare Drive</v>
      </c>
      <c r="D8" s="2">
        <f>PrCloudQty!I9</f>
        <v>6</v>
      </c>
      <c r="E8" s="8">
        <f>_xlfn.IFNA(VLOOKUP(TEXT(C8,"text"),Prices!$B$2:$C$300,2,FALSE),0)</f>
        <v>219.99</v>
      </c>
      <c r="F8" s="3">
        <f t="shared" si="0"/>
        <v>1319.94</v>
      </c>
      <c r="G8" s="3">
        <f>_xlfn.IFNA(VLOOKUP(TEXT(C8,"text"),Prices!$B$2:$D$300,3,FALSE)*D8,0)</f>
        <v>210</v>
      </c>
    </row>
    <row r="9" spans="2:16" x14ac:dyDescent="0.25">
      <c r="B9" s="2" t="s">
        <v>35</v>
      </c>
      <c r="E9" s="8">
        <f>_xlfn.IFNA(VLOOKUP(TEXT(C9,"text"),Prices!$B$2:$C$300,2,FALSE),0)</f>
        <v>0</v>
      </c>
      <c r="F9" s="3">
        <f t="shared" si="0"/>
        <v>0</v>
      </c>
      <c r="G9" s="3">
        <f>_xlfn.IFNA(VLOOKUP(TEXT(C9,"text"),Prices!$B$2:$D$300,3,FALSE)*D9,0)</f>
        <v>0</v>
      </c>
    </row>
    <row r="10" spans="2:16" s="7" customFormat="1" x14ac:dyDescent="0.25"/>
    <row r="11" spans="2:16" s="8" customFormat="1" x14ac:dyDescent="0.25">
      <c r="F11" s="8">
        <f>SUM(F4:F10)</f>
        <v>5520.7100000000009</v>
      </c>
      <c r="G11" s="8">
        <f>SUM(G4:G10)</f>
        <v>505</v>
      </c>
    </row>
    <row r="12" spans="2:16" s="8" customFormat="1" x14ac:dyDescent="0.25"/>
    <row r="13" spans="2:16" s="10" customFormat="1" x14ac:dyDescent="0.25"/>
    <row r="14" spans="2:16" s="10" customFormat="1" ht="33.75" customHeight="1" x14ac:dyDescent="0.25">
      <c r="E14" s="12" t="str">
        <f>PrCloudQty!B19</f>
        <v>NETGEAR ProSAFE XS728T 28-Port 10-Gigabit Ethernet Smart Managed Switch (XS728T) - Lifetime Warranty</v>
      </c>
      <c r="F14" s="12"/>
      <c r="G14" s="10" t="s">
        <v>105</v>
      </c>
      <c r="I14" s="10" t="s">
        <v>39</v>
      </c>
      <c r="J14" s="10" t="s">
        <v>105</v>
      </c>
      <c r="K14" s="12" t="str">
        <f>PrCloudQty!B15</f>
        <v>APC AR3300 42U NetShelter SX 600mm Wide x 1200mm Deep Enclosure</v>
      </c>
      <c r="L14" s="12"/>
      <c r="M14" s="10" t="s">
        <v>105</v>
      </c>
    </row>
    <row r="15" spans="2:16" s="10" customFormat="1" ht="90" x14ac:dyDescent="0.25">
      <c r="B15" s="10" t="s">
        <v>97</v>
      </c>
      <c r="C15" s="10" t="s">
        <v>98</v>
      </c>
      <c r="D15" s="10" t="s">
        <v>99</v>
      </c>
      <c r="E15" s="10" t="s">
        <v>102</v>
      </c>
      <c r="F15" s="10" t="s">
        <v>100</v>
      </c>
      <c r="G15" s="10" t="s">
        <v>103</v>
      </c>
      <c r="H15" s="10" t="s">
        <v>122</v>
      </c>
      <c r="I15" s="10" t="s">
        <v>101</v>
      </c>
      <c r="J15" s="10" t="s">
        <v>104</v>
      </c>
      <c r="K15" s="10" t="s">
        <v>79</v>
      </c>
      <c r="L15" s="10" t="s">
        <v>106</v>
      </c>
      <c r="M15" s="10" t="s">
        <v>107</v>
      </c>
      <c r="N15" s="10" t="s">
        <v>108</v>
      </c>
      <c r="O15" s="10" t="s">
        <v>109</v>
      </c>
      <c r="P15" s="10" t="s">
        <v>110</v>
      </c>
    </row>
    <row r="16" spans="2:16" s="10" customFormat="1" x14ac:dyDescent="0.25">
      <c r="B16" s="10">
        <v>1</v>
      </c>
      <c r="C16" s="10">
        <f>_xlfn.CEILING.MATH(B16/PrCloudDet!$B$11)</f>
        <v>1</v>
      </c>
      <c r="D16" s="10">
        <f>$F$11*C16</f>
        <v>5520.7100000000009</v>
      </c>
      <c r="E16" s="10">
        <v>1</v>
      </c>
      <c r="F16" s="10">
        <f>_xlfn.IFNA(VLOOKUP($E$14,Prices!$B$2:$D$50,2,FALSE),0)*E16</f>
        <v>2413.9899999999998</v>
      </c>
      <c r="G16" s="10">
        <f>(((_xlfn.IFNA(VLOOKUP($E$14,Prices!$B$2:$D$50,3,FALSE),0)*E16)*24*1826)/1000)*(_xlfn.IFNA(VLOOKUP($G$14,Prices!$B$2:$D$50,2,FALSE),0))*2</f>
        <v>335.25359999999995</v>
      </c>
      <c r="H16" s="10">
        <f>_xlfn.CEILING.MATH(C16/1000)</f>
        <v>1</v>
      </c>
      <c r="I16" s="10">
        <f>_xlfn.IFNA(VLOOKUP($I$14,Prices!$B$2:$D$50,2,FALSE),0)*H16</f>
        <v>526450</v>
      </c>
      <c r="J16" s="10">
        <f>(($G$11*24*1826)/1000)*(_xlfn.IFNA(VLOOKUP($J$14,Prices!$B$2:$D$50,2,FALSE),0))*C16*2</f>
        <v>6772.1227199999994</v>
      </c>
      <c r="K16" s="10">
        <f t="shared" ref="K16:K22" si="1">_xlfn.CEILING.MATH(C16/42)</f>
        <v>1</v>
      </c>
      <c r="L16" s="10">
        <f>_xlfn.IFNA(VLOOKUP($K$14,Prices!$B$2:$D$50,2,FALSE),0)*K16</f>
        <v>1654.73</v>
      </c>
      <c r="M16" s="10">
        <f>(((_xlfn.IFNA(VLOOKUP($K$14,Prices!$B$2:$D$50,3,FALSE),0)*K16)*24*1826)/1000)*(_xlfn.IFNA(VLOOKUP($M$14,Prices!$B$2:$D$50,2,FALSE),0))*2</f>
        <v>1341.0143999999998</v>
      </c>
      <c r="N16" s="10">
        <f t="shared" ref="N16:N22" si="2">D16+F16+G16+I16+J16+L16+M16</f>
        <v>544487.82071999996</v>
      </c>
      <c r="O16" s="10">
        <f>N16/1826/24</f>
        <v>12.424420881708651</v>
      </c>
      <c r="P16" s="10">
        <f>O16/(C16*PrCloudDet!$I$11)</f>
        <v>1.6177631356391473E-2</v>
      </c>
    </row>
    <row r="17" spans="2:16" s="10" customFormat="1" x14ac:dyDescent="0.25">
      <c r="B17" s="10">
        <v>10</v>
      </c>
      <c r="C17" s="10">
        <f>_xlfn.CEILING.MATH(B17/PrCloudDet!$B$11)</f>
        <v>1</v>
      </c>
      <c r="D17" s="10">
        <f t="shared" ref="D17:D22" si="3">$F$11*C17</f>
        <v>5520.7100000000009</v>
      </c>
      <c r="E17" s="10">
        <v>1</v>
      </c>
      <c r="F17" s="10">
        <f>_xlfn.IFNA(VLOOKUP($E$14,Prices!$B$2:$D$50,2,FALSE),0)</f>
        <v>2413.9899999999998</v>
      </c>
      <c r="G17" s="10">
        <f>(((_xlfn.IFNA(VLOOKUP($E$14,Prices!$B$2:$D$50,3,FALSE),0)*E17)*24*1826)/1000)*(_xlfn.IFNA(VLOOKUP($G$14,Prices!$B$2:$D$50,2,FALSE),0))*2</f>
        <v>335.25359999999995</v>
      </c>
      <c r="H17" s="10">
        <f t="shared" ref="H17:H22" si="4">_xlfn.CEILING.MATH(C17/1000)</f>
        <v>1</v>
      </c>
      <c r="I17" s="10">
        <f>_xlfn.IFNA(VLOOKUP($I$14,Prices!$B$2:$D$50,2,FALSE),0)*H17</f>
        <v>526450</v>
      </c>
      <c r="J17" s="10">
        <f>(($G$11*24*1826)/1000)*(_xlfn.IFNA(VLOOKUP($J$14,Prices!$B$2:$D$50,2,FALSE),0))*C17*2</f>
        <v>6772.1227199999994</v>
      </c>
      <c r="K17" s="10">
        <f t="shared" si="1"/>
        <v>1</v>
      </c>
      <c r="L17" s="10">
        <f>_xlfn.IFNA(VLOOKUP($K$14,Prices!$B$2:$D$50,2,FALSE),0)*K17</f>
        <v>1654.73</v>
      </c>
      <c r="M17" s="10">
        <f>(((_xlfn.IFNA(VLOOKUP($K$14,Prices!$B$2:$D$50,3,FALSE),0)*K17)*24*1826)/1000)*(_xlfn.IFNA(VLOOKUP($M$14,Prices!$B$2:$D$50,2,FALSE),0))*2</f>
        <v>1341.0143999999998</v>
      </c>
      <c r="N17" s="10">
        <f t="shared" si="2"/>
        <v>544487.82071999996</v>
      </c>
      <c r="O17" s="10">
        <f t="shared" ref="O17:O22" si="5">N17/1826/24</f>
        <v>12.424420881708651</v>
      </c>
      <c r="P17" s="10">
        <f>O17/(C17*PrCloudDet!$I$11)</f>
        <v>1.6177631356391473E-2</v>
      </c>
    </row>
    <row r="18" spans="2:16" s="10" customFormat="1" x14ac:dyDescent="0.25">
      <c r="B18" s="10">
        <v>100</v>
      </c>
      <c r="C18" s="10">
        <f>_xlfn.CEILING.MATH(B18/PrCloudDet!$B$11)</f>
        <v>1</v>
      </c>
      <c r="D18" s="10">
        <f t="shared" si="3"/>
        <v>5520.7100000000009</v>
      </c>
      <c r="E18" s="10">
        <v>1</v>
      </c>
      <c r="F18" s="10">
        <f>_xlfn.IFNA(VLOOKUP($E$14,Prices!$B$2:$D$50,2,FALSE),0)</f>
        <v>2413.9899999999998</v>
      </c>
      <c r="G18" s="10">
        <f>(((_xlfn.IFNA(VLOOKUP($E$14,Prices!$B$2:$D$50,3,FALSE),0)*E18)*24*1826)/1000)*(_xlfn.IFNA(VLOOKUP($G$14,Prices!$B$2:$D$50,2,FALSE),0))*2</f>
        <v>335.25359999999995</v>
      </c>
      <c r="H18" s="10">
        <f t="shared" si="4"/>
        <v>1</v>
      </c>
      <c r="I18" s="10">
        <f>_xlfn.IFNA(VLOOKUP($I$14,Prices!$B$2:$D$50,2,FALSE),0)*H18</f>
        <v>526450</v>
      </c>
      <c r="J18" s="10">
        <f>(($G$11*24*1826)/1000)*(_xlfn.IFNA(VLOOKUP($J$14,Prices!$B$2:$D$50,2,FALSE),0))*C18*2</f>
        <v>6772.1227199999994</v>
      </c>
      <c r="K18" s="10">
        <f t="shared" si="1"/>
        <v>1</v>
      </c>
      <c r="L18" s="10">
        <f>_xlfn.IFNA(VLOOKUP($K$14,Prices!$B$2:$D$50,2,FALSE),0)*K18</f>
        <v>1654.73</v>
      </c>
      <c r="M18" s="10">
        <f>(((_xlfn.IFNA(VLOOKUP($K$14,Prices!$B$2:$D$50,3,FALSE),0)*K18)*24*1826)/1000)*(_xlfn.IFNA(VLOOKUP($M$14,Prices!$B$2:$D$50,2,FALSE),0))*2</f>
        <v>1341.0143999999998</v>
      </c>
      <c r="N18" s="10">
        <f t="shared" si="2"/>
        <v>544487.82071999996</v>
      </c>
      <c r="O18" s="10">
        <f t="shared" si="5"/>
        <v>12.424420881708651</v>
      </c>
      <c r="P18" s="10">
        <f>O18/(C18*PrCloudDet!$I$11)</f>
        <v>1.6177631356391473E-2</v>
      </c>
    </row>
    <row r="19" spans="2:16" s="10" customFormat="1" x14ac:dyDescent="0.25">
      <c r="B19" s="10">
        <v>1000</v>
      </c>
      <c r="C19" s="10">
        <f>_xlfn.CEILING.MATH(B19/PrCloudDet!$B$11)</f>
        <v>2</v>
      </c>
      <c r="D19" s="10">
        <f t="shared" si="3"/>
        <v>11041.420000000002</v>
      </c>
      <c r="E19" s="10">
        <v>1</v>
      </c>
      <c r="F19" s="10">
        <f>_xlfn.IFNA(VLOOKUP($E$14,Prices!$B$2:$D$50,2,FALSE),0)</f>
        <v>2413.9899999999998</v>
      </c>
      <c r="G19" s="10">
        <f>(((_xlfn.IFNA(VLOOKUP($E$14,Prices!$B$2:$D$50,3,FALSE),0)*E19)*24*1826)/1000)*(_xlfn.IFNA(VLOOKUP($G$14,Prices!$B$2:$D$50,2,FALSE),0))*2</f>
        <v>335.25359999999995</v>
      </c>
      <c r="H19" s="10">
        <f t="shared" si="4"/>
        <v>1</v>
      </c>
      <c r="I19" s="10">
        <f>_xlfn.IFNA(VLOOKUP($I$14,Prices!$B$2:$D$50,2,FALSE),0)*H19</f>
        <v>526450</v>
      </c>
      <c r="J19" s="10">
        <f>(($G$11*24*1826)/1000)*(_xlfn.IFNA(VLOOKUP($J$14,Prices!$B$2:$D$50,2,FALSE),0))*C19*2</f>
        <v>13544.245439999999</v>
      </c>
      <c r="K19" s="10">
        <f t="shared" si="1"/>
        <v>1</v>
      </c>
      <c r="L19" s="10">
        <f>_xlfn.IFNA(VLOOKUP($K$14,Prices!$B$2:$D$50,2,FALSE),0)*K19</f>
        <v>1654.73</v>
      </c>
      <c r="M19" s="10">
        <f>(((_xlfn.IFNA(VLOOKUP($K$14,Prices!$B$2:$D$50,3,FALSE),0)*K19)*24*1826)/1000)*(_xlfn.IFNA(VLOOKUP($M$14,Prices!$B$2:$D$50,2,FALSE),0))*2</f>
        <v>1341.0143999999998</v>
      </c>
      <c r="N19" s="10">
        <f t="shared" si="2"/>
        <v>556780.65343999991</v>
      </c>
      <c r="O19" s="10">
        <f t="shared" si="5"/>
        <v>12.704925461847388</v>
      </c>
      <c r="P19" s="10">
        <f>O19/(C19*PrCloudDet!$I$11)</f>
        <v>8.2714358475568933E-3</v>
      </c>
    </row>
    <row r="20" spans="2:16" s="10" customFormat="1" x14ac:dyDescent="0.25">
      <c r="B20" s="10">
        <v>10000</v>
      </c>
      <c r="C20" s="10">
        <f>_xlfn.CEILING.MATH(B20/PrCloudDet!$B$11)</f>
        <v>14</v>
      </c>
      <c r="D20" s="10">
        <f t="shared" si="3"/>
        <v>77289.940000000017</v>
      </c>
      <c r="E20" s="10">
        <v>1</v>
      </c>
      <c r="F20" s="10">
        <f>_xlfn.IFNA(VLOOKUP($E$14,Prices!$B$2:$D$50,2,FALSE),0)</f>
        <v>2413.9899999999998</v>
      </c>
      <c r="G20" s="10">
        <f>(((_xlfn.IFNA(VLOOKUP($E$14,Prices!$B$2:$D$50,3,FALSE),0)*E20)*24*1826)/1000)*(_xlfn.IFNA(VLOOKUP($G$14,Prices!$B$2:$D$50,2,FALSE),0))*2</f>
        <v>335.25359999999995</v>
      </c>
      <c r="H20" s="10">
        <f t="shared" si="4"/>
        <v>1</v>
      </c>
      <c r="I20" s="10">
        <f>_xlfn.IFNA(VLOOKUP($I$14,Prices!$B$2:$D$50,2,FALSE),0)*H20</f>
        <v>526450</v>
      </c>
      <c r="J20" s="10">
        <f>(($G$11*24*1826)/1000)*(_xlfn.IFNA(VLOOKUP($J$14,Prices!$B$2:$D$50,2,FALSE),0))*C20*2</f>
        <v>94809.718079999991</v>
      </c>
      <c r="K20" s="10">
        <f t="shared" si="1"/>
        <v>1</v>
      </c>
      <c r="L20" s="10">
        <f>_xlfn.IFNA(VLOOKUP($K$14,Prices!$B$2:$D$50,2,FALSE),0)*K20</f>
        <v>1654.73</v>
      </c>
      <c r="M20" s="10">
        <f>(((_xlfn.IFNA(VLOOKUP($K$14,Prices!$B$2:$D$50,3,FALSE),0)*K20)*24*1826)/1000)*(_xlfn.IFNA(VLOOKUP($M$14,Prices!$B$2:$D$50,2,FALSE),0))*2</f>
        <v>1341.0143999999998</v>
      </c>
      <c r="N20" s="10">
        <f t="shared" si="2"/>
        <v>704294.64607999998</v>
      </c>
      <c r="O20" s="10">
        <f t="shared" si="5"/>
        <v>16.070980423512228</v>
      </c>
      <c r="P20" s="10">
        <f>O20/(C20*PrCloudDet!$I$11)</f>
        <v>1.4946968399843963E-3</v>
      </c>
    </row>
    <row r="21" spans="2:16" s="10" customFormat="1" x14ac:dyDescent="0.25">
      <c r="B21" s="10">
        <v>100000</v>
      </c>
      <c r="C21" s="10">
        <f>_xlfn.CEILING.MATH(B21/PrCloudDet!$B$11)</f>
        <v>131</v>
      </c>
      <c r="D21" s="10">
        <f t="shared" si="3"/>
        <v>723213.01000000013</v>
      </c>
      <c r="E21" s="10">
        <v>1</v>
      </c>
      <c r="F21" s="10">
        <f>_xlfn.IFNA(VLOOKUP($E$14,Prices!$B$2:$D$50,2,FALSE),0)</f>
        <v>2413.9899999999998</v>
      </c>
      <c r="G21" s="10">
        <f>(((_xlfn.IFNA(VLOOKUP($E$14,Prices!$B$2:$D$50,3,FALSE),0)*E21)*24*1826)/1000)*(_xlfn.IFNA(VLOOKUP($G$14,Prices!$B$2:$D$50,2,FALSE),0))*2</f>
        <v>335.25359999999995</v>
      </c>
      <c r="H21" s="10">
        <f t="shared" si="4"/>
        <v>1</v>
      </c>
      <c r="I21" s="10">
        <f>_xlfn.IFNA(VLOOKUP($I$14,Prices!$B$2:$D$50,2,FALSE),0)*H21</f>
        <v>526450</v>
      </c>
      <c r="J21" s="10">
        <f>(($G$11*24*1826)/1000)*(_xlfn.IFNA(VLOOKUP($J$14,Prices!$B$2:$D$50,2,FALSE),0))*C21*2</f>
        <v>887148.07631999988</v>
      </c>
      <c r="K21" s="10">
        <f t="shared" si="1"/>
        <v>4</v>
      </c>
      <c r="L21" s="10">
        <f>_xlfn.IFNA(VLOOKUP($K$14,Prices!$B$2:$D$50,2,FALSE),0)*K21</f>
        <v>6618.92</v>
      </c>
      <c r="M21" s="10">
        <f>(((_xlfn.IFNA(VLOOKUP($K$14,Prices!$B$2:$D$50,3,FALSE),0)*K21)*24*1826)/1000)*(_xlfn.IFNA(VLOOKUP($M$14,Prices!$B$2:$D$50,2,FALSE),0))*2</f>
        <v>5364.0575999999992</v>
      </c>
      <c r="N21" s="10">
        <f t="shared" si="2"/>
        <v>2151543.3075199998</v>
      </c>
      <c r="O21" s="10">
        <f t="shared" si="5"/>
        <v>49.09509190215406</v>
      </c>
      <c r="P21" s="10">
        <f>O21/(C21*PrCloudDet!$I$11)</f>
        <v>4.8798397644475648E-4</v>
      </c>
    </row>
    <row r="22" spans="2:16" s="10" customFormat="1" x14ac:dyDescent="0.25">
      <c r="B22" s="10">
        <v>1000000</v>
      </c>
      <c r="C22" s="10">
        <f>_xlfn.CEILING.MATH(B22/PrCloudDet!$B$11)</f>
        <v>1303</v>
      </c>
      <c r="D22" s="10">
        <f t="shared" si="3"/>
        <v>7193485.1300000008</v>
      </c>
      <c r="E22" s="10">
        <v>1</v>
      </c>
      <c r="F22" s="10">
        <f>_xlfn.IFNA(VLOOKUP($E$14,Prices!$B$2:$D$50,2,FALSE),0)</f>
        <v>2413.9899999999998</v>
      </c>
      <c r="G22" s="10">
        <f>(((_xlfn.IFNA(VLOOKUP($E$14,Prices!$B$2:$D$50,3,FALSE),0)*E22)*24*1826)/1000)*(_xlfn.IFNA(VLOOKUP($G$14,Prices!$B$2:$D$50,2,FALSE),0))*2</f>
        <v>335.25359999999995</v>
      </c>
      <c r="H22" s="10">
        <f t="shared" si="4"/>
        <v>2</v>
      </c>
      <c r="I22" s="10">
        <f>_xlfn.IFNA(VLOOKUP($I$14,Prices!$B$2:$D$50,2,FALSE),0)*H22</f>
        <v>1052900</v>
      </c>
      <c r="J22" s="10">
        <f>(($G$11*24*1826)/1000)*(_xlfn.IFNA(VLOOKUP($J$14,Prices!$B$2:$D$50,2,FALSE),0))*C22*2</f>
        <v>8824075.9041599985</v>
      </c>
      <c r="K22" s="10">
        <f t="shared" si="1"/>
        <v>32</v>
      </c>
      <c r="L22" s="10">
        <f>_xlfn.IFNA(VLOOKUP($K$14,Prices!$B$2:$D$50,2,FALSE),0)*K22</f>
        <v>52951.360000000001</v>
      </c>
      <c r="M22" s="10">
        <f>(((_xlfn.IFNA(VLOOKUP($K$14,Prices!$B$2:$D$50,3,FALSE),0)*K22)*24*1826)/1000)*(_xlfn.IFNA(VLOOKUP($M$14,Prices!$B$2:$D$50,2,FALSE),0))*2</f>
        <v>42912.460799999993</v>
      </c>
      <c r="N22" s="10">
        <f t="shared" si="2"/>
        <v>17169074.098559998</v>
      </c>
      <c r="O22" s="10">
        <f t="shared" si="5"/>
        <v>391.77332280394302</v>
      </c>
      <c r="P22" s="10">
        <f>O22/(C22*PrCloudDet!$I$11)</f>
        <v>3.9149770841721729E-4</v>
      </c>
    </row>
    <row r="23" spans="2:16" s="8" customFormat="1" x14ac:dyDescent="0.25"/>
    <row r="24" spans="2:16" s="8" customFormat="1" x14ac:dyDescent="0.25"/>
  </sheetData>
  <mergeCells count="2">
    <mergeCell ref="E14:F14"/>
    <mergeCell ref="K14:L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13"/>
  <sheetViews>
    <sheetView zoomScale="90" zoomScaleNormal="90" workbookViewId="0">
      <selection activeCell="A7" sqref="A7"/>
    </sheetView>
  </sheetViews>
  <sheetFormatPr defaultRowHeight="15" x14ac:dyDescent="0.25"/>
  <cols>
    <col min="1" max="1" width="13.28515625" style="2" bestFit="1" customWidth="1"/>
    <col min="2" max="2" width="7.140625" style="2" customWidth="1"/>
    <col min="3" max="3" width="13.42578125" style="2" bestFit="1" customWidth="1"/>
    <col min="4" max="4" width="12" style="2" bestFit="1" customWidth="1"/>
    <col min="5" max="5" width="12" style="3" customWidth="1"/>
    <col min="6" max="6" width="23.7109375" style="2" bestFit="1" customWidth="1"/>
    <col min="7" max="7" width="20.42578125" style="2" bestFit="1" customWidth="1"/>
    <col min="8" max="8" width="17.28515625" style="2" bestFit="1" customWidth="1"/>
    <col min="9" max="9" width="7" style="2" bestFit="1" customWidth="1"/>
    <col min="10" max="10" width="12.42578125" style="2" customWidth="1"/>
    <col min="11" max="11" width="14.85546875" style="2" customWidth="1"/>
    <col min="12" max="12" width="12.7109375" style="2" customWidth="1"/>
    <col min="13" max="13" width="21.85546875" style="2" customWidth="1"/>
    <col min="14" max="14" width="22.140625" style="2" bestFit="1" customWidth="1"/>
    <col min="15" max="15" width="35.7109375" style="2" customWidth="1"/>
    <col min="16" max="16" width="22.5703125" style="2" bestFit="1" customWidth="1"/>
    <col min="17" max="17" width="22.140625" style="2" bestFit="1" customWidth="1"/>
    <col min="18" max="16384" width="9.140625" style="2"/>
  </cols>
  <sheetData>
    <row r="1" spans="1:27" x14ac:dyDescent="0.25">
      <c r="A1" s="12" t="s">
        <v>48</v>
      </c>
      <c r="B1" s="12"/>
      <c r="C1" s="12"/>
      <c r="D1" s="12"/>
      <c r="E1" s="12"/>
      <c r="F1" s="12"/>
      <c r="G1" s="12"/>
      <c r="H1" s="12"/>
      <c r="I1" s="12"/>
    </row>
    <row r="2" spans="1:27" ht="45" x14ac:dyDescent="0.25">
      <c r="A2" s="5" t="s">
        <v>18</v>
      </c>
      <c r="B2" s="5" t="s">
        <v>19</v>
      </c>
      <c r="C2" s="5" t="s">
        <v>20</v>
      </c>
      <c r="D2" s="5" t="s">
        <v>8</v>
      </c>
      <c r="E2" s="5" t="s">
        <v>65</v>
      </c>
      <c r="F2" s="5" t="s">
        <v>56</v>
      </c>
      <c r="G2" s="5" t="s">
        <v>9</v>
      </c>
      <c r="H2" s="5" t="s">
        <v>10</v>
      </c>
      <c r="I2" s="5" t="s">
        <v>11</v>
      </c>
      <c r="J2" s="5" t="s">
        <v>21</v>
      </c>
      <c r="K2" s="5" t="s">
        <v>23</v>
      </c>
      <c r="L2" s="5" t="s">
        <v>22</v>
      </c>
      <c r="M2" s="5" t="s">
        <v>44</v>
      </c>
    </row>
    <row r="3" spans="1:27" x14ac:dyDescent="0.25">
      <c r="A3" s="2" t="s">
        <v>0</v>
      </c>
      <c r="B3" s="2">
        <v>40</v>
      </c>
      <c r="C3" s="2">
        <v>160</v>
      </c>
      <c r="E3" s="3" t="s">
        <v>66</v>
      </c>
      <c r="F3" s="2">
        <v>10</v>
      </c>
      <c r="G3" s="2" t="s">
        <v>12</v>
      </c>
      <c r="H3" s="2">
        <v>2.4</v>
      </c>
      <c r="I3" s="4">
        <v>2.3940000000000001</v>
      </c>
      <c r="J3" s="2">
        <v>12</v>
      </c>
      <c r="K3" s="2">
        <v>2</v>
      </c>
      <c r="L3" s="2">
        <v>16</v>
      </c>
      <c r="M3" s="2">
        <f>H3*L3*B3/K3</f>
        <v>768</v>
      </c>
    </row>
    <row r="4" spans="1:27" x14ac:dyDescent="0.25">
      <c r="A4" s="2" t="s">
        <v>1</v>
      </c>
      <c r="B4" s="2">
        <v>2</v>
      </c>
      <c r="C4" s="2">
        <v>7.5</v>
      </c>
      <c r="D4" s="2">
        <f>1*32</f>
        <v>32</v>
      </c>
      <c r="E4" s="3" t="s">
        <v>67</v>
      </c>
      <c r="F4" s="2">
        <v>0.5</v>
      </c>
      <c r="G4" s="2" t="s">
        <v>13</v>
      </c>
      <c r="H4" s="2">
        <v>2.5</v>
      </c>
      <c r="I4" s="4">
        <v>0.13300000000000001</v>
      </c>
      <c r="J4" s="2">
        <v>10</v>
      </c>
      <c r="K4" s="2">
        <v>2</v>
      </c>
      <c r="L4" s="2">
        <v>8</v>
      </c>
      <c r="M4" s="2">
        <f t="shared" ref="M4:M10" si="0">H4*L4*B4/K4</f>
        <v>20</v>
      </c>
    </row>
    <row r="5" spans="1:27" x14ac:dyDescent="0.25">
      <c r="A5" s="2" t="s">
        <v>2</v>
      </c>
      <c r="B5" s="2">
        <v>8</v>
      </c>
      <c r="C5" s="2">
        <v>30</v>
      </c>
      <c r="D5" s="2">
        <f>2*80</f>
        <v>160</v>
      </c>
      <c r="E5" s="3" t="s">
        <v>67</v>
      </c>
      <c r="F5" s="2">
        <v>1</v>
      </c>
      <c r="G5" s="2" t="s">
        <v>14</v>
      </c>
      <c r="H5" s="2">
        <v>2.5</v>
      </c>
      <c r="I5" s="4">
        <v>0.53200000000000003</v>
      </c>
      <c r="J5" s="2">
        <v>10</v>
      </c>
      <c r="K5" s="2">
        <v>2</v>
      </c>
      <c r="L5" s="2">
        <v>8</v>
      </c>
      <c r="M5" s="2">
        <f t="shared" si="0"/>
        <v>80</v>
      </c>
    </row>
    <row r="6" spans="1:27" x14ac:dyDescent="0.25">
      <c r="A6" s="2" t="s">
        <v>3</v>
      </c>
      <c r="B6" s="2">
        <v>32</v>
      </c>
      <c r="C6" s="2">
        <v>60</v>
      </c>
      <c r="D6" s="3">
        <f>2*320</f>
        <v>640</v>
      </c>
      <c r="E6" s="3" t="s">
        <v>67</v>
      </c>
      <c r="F6" s="2">
        <v>10</v>
      </c>
      <c r="G6" s="2" t="s">
        <v>15</v>
      </c>
      <c r="H6" s="2">
        <v>2.8</v>
      </c>
      <c r="I6" s="4">
        <v>1.68</v>
      </c>
      <c r="J6" s="2">
        <v>10</v>
      </c>
      <c r="K6" s="2">
        <v>2</v>
      </c>
      <c r="L6" s="2">
        <v>8</v>
      </c>
      <c r="M6" s="2">
        <f t="shared" si="0"/>
        <v>358.4</v>
      </c>
    </row>
    <row r="7" spans="1:27" x14ac:dyDescent="0.25">
      <c r="A7" s="2" t="s">
        <v>4</v>
      </c>
      <c r="B7" s="2">
        <v>8</v>
      </c>
      <c r="C7" s="2">
        <v>15</v>
      </c>
      <c r="D7" s="2">
        <f>1*60</f>
        <v>60</v>
      </c>
      <c r="E7" s="3" t="s">
        <v>67</v>
      </c>
      <c r="F7" s="2">
        <v>1</v>
      </c>
      <c r="G7" s="2" t="s">
        <v>16</v>
      </c>
      <c r="H7" s="2">
        <v>2.6</v>
      </c>
      <c r="I7" s="4">
        <v>0.65</v>
      </c>
      <c r="J7" s="2">
        <v>8</v>
      </c>
      <c r="K7" s="2">
        <v>2</v>
      </c>
      <c r="L7" s="2">
        <v>8</v>
      </c>
      <c r="M7" s="2">
        <f>(H7*L7*B7/K7)+2448.4</f>
        <v>2531.6</v>
      </c>
    </row>
    <row r="8" spans="1:27" x14ac:dyDescent="0.25">
      <c r="A8" s="2" t="s">
        <v>5</v>
      </c>
      <c r="B8" s="2">
        <v>16</v>
      </c>
      <c r="C8" s="2">
        <v>122</v>
      </c>
      <c r="D8" s="2">
        <f>1*320</f>
        <v>320</v>
      </c>
      <c r="E8" s="3" t="s">
        <v>67</v>
      </c>
      <c r="F8" s="2">
        <v>1</v>
      </c>
      <c r="G8" s="2" t="s">
        <v>14</v>
      </c>
      <c r="H8" s="2">
        <v>2.5</v>
      </c>
      <c r="I8" s="4">
        <v>1.33</v>
      </c>
      <c r="J8" s="2">
        <v>10</v>
      </c>
      <c r="K8" s="2">
        <v>2</v>
      </c>
      <c r="L8" s="2">
        <v>8</v>
      </c>
      <c r="M8" s="2">
        <f t="shared" si="0"/>
        <v>160</v>
      </c>
    </row>
    <row r="9" spans="1:27" x14ac:dyDescent="0.25">
      <c r="A9" s="2" t="s">
        <v>6</v>
      </c>
      <c r="B9" s="2">
        <v>32</v>
      </c>
      <c r="C9" s="2">
        <v>244</v>
      </c>
      <c r="D9" s="3">
        <f>8*800</f>
        <v>6400</v>
      </c>
      <c r="E9" s="3" t="s">
        <v>67</v>
      </c>
      <c r="F9" s="2">
        <v>10</v>
      </c>
      <c r="G9" s="2" t="s">
        <v>14</v>
      </c>
      <c r="H9" s="2">
        <v>2.5</v>
      </c>
      <c r="I9" s="4">
        <v>6.82</v>
      </c>
      <c r="J9" s="2">
        <v>10</v>
      </c>
      <c r="K9" s="2">
        <v>2</v>
      </c>
      <c r="L9" s="2">
        <v>8</v>
      </c>
      <c r="M9" s="2">
        <f t="shared" si="0"/>
        <v>320</v>
      </c>
    </row>
    <row r="10" spans="1:27" x14ac:dyDescent="0.25">
      <c r="A10" s="2" t="s">
        <v>7</v>
      </c>
      <c r="B10" s="2">
        <v>36</v>
      </c>
      <c r="C10" s="2">
        <v>244</v>
      </c>
      <c r="D10" s="2">
        <f>24*2000</f>
        <v>48000</v>
      </c>
      <c r="E10" s="3" t="s">
        <v>34</v>
      </c>
      <c r="F10" s="2">
        <v>10</v>
      </c>
      <c r="G10" s="2" t="s">
        <v>17</v>
      </c>
      <c r="H10" s="2">
        <v>2.4</v>
      </c>
      <c r="I10" s="4">
        <v>5.52</v>
      </c>
      <c r="J10" s="2">
        <v>12</v>
      </c>
      <c r="K10" s="2">
        <v>2</v>
      </c>
      <c r="L10" s="2">
        <v>16</v>
      </c>
      <c r="M10" s="2">
        <f t="shared" si="0"/>
        <v>691.19999999999993</v>
      </c>
    </row>
    <row r="12" spans="1:27" x14ac:dyDescent="0.25">
      <c r="A12" s="13" t="s">
        <v>49</v>
      </c>
      <c r="B12" s="12"/>
      <c r="C12" s="12"/>
      <c r="D12" s="12"/>
      <c r="E12" s="12"/>
      <c r="F12" s="12"/>
      <c r="G12" s="12"/>
      <c r="H12" s="12"/>
      <c r="I12" s="12"/>
    </row>
    <row r="13" spans="1:27" x14ac:dyDescent="0.25"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</sheetData>
  <mergeCells count="2">
    <mergeCell ref="A1:I1"/>
    <mergeCell ref="A12:I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8"/>
  <sheetViews>
    <sheetView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C17" sqref="C17"/>
    </sheetView>
  </sheetViews>
  <sheetFormatPr defaultRowHeight="15" x14ac:dyDescent="0.25"/>
  <cols>
    <col min="1" max="1" width="13.28515625" style="2" customWidth="1"/>
    <col min="2" max="9" width="24.85546875" style="2" customWidth="1"/>
    <col min="10" max="16384" width="9.140625" style="2"/>
  </cols>
  <sheetData>
    <row r="1" spans="1:10" x14ac:dyDescent="0.25">
      <c r="A1" s="6" t="s">
        <v>18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</row>
    <row r="2" spans="1:10" ht="90" x14ac:dyDescent="0.25">
      <c r="A2" s="5" t="s">
        <v>9</v>
      </c>
      <c r="B2" s="2" t="s">
        <v>50</v>
      </c>
      <c r="C2" s="2" t="s">
        <v>45</v>
      </c>
      <c r="D2" s="2" t="s">
        <v>45</v>
      </c>
      <c r="E2" s="2" t="s">
        <v>46</v>
      </c>
      <c r="F2" s="2" t="s">
        <v>47</v>
      </c>
      <c r="G2" s="2" t="s">
        <v>45</v>
      </c>
      <c r="H2" s="2" t="s">
        <v>45</v>
      </c>
      <c r="I2" s="2" t="s">
        <v>50</v>
      </c>
    </row>
    <row r="3" spans="1:10" ht="30" x14ac:dyDescent="0.25">
      <c r="A3" s="5" t="s">
        <v>10</v>
      </c>
      <c r="B3" s="2">
        <v>2.4</v>
      </c>
      <c r="C3" s="2">
        <v>2.5</v>
      </c>
      <c r="D3" s="2">
        <v>2.5</v>
      </c>
      <c r="E3" s="2">
        <v>2.8</v>
      </c>
      <c r="F3" s="2">
        <v>2.6</v>
      </c>
      <c r="G3" s="2">
        <v>2.5</v>
      </c>
      <c r="H3" s="2">
        <v>2.5</v>
      </c>
      <c r="I3" s="2">
        <v>2.4</v>
      </c>
    </row>
    <row r="4" spans="1:10" ht="30" x14ac:dyDescent="0.25">
      <c r="A4" s="5" t="s">
        <v>21</v>
      </c>
      <c r="B4" s="2">
        <v>10</v>
      </c>
      <c r="C4" s="2">
        <v>12</v>
      </c>
      <c r="D4" s="2">
        <v>12</v>
      </c>
      <c r="E4" s="2">
        <v>12</v>
      </c>
      <c r="F4" s="2">
        <v>12</v>
      </c>
      <c r="G4" s="2">
        <v>12</v>
      </c>
      <c r="H4" s="2">
        <v>12</v>
      </c>
      <c r="I4" s="2">
        <v>10</v>
      </c>
    </row>
    <row r="5" spans="1:10" ht="60" x14ac:dyDescent="0.25">
      <c r="A5" s="5" t="s">
        <v>23</v>
      </c>
      <c r="B5" s="2">
        <v>2</v>
      </c>
      <c r="C5" s="2">
        <v>2</v>
      </c>
      <c r="D5" s="2">
        <v>2</v>
      </c>
      <c r="E5" s="2">
        <v>2</v>
      </c>
      <c r="F5" s="2">
        <v>2</v>
      </c>
      <c r="G5" s="2">
        <v>2</v>
      </c>
      <c r="H5" s="2">
        <v>2</v>
      </c>
      <c r="I5" s="2">
        <v>2</v>
      </c>
    </row>
    <row r="6" spans="1:10" ht="30" x14ac:dyDescent="0.25">
      <c r="A6" s="5" t="s">
        <v>22</v>
      </c>
      <c r="B6" s="2">
        <v>16</v>
      </c>
      <c r="C6" s="2">
        <v>16</v>
      </c>
      <c r="D6" s="2">
        <v>16</v>
      </c>
      <c r="E6" s="2">
        <v>8</v>
      </c>
      <c r="F6" s="2">
        <v>16</v>
      </c>
      <c r="G6" s="2">
        <v>16</v>
      </c>
      <c r="H6" s="2">
        <v>16</v>
      </c>
      <c r="I6" s="2">
        <v>16</v>
      </c>
    </row>
    <row r="7" spans="1:10" ht="45" x14ac:dyDescent="0.25">
      <c r="A7" s="5" t="s">
        <v>51</v>
      </c>
      <c r="B7" s="2">
        <f>B4*B5</f>
        <v>20</v>
      </c>
      <c r="C7" s="2">
        <f t="shared" ref="C7:I7" si="0">C4*C5</f>
        <v>24</v>
      </c>
      <c r="D7" s="2">
        <f t="shared" si="0"/>
        <v>24</v>
      </c>
      <c r="E7" s="2">
        <f t="shared" si="0"/>
        <v>24</v>
      </c>
      <c r="F7" s="2">
        <f t="shared" si="0"/>
        <v>24</v>
      </c>
      <c r="G7" s="2">
        <f t="shared" si="0"/>
        <v>24</v>
      </c>
      <c r="H7" s="2">
        <f t="shared" si="0"/>
        <v>24</v>
      </c>
      <c r="I7" s="2">
        <f t="shared" si="0"/>
        <v>20</v>
      </c>
    </row>
    <row r="8" spans="1:10" ht="30" x14ac:dyDescent="0.25">
      <c r="A8" s="5" t="s">
        <v>52</v>
      </c>
      <c r="B8" s="2">
        <f>Sheet1!M3</f>
        <v>768</v>
      </c>
      <c r="C8" s="2">
        <f>Sheet1!M4</f>
        <v>20</v>
      </c>
      <c r="D8" s="2">
        <f>Sheet1!M5</f>
        <v>80</v>
      </c>
      <c r="E8" s="2">
        <f>Sheet1!M6</f>
        <v>358.4</v>
      </c>
      <c r="F8" s="2">
        <f>Sheet1!M7</f>
        <v>2531.6</v>
      </c>
      <c r="G8" s="2">
        <f>Sheet1!M8</f>
        <v>160</v>
      </c>
      <c r="H8" s="2">
        <f>Sheet1!M9</f>
        <v>320</v>
      </c>
      <c r="I8" s="2">
        <f>Sheet1!M10</f>
        <v>691.19999999999993</v>
      </c>
    </row>
    <row r="9" spans="1:10" ht="30" x14ac:dyDescent="0.25">
      <c r="A9" s="5" t="s">
        <v>53</v>
      </c>
      <c r="B9" s="2">
        <f>B6*B4*B3</f>
        <v>384</v>
      </c>
      <c r="C9" s="2">
        <f t="shared" ref="C9:I9" si="1">C6*C4*C3</f>
        <v>480</v>
      </c>
      <c r="D9" s="2">
        <f t="shared" si="1"/>
        <v>480</v>
      </c>
      <c r="E9" s="2">
        <f t="shared" si="1"/>
        <v>268.79999999999995</v>
      </c>
      <c r="F9" s="2">
        <f t="shared" si="1"/>
        <v>499.20000000000005</v>
      </c>
      <c r="G9" s="2">
        <f t="shared" si="1"/>
        <v>480</v>
      </c>
      <c r="H9" s="2">
        <f t="shared" si="1"/>
        <v>480</v>
      </c>
      <c r="I9" s="2">
        <f t="shared" si="1"/>
        <v>384</v>
      </c>
    </row>
    <row r="10" spans="1:10" ht="30" x14ac:dyDescent="0.25">
      <c r="A10" s="5" t="s">
        <v>54</v>
      </c>
      <c r="B10" s="2">
        <v>2</v>
      </c>
      <c r="C10" s="2">
        <v>2</v>
      </c>
      <c r="D10" s="2">
        <v>2</v>
      </c>
      <c r="E10" s="2">
        <v>2</v>
      </c>
      <c r="F10" s="2">
        <v>2</v>
      </c>
      <c r="G10" s="2">
        <v>2</v>
      </c>
      <c r="H10" s="2">
        <v>2</v>
      </c>
      <c r="I10" s="2">
        <v>2</v>
      </c>
    </row>
    <row r="11" spans="1:10" ht="30" x14ac:dyDescent="0.25">
      <c r="A11" s="5" t="s">
        <v>55</v>
      </c>
      <c r="B11" s="2">
        <f>B9*B10</f>
        <v>768</v>
      </c>
      <c r="C11" s="2">
        <f t="shared" ref="C11:I11" si="2">C9*C10</f>
        <v>960</v>
      </c>
      <c r="D11" s="2">
        <f t="shared" si="2"/>
        <v>960</v>
      </c>
      <c r="E11" s="2">
        <f t="shared" si="2"/>
        <v>537.59999999999991</v>
      </c>
      <c r="F11" s="2">
        <f>(F9*F10)+(2448.4*6)</f>
        <v>15688.800000000001</v>
      </c>
      <c r="G11" s="2">
        <f t="shared" si="2"/>
        <v>960</v>
      </c>
      <c r="H11" s="2">
        <f t="shared" si="2"/>
        <v>960</v>
      </c>
      <c r="I11" s="2">
        <f t="shared" si="2"/>
        <v>768</v>
      </c>
    </row>
    <row r="12" spans="1:10" ht="45" x14ac:dyDescent="0.25">
      <c r="A12" s="5" t="s">
        <v>42</v>
      </c>
      <c r="B12" s="2">
        <f t="shared" ref="B12:H12" si="3">_xlfn.FLOOR.MATH(B11/B8)</f>
        <v>1</v>
      </c>
      <c r="C12" s="2">
        <f t="shared" si="3"/>
        <v>48</v>
      </c>
      <c r="D12" s="2">
        <f t="shared" si="3"/>
        <v>12</v>
      </c>
      <c r="E12" s="2">
        <f t="shared" si="3"/>
        <v>1</v>
      </c>
      <c r="F12" s="2">
        <f t="shared" si="3"/>
        <v>6</v>
      </c>
      <c r="G12" s="2">
        <f t="shared" si="3"/>
        <v>6</v>
      </c>
      <c r="H12" s="2">
        <f t="shared" si="3"/>
        <v>3</v>
      </c>
      <c r="I12" s="2">
        <f>_xlfn.FLOOR.MATH(I11/I8)</f>
        <v>1</v>
      </c>
    </row>
    <row r="13" spans="1:10" ht="30" x14ac:dyDescent="0.25">
      <c r="A13" s="5" t="s">
        <v>24</v>
      </c>
      <c r="B13" s="2" t="s">
        <v>25</v>
      </c>
      <c r="C13" s="2" t="s">
        <v>25</v>
      </c>
      <c r="D13" s="2" t="s">
        <v>25</v>
      </c>
      <c r="E13" s="2" t="s">
        <v>25</v>
      </c>
      <c r="F13" s="2" t="s">
        <v>25</v>
      </c>
      <c r="G13" s="2" t="s">
        <v>25</v>
      </c>
      <c r="H13" s="2" t="s">
        <v>25</v>
      </c>
      <c r="I13" s="2" t="s">
        <v>25</v>
      </c>
    </row>
    <row r="14" spans="1:10" ht="30" x14ac:dyDescent="0.25">
      <c r="A14" s="5" t="s">
        <v>20</v>
      </c>
      <c r="B14" s="2">
        <f>Sheet1!C3*B12</f>
        <v>160</v>
      </c>
      <c r="C14" s="2">
        <f>Sheet1!C4*C12</f>
        <v>360</v>
      </c>
      <c r="D14" s="2">
        <f>Sheet1!C5*D12</f>
        <v>360</v>
      </c>
      <c r="E14" s="2">
        <f>Sheet1!C6*E12</f>
        <v>60</v>
      </c>
      <c r="F14" s="2">
        <f>Sheet1!C7*F12</f>
        <v>90</v>
      </c>
      <c r="G14" s="2">
        <f>Sheet1!C8*G12</f>
        <v>732</v>
      </c>
      <c r="H14" s="2">
        <f>Sheet1!C9*H12</f>
        <v>732</v>
      </c>
      <c r="I14" s="2">
        <f>Sheet1!C10*I12</f>
        <v>244</v>
      </c>
    </row>
    <row r="15" spans="1:10" x14ac:dyDescent="0.25">
      <c r="A15" s="5" t="s">
        <v>8</v>
      </c>
      <c r="B15" s="2">
        <f>B12*Sheet1!D3</f>
        <v>0</v>
      </c>
      <c r="C15" s="2">
        <f>C12*Sheet1!D4</f>
        <v>1536</v>
      </c>
      <c r="D15" s="2">
        <f>D12*Sheet1!D5</f>
        <v>1920</v>
      </c>
      <c r="E15" s="3">
        <f>E12*Sheet1!D6</f>
        <v>640</v>
      </c>
      <c r="F15" s="3">
        <f>F12*Sheet1!D7</f>
        <v>360</v>
      </c>
      <c r="G15" s="3">
        <f>G12*Sheet1!D8</f>
        <v>1920</v>
      </c>
      <c r="H15" s="3">
        <f>H12*Sheet1!D9</f>
        <v>19200</v>
      </c>
      <c r="I15" s="3">
        <f>I12*Sheet1!D10</f>
        <v>48000</v>
      </c>
      <c r="J15" s="3"/>
    </row>
    <row r="16" spans="1:10" ht="45" x14ac:dyDescent="0.25">
      <c r="A16" s="5" t="s">
        <v>57</v>
      </c>
      <c r="B16" s="2">
        <f>Sheet1!F3*B12</f>
        <v>10</v>
      </c>
      <c r="C16" s="2">
        <f>Sheet1!F4*C12</f>
        <v>24</v>
      </c>
      <c r="D16" s="2">
        <f>Sheet1!F5*D12</f>
        <v>12</v>
      </c>
      <c r="E16" s="2">
        <f>Sheet1!F6*E12</f>
        <v>10</v>
      </c>
      <c r="F16" s="2">
        <f>Sheet1!F7*F12</f>
        <v>6</v>
      </c>
      <c r="G16" s="2">
        <f>Sheet1!F8*G12</f>
        <v>6</v>
      </c>
      <c r="H16" s="2">
        <f>Sheet1!F9*H12</f>
        <v>30</v>
      </c>
      <c r="I16" s="2">
        <f>Sheet1!F10*I12</f>
        <v>10</v>
      </c>
    </row>
    <row r="17" spans="1:9" ht="45" x14ac:dyDescent="0.25">
      <c r="A17" s="5" t="s">
        <v>90</v>
      </c>
      <c r="B17" s="2">
        <f>(259/1000)*24*1826</f>
        <v>11350.416000000001</v>
      </c>
      <c r="C17" s="2">
        <f>(419/1000)*24*1826</f>
        <v>18362.255999999998</v>
      </c>
      <c r="D17" s="3">
        <f>(419/1000)*24*1826</f>
        <v>18362.255999999998</v>
      </c>
      <c r="E17" s="2">
        <f>(288/1000)*24*1826</f>
        <v>12621.311999999998</v>
      </c>
      <c r="F17" s="2">
        <f>(1000/1000)*24*1826</f>
        <v>43824</v>
      </c>
      <c r="G17" s="2">
        <f>(419/1000)*24*1826</f>
        <v>18362.255999999998</v>
      </c>
      <c r="H17" s="2">
        <f>(620/1000)*24*1826</f>
        <v>27170.879999999997</v>
      </c>
      <c r="I17" s="2">
        <f>(485/1000)*24*1826</f>
        <v>21254.639999999999</v>
      </c>
    </row>
    <row r="18" spans="1:9" ht="30" x14ac:dyDescent="0.25">
      <c r="A18" s="5" t="s">
        <v>91</v>
      </c>
      <c r="B18" s="2">
        <f>B17</f>
        <v>11350.416000000001</v>
      </c>
      <c r="C18" s="8">
        <f t="shared" ref="C18:I18" si="4">C17</f>
        <v>18362.255999999998</v>
      </c>
      <c r="D18" s="8">
        <f t="shared" si="4"/>
        <v>18362.255999999998</v>
      </c>
      <c r="E18" s="8">
        <f t="shared" si="4"/>
        <v>12621.311999999998</v>
      </c>
      <c r="F18" s="8">
        <f t="shared" si="4"/>
        <v>43824</v>
      </c>
      <c r="G18" s="8">
        <f t="shared" si="4"/>
        <v>18362.255999999998</v>
      </c>
      <c r="H18" s="8">
        <f t="shared" si="4"/>
        <v>27170.879999999997</v>
      </c>
      <c r="I18" s="8">
        <f t="shared" si="4"/>
        <v>21254.639999999999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28"/>
  <sheetViews>
    <sheetView topLeftCell="A16" workbookViewId="0">
      <selection activeCell="A25" sqref="A25"/>
    </sheetView>
  </sheetViews>
  <sheetFormatPr defaultRowHeight="15" x14ac:dyDescent="0.25"/>
  <cols>
    <col min="1" max="1" width="13.28515625" style="2" customWidth="1"/>
    <col min="2" max="9" width="20" style="2" customWidth="1"/>
    <col min="10" max="10" width="24.85546875" style="2" customWidth="1"/>
    <col min="11" max="16384" width="9.140625" style="2"/>
  </cols>
  <sheetData>
    <row r="1" spans="1:9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45" x14ac:dyDescent="0.25">
      <c r="A2" s="2" t="s">
        <v>40</v>
      </c>
      <c r="B2" s="2" t="s">
        <v>96</v>
      </c>
      <c r="C2" s="7" t="s">
        <v>96</v>
      </c>
      <c r="D2" s="7" t="s">
        <v>96</v>
      </c>
      <c r="E2" s="7" t="s">
        <v>96</v>
      </c>
      <c r="F2" s="7" t="s">
        <v>96</v>
      </c>
      <c r="G2" s="7" t="s">
        <v>96</v>
      </c>
      <c r="H2" s="7" t="s">
        <v>96</v>
      </c>
      <c r="I2" s="7" t="s">
        <v>96</v>
      </c>
    </row>
    <row r="3" spans="1:9" ht="105" x14ac:dyDescent="0.25">
      <c r="A3" s="2" t="s">
        <v>26</v>
      </c>
      <c r="B3" s="2" t="s">
        <v>50</v>
      </c>
      <c r="C3" s="2" t="s">
        <v>45</v>
      </c>
      <c r="D3" s="2" t="s">
        <v>45</v>
      </c>
      <c r="E3" s="2" t="s">
        <v>46</v>
      </c>
      <c r="F3" s="2" t="s">
        <v>47</v>
      </c>
      <c r="G3" s="2" t="s">
        <v>45</v>
      </c>
      <c r="H3" s="2" t="s">
        <v>45</v>
      </c>
      <c r="I3" s="2" t="s">
        <v>50</v>
      </c>
    </row>
    <row r="4" spans="1:9" ht="30" x14ac:dyDescent="0.25">
      <c r="A4" s="2" t="s">
        <v>60</v>
      </c>
      <c r="B4" s="2">
        <v>2</v>
      </c>
      <c r="C4" s="2">
        <v>2</v>
      </c>
      <c r="D4" s="2">
        <v>2</v>
      </c>
      <c r="E4" s="2">
        <v>2</v>
      </c>
      <c r="F4" s="2">
        <v>2</v>
      </c>
      <c r="G4" s="2">
        <v>2</v>
      </c>
      <c r="H4" s="2">
        <v>2</v>
      </c>
      <c r="I4" s="2">
        <v>2</v>
      </c>
    </row>
    <row r="5" spans="1:9" ht="120" x14ac:dyDescent="0.25">
      <c r="A5" s="2" t="s">
        <v>29</v>
      </c>
      <c r="B5" s="2" t="s">
        <v>59</v>
      </c>
      <c r="C5" s="2" t="s">
        <v>59</v>
      </c>
      <c r="D5" s="2" t="s">
        <v>59</v>
      </c>
      <c r="E5" s="2" t="s">
        <v>63</v>
      </c>
      <c r="F5" s="2" t="s">
        <v>63</v>
      </c>
      <c r="G5" s="2" t="s">
        <v>64</v>
      </c>
      <c r="H5" s="2" t="s">
        <v>64</v>
      </c>
      <c r="I5" s="2" t="s">
        <v>63</v>
      </c>
    </row>
    <row r="6" spans="1:9" ht="30" x14ac:dyDescent="0.25">
      <c r="A6" s="2" t="s">
        <v>61</v>
      </c>
      <c r="B6" s="2">
        <v>10</v>
      </c>
      <c r="C6" s="2">
        <v>23</v>
      </c>
      <c r="D6" s="2">
        <v>23</v>
      </c>
      <c r="E6" s="2">
        <v>1</v>
      </c>
      <c r="F6" s="2">
        <v>2</v>
      </c>
      <c r="G6" s="2">
        <v>23</v>
      </c>
      <c r="H6" s="2">
        <v>23</v>
      </c>
      <c r="I6" s="2">
        <v>4</v>
      </c>
    </row>
    <row r="7" spans="1:9" ht="75" x14ac:dyDescent="0.25">
      <c r="A7" s="2" t="s">
        <v>37</v>
      </c>
      <c r="B7" s="2" t="s">
        <v>58</v>
      </c>
      <c r="C7" s="2" t="s">
        <v>58</v>
      </c>
      <c r="D7" s="2" t="s">
        <v>58</v>
      </c>
      <c r="E7" s="2" t="s">
        <v>58</v>
      </c>
      <c r="F7" s="2" t="s">
        <v>58</v>
      </c>
      <c r="G7" s="2" t="s">
        <v>58</v>
      </c>
      <c r="H7" s="2" t="s">
        <v>58</v>
      </c>
      <c r="I7" s="2" t="s">
        <v>58</v>
      </c>
    </row>
    <row r="8" spans="1:9" ht="90" x14ac:dyDescent="0.25">
      <c r="A8" s="2" t="s">
        <v>34</v>
      </c>
      <c r="B8" s="2" t="s">
        <v>80</v>
      </c>
      <c r="C8" s="2" t="s">
        <v>69</v>
      </c>
      <c r="D8" s="3" t="s">
        <v>69</v>
      </c>
      <c r="E8" s="3" t="s">
        <v>69</v>
      </c>
      <c r="F8" s="3" t="s">
        <v>69</v>
      </c>
      <c r="G8" s="3" t="s">
        <v>69</v>
      </c>
      <c r="H8" s="2" t="s">
        <v>72</v>
      </c>
      <c r="I8" s="2" t="s">
        <v>73</v>
      </c>
    </row>
    <row r="9" spans="1:9" x14ac:dyDescent="0.25">
      <c r="A9" s="2" t="s">
        <v>62</v>
      </c>
      <c r="B9" s="2">
        <v>1</v>
      </c>
      <c r="C9" s="2">
        <v>2</v>
      </c>
      <c r="D9" s="3">
        <v>2</v>
      </c>
      <c r="E9" s="3">
        <v>1</v>
      </c>
      <c r="F9" s="3">
        <v>1</v>
      </c>
      <c r="G9" s="3">
        <v>2</v>
      </c>
      <c r="H9" s="2">
        <v>10</v>
      </c>
      <c r="I9" s="2">
        <v>6</v>
      </c>
    </row>
    <row r="10" spans="1:9" ht="45" x14ac:dyDescent="0.25">
      <c r="A10" s="2" t="s">
        <v>68</v>
      </c>
      <c r="B10" s="2">
        <f>105290*5</f>
        <v>526450</v>
      </c>
      <c r="C10" s="8">
        <f t="shared" ref="C10:I10" si="0">105290*5</f>
        <v>526450</v>
      </c>
      <c r="D10" s="8">
        <f t="shared" si="0"/>
        <v>526450</v>
      </c>
      <c r="E10" s="8">
        <f t="shared" si="0"/>
        <v>526450</v>
      </c>
      <c r="F10" s="8">
        <f t="shared" si="0"/>
        <v>526450</v>
      </c>
      <c r="G10" s="8">
        <f t="shared" si="0"/>
        <v>526450</v>
      </c>
      <c r="H10" s="8">
        <f t="shared" si="0"/>
        <v>526450</v>
      </c>
      <c r="I10" s="8">
        <f t="shared" si="0"/>
        <v>526450</v>
      </c>
    </row>
    <row r="11" spans="1:9" s="3" customFormat="1" ht="90" x14ac:dyDescent="0.25">
      <c r="A11" s="3" t="s">
        <v>75</v>
      </c>
      <c r="B11" s="3" t="s">
        <v>74</v>
      </c>
      <c r="C11" s="3" t="s">
        <v>74</v>
      </c>
      <c r="D11" s="3" t="s">
        <v>74</v>
      </c>
      <c r="E11" s="3" t="s">
        <v>74</v>
      </c>
      <c r="F11" s="3" t="s">
        <v>74</v>
      </c>
      <c r="G11" s="3" t="s">
        <v>74</v>
      </c>
      <c r="H11" s="3" t="s">
        <v>74</v>
      </c>
      <c r="I11" s="3" t="s">
        <v>74</v>
      </c>
    </row>
    <row r="12" spans="1:9" x14ac:dyDescent="0.25">
      <c r="A12" s="2" t="s">
        <v>76</v>
      </c>
      <c r="B12" s="2">
        <f>1/13</f>
        <v>7.6923076923076927E-2</v>
      </c>
      <c r="C12" s="3">
        <f t="shared" ref="C12:I12" si="1">1/13</f>
        <v>7.6923076923076927E-2</v>
      </c>
      <c r="D12" s="3">
        <f t="shared" si="1"/>
        <v>7.6923076923076927E-2</v>
      </c>
      <c r="E12" s="3">
        <f t="shared" si="1"/>
        <v>7.6923076923076927E-2</v>
      </c>
      <c r="F12" s="3">
        <f t="shared" si="1"/>
        <v>7.6923076923076927E-2</v>
      </c>
      <c r="G12" s="3">
        <f t="shared" si="1"/>
        <v>7.6923076923076927E-2</v>
      </c>
      <c r="H12" s="3">
        <f t="shared" si="1"/>
        <v>7.6923076923076927E-2</v>
      </c>
      <c r="I12" s="3">
        <f t="shared" si="1"/>
        <v>7.6923076923076927E-2</v>
      </c>
    </row>
    <row r="13" spans="1:9" ht="75" x14ac:dyDescent="0.25">
      <c r="A13" s="2" t="s">
        <v>35</v>
      </c>
      <c r="C13" s="3" t="s">
        <v>85</v>
      </c>
      <c r="H13" s="2" t="s">
        <v>85</v>
      </c>
    </row>
    <row r="14" spans="1:9" ht="45" x14ac:dyDescent="0.25">
      <c r="A14" s="3" t="s">
        <v>77</v>
      </c>
      <c r="C14" s="3">
        <v>1</v>
      </c>
      <c r="H14" s="2">
        <v>1</v>
      </c>
    </row>
    <row r="15" spans="1:9" s="3" customFormat="1" ht="75" x14ac:dyDescent="0.25">
      <c r="A15" s="3" t="s">
        <v>38</v>
      </c>
      <c r="B15" s="3" t="s">
        <v>78</v>
      </c>
      <c r="C15" s="3" t="s">
        <v>78</v>
      </c>
      <c r="D15" s="3" t="s">
        <v>78</v>
      </c>
      <c r="E15" s="3" t="s">
        <v>78</v>
      </c>
      <c r="F15" s="3" t="s">
        <v>78</v>
      </c>
      <c r="G15" s="3" t="s">
        <v>78</v>
      </c>
      <c r="H15" s="3" t="s">
        <v>78</v>
      </c>
      <c r="I15" s="3" t="s">
        <v>78</v>
      </c>
    </row>
    <row r="16" spans="1:9" s="3" customFormat="1" x14ac:dyDescent="0.25">
      <c r="A16" s="3" t="s">
        <v>79</v>
      </c>
      <c r="B16" s="3">
        <f t="shared" ref="B16:I16" si="2">1/42</f>
        <v>2.3809523809523808E-2</v>
      </c>
      <c r="C16" s="3">
        <f t="shared" si="2"/>
        <v>2.3809523809523808E-2</v>
      </c>
      <c r="D16" s="3">
        <f t="shared" si="2"/>
        <v>2.3809523809523808E-2</v>
      </c>
      <c r="E16" s="3">
        <f t="shared" si="2"/>
        <v>2.3809523809523808E-2</v>
      </c>
      <c r="F16" s="3">
        <f t="shared" si="2"/>
        <v>2.3809523809523808E-2</v>
      </c>
      <c r="G16" s="3">
        <f t="shared" si="2"/>
        <v>2.3809523809523808E-2</v>
      </c>
      <c r="H16" s="3">
        <f t="shared" si="2"/>
        <v>2.3809523809523808E-2</v>
      </c>
      <c r="I16" s="3">
        <f t="shared" si="2"/>
        <v>2.3809523809523808E-2</v>
      </c>
    </row>
    <row r="17" spans="1:9" ht="75" x14ac:dyDescent="0.25">
      <c r="A17" s="2" t="s">
        <v>83</v>
      </c>
      <c r="F17" s="2" t="s">
        <v>82</v>
      </c>
    </row>
    <row r="18" spans="1:9" x14ac:dyDescent="0.25">
      <c r="A18" s="2" t="s">
        <v>84</v>
      </c>
      <c r="F18" s="2">
        <v>3</v>
      </c>
    </row>
    <row r="19" spans="1:9" ht="90" x14ac:dyDescent="0.25">
      <c r="A19" s="2" t="s">
        <v>36</v>
      </c>
      <c r="B19" s="2" t="s">
        <v>87</v>
      </c>
      <c r="C19" s="2" t="s">
        <v>87</v>
      </c>
      <c r="D19" s="2" t="s">
        <v>87</v>
      </c>
      <c r="E19" s="3" t="s">
        <v>87</v>
      </c>
      <c r="F19" s="3" t="s">
        <v>87</v>
      </c>
      <c r="G19" s="3" t="s">
        <v>87</v>
      </c>
      <c r="H19" s="3" t="s">
        <v>87</v>
      </c>
      <c r="I19" s="3" t="s">
        <v>87</v>
      </c>
    </row>
    <row r="20" spans="1:9" ht="45" x14ac:dyDescent="0.25">
      <c r="A20" s="3" t="s">
        <v>86</v>
      </c>
      <c r="B20" s="3">
        <f>(1/28)*_xlfn.CEILING.MATH(PrCloudDet!B16/10)</f>
        <v>3.5714285714285712E-2</v>
      </c>
      <c r="C20" s="3">
        <f>(1/28)*_xlfn.CEILING.MATH(PrCloudDet!C16/10)</f>
        <v>0.10714285714285714</v>
      </c>
      <c r="D20" s="3">
        <f>(1/28)*_xlfn.CEILING.MATH(PrCloudDet!D16/10)</f>
        <v>7.1428571428571425E-2</v>
      </c>
      <c r="E20" s="3">
        <f>(1/28)*_xlfn.CEILING.MATH(PrCloudDet!E16/10)</f>
        <v>3.5714285714285712E-2</v>
      </c>
      <c r="F20" s="3">
        <f>(1/28)*_xlfn.CEILING.MATH(PrCloudDet!F16/10)</f>
        <v>3.5714285714285712E-2</v>
      </c>
      <c r="G20" s="3">
        <f>(1/28)*_xlfn.CEILING.MATH(PrCloudDet!G16/10)</f>
        <v>3.5714285714285712E-2</v>
      </c>
      <c r="H20" s="3">
        <f>(1/28)*_xlfn.CEILING.MATH(PrCloudDet!H16/10)</f>
        <v>0.10714285714285714</v>
      </c>
      <c r="I20" s="3">
        <f>(1/28)*_xlfn.CEILING.MATH(PrCloudDet!I16/10)</f>
        <v>3.5714285714285712E-2</v>
      </c>
    </row>
    <row r="21" spans="1:9" ht="30" x14ac:dyDescent="0.25">
      <c r="A21" s="2" t="s">
        <v>89</v>
      </c>
      <c r="B21" s="2">
        <f>PrCloudDet!B17</f>
        <v>11350.416000000001</v>
      </c>
      <c r="C21" s="3">
        <f>PrCloudDet!C17</f>
        <v>18362.255999999998</v>
      </c>
      <c r="D21" s="3">
        <f>PrCloudDet!D17</f>
        <v>18362.255999999998</v>
      </c>
      <c r="E21" s="3">
        <f>PrCloudDet!E17</f>
        <v>12621.311999999998</v>
      </c>
      <c r="F21" s="3">
        <f>PrCloudDet!F17</f>
        <v>43824</v>
      </c>
      <c r="G21" s="3">
        <f>PrCloudDet!G17</f>
        <v>18362.255999999998</v>
      </c>
      <c r="H21" s="3">
        <f>PrCloudDet!H17</f>
        <v>27170.879999999997</v>
      </c>
      <c r="I21" s="3">
        <f>PrCloudDet!I17</f>
        <v>21254.639999999999</v>
      </c>
    </row>
    <row r="22" spans="1:9" ht="30" x14ac:dyDescent="0.25">
      <c r="A22" s="2" t="s">
        <v>91</v>
      </c>
      <c r="B22" s="3">
        <f>PrCloudDet!B18</f>
        <v>11350.416000000001</v>
      </c>
      <c r="C22" s="3">
        <f>PrCloudDet!C18</f>
        <v>18362.255999999998</v>
      </c>
      <c r="D22" s="3">
        <f>PrCloudDet!D18</f>
        <v>18362.255999999998</v>
      </c>
      <c r="E22" s="3">
        <f>PrCloudDet!E18</f>
        <v>12621.311999999998</v>
      </c>
      <c r="F22" s="3">
        <f>PrCloudDet!F18</f>
        <v>43824</v>
      </c>
      <c r="G22" s="3">
        <f>PrCloudDet!G18</f>
        <v>18362.255999999998</v>
      </c>
      <c r="H22" s="3">
        <f>PrCloudDet!H18</f>
        <v>27170.879999999997</v>
      </c>
      <c r="I22" s="3">
        <f>PrCloudDet!I18</f>
        <v>21254.639999999999</v>
      </c>
    </row>
    <row r="28" spans="1:9" x14ac:dyDescent="0.25">
      <c r="B28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E25"/>
  <sheetViews>
    <sheetView topLeftCell="A17" workbookViewId="0">
      <selection activeCell="C25" sqref="C25"/>
    </sheetView>
  </sheetViews>
  <sheetFormatPr defaultRowHeight="15" x14ac:dyDescent="0.25"/>
  <cols>
    <col min="1" max="1" width="9.140625" style="1"/>
    <col min="2" max="2" width="43.28515625" style="1" customWidth="1"/>
    <col min="3" max="3" width="11.5703125" style="1" bestFit="1" customWidth="1"/>
    <col min="4" max="4" width="13.28515625" style="1" customWidth="1"/>
    <col min="5" max="16384" width="9.140625" style="1"/>
  </cols>
  <sheetData>
    <row r="1" spans="2:4" ht="30" x14ac:dyDescent="0.25">
      <c r="B1" s="1" t="s">
        <v>27</v>
      </c>
      <c r="C1" s="1" t="s">
        <v>11</v>
      </c>
      <c r="D1" s="1" t="s">
        <v>81</v>
      </c>
    </row>
    <row r="2" spans="2:4" ht="45" x14ac:dyDescent="0.25">
      <c r="B2" s="1" t="s">
        <v>43</v>
      </c>
      <c r="C2" s="1">
        <v>1559.99</v>
      </c>
      <c r="D2" s="1">
        <v>115</v>
      </c>
    </row>
    <row r="3" spans="2:4" ht="45" x14ac:dyDescent="0.25">
      <c r="B3" s="1" t="s">
        <v>50</v>
      </c>
      <c r="C3" s="1">
        <v>989.99</v>
      </c>
      <c r="D3" s="1">
        <v>90</v>
      </c>
    </row>
    <row r="4" spans="2:4" ht="45" x14ac:dyDescent="0.25">
      <c r="B4" s="1" t="s">
        <v>45</v>
      </c>
      <c r="C4" s="1">
        <v>1719.99</v>
      </c>
      <c r="D4" s="1">
        <v>120</v>
      </c>
    </row>
    <row r="5" spans="2:4" ht="45" x14ac:dyDescent="0.25">
      <c r="B5" s="1" t="s">
        <v>46</v>
      </c>
      <c r="C5" s="1">
        <v>1769.99</v>
      </c>
      <c r="D5" s="1">
        <v>115</v>
      </c>
    </row>
    <row r="6" spans="2:4" ht="45" x14ac:dyDescent="0.25">
      <c r="B6" s="1" t="s">
        <v>47</v>
      </c>
      <c r="C6" s="1">
        <v>2149.9899999999998</v>
      </c>
      <c r="D6" s="1">
        <v>135</v>
      </c>
    </row>
    <row r="7" spans="2:4" ht="30" x14ac:dyDescent="0.25">
      <c r="B7" s="1" t="s">
        <v>58</v>
      </c>
      <c r="C7" s="1">
        <v>659.99</v>
      </c>
      <c r="D7" s="1">
        <v>25</v>
      </c>
    </row>
    <row r="8" spans="2:4" ht="45" x14ac:dyDescent="0.25">
      <c r="B8" s="1" t="s">
        <v>59</v>
      </c>
      <c r="C8" s="1">
        <v>92.99</v>
      </c>
      <c r="D8" s="1">
        <v>5</v>
      </c>
    </row>
    <row r="9" spans="2:4" ht="45" x14ac:dyDescent="0.25">
      <c r="B9" s="1" t="s">
        <v>63</v>
      </c>
      <c r="C9" s="1">
        <v>365.99</v>
      </c>
      <c r="D9" s="1">
        <v>20</v>
      </c>
    </row>
    <row r="10" spans="2:4" ht="45" x14ac:dyDescent="0.25">
      <c r="B10" s="1" t="s">
        <v>64</v>
      </c>
      <c r="C10" s="1">
        <v>214.99</v>
      </c>
      <c r="D10" s="1">
        <v>5</v>
      </c>
    </row>
    <row r="11" spans="2:4" ht="30" x14ac:dyDescent="0.25">
      <c r="B11" s="1" t="s">
        <v>96</v>
      </c>
      <c r="C11" s="1">
        <v>96.84</v>
      </c>
      <c r="D11" s="1">
        <v>10</v>
      </c>
    </row>
    <row r="12" spans="2:4" x14ac:dyDescent="0.25">
      <c r="B12" s="1" t="s">
        <v>39</v>
      </c>
      <c r="C12" s="1">
        <f>PrCloudQty!B10</f>
        <v>526450</v>
      </c>
      <c r="D12" s="1">
        <v>0</v>
      </c>
    </row>
    <row r="13" spans="2:4" ht="30" x14ac:dyDescent="0.25">
      <c r="B13" s="1" t="s">
        <v>69</v>
      </c>
      <c r="C13" s="1">
        <v>259.99</v>
      </c>
      <c r="D13" s="1">
        <v>25</v>
      </c>
    </row>
    <row r="14" spans="2:4" ht="45" x14ac:dyDescent="0.25">
      <c r="B14" s="1" t="s">
        <v>70</v>
      </c>
      <c r="C14" s="1">
        <v>149.99</v>
      </c>
      <c r="D14" s="1">
        <v>25</v>
      </c>
    </row>
    <row r="15" spans="2:4" ht="45" x14ac:dyDescent="0.25">
      <c r="B15" s="1" t="s">
        <v>71</v>
      </c>
      <c r="C15" s="1">
        <v>84.99</v>
      </c>
      <c r="D15" s="1">
        <v>25</v>
      </c>
    </row>
    <row r="16" spans="2:4" ht="45" x14ac:dyDescent="0.25">
      <c r="B16" s="1" t="s">
        <v>72</v>
      </c>
      <c r="C16" s="1">
        <v>602.73</v>
      </c>
      <c r="D16" s="1">
        <v>25</v>
      </c>
    </row>
    <row r="17" spans="2:5" ht="45" x14ac:dyDescent="0.25">
      <c r="B17" s="1" t="s">
        <v>73</v>
      </c>
      <c r="C17" s="1">
        <v>219.99</v>
      </c>
      <c r="D17" s="1">
        <v>35</v>
      </c>
    </row>
    <row r="18" spans="2:5" ht="60" x14ac:dyDescent="0.25">
      <c r="B18" s="9" t="s">
        <v>74</v>
      </c>
      <c r="C18" s="9">
        <v>0</v>
      </c>
      <c r="D18" s="9">
        <v>0</v>
      </c>
      <c r="E18" s="1" t="s">
        <v>88</v>
      </c>
    </row>
    <row r="19" spans="2:5" ht="30" x14ac:dyDescent="0.25">
      <c r="B19" s="1" t="s">
        <v>85</v>
      </c>
      <c r="C19" s="1">
        <v>90.99</v>
      </c>
      <c r="D19" s="1">
        <v>5</v>
      </c>
    </row>
    <row r="20" spans="2:5" ht="30" x14ac:dyDescent="0.25">
      <c r="B20" s="1" t="s">
        <v>78</v>
      </c>
      <c r="C20" s="1">
        <v>1654.73</v>
      </c>
      <c r="D20" s="1">
        <v>100</v>
      </c>
    </row>
    <row r="21" spans="2:5" ht="30" x14ac:dyDescent="0.25">
      <c r="B21" s="1" t="s">
        <v>80</v>
      </c>
      <c r="C21" s="1">
        <v>32.11</v>
      </c>
      <c r="D21" s="1">
        <v>25</v>
      </c>
    </row>
    <row r="22" spans="2:5" ht="30" x14ac:dyDescent="0.25">
      <c r="B22" s="1" t="s">
        <v>82</v>
      </c>
      <c r="C22" s="1">
        <v>1895</v>
      </c>
      <c r="D22" s="1">
        <v>225</v>
      </c>
    </row>
    <row r="23" spans="2:5" ht="45" x14ac:dyDescent="0.25">
      <c r="B23" s="1" t="s">
        <v>87</v>
      </c>
      <c r="C23" s="1">
        <v>2413.9899999999998</v>
      </c>
      <c r="D23" s="1">
        <v>25</v>
      </c>
    </row>
    <row r="24" spans="2:5" x14ac:dyDescent="0.25">
      <c r="B24" s="3" t="s">
        <v>105</v>
      </c>
      <c r="C24" s="1">
        <f>0.153</f>
        <v>0.153</v>
      </c>
    </row>
    <row r="25" spans="2:5" x14ac:dyDescent="0.25">
      <c r="B25" s="3" t="s">
        <v>41</v>
      </c>
      <c r="C25" s="1">
        <f>0.153</f>
        <v>0.153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P32"/>
  <sheetViews>
    <sheetView topLeftCell="A8" workbookViewId="0">
      <selection activeCell="A16" sqref="A16"/>
    </sheetView>
  </sheetViews>
  <sheetFormatPr defaultRowHeight="15" x14ac:dyDescent="0.25"/>
  <cols>
    <col min="1" max="1" width="9.140625" style="2"/>
    <col min="2" max="2" width="18" style="2" customWidth="1"/>
    <col min="3" max="3" width="29.7109375" style="2" customWidth="1"/>
    <col min="4" max="4" width="14.85546875" style="2" customWidth="1"/>
    <col min="5" max="5" width="27.28515625" style="2" customWidth="1"/>
    <col min="6" max="6" width="13" style="2" customWidth="1"/>
    <col min="7" max="7" width="13.7109375" style="2" customWidth="1"/>
    <col min="8" max="8" width="15.42578125" style="2" customWidth="1"/>
    <col min="9" max="9" width="16.28515625" style="2" customWidth="1"/>
    <col min="10" max="11" width="18.140625" style="2" customWidth="1"/>
    <col min="12" max="12" width="9.140625" style="2"/>
    <col min="13" max="13" width="11.5703125" style="2" bestFit="1" customWidth="1"/>
    <col min="14" max="14" width="9.5703125" style="2" bestFit="1" customWidth="1"/>
    <col min="15" max="15" width="11.5703125" style="2" bestFit="1" customWidth="1"/>
    <col min="16" max="16384" width="9.140625" style="2"/>
  </cols>
  <sheetData>
    <row r="1" spans="2:16" x14ac:dyDescent="0.25">
      <c r="B1" s="2" t="s">
        <v>28</v>
      </c>
    </row>
    <row r="3" spans="2:16" ht="45" x14ac:dyDescent="0.25">
      <c r="B3" s="2" t="s">
        <v>27</v>
      </c>
      <c r="C3" s="2" t="s">
        <v>33</v>
      </c>
      <c r="D3" s="2" t="s">
        <v>30</v>
      </c>
      <c r="E3" s="2" t="s">
        <v>31</v>
      </c>
      <c r="F3" s="2" t="s">
        <v>32</v>
      </c>
      <c r="G3" s="2" t="s">
        <v>89</v>
      </c>
    </row>
    <row r="4" spans="2:16" ht="45" x14ac:dyDescent="0.25">
      <c r="B4" s="2" t="s">
        <v>40</v>
      </c>
      <c r="C4" s="2" t="str">
        <f>PrCloudQty!B2</f>
        <v>NORCO RPC-170 Black 1U Rackmount Server Chassis</v>
      </c>
      <c r="D4" s="2">
        <v>1</v>
      </c>
      <c r="E4" s="2">
        <f>VLOOKUP(TEXT(C4,"text"),Prices!$B$2:$C$300,2,FALSE)</f>
        <v>96.84</v>
      </c>
      <c r="F4" s="2">
        <f>_xlfn.IFNA(D4*E4,0)</f>
        <v>96.84</v>
      </c>
      <c r="G4" s="2">
        <f>_xlfn.IFNA(VLOOKUP(TEXT(C4,"text"),Prices!$B$2:$D$300,3,FALSE)*D4,0)</f>
        <v>10</v>
      </c>
    </row>
    <row r="5" spans="2:16" ht="60" x14ac:dyDescent="0.25">
      <c r="B5" s="2" t="s">
        <v>26</v>
      </c>
      <c r="C5" s="2" t="str">
        <f>PrCloudQty!B3</f>
        <v>Intel Xeon E5-2640 V4 2.4 GHz 25MB L3 Cache LGA 2011 90W BX80660E52640V4 Server Processor</v>
      </c>
      <c r="D5" s="2">
        <f>PrCloudQty!B4</f>
        <v>2</v>
      </c>
      <c r="E5" s="2">
        <f>VLOOKUP(TEXT(C5,"text"),Prices!$B$2:$C$300,2,FALSE)</f>
        <v>989.99</v>
      </c>
      <c r="F5" s="3">
        <f t="shared" ref="F5:F9" si="0">_xlfn.IFNA(D5*E5,0)</f>
        <v>1979.98</v>
      </c>
      <c r="G5" s="3">
        <f>_xlfn.IFNA(VLOOKUP(TEXT(C5,"text"),Prices!$B$2:$D$300,3,FALSE)*D5,0)</f>
        <v>180</v>
      </c>
    </row>
    <row r="6" spans="2:16" ht="60" x14ac:dyDescent="0.25">
      <c r="B6" s="2" t="s">
        <v>29</v>
      </c>
      <c r="C6" s="2" t="str">
        <f>PrCloudQty!B5</f>
        <v>Kingston 16GB 288-Pin DDR4 SDRAM ECC Registered DDR4 2133 (PC4 17000) Server Memory Model KVR21R15D4/16</v>
      </c>
      <c r="D6" s="2">
        <f>PrCloudQty!B6</f>
        <v>10</v>
      </c>
      <c r="E6" s="2">
        <f>VLOOKUP(TEXT(C6,"text"),Prices!$B$2:$C$300,2,FALSE)</f>
        <v>92.99</v>
      </c>
      <c r="F6" s="3">
        <f t="shared" si="0"/>
        <v>929.9</v>
      </c>
      <c r="G6" s="3">
        <f>_xlfn.IFNA(VLOOKUP(TEXT(C6,"text"),Prices!$B$2:$D$300,3,FALSE)*D6,0)</f>
        <v>50</v>
      </c>
    </row>
    <row r="7" spans="2:16" ht="45" x14ac:dyDescent="0.25">
      <c r="B7" s="2" t="s">
        <v>37</v>
      </c>
      <c r="C7" s="2" t="str">
        <f>PrCloudQty!B7</f>
        <v>GIGABYTE MD80-TM0 E-ATX / SSI EEB Server Motherboard Dual LGA 2011-3 Intel C612</v>
      </c>
      <c r="D7" s="2">
        <v>1</v>
      </c>
      <c r="E7" s="2">
        <f>VLOOKUP(TEXT(C7,"text"),Prices!$B$2:$C$300,2,FALSE)</f>
        <v>659.99</v>
      </c>
      <c r="F7" s="3">
        <f t="shared" si="0"/>
        <v>659.99</v>
      </c>
      <c r="G7" s="3">
        <f>_xlfn.IFNA(VLOOKUP(TEXT(C7,"text"),Prices!$B$2:$D$300,3,FALSE)*D7,0)</f>
        <v>25</v>
      </c>
    </row>
    <row r="8" spans="2:16" ht="60" x14ac:dyDescent="0.25">
      <c r="B8" s="2" t="s">
        <v>34</v>
      </c>
      <c r="C8" s="2" t="str">
        <f>PrCloudQty!B8</f>
        <v>Kingston SSD Now mS200 mSATA 30GB SATA III Internal Solid State Drive (SSD) SMS200S3/30G</v>
      </c>
      <c r="D8" s="2">
        <f>PrCloudQty!B9</f>
        <v>1</v>
      </c>
      <c r="E8" s="2">
        <f>VLOOKUP(TEXT(C8,"text"),Prices!$B$2:$C$300,2,FALSE)</f>
        <v>32.11</v>
      </c>
      <c r="F8" s="3">
        <f t="shared" si="0"/>
        <v>32.11</v>
      </c>
      <c r="G8" s="3">
        <f>_xlfn.IFNA(VLOOKUP(TEXT(C8,"text"),Prices!$B$2:$D$300,3,FALSE)*D8,0)</f>
        <v>25</v>
      </c>
    </row>
    <row r="9" spans="2:16" x14ac:dyDescent="0.25">
      <c r="B9" s="2" t="s">
        <v>35</v>
      </c>
      <c r="E9" s="2">
        <f>_xlfn.IFNA(VLOOKUP(TEXT(C9,"text"),Prices!$B$2:$C$300,2,FALSE),0)</f>
        <v>0</v>
      </c>
      <c r="F9" s="3">
        <f t="shared" si="0"/>
        <v>0</v>
      </c>
      <c r="G9" s="3">
        <f>_xlfn.IFNA(VLOOKUP(TEXT(C9,"text"),Prices!$B$2:$D$300,3,FALSE)*D9,0)</f>
        <v>0</v>
      </c>
    </row>
    <row r="10" spans="2:16" s="7" customFormat="1" x14ac:dyDescent="0.25"/>
    <row r="11" spans="2:16" s="7" customFormat="1" x14ac:dyDescent="0.25">
      <c r="F11" s="7">
        <f>SUM(F4:F10)</f>
        <v>3698.82</v>
      </c>
      <c r="G11" s="8">
        <f>SUM(G4:G10)</f>
        <v>290</v>
      </c>
    </row>
    <row r="12" spans="2:16" s="8" customFormat="1" x14ac:dyDescent="0.25"/>
    <row r="13" spans="2:16" s="8" customFormat="1" x14ac:dyDescent="0.25"/>
    <row r="14" spans="2:16" s="8" customFormat="1" ht="33.75" customHeight="1" x14ac:dyDescent="0.25">
      <c r="E14" s="12" t="str">
        <f>PrCloudQty!B19</f>
        <v>NETGEAR ProSAFE XS728T 28-Port 10-Gigabit Ethernet Smart Managed Switch (XS728T) - Lifetime Warranty</v>
      </c>
      <c r="F14" s="12"/>
      <c r="G14" s="8" t="s">
        <v>105</v>
      </c>
      <c r="H14" s="10"/>
      <c r="I14" s="8" t="s">
        <v>39</v>
      </c>
      <c r="J14" s="8" t="s">
        <v>105</v>
      </c>
      <c r="K14" s="12" t="str">
        <f>PrCloudQty!B15</f>
        <v>APC AR3300 42U NetShelter SX 600mm Wide x 1200mm Deep Enclosure</v>
      </c>
      <c r="L14" s="12"/>
      <c r="M14" s="8" t="s">
        <v>105</v>
      </c>
    </row>
    <row r="15" spans="2:16" s="8" customFormat="1" ht="45" x14ac:dyDescent="0.25">
      <c r="B15" s="8" t="s">
        <v>97</v>
      </c>
      <c r="C15" s="8" t="s">
        <v>98</v>
      </c>
      <c r="D15" s="8" t="s">
        <v>99</v>
      </c>
      <c r="E15" s="8" t="s">
        <v>102</v>
      </c>
      <c r="F15" s="8" t="s">
        <v>100</v>
      </c>
      <c r="G15" s="8" t="s">
        <v>103</v>
      </c>
      <c r="H15" s="10" t="s">
        <v>122</v>
      </c>
      <c r="I15" s="8" t="s">
        <v>101</v>
      </c>
      <c r="J15" s="8" t="s">
        <v>104</v>
      </c>
      <c r="K15" s="8" t="s">
        <v>79</v>
      </c>
      <c r="L15" s="8" t="s">
        <v>106</v>
      </c>
      <c r="M15" s="8" t="s">
        <v>107</v>
      </c>
      <c r="N15" s="8" t="s">
        <v>108</v>
      </c>
      <c r="O15" s="8" t="s">
        <v>109</v>
      </c>
      <c r="P15" s="8" t="s">
        <v>110</v>
      </c>
    </row>
    <row r="16" spans="2:16" s="8" customFormat="1" x14ac:dyDescent="0.25">
      <c r="B16" s="8">
        <v>1</v>
      </c>
      <c r="C16" s="8">
        <f>_xlfn.CEILING.MATH(B16/PrCloudDet!$B$11)</f>
        <v>1</v>
      </c>
      <c r="D16" s="8">
        <f>$F$11*C16</f>
        <v>3698.82</v>
      </c>
      <c r="E16" s="8">
        <v>1</v>
      </c>
      <c r="F16" s="8">
        <f>_xlfn.IFNA(VLOOKUP($E$14,Prices!$B$2:$D$50,2,FALSE),0)*E16</f>
        <v>2413.9899999999998</v>
      </c>
      <c r="G16" s="8">
        <f>(((_xlfn.IFNA(VLOOKUP($E$14,Prices!$B$2:$D$50,3,FALSE),0)*E16)*24*1826)/1000)*(_xlfn.IFNA(VLOOKUP($G$14,Prices!$B$2:$D$50,2,FALSE),0))*2</f>
        <v>335.25359999999995</v>
      </c>
      <c r="H16" s="10">
        <f>_xlfn.CEILING.MATH(C16/1000)</f>
        <v>1</v>
      </c>
      <c r="I16" s="8">
        <f>_xlfn.IFNA(VLOOKUP($I$14,Prices!$B$2:$D$50,2,FALSE),0)*H16</f>
        <v>526450</v>
      </c>
      <c r="J16" s="8">
        <f>(($G$11*24*1826)/1000)*(_xlfn.IFNA(VLOOKUP($J$14,Prices!$B$2:$D$50,2,FALSE),0))*C16*2</f>
        <v>3888.9417599999997</v>
      </c>
      <c r="K16" s="8">
        <f t="shared" ref="K16:K22" si="1">_xlfn.CEILING.MATH(C16/42)</f>
        <v>1</v>
      </c>
      <c r="L16" s="8">
        <f>_xlfn.IFNA(VLOOKUP($K$14,Prices!$B$2:$D$50,2,FALSE),0)*K16</f>
        <v>1654.73</v>
      </c>
      <c r="M16" s="8">
        <f>(((_xlfn.IFNA(VLOOKUP($K$14,Prices!$B$2:$D$50,3,FALSE),0)*K16)*24*1826)/1000)*(_xlfn.IFNA(VLOOKUP($M$14,Prices!$B$2:$D$50,2,FALSE),0))*2</f>
        <v>1341.0143999999998</v>
      </c>
      <c r="N16" s="8">
        <f t="shared" ref="N16:N22" si="2">D16+F16+G16+I16+J16+L16+M16</f>
        <v>539782.74975999992</v>
      </c>
      <c r="O16" s="8">
        <f>N16/1826/24</f>
        <v>12.317057999269805</v>
      </c>
      <c r="P16" s="8">
        <f>O16/(C16*PrCloudDet!$B$11)</f>
        <v>1.6037835936549224E-2</v>
      </c>
    </row>
    <row r="17" spans="2:16" s="8" customFormat="1" x14ac:dyDescent="0.25">
      <c r="B17" s="8">
        <v>10</v>
      </c>
      <c r="C17" s="8">
        <f>_xlfn.CEILING.MATH(B17/PrCloudDet!$B$11)</f>
        <v>1</v>
      </c>
      <c r="D17" s="8">
        <f t="shared" ref="D17:D22" si="3">$F$11*C17</f>
        <v>3698.82</v>
      </c>
      <c r="E17" s="8">
        <v>1</v>
      </c>
      <c r="F17" s="8">
        <f>_xlfn.IFNA(VLOOKUP($E$14,Prices!$B$2:$D$50,2,FALSE),0)</f>
        <v>2413.9899999999998</v>
      </c>
      <c r="G17" s="10">
        <f>(((_xlfn.IFNA(VLOOKUP($E$14,Prices!$B$2:$D$50,3,FALSE),0)*E17)*24*1826)/1000)*(_xlfn.IFNA(VLOOKUP($G$14,Prices!$B$2:$D$50,2,FALSE),0))*2</f>
        <v>335.25359999999995</v>
      </c>
      <c r="H17" s="10">
        <f t="shared" ref="H17:H22" si="4">_xlfn.CEILING.MATH(C17/1000)</f>
        <v>1</v>
      </c>
      <c r="I17" s="10">
        <f>_xlfn.IFNA(VLOOKUP($I$14,Prices!$B$2:$D$50,2,FALSE),0)*H17</f>
        <v>526450</v>
      </c>
      <c r="J17" s="8">
        <f>(($G$11*24*1826)/1000)*(_xlfn.IFNA(VLOOKUP($J$14,Prices!$B$2:$D$50,2,FALSE),0))*C17*2</f>
        <v>3888.9417599999997</v>
      </c>
      <c r="K17" s="8">
        <f t="shared" si="1"/>
        <v>1</v>
      </c>
      <c r="L17" s="8">
        <f>_xlfn.IFNA(VLOOKUP($K$14,Prices!$B$2:$D$50,2,FALSE),0)*K17</f>
        <v>1654.73</v>
      </c>
      <c r="M17" s="10">
        <f>(((_xlfn.IFNA(VLOOKUP($K$14,Prices!$B$2:$D$50,3,FALSE),0)*K17)*24*1826)/1000)*(_xlfn.IFNA(VLOOKUP($M$14,Prices!$B$2:$D$50,2,FALSE),0))*2</f>
        <v>1341.0143999999998</v>
      </c>
      <c r="N17" s="8">
        <f t="shared" si="2"/>
        <v>539782.74975999992</v>
      </c>
      <c r="O17" s="8">
        <f t="shared" ref="O17:O22" si="5">N17/1826/24</f>
        <v>12.317057999269805</v>
      </c>
      <c r="P17" s="8">
        <f>O17/(C17*PrCloudDet!$B$11)</f>
        <v>1.6037835936549224E-2</v>
      </c>
    </row>
    <row r="18" spans="2:16" s="8" customFormat="1" x14ac:dyDescent="0.25">
      <c r="B18" s="8">
        <v>100</v>
      </c>
      <c r="C18" s="8">
        <f>_xlfn.CEILING.MATH(B18/PrCloudDet!$B$11)</f>
        <v>1</v>
      </c>
      <c r="D18" s="8">
        <f t="shared" si="3"/>
        <v>3698.82</v>
      </c>
      <c r="E18" s="8">
        <v>1</v>
      </c>
      <c r="F18" s="8">
        <f>_xlfn.IFNA(VLOOKUP($E$14,Prices!$B$2:$D$50,2,FALSE),0)</f>
        <v>2413.9899999999998</v>
      </c>
      <c r="G18" s="10">
        <f>(((_xlfn.IFNA(VLOOKUP($E$14,Prices!$B$2:$D$50,3,FALSE),0)*E18)*24*1826)/1000)*(_xlfn.IFNA(VLOOKUP($G$14,Prices!$B$2:$D$50,2,FALSE),0))*2</f>
        <v>335.25359999999995</v>
      </c>
      <c r="H18" s="10">
        <f t="shared" si="4"/>
        <v>1</v>
      </c>
      <c r="I18" s="10">
        <f>_xlfn.IFNA(VLOOKUP($I$14,Prices!$B$2:$D$50,2,FALSE),0)*H18</f>
        <v>526450</v>
      </c>
      <c r="J18" s="8">
        <f>(($G$11*24*1826)/1000)*(_xlfn.IFNA(VLOOKUP($J$14,Prices!$B$2:$D$50,2,FALSE),0))*C18*2</f>
        <v>3888.9417599999997</v>
      </c>
      <c r="K18" s="8">
        <f t="shared" si="1"/>
        <v>1</v>
      </c>
      <c r="L18" s="8">
        <f>_xlfn.IFNA(VLOOKUP($K$14,Prices!$B$2:$D$50,2,FALSE),0)*K18</f>
        <v>1654.73</v>
      </c>
      <c r="M18" s="10">
        <f>(((_xlfn.IFNA(VLOOKUP($K$14,Prices!$B$2:$D$50,3,FALSE),0)*K18)*24*1826)/1000)*(_xlfn.IFNA(VLOOKUP($M$14,Prices!$B$2:$D$50,2,FALSE),0))*2</f>
        <v>1341.0143999999998</v>
      </c>
      <c r="N18" s="8">
        <f t="shared" si="2"/>
        <v>539782.74975999992</v>
      </c>
      <c r="O18" s="8">
        <f t="shared" si="5"/>
        <v>12.317057999269805</v>
      </c>
      <c r="P18" s="8">
        <f>O18/(C18*PrCloudDet!$B$11)</f>
        <v>1.6037835936549224E-2</v>
      </c>
    </row>
    <row r="19" spans="2:16" s="8" customFormat="1" x14ac:dyDescent="0.25">
      <c r="B19" s="8">
        <v>1000</v>
      </c>
      <c r="C19" s="8">
        <f>_xlfn.CEILING.MATH(B19/PrCloudDet!$B$11)</f>
        <v>2</v>
      </c>
      <c r="D19" s="8">
        <f t="shared" si="3"/>
        <v>7397.64</v>
      </c>
      <c r="E19" s="8">
        <v>1</v>
      </c>
      <c r="F19" s="8">
        <f>_xlfn.IFNA(VLOOKUP($E$14,Prices!$B$2:$D$50,2,FALSE),0)</f>
        <v>2413.9899999999998</v>
      </c>
      <c r="G19" s="10">
        <f>(((_xlfn.IFNA(VLOOKUP($E$14,Prices!$B$2:$D$50,3,FALSE),0)*E19)*24*1826)/1000)*(_xlfn.IFNA(VLOOKUP($G$14,Prices!$B$2:$D$50,2,FALSE),0))*2</f>
        <v>335.25359999999995</v>
      </c>
      <c r="H19" s="10">
        <f t="shared" si="4"/>
        <v>1</v>
      </c>
      <c r="I19" s="10">
        <f>_xlfn.IFNA(VLOOKUP($I$14,Prices!$B$2:$D$50,2,FALSE),0)*H19</f>
        <v>526450</v>
      </c>
      <c r="J19" s="8">
        <f>(($G$11*24*1826)/1000)*(_xlfn.IFNA(VLOOKUP($J$14,Prices!$B$2:$D$50,2,FALSE),0))*C19*2</f>
        <v>7777.8835199999994</v>
      </c>
      <c r="K19" s="8">
        <f t="shared" si="1"/>
        <v>1</v>
      </c>
      <c r="L19" s="8">
        <f>_xlfn.IFNA(VLOOKUP($K$14,Prices!$B$2:$D$50,2,FALSE),0)*K19</f>
        <v>1654.73</v>
      </c>
      <c r="M19" s="10">
        <f>(((_xlfn.IFNA(VLOOKUP($K$14,Prices!$B$2:$D$50,3,FALSE),0)*K19)*24*1826)/1000)*(_xlfn.IFNA(VLOOKUP($M$14,Prices!$B$2:$D$50,2,FALSE),0))*2</f>
        <v>1341.0143999999998</v>
      </c>
      <c r="N19" s="8">
        <f t="shared" si="2"/>
        <v>547370.51152000006</v>
      </c>
      <c r="O19" s="8">
        <f t="shared" si="5"/>
        <v>12.490199696969698</v>
      </c>
      <c r="P19" s="8">
        <f>O19/(C19*PrCloudDet!$B$11)</f>
        <v>8.1316404277146474E-3</v>
      </c>
    </row>
    <row r="20" spans="2:16" s="8" customFormat="1" x14ac:dyDescent="0.25">
      <c r="B20" s="8">
        <v>10000</v>
      </c>
      <c r="C20" s="8">
        <f>_xlfn.CEILING.MATH(B20/PrCloudDet!$B$11)</f>
        <v>14</v>
      </c>
      <c r="D20" s="8">
        <f t="shared" si="3"/>
        <v>51783.48</v>
      </c>
      <c r="E20" s="8">
        <v>1</v>
      </c>
      <c r="F20" s="8">
        <f>_xlfn.IFNA(VLOOKUP($E$14,Prices!$B$2:$D$50,2,FALSE),0)</f>
        <v>2413.9899999999998</v>
      </c>
      <c r="G20" s="10">
        <f>(((_xlfn.IFNA(VLOOKUP($E$14,Prices!$B$2:$D$50,3,FALSE),0)*E20)*24*1826)/1000)*(_xlfn.IFNA(VLOOKUP($G$14,Prices!$B$2:$D$50,2,FALSE),0))*2</f>
        <v>335.25359999999995</v>
      </c>
      <c r="H20" s="10">
        <f t="shared" si="4"/>
        <v>1</v>
      </c>
      <c r="I20" s="10">
        <f>_xlfn.IFNA(VLOOKUP($I$14,Prices!$B$2:$D$50,2,FALSE),0)*H20</f>
        <v>526450</v>
      </c>
      <c r="J20" s="8">
        <f>(($G$11*24*1826)/1000)*(_xlfn.IFNA(VLOOKUP($J$14,Prices!$B$2:$D$50,2,FALSE),0))*C20*2</f>
        <v>54445.184639999992</v>
      </c>
      <c r="K20" s="8">
        <f t="shared" si="1"/>
        <v>1</v>
      </c>
      <c r="L20" s="8">
        <f>_xlfn.IFNA(VLOOKUP($K$14,Prices!$B$2:$D$50,2,FALSE),0)*K20</f>
        <v>1654.73</v>
      </c>
      <c r="M20" s="10">
        <f>(((_xlfn.IFNA(VLOOKUP($K$14,Prices!$B$2:$D$50,3,FALSE),0)*K20)*24*1826)/1000)*(_xlfn.IFNA(VLOOKUP($M$14,Prices!$B$2:$D$50,2,FALSE),0))*2</f>
        <v>1341.0143999999998</v>
      </c>
      <c r="N20" s="8">
        <f t="shared" si="2"/>
        <v>638423.65263999999</v>
      </c>
      <c r="O20" s="8">
        <f t="shared" si="5"/>
        <v>14.567900069368383</v>
      </c>
      <c r="P20" s="8">
        <f>O20/(C20*PrCloudDet!$B$11)</f>
        <v>1.3549014201421487E-3</v>
      </c>
    </row>
    <row r="21" spans="2:16" s="8" customFormat="1" x14ac:dyDescent="0.25">
      <c r="B21" s="8">
        <v>100000</v>
      </c>
      <c r="C21" s="8">
        <f>_xlfn.CEILING.MATH(B21/PrCloudDet!$B$11)</f>
        <v>131</v>
      </c>
      <c r="D21" s="8">
        <f t="shared" si="3"/>
        <v>484545.42000000004</v>
      </c>
      <c r="E21" s="8">
        <v>1</v>
      </c>
      <c r="F21" s="8">
        <f>_xlfn.IFNA(VLOOKUP($E$14,Prices!$B$2:$D$50,2,FALSE),0)</f>
        <v>2413.9899999999998</v>
      </c>
      <c r="G21" s="10">
        <f>(((_xlfn.IFNA(VLOOKUP($E$14,Prices!$B$2:$D$50,3,FALSE),0)*E21)*24*1826)/1000)*(_xlfn.IFNA(VLOOKUP($G$14,Prices!$B$2:$D$50,2,FALSE),0))*2</f>
        <v>335.25359999999995</v>
      </c>
      <c r="H21" s="10">
        <f t="shared" si="4"/>
        <v>1</v>
      </c>
      <c r="I21" s="10">
        <f>_xlfn.IFNA(VLOOKUP($I$14,Prices!$B$2:$D$50,2,FALSE),0)*H21</f>
        <v>526450</v>
      </c>
      <c r="J21" s="8">
        <f>(($G$11*24*1826)/1000)*(_xlfn.IFNA(VLOOKUP($J$14,Prices!$B$2:$D$50,2,FALSE),0))*C21*2</f>
        <v>509451.37055999995</v>
      </c>
      <c r="K21" s="8">
        <f t="shared" si="1"/>
        <v>4</v>
      </c>
      <c r="L21" s="8">
        <f>_xlfn.IFNA(VLOOKUP($K$14,Prices!$B$2:$D$50,2,FALSE),0)*K21</f>
        <v>6618.92</v>
      </c>
      <c r="M21" s="10">
        <f>(((_xlfn.IFNA(VLOOKUP($K$14,Prices!$B$2:$D$50,3,FALSE),0)*K21)*24*1826)/1000)*(_xlfn.IFNA(VLOOKUP($M$14,Prices!$B$2:$D$50,2,FALSE),0))*2</f>
        <v>5364.0575999999992</v>
      </c>
      <c r="N21" s="8">
        <f t="shared" si="2"/>
        <v>1535179.0117599999</v>
      </c>
      <c r="O21" s="8">
        <f t="shared" si="5"/>
        <v>35.030554302665202</v>
      </c>
      <c r="P21" s="8">
        <f>O21/(C21*PrCloudDet!$B$11)</f>
        <v>3.4818855660250875E-4</v>
      </c>
    </row>
    <row r="22" spans="2:16" s="8" customFormat="1" x14ac:dyDescent="0.25">
      <c r="B22" s="8">
        <v>1000000</v>
      </c>
      <c r="C22" s="8">
        <f>_xlfn.CEILING.MATH(B22/PrCloudDet!$B$11)</f>
        <v>1303</v>
      </c>
      <c r="D22" s="8">
        <f t="shared" si="3"/>
        <v>4819562.46</v>
      </c>
      <c r="E22" s="8">
        <v>1</v>
      </c>
      <c r="F22" s="8">
        <f>_xlfn.IFNA(VLOOKUP($E$14,Prices!$B$2:$D$50,2,FALSE),0)</f>
        <v>2413.9899999999998</v>
      </c>
      <c r="G22" s="10">
        <f>(((_xlfn.IFNA(VLOOKUP($E$14,Prices!$B$2:$D$50,3,FALSE),0)*E22)*24*1826)/1000)*(_xlfn.IFNA(VLOOKUP($G$14,Prices!$B$2:$D$50,2,FALSE),0))*2</f>
        <v>335.25359999999995</v>
      </c>
      <c r="H22" s="10">
        <f t="shared" si="4"/>
        <v>2</v>
      </c>
      <c r="I22" s="10">
        <f>_xlfn.IFNA(VLOOKUP($I$14,Prices!$B$2:$D$50,2,FALSE),0)*H22</f>
        <v>1052900</v>
      </c>
      <c r="J22" s="8">
        <f>(($G$11*24*1826)/1000)*(_xlfn.IFNA(VLOOKUP($J$14,Prices!$B$2:$D$50,2,FALSE),0))*C22*2</f>
        <v>5067291.1132799992</v>
      </c>
      <c r="K22" s="8">
        <f t="shared" si="1"/>
        <v>32</v>
      </c>
      <c r="L22" s="8">
        <f>_xlfn.IFNA(VLOOKUP($K$14,Prices!$B$2:$D$50,2,FALSE),0)*K22</f>
        <v>52951.360000000001</v>
      </c>
      <c r="M22" s="10">
        <f>(((_xlfn.IFNA(VLOOKUP($K$14,Prices!$B$2:$D$50,3,FALSE),0)*K22)*24*1826)/1000)*(_xlfn.IFNA(VLOOKUP($M$14,Prices!$B$2:$D$50,2,FALSE),0))*2</f>
        <v>42912.460799999993</v>
      </c>
      <c r="N22" s="8">
        <f t="shared" si="2"/>
        <v>11038366.637679998</v>
      </c>
      <c r="O22" s="8">
        <f t="shared" si="5"/>
        <v>251.87948698612627</v>
      </c>
      <c r="P22" s="8">
        <f>O22/(C22*PrCloudDet!$B$11)</f>
        <v>2.517022885749695E-4</v>
      </c>
    </row>
    <row r="23" spans="2:16" s="8" customFormat="1" x14ac:dyDescent="0.25"/>
    <row r="24" spans="2:16" s="8" customFormat="1" x14ac:dyDescent="0.25"/>
    <row r="25" spans="2:16" s="8" customFormat="1" x14ac:dyDescent="0.25"/>
    <row r="26" spans="2:16" s="8" customFormat="1" x14ac:dyDescent="0.25"/>
    <row r="27" spans="2:16" s="7" customFormat="1" x14ac:dyDescent="0.25"/>
    <row r="28" spans="2:16" s="7" customFormat="1" x14ac:dyDescent="0.25"/>
    <row r="29" spans="2:16" s="7" customFormat="1" x14ac:dyDescent="0.25"/>
    <row r="30" spans="2:16" s="7" customFormat="1" x14ac:dyDescent="0.25"/>
    <row r="31" spans="2:16" s="7" customFormat="1" x14ac:dyDescent="0.25"/>
    <row r="32" spans="2:16" s="7" customFormat="1" x14ac:dyDescent="0.25"/>
  </sheetData>
  <mergeCells count="2">
    <mergeCell ref="E14:F14"/>
    <mergeCell ref="K14:L1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P24"/>
  <sheetViews>
    <sheetView topLeftCell="E8" workbookViewId="0">
      <selection activeCell="P16" sqref="P16"/>
    </sheetView>
  </sheetViews>
  <sheetFormatPr defaultRowHeight="15" x14ac:dyDescent="0.25"/>
  <cols>
    <col min="1" max="1" width="9.140625" style="2"/>
    <col min="2" max="2" width="18" style="2" customWidth="1"/>
    <col min="3" max="3" width="29.7109375" style="2" customWidth="1"/>
    <col min="4" max="4" width="14.85546875" style="2" customWidth="1"/>
    <col min="5" max="5" width="27.28515625" style="2" customWidth="1"/>
    <col min="6" max="6" width="15.5703125" style="2" customWidth="1"/>
    <col min="7" max="7" width="11.5703125" style="2" bestFit="1" customWidth="1"/>
    <col min="8" max="14" width="9.140625" style="2"/>
    <col min="15" max="16" width="11.5703125" style="2" bestFit="1" customWidth="1"/>
    <col min="17" max="16384" width="9.140625" style="2"/>
  </cols>
  <sheetData>
    <row r="1" spans="2:16" x14ac:dyDescent="0.25">
      <c r="B1" s="2" t="s">
        <v>28</v>
      </c>
      <c r="C1" s="2">
        <f>Sheet1!Q4</f>
        <v>0</v>
      </c>
    </row>
    <row r="3" spans="2:16" ht="45" x14ac:dyDescent="0.25">
      <c r="B3" s="2" t="s">
        <v>27</v>
      </c>
      <c r="C3" s="2" t="s">
        <v>33</v>
      </c>
      <c r="D3" s="2" t="s">
        <v>30</v>
      </c>
      <c r="E3" s="2" t="s">
        <v>31</v>
      </c>
      <c r="F3" s="2" t="s">
        <v>32</v>
      </c>
      <c r="G3" s="3" t="s">
        <v>89</v>
      </c>
    </row>
    <row r="4" spans="2:16" ht="30" x14ac:dyDescent="0.25">
      <c r="B4" s="2" t="s">
        <v>40</v>
      </c>
      <c r="C4" s="2" t="str">
        <f>PrCloudQty!C2</f>
        <v>NORCO RPC-170 Black 1U Rackmount Server Chassis</v>
      </c>
      <c r="D4" s="2">
        <v>1</v>
      </c>
      <c r="E4" s="8">
        <f>_xlfn.IFNA(VLOOKUP(TEXT(C4,"text"),Prices!$B$2:$C$300,2,FALSE),0)</f>
        <v>96.84</v>
      </c>
      <c r="F4" s="2">
        <f>_xlfn.IFNA(D4*E4,0)</f>
        <v>96.84</v>
      </c>
      <c r="G4" s="3">
        <f>_xlfn.IFNA(VLOOKUP(TEXT(C4,"text"),Prices!$B$2:$D$300,3,FALSE)*D4,0)</f>
        <v>10</v>
      </c>
    </row>
    <row r="5" spans="2:16" ht="60" x14ac:dyDescent="0.25">
      <c r="B5" s="2" t="s">
        <v>26</v>
      </c>
      <c r="C5" s="2" t="str">
        <f>PrCloudDet!C2</f>
        <v>Intel Xeon E5-2680 v3 Haswell 2.5 GHz LGA 2011-3 120W BX80644E52680V3 Server Processor</v>
      </c>
      <c r="D5" s="2">
        <f>PrCloudQty!C4</f>
        <v>2</v>
      </c>
      <c r="E5" s="8">
        <f>_xlfn.IFNA(VLOOKUP(TEXT(C5,"text"),Prices!$B$2:$C$300,2,FALSE),0)</f>
        <v>1719.99</v>
      </c>
      <c r="F5" s="3">
        <f t="shared" ref="F5:F9" si="0">_xlfn.IFNA(D5*E5,0)</f>
        <v>3439.98</v>
      </c>
      <c r="G5" s="3">
        <f>_xlfn.IFNA(VLOOKUP(TEXT(C5,"text"),Prices!$B$2:$D$300,3,FALSE)*D5,0)</f>
        <v>240</v>
      </c>
    </row>
    <row r="6" spans="2:16" ht="60" x14ac:dyDescent="0.25">
      <c r="B6" s="2" t="s">
        <v>29</v>
      </c>
      <c r="C6" s="2" t="str">
        <f>PrCloudQty!C5</f>
        <v>Kingston 16GB 288-Pin DDR4 SDRAM ECC Registered DDR4 2133 (PC4 17000) Server Memory Model KVR21R15D4/16</v>
      </c>
      <c r="D6" s="2">
        <f>PrCloudQty!C6</f>
        <v>23</v>
      </c>
      <c r="E6" s="8">
        <f>_xlfn.IFNA(VLOOKUP(TEXT(C6,"text"),Prices!$B$2:$C$300,2,FALSE),0)</f>
        <v>92.99</v>
      </c>
      <c r="F6" s="3">
        <f t="shared" si="0"/>
        <v>2138.77</v>
      </c>
      <c r="G6" s="3">
        <f>_xlfn.IFNA(VLOOKUP(TEXT(C6,"text"),Prices!$B$2:$D$300,3,FALSE)*D6,0)</f>
        <v>115</v>
      </c>
    </row>
    <row r="7" spans="2:16" ht="45" x14ac:dyDescent="0.25">
      <c r="B7" s="2" t="s">
        <v>37</v>
      </c>
      <c r="C7" s="2" t="str">
        <f>PrCloudQty!C7</f>
        <v>GIGABYTE MD80-TM0 E-ATX / SSI EEB Server Motherboard Dual LGA 2011-3 Intel C612</v>
      </c>
      <c r="D7" s="2">
        <v>1</v>
      </c>
      <c r="E7" s="8">
        <f>_xlfn.IFNA(VLOOKUP(TEXT(C7,"text"),Prices!$B$2:$C$300,2,FALSE),0)</f>
        <v>659.99</v>
      </c>
      <c r="F7" s="3">
        <f t="shared" si="0"/>
        <v>659.99</v>
      </c>
      <c r="G7" s="3">
        <f>_xlfn.IFNA(VLOOKUP(TEXT(C7,"text"),Prices!$B$2:$D$300,3,FALSE)*D7,0)</f>
        <v>25</v>
      </c>
    </row>
    <row r="8" spans="2:16" ht="45" x14ac:dyDescent="0.25">
      <c r="B8" s="2" t="s">
        <v>34</v>
      </c>
      <c r="C8" s="2" t="str">
        <f>PrCloudQty!C8</f>
        <v>Black Diamond Memory Sonic Series BDSSDS1T 2.5" 1TB SATA III TLC Internal Solid State Drive</v>
      </c>
      <c r="D8" s="2">
        <f>PrCloudQty!C9</f>
        <v>2</v>
      </c>
      <c r="E8" s="8">
        <f>_xlfn.IFNA(VLOOKUP(TEXT(C8,"text"),Prices!$B$2:$C$300,2,FALSE),0)</f>
        <v>259.99</v>
      </c>
      <c r="F8" s="3">
        <f t="shared" si="0"/>
        <v>519.98</v>
      </c>
      <c r="G8" s="3">
        <f>_xlfn.IFNA(VLOOKUP(TEXT(C8,"text"),Prices!$B$2:$D$300,3,FALSE)*D8,0)</f>
        <v>50</v>
      </c>
    </row>
    <row r="9" spans="2:16" ht="45" x14ac:dyDescent="0.25">
      <c r="B9" s="2" t="s">
        <v>35</v>
      </c>
      <c r="C9" s="2" t="str">
        <f>PrCloudQty!C13</f>
        <v>Lenovo ThinkServer I350-T4 AnyFabric 1 Gb 4-port Base-T Ethernet Adapter by Intel</v>
      </c>
      <c r="D9" s="2">
        <f>PrCloudQty!C14</f>
        <v>1</v>
      </c>
      <c r="E9" s="8">
        <f>_xlfn.IFNA(VLOOKUP(TEXT(C9,"text"),Prices!$B$2:$C$300,2,FALSE),0)</f>
        <v>90.99</v>
      </c>
      <c r="F9" s="3">
        <f t="shared" si="0"/>
        <v>90.99</v>
      </c>
      <c r="G9" s="3">
        <f>_xlfn.IFNA(VLOOKUP(TEXT(C9,"text"),Prices!$B$2:$D$300,3,FALSE)*D9,0)</f>
        <v>5</v>
      </c>
    </row>
    <row r="10" spans="2:16" s="7" customFormat="1" x14ac:dyDescent="0.25"/>
    <row r="11" spans="2:16" s="8" customFormat="1" x14ac:dyDescent="0.25">
      <c r="F11" s="8">
        <f>SUM(F4:F10)</f>
        <v>6946.5499999999993</v>
      </c>
      <c r="G11" s="8">
        <f>SUM(G4:G10)</f>
        <v>445</v>
      </c>
    </row>
    <row r="12" spans="2:16" s="8" customFormat="1" x14ac:dyDescent="0.25"/>
    <row r="13" spans="2:16" s="10" customFormat="1" x14ac:dyDescent="0.25"/>
    <row r="14" spans="2:16" s="10" customFormat="1" ht="33.75" customHeight="1" x14ac:dyDescent="0.25">
      <c r="E14" s="12" t="str">
        <f>PrCloudQty!B19</f>
        <v>NETGEAR ProSAFE XS728T 28-Port 10-Gigabit Ethernet Smart Managed Switch (XS728T) - Lifetime Warranty</v>
      </c>
      <c r="F14" s="12"/>
      <c r="G14" s="10" t="s">
        <v>105</v>
      </c>
      <c r="I14" s="10" t="s">
        <v>39</v>
      </c>
      <c r="J14" s="10" t="s">
        <v>105</v>
      </c>
      <c r="K14" s="12" t="str">
        <f>PrCloudQty!B15</f>
        <v>APC AR3300 42U NetShelter SX 600mm Wide x 1200mm Deep Enclosure</v>
      </c>
      <c r="L14" s="12"/>
      <c r="M14" s="10" t="s">
        <v>105</v>
      </c>
    </row>
    <row r="15" spans="2:16" s="10" customFormat="1" ht="45" x14ac:dyDescent="0.25">
      <c r="B15" s="10" t="s">
        <v>97</v>
      </c>
      <c r="C15" s="10" t="s">
        <v>98</v>
      </c>
      <c r="D15" s="10" t="s">
        <v>99</v>
      </c>
      <c r="E15" s="10" t="s">
        <v>102</v>
      </c>
      <c r="F15" s="10" t="s">
        <v>100</v>
      </c>
      <c r="G15" s="10" t="s">
        <v>103</v>
      </c>
      <c r="H15" s="10" t="s">
        <v>122</v>
      </c>
      <c r="I15" s="10" t="s">
        <v>101</v>
      </c>
      <c r="J15" s="10" t="s">
        <v>104</v>
      </c>
      <c r="K15" s="10" t="s">
        <v>79</v>
      </c>
      <c r="L15" s="10" t="s">
        <v>106</v>
      </c>
      <c r="M15" s="10" t="s">
        <v>107</v>
      </c>
      <c r="N15" s="10" t="s">
        <v>108</v>
      </c>
      <c r="O15" s="10" t="s">
        <v>109</v>
      </c>
      <c r="P15" s="10" t="s">
        <v>110</v>
      </c>
    </row>
    <row r="16" spans="2:16" s="10" customFormat="1" x14ac:dyDescent="0.25">
      <c r="B16" s="10">
        <v>1</v>
      </c>
      <c r="C16" s="10">
        <f>_xlfn.CEILING.MATH(B16/PrCloudDet!$B$11)</f>
        <v>1</v>
      </c>
      <c r="D16" s="10">
        <f>$F$11*C16</f>
        <v>6946.5499999999993</v>
      </c>
      <c r="E16" s="10">
        <v>1</v>
      </c>
      <c r="F16" s="10">
        <f>_xlfn.IFNA(VLOOKUP($E$14,Prices!$B$2:$D$50,2,FALSE),0)*E16</f>
        <v>2413.9899999999998</v>
      </c>
      <c r="G16" s="10">
        <f>(((_xlfn.IFNA(VLOOKUP($E$14,Prices!$B$2:$D$50,3,FALSE),0)*E16)*24*1826)/1000)*(_xlfn.IFNA(VLOOKUP($G$14,Prices!$B$2:$D$50,2,FALSE),0))*2</f>
        <v>335.25359999999995</v>
      </c>
      <c r="H16" s="10">
        <f>_xlfn.CEILING.MATH(C16/1000)</f>
        <v>1</v>
      </c>
      <c r="I16" s="10">
        <f>_xlfn.IFNA(VLOOKUP($I$14,Prices!$B$2:$D$50,2,FALSE),0)*H16</f>
        <v>526450</v>
      </c>
      <c r="J16" s="10">
        <f>(($G$11*24*1826)/1000)*(_xlfn.IFNA(VLOOKUP($J$14,Prices!$B$2:$D$50,2,FALSE),0))*C16*2</f>
        <v>5967.5140799999999</v>
      </c>
      <c r="K16" s="10">
        <f t="shared" ref="K16:K22" si="1">_xlfn.CEILING.MATH(C16/42)</f>
        <v>1</v>
      </c>
      <c r="L16" s="10">
        <f>_xlfn.IFNA(VLOOKUP($K$14,Prices!$B$2:$D$50,2,FALSE),0)*K16</f>
        <v>1654.73</v>
      </c>
      <c r="M16" s="10">
        <f>(((_xlfn.IFNA(VLOOKUP($K$14,Prices!$B$2:$D$50,3,FALSE),0)*K16)*24*1826)/1000)*(_xlfn.IFNA(VLOOKUP($M$14,Prices!$B$2:$D$50,2,FALSE),0))*2</f>
        <v>1341.0143999999998</v>
      </c>
      <c r="N16" s="10">
        <f t="shared" ref="N16:N22" si="2">D16+F16+G16+I16+J16+L16+M16</f>
        <v>545109.05207999994</v>
      </c>
      <c r="O16" s="10">
        <f>N16/1826/24</f>
        <v>12.438596478641839</v>
      </c>
      <c r="P16" s="10">
        <f>O16/(C16*PrCloudDet!$C$11)</f>
        <v>1.2956871331918583E-2</v>
      </c>
    </row>
    <row r="17" spans="2:16" s="10" customFormat="1" x14ac:dyDescent="0.25">
      <c r="B17" s="10">
        <v>10</v>
      </c>
      <c r="C17" s="10">
        <f>_xlfn.CEILING.MATH(B17/PrCloudDet!$B$11)</f>
        <v>1</v>
      </c>
      <c r="D17" s="10">
        <f t="shared" ref="D17:D22" si="3">$F$11*C17</f>
        <v>6946.5499999999993</v>
      </c>
      <c r="E17" s="10">
        <v>1</v>
      </c>
      <c r="F17" s="10">
        <f>_xlfn.IFNA(VLOOKUP($E$14,Prices!$B$2:$D$50,2,FALSE),0)</f>
        <v>2413.9899999999998</v>
      </c>
      <c r="G17" s="10">
        <f>(((_xlfn.IFNA(VLOOKUP($E$14,Prices!$B$2:$D$50,3,FALSE),0)*E17)*24*1826)/1000)*(_xlfn.IFNA(VLOOKUP($G$14,Prices!$B$2:$D$50,2,FALSE),0))*2</f>
        <v>335.25359999999995</v>
      </c>
      <c r="H17" s="10">
        <f t="shared" ref="H17:H22" si="4">_xlfn.CEILING.MATH(C17/1000)</f>
        <v>1</v>
      </c>
      <c r="I17" s="10">
        <f>_xlfn.IFNA(VLOOKUP($I$14,Prices!$B$2:$D$50,2,FALSE),0)*H17</f>
        <v>526450</v>
      </c>
      <c r="J17" s="10">
        <f>(($G$11*24*1826)/1000)*(_xlfn.IFNA(VLOOKUP($J$14,Prices!$B$2:$D$50,2,FALSE),0))*C17*2</f>
        <v>5967.5140799999999</v>
      </c>
      <c r="K17" s="10">
        <f t="shared" si="1"/>
        <v>1</v>
      </c>
      <c r="L17" s="10">
        <f>_xlfn.IFNA(VLOOKUP($K$14,Prices!$B$2:$D$50,2,FALSE),0)*K17</f>
        <v>1654.73</v>
      </c>
      <c r="M17" s="10">
        <f>(((_xlfn.IFNA(VLOOKUP($K$14,Prices!$B$2:$D$50,3,FALSE),0)*K17)*24*1826)/1000)*(_xlfn.IFNA(VLOOKUP($M$14,Prices!$B$2:$D$50,2,FALSE),0))*2</f>
        <v>1341.0143999999998</v>
      </c>
      <c r="N17" s="10">
        <f t="shared" si="2"/>
        <v>545109.05207999994</v>
      </c>
      <c r="O17" s="10">
        <f t="shared" ref="O17:O22" si="5">N17/1826/24</f>
        <v>12.438596478641839</v>
      </c>
      <c r="P17" s="10">
        <f>O17/(C17*PrCloudDet!$C$11)</f>
        <v>1.2956871331918583E-2</v>
      </c>
    </row>
    <row r="18" spans="2:16" s="10" customFormat="1" x14ac:dyDescent="0.25">
      <c r="B18" s="10">
        <v>100</v>
      </c>
      <c r="C18" s="10">
        <f>_xlfn.CEILING.MATH(B18/PrCloudDet!$B$11)</f>
        <v>1</v>
      </c>
      <c r="D18" s="10">
        <f t="shared" si="3"/>
        <v>6946.5499999999993</v>
      </c>
      <c r="E18" s="10">
        <v>1</v>
      </c>
      <c r="F18" s="10">
        <f>_xlfn.IFNA(VLOOKUP($E$14,Prices!$B$2:$D$50,2,FALSE),0)</f>
        <v>2413.9899999999998</v>
      </c>
      <c r="G18" s="10">
        <f>(((_xlfn.IFNA(VLOOKUP($E$14,Prices!$B$2:$D$50,3,FALSE),0)*E18)*24*1826)/1000)*(_xlfn.IFNA(VLOOKUP($G$14,Prices!$B$2:$D$50,2,FALSE),0))*2</f>
        <v>335.25359999999995</v>
      </c>
      <c r="H18" s="10">
        <f t="shared" si="4"/>
        <v>1</v>
      </c>
      <c r="I18" s="10">
        <f>_xlfn.IFNA(VLOOKUP($I$14,Prices!$B$2:$D$50,2,FALSE),0)*H18</f>
        <v>526450</v>
      </c>
      <c r="J18" s="10">
        <f>(($G$11*24*1826)/1000)*(_xlfn.IFNA(VLOOKUP($J$14,Prices!$B$2:$D$50,2,FALSE),0))*C18*2</f>
        <v>5967.5140799999999</v>
      </c>
      <c r="K18" s="10">
        <f t="shared" si="1"/>
        <v>1</v>
      </c>
      <c r="L18" s="10">
        <f>_xlfn.IFNA(VLOOKUP($K$14,Prices!$B$2:$D$50,2,FALSE),0)*K18</f>
        <v>1654.73</v>
      </c>
      <c r="M18" s="10">
        <f>(((_xlfn.IFNA(VLOOKUP($K$14,Prices!$B$2:$D$50,3,FALSE),0)*K18)*24*1826)/1000)*(_xlfn.IFNA(VLOOKUP($M$14,Prices!$B$2:$D$50,2,FALSE),0))*2</f>
        <v>1341.0143999999998</v>
      </c>
      <c r="N18" s="10">
        <f t="shared" si="2"/>
        <v>545109.05207999994</v>
      </c>
      <c r="O18" s="10">
        <f t="shared" si="5"/>
        <v>12.438596478641839</v>
      </c>
      <c r="P18" s="10">
        <f>O18/(C18*PrCloudDet!$C$11)</f>
        <v>1.2956871331918583E-2</v>
      </c>
    </row>
    <row r="19" spans="2:16" s="10" customFormat="1" x14ac:dyDescent="0.25">
      <c r="B19" s="10">
        <v>1000</v>
      </c>
      <c r="C19" s="10">
        <f>_xlfn.CEILING.MATH(B19/PrCloudDet!$B$11)</f>
        <v>2</v>
      </c>
      <c r="D19" s="10">
        <f t="shared" si="3"/>
        <v>13893.099999999999</v>
      </c>
      <c r="E19" s="10">
        <v>1</v>
      </c>
      <c r="F19" s="10">
        <f>_xlfn.IFNA(VLOOKUP($E$14,Prices!$B$2:$D$50,2,FALSE),0)</f>
        <v>2413.9899999999998</v>
      </c>
      <c r="G19" s="10">
        <f>(((_xlfn.IFNA(VLOOKUP($E$14,Prices!$B$2:$D$50,3,FALSE),0)*E19)*24*1826)/1000)*(_xlfn.IFNA(VLOOKUP($G$14,Prices!$B$2:$D$50,2,FALSE),0))*2</f>
        <v>335.25359999999995</v>
      </c>
      <c r="H19" s="10">
        <f t="shared" si="4"/>
        <v>1</v>
      </c>
      <c r="I19" s="10">
        <f>_xlfn.IFNA(VLOOKUP($I$14,Prices!$B$2:$D$50,2,FALSE),0)*H19</f>
        <v>526450</v>
      </c>
      <c r="J19" s="10">
        <f>(($G$11*24*1826)/1000)*(_xlfn.IFNA(VLOOKUP($J$14,Prices!$B$2:$D$50,2,FALSE),0))*C19*2</f>
        <v>11935.02816</v>
      </c>
      <c r="K19" s="10">
        <f t="shared" si="1"/>
        <v>1</v>
      </c>
      <c r="L19" s="10">
        <f>_xlfn.IFNA(VLOOKUP($K$14,Prices!$B$2:$D$50,2,FALSE),0)*K19</f>
        <v>1654.73</v>
      </c>
      <c r="M19" s="10">
        <f>(((_xlfn.IFNA(VLOOKUP($K$14,Prices!$B$2:$D$50,3,FALSE),0)*K19)*24*1826)/1000)*(_xlfn.IFNA(VLOOKUP($M$14,Prices!$B$2:$D$50,2,FALSE),0))*2</f>
        <v>1341.0143999999998</v>
      </c>
      <c r="N19" s="10">
        <f t="shared" si="2"/>
        <v>558023.11615999998</v>
      </c>
      <c r="O19" s="10">
        <f t="shared" si="5"/>
        <v>12.733276655713764</v>
      </c>
      <c r="P19" s="10">
        <f>O19/(C19*PrCloudDet!$C$11)</f>
        <v>6.631914924850919E-3</v>
      </c>
    </row>
    <row r="20" spans="2:16" s="10" customFormat="1" x14ac:dyDescent="0.25">
      <c r="B20" s="10">
        <v>10000</v>
      </c>
      <c r="C20" s="10">
        <f>_xlfn.CEILING.MATH(B20/PrCloudDet!$B$11)</f>
        <v>14</v>
      </c>
      <c r="D20" s="10">
        <f t="shared" si="3"/>
        <v>97251.699999999983</v>
      </c>
      <c r="E20" s="10">
        <v>1</v>
      </c>
      <c r="F20" s="10">
        <f>_xlfn.IFNA(VLOOKUP($E$14,Prices!$B$2:$D$50,2,FALSE),0)</f>
        <v>2413.9899999999998</v>
      </c>
      <c r="G20" s="10">
        <f>(((_xlfn.IFNA(VLOOKUP($E$14,Prices!$B$2:$D$50,3,FALSE),0)*E20)*24*1826)/1000)*(_xlfn.IFNA(VLOOKUP($G$14,Prices!$B$2:$D$50,2,FALSE),0))*2</f>
        <v>335.25359999999995</v>
      </c>
      <c r="H20" s="10">
        <f t="shared" si="4"/>
        <v>1</v>
      </c>
      <c r="I20" s="10">
        <f>_xlfn.IFNA(VLOOKUP($I$14,Prices!$B$2:$D$50,2,FALSE),0)*H20</f>
        <v>526450</v>
      </c>
      <c r="J20" s="10">
        <f>(($G$11*24*1826)/1000)*(_xlfn.IFNA(VLOOKUP($J$14,Prices!$B$2:$D$50,2,FALSE),0))*C20*2</f>
        <v>83545.197119999997</v>
      </c>
      <c r="K20" s="10">
        <f t="shared" si="1"/>
        <v>1</v>
      </c>
      <c r="L20" s="10">
        <f>_xlfn.IFNA(VLOOKUP($K$14,Prices!$B$2:$D$50,2,FALSE),0)*K20</f>
        <v>1654.73</v>
      </c>
      <c r="M20" s="10">
        <f>(((_xlfn.IFNA(VLOOKUP($K$14,Prices!$B$2:$D$50,3,FALSE),0)*K20)*24*1826)/1000)*(_xlfn.IFNA(VLOOKUP($M$14,Prices!$B$2:$D$50,2,FALSE),0))*2</f>
        <v>1341.0143999999998</v>
      </c>
      <c r="N20" s="10">
        <f t="shared" si="2"/>
        <v>712991.88511999999</v>
      </c>
      <c r="O20" s="10">
        <f t="shared" si="5"/>
        <v>16.269438780576852</v>
      </c>
      <c r="P20" s="10">
        <f>O20/(C20*PrCloudDet!$C$11)</f>
        <v>1.2105237187929206E-3</v>
      </c>
    </row>
    <row r="21" spans="2:16" s="10" customFormat="1" x14ac:dyDescent="0.25">
      <c r="B21" s="10">
        <v>100000</v>
      </c>
      <c r="C21" s="10">
        <f>_xlfn.CEILING.MATH(B21/PrCloudDet!$B$11)</f>
        <v>131</v>
      </c>
      <c r="D21" s="10">
        <f t="shared" si="3"/>
        <v>909998.04999999993</v>
      </c>
      <c r="E21" s="10">
        <v>1</v>
      </c>
      <c r="F21" s="10">
        <f>_xlfn.IFNA(VLOOKUP($E$14,Prices!$B$2:$D$50,2,FALSE),0)</f>
        <v>2413.9899999999998</v>
      </c>
      <c r="G21" s="10">
        <f>(((_xlfn.IFNA(VLOOKUP($E$14,Prices!$B$2:$D$50,3,FALSE),0)*E21)*24*1826)/1000)*(_xlfn.IFNA(VLOOKUP($G$14,Prices!$B$2:$D$50,2,FALSE),0))*2</f>
        <v>335.25359999999995</v>
      </c>
      <c r="H21" s="10">
        <f t="shared" si="4"/>
        <v>1</v>
      </c>
      <c r="I21" s="10">
        <f>_xlfn.IFNA(VLOOKUP($I$14,Prices!$B$2:$D$50,2,FALSE),0)*H21</f>
        <v>526450</v>
      </c>
      <c r="J21" s="10">
        <f>(($G$11*24*1826)/1000)*(_xlfn.IFNA(VLOOKUP($J$14,Prices!$B$2:$D$50,2,FALSE),0))*C21*2</f>
        <v>781744.34447999997</v>
      </c>
      <c r="K21" s="10">
        <f t="shared" si="1"/>
        <v>4</v>
      </c>
      <c r="L21" s="10">
        <f>_xlfn.IFNA(VLOOKUP($K$14,Prices!$B$2:$D$50,2,FALSE),0)*K21</f>
        <v>6618.92</v>
      </c>
      <c r="M21" s="10">
        <f>(((_xlfn.IFNA(VLOOKUP($K$14,Prices!$B$2:$D$50,3,FALSE),0)*K21)*24*1826)/1000)*(_xlfn.IFNA(VLOOKUP($M$14,Prices!$B$2:$D$50,2,FALSE),0))*2</f>
        <v>5364.0575999999992</v>
      </c>
      <c r="N21" s="10">
        <f t="shared" si="2"/>
        <v>2232924.6156799998</v>
      </c>
      <c r="O21" s="10">
        <f t="shared" si="5"/>
        <v>50.9520951004016</v>
      </c>
      <c r="P21" s="10">
        <f>O21/(C21*PrCloudDet!$C$11)</f>
        <v>4.0515342796120863E-4</v>
      </c>
    </row>
    <row r="22" spans="2:16" s="10" customFormat="1" x14ac:dyDescent="0.25">
      <c r="B22" s="10">
        <v>1000000</v>
      </c>
      <c r="C22" s="10">
        <f>_xlfn.CEILING.MATH(B22/PrCloudDet!$B$11)</f>
        <v>1303</v>
      </c>
      <c r="D22" s="10">
        <f t="shared" si="3"/>
        <v>9051354.6499999985</v>
      </c>
      <c r="E22" s="10">
        <v>1</v>
      </c>
      <c r="F22" s="10">
        <f>_xlfn.IFNA(VLOOKUP($E$14,Prices!$B$2:$D$50,2,FALSE),0)</f>
        <v>2413.9899999999998</v>
      </c>
      <c r="G22" s="10">
        <f>(((_xlfn.IFNA(VLOOKUP($E$14,Prices!$B$2:$D$50,3,FALSE),0)*E22)*24*1826)/1000)*(_xlfn.IFNA(VLOOKUP($G$14,Prices!$B$2:$D$50,2,FALSE),0))*2</f>
        <v>335.25359999999995</v>
      </c>
      <c r="H22" s="10">
        <f t="shared" si="4"/>
        <v>2</v>
      </c>
      <c r="I22" s="10">
        <f>_xlfn.IFNA(VLOOKUP($I$14,Prices!$B$2:$D$50,2,FALSE),0)*H22</f>
        <v>1052900</v>
      </c>
      <c r="J22" s="10">
        <f>(($G$11*24*1826)/1000)*(_xlfn.IFNA(VLOOKUP($J$14,Prices!$B$2:$D$50,2,FALSE),0))*C22*2</f>
        <v>7775670.8462399999</v>
      </c>
      <c r="K22" s="10">
        <f t="shared" si="1"/>
        <v>32</v>
      </c>
      <c r="L22" s="10">
        <f>_xlfn.IFNA(VLOOKUP($K$14,Prices!$B$2:$D$50,2,FALSE),0)*K22</f>
        <v>52951.360000000001</v>
      </c>
      <c r="M22" s="10">
        <f>(((_xlfn.IFNA(VLOOKUP($K$14,Prices!$B$2:$D$50,3,FALSE),0)*K22)*24*1826)/1000)*(_xlfn.IFNA(VLOOKUP($M$14,Prices!$B$2:$D$50,2,FALSE),0))*2</f>
        <v>42912.460799999993</v>
      </c>
      <c r="N22" s="10">
        <f t="shared" si="2"/>
        <v>17978538.560639996</v>
      </c>
      <c r="O22" s="10">
        <f t="shared" si="5"/>
        <v>410.24412560788602</v>
      </c>
      <c r="P22" s="10">
        <f>O22/(C22*PrCloudDet!$C$11)</f>
        <v>3.2796441353917722E-4</v>
      </c>
    </row>
    <row r="23" spans="2:16" s="8" customFormat="1" x14ac:dyDescent="0.25"/>
    <row r="24" spans="2:16" s="8" customFormat="1" x14ac:dyDescent="0.25"/>
  </sheetData>
  <mergeCells count="2">
    <mergeCell ref="E14:F14"/>
    <mergeCell ref="K14:L1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P24"/>
  <sheetViews>
    <sheetView workbookViewId="0"/>
  </sheetViews>
  <sheetFormatPr defaultRowHeight="15" x14ac:dyDescent="0.25"/>
  <cols>
    <col min="1" max="1" width="9.140625" style="2"/>
    <col min="2" max="2" width="18" style="2" customWidth="1"/>
    <col min="3" max="3" width="29.7109375" style="2" customWidth="1"/>
    <col min="4" max="4" width="14.85546875" style="2" customWidth="1"/>
    <col min="5" max="5" width="27.28515625" style="2" customWidth="1"/>
    <col min="6" max="6" width="15.5703125" style="2" customWidth="1"/>
    <col min="7" max="7" width="11.5703125" style="2" bestFit="1" customWidth="1"/>
    <col min="8" max="14" width="9.140625" style="2"/>
    <col min="15" max="16" width="11.5703125" style="2" bestFit="1" customWidth="1"/>
    <col min="17" max="16384" width="9.140625" style="2"/>
  </cols>
  <sheetData>
    <row r="1" spans="2:16" x14ac:dyDescent="0.25">
      <c r="B1" s="2" t="s">
        <v>28</v>
      </c>
    </row>
    <row r="3" spans="2:16" ht="45" x14ac:dyDescent="0.25">
      <c r="B3" s="2" t="s">
        <v>27</v>
      </c>
      <c r="C3" s="2" t="s">
        <v>33</v>
      </c>
      <c r="D3" s="2" t="s">
        <v>30</v>
      </c>
      <c r="E3" s="2" t="s">
        <v>31</v>
      </c>
      <c r="F3" s="2" t="s">
        <v>32</v>
      </c>
      <c r="G3" s="3" t="s">
        <v>89</v>
      </c>
    </row>
    <row r="4" spans="2:16" ht="30" x14ac:dyDescent="0.25">
      <c r="B4" s="2" t="s">
        <v>40</v>
      </c>
      <c r="C4" s="2" t="str">
        <f>PrCloudQty!D2</f>
        <v>NORCO RPC-170 Black 1U Rackmount Server Chassis</v>
      </c>
      <c r="D4" s="2">
        <v>1</v>
      </c>
      <c r="E4" s="8">
        <f>_xlfn.IFNA(VLOOKUP(TEXT(C4,"text"),Prices!$B$2:$C$300,2,FALSE),0)</f>
        <v>96.84</v>
      </c>
      <c r="F4" s="2">
        <f>_xlfn.IFNA(D4*E4, 0)</f>
        <v>96.84</v>
      </c>
      <c r="G4" s="3">
        <f>_xlfn.IFNA(VLOOKUP(TEXT(C4,"text"),Prices!$B$2:$D$300,3,FALSE)*D4,0)</f>
        <v>10</v>
      </c>
    </row>
    <row r="5" spans="2:16" ht="60" x14ac:dyDescent="0.25">
      <c r="B5" s="2" t="s">
        <v>26</v>
      </c>
      <c r="C5" s="2" t="str">
        <f>PrCloudDet!D2</f>
        <v>Intel Xeon E5-2680 v3 Haswell 2.5 GHz LGA 2011-3 120W BX80644E52680V3 Server Processor</v>
      </c>
      <c r="D5" s="2">
        <f>PrCloudQty!D4</f>
        <v>2</v>
      </c>
      <c r="E5" s="8">
        <f>_xlfn.IFNA(VLOOKUP(TEXT(C5,"text"),Prices!$B$2:$C$300,2,FALSE),0)</f>
        <v>1719.99</v>
      </c>
      <c r="F5" s="3">
        <f t="shared" ref="F5:F9" si="0">_xlfn.IFNA(D5*E5, 0)</f>
        <v>3439.98</v>
      </c>
      <c r="G5" s="3">
        <f>_xlfn.IFNA(VLOOKUP(TEXT(C5,"text"),Prices!$B$2:$D$300,3,FALSE)*D5,0)</f>
        <v>240</v>
      </c>
    </row>
    <row r="6" spans="2:16" ht="60" x14ac:dyDescent="0.25">
      <c r="B6" s="2" t="s">
        <v>29</v>
      </c>
      <c r="C6" s="2" t="str">
        <f>PrCloudQty!D5</f>
        <v>Kingston 16GB 288-Pin DDR4 SDRAM ECC Registered DDR4 2133 (PC4 17000) Server Memory Model KVR21R15D4/16</v>
      </c>
      <c r="D6" s="2">
        <f>PrCloudQty!D6</f>
        <v>23</v>
      </c>
      <c r="E6" s="8">
        <f>_xlfn.IFNA(VLOOKUP(TEXT(C6,"text"),Prices!$B$2:$C$300,2,FALSE),0)</f>
        <v>92.99</v>
      </c>
      <c r="F6" s="3">
        <f t="shared" si="0"/>
        <v>2138.77</v>
      </c>
      <c r="G6" s="3">
        <f>_xlfn.IFNA(VLOOKUP(TEXT(C6,"text"),Prices!$B$2:$D$300,3,FALSE)*D6,0)</f>
        <v>115</v>
      </c>
    </row>
    <row r="7" spans="2:16" ht="45" x14ac:dyDescent="0.25">
      <c r="B7" s="2" t="s">
        <v>37</v>
      </c>
      <c r="C7" s="2" t="str">
        <f>PrCloudQty!D7</f>
        <v>GIGABYTE MD80-TM0 E-ATX / SSI EEB Server Motherboard Dual LGA 2011-3 Intel C612</v>
      </c>
      <c r="D7" s="2">
        <v>1</v>
      </c>
      <c r="E7" s="8">
        <f>_xlfn.IFNA(VLOOKUP(TEXT(C7,"text"),Prices!$B$2:$C$300,2,FALSE),0)</f>
        <v>659.99</v>
      </c>
      <c r="F7" s="3">
        <f t="shared" si="0"/>
        <v>659.99</v>
      </c>
      <c r="G7" s="3">
        <f>_xlfn.IFNA(VLOOKUP(TEXT(C7,"text"),Prices!$B$2:$D$300,3,FALSE)*D7,0)</f>
        <v>25</v>
      </c>
    </row>
    <row r="8" spans="2:16" ht="45" x14ac:dyDescent="0.25">
      <c r="B8" s="2" t="s">
        <v>34</v>
      </c>
      <c r="C8" s="2" t="str">
        <f>PrCloudQty!D8</f>
        <v>Black Diamond Memory Sonic Series BDSSDS1T 2.5" 1TB SATA III TLC Internal Solid State Drive</v>
      </c>
      <c r="D8" s="2">
        <f>PrCloudQty!D9</f>
        <v>2</v>
      </c>
      <c r="E8" s="8">
        <f>_xlfn.IFNA(VLOOKUP(TEXT(C8,"text"),Prices!$B$2:$C$300,2,FALSE),0)</f>
        <v>259.99</v>
      </c>
      <c r="F8" s="3">
        <f t="shared" si="0"/>
        <v>519.98</v>
      </c>
      <c r="G8" s="3">
        <f>_xlfn.IFNA(VLOOKUP(TEXT(C8,"text"),Prices!$B$2:$D$300,3,FALSE)*D8,0)</f>
        <v>50</v>
      </c>
    </row>
    <row r="9" spans="2:16" x14ac:dyDescent="0.25">
      <c r="B9" s="2" t="s">
        <v>35</v>
      </c>
      <c r="E9" s="8">
        <f>_xlfn.IFNA(VLOOKUP(TEXT(C9,"text"),Prices!$B$2:$C$300,2,FALSE),0)</f>
        <v>0</v>
      </c>
      <c r="F9" s="3">
        <f t="shared" si="0"/>
        <v>0</v>
      </c>
      <c r="G9" s="3">
        <f>_xlfn.IFNA(VLOOKUP(TEXT(C9,"text"),Prices!$B$2:$D$300,3,FALSE)*D9,0)</f>
        <v>0</v>
      </c>
    </row>
    <row r="10" spans="2:16" s="7" customFormat="1" x14ac:dyDescent="0.25"/>
    <row r="11" spans="2:16" s="8" customFormat="1" x14ac:dyDescent="0.25">
      <c r="F11" s="8">
        <f>SUM(F4:F10)</f>
        <v>6855.5599999999995</v>
      </c>
      <c r="G11" s="8">
        <f>SUM(G4:G10)</f>
        <v>440</v>
      </c>
    </row>
    <row r="12" spans="2:16" s="8" customFormat="1" x14ac:dyDescent="0.25"/>
    <row r="13" spans="2:16" s="10" customFormat="1" x14ac:dyDescent="0.25"/>
    <row r="14" spans="2:16" s="10" customFormat="1" ht="33.75" customHeight="1" x14ac:dyDescent="0.25">
      <c r="E14" s="12" t="str">
        <f>PrCloudQty!B19</f>
        <v>NETGEAR ProSAFE XS728T 28-Port 10-Gigabit Ethernet Smart Managed Switch (XS728T) - Lifetime Warranty</v>
      </c>
      <c r="F14" s="12"/>
      <c r="G14" s="10" t="s">
        <v>105</v>
      </c>
      <c r="I14" s="10" t="s">
        <v>39</v>
      </c>
      <c r="J14" s="10" t="s">
        <v>105</v>
      </c>
      <c r="K14" s="12" t="str">
        <f>PrCloudQty!B15</f>
        <v>APC AR3300 42U NetShelter SX 600mm Wide x 1200mm Deep Enclosure</v>
      </c>
      <c r="L14" s="12"/>
      <c r="M14" s="10" t="s">
        <v>105</v>
      </c>
    </row>
    <row r="15" spans="2:16" s="10" customFormat="1" ht="90" x14ac:dyDescent="0.25">
      <c r="B15" s="10" t="s">
        <v>97</v>
      </c>
      <c r="C15" s="10" t="s">
        <v>98</v>
      </c>
      <c r="D15" s="10" t="s">
        <v>99</v>
      </c>
      <c r="E15" s="10" t="s">
        <v>102</v>
      </c>
      <c r="F15" s="10" t="s">
        <v>100</v>
      </c>
      <c r="G15" s="10" t="s">
        <v>103</v>
      </c>
      <c r="H15" s="10" t="s">
        <v>122</v>
      </c>
      <c r="I15" s="10" t="s">
        <v>101</v>
      </c>
      <c r="J15" s="10" t="s">
        <v>104</v>
      </c>
      <c r="K15" s="10" t="s">
        <v>79</v>
      </c>
      <c r="L15" s="10" t="s">
        <v>106</v>
      </c>
      <c r="M15" s="10" t="s">
        <v>107</v>
      </c>
      <c r="N15" s="10" t="s">
        <v>108</v>
      </c>
      <c r="O15" s="10" t="s">
        <v>109</v>
      </c>
      <c r="P15" s="10" t="s">
        <v>110</v>
      </c>
    </row>
    <row r="16" spans="2:16" s="10" customFormat="1" x14ac:dyDescent="0.25">
      <c r="B16" s="10">
        <v>1</v>
      </c>
      <c r="C16" s="10">
        <f>_xlfn.CEILING.MATH(B16/PrCloudDet!$B$11)</f>
        <v>1</v>
      </c>
      <c r="D16" s="10">
        <f>$F$11*C16</f>
        <v>6855.5599999999995</v>
      </c>
      <c r="E16" s="10">
        <v>1</v>
      </c>
      <c r="F16" s="10">
        <f>_xlfn.IFNA(VLOOKUP($E$14,Prices!$B$2:$D$50,2,FALSE),0)*E16</f>
        <v>2413.9899999999998</v>
      </c>
      <c r="G16" s="10">
        <f>(((_xlfn.IFNA(VLOOKUP($E$14,Prices!$B$2:$D$50,3,FALSE),0)*E16)*24*1826)/1000)*(_xlfn.IFNA(VLOOKUP($G$14,Prices!$B$2:$D$50,2,FALSE),0))*2</f>
        <v>335.25359999999995</v>
      </c>
      <c r="H16" s="10">
        <f>_xlfn.CEILING.MATH(C16/1000)</f>
        <v>1</v>
      </c>
      <c r="I16" s="10">
        <f>_xlfn.IFNA(VLOOKUP($I$14,Prices!$B$2:$D$50,2,FALSE),0)*H16</f>
        <v>526450</v>
      </c>
      <c r="J16" s="10">
        <f>(($G$11*24*1826)/1000)*(_xlfn.IFNA(VLOOKUP($J$14,Prices!$B$2:$D$50,2,FALSE),0))*C16*2</f>
        <v>5900.4633600000006</v>
      </c>
      <c r="K16" s="10">
        <f t="shared" ref="K16:K22" si="1">_xlfn.CEILING.MATH(C16/42)</f>
        <v>1</v>
      </c>
      <c r="L16" s="10">
        <f>_xlfn.IFNA(VLOOKUP($K$14,Prices!$B$2:$D$50,2,FALSE),0)*K16</f>
        <v>1654.73</v>
      </c>
      <c r="M16" s="10">
        <f>(((_xlfn.IFNA(VLOOKUP($K$14,Prices!$B$2:$D$50,3,FALSE),0)*K16)*24*1826)/1000)*(_xlfn.IFNA(VLOOKUP($M$14,Prices!$B$2:$D$50,2,FALSE),0))*2</f>
        <v>1341.0143999999998</v>
      </c>
      <c r="N16" s="10">
        <f t="shared" ref="N16:N22" si="2">D16+F16+G16+I16+J16+L16+M16</f>
        <v>544951.01136</v>
      </c>
      <c r="O16" s="10">
        <f>N16/1826/24</f>
        <v>12.434990219058051</v>
      </c>
      <c r="P16" s="10">
        <f>O16/(C16*PrCloudDet!$D$11)</f>
        <v>1.2953114811518803E-2</v>
      </c>
    </row>
    <row r="17" spans="2:16" s="10" customFormat="1" x14ac:dyDescent="0.25">
      <c r="B17" s="10">
        <v>10</v>
      </c>
      <c r="C17" s="10">
        <f>_xlfn.CEILING.MATH(B17/PrCloudDet!$B$11)</f>
        <v>1</v>
      </c>
      <c r="D17" s="10">
        <f t="shared" ref="D17:D22" si="3">$F$11*C17</f>
        <v>6855.5599999999995</v>
      </c>
      <c r="E17" s="10">
        <v>1</v>
      </c>
      <c r="F17" s="10">
        <f>_xlfn.IFNA(VLOOKUP($E$14,Prices!$B$2:$D$50,2,FALSE),0)</f>
        <v>2413.9899999999998</v>
      </c>
      <c r="G17" s="10">
        <f>(((_xlfn.IFNA(VLOOKUP($E$14,Prices!$B$2:$D$50,3,FALSE),0)*E17)*24*1826)/1000)*(_xlfn.IFNA(VLOOKUP($G$14,Prices!$B$2:$D$50,2,FALSE),0))*2</f>
        <v>335.25359999999995</v>
      </c>
      <c r="H17" s="10">
        <f t="shared" ref="H17:H22" si="4">_xlfn.CEILING.MATH(C17/1000)</f>
        <v>1</v>
      </c>
      <c r="I17" s="10">
        <f>_xlfn.IFNA(VLOOKUP($I$14,Prices!$B$2:$D$50,2,FALSE),0)*H17</f>
        <v>526450</v>
      </c>
      <c r="J17" s="10">
        <f>(($G$11*24*1826)/1000)*(_xlfn.IFNA(VLOOKUP($J$14,Prices!$B$2:$D$50,2,FALSE),0))*C17*2</f>
        <v>5900.4633600000006</v>
      </c>
      <c r="K17" s="10">
        <f t="shared" si="1"/>
        <v>1</v>
      </c>
      <c r="L17" s="10">
        <f>_xlfn.IFNA(VLOOKUP($K$14,Prices!$B$2:$D$50,2,FALSE),0)*K17</f>
        <v>1654.73</v>
      </c>
      <c r="M17" s="10">
        <f>(((_xlfn.IFNA(VLOOKUP($K$14,Prices!$B$2:$D$50,3,FALSE),0)*K17)*24*1826)/1000)*(_xlfn.IFNA(VLOOKUP($M$14,Prices!$B$2:$D$50,2,FALSE),0))*2</f>
        <v>1341.0143999999998</v>
      </c>
      <c r="N17" s="10">
        <f t="shared" si="2"/>
        <v>544951.01136</v>
      </c>
      <c r="O17" s="10">
        <f t="shared" ref="O17:O22" si="5">N17/1826/24</f>
        <v>12.434990219058051</v>
      </c>
      <c r="P17" s="10">
        <f>O17/(C17*PrCloudDet!$D$11)</f>
        <v>1.2953114811518803E-2</v>
      </c>
    </row>
    <row r="18" spans="2:16" s="10" customFormat="1" x14ac:dyDescent="0.25">
      <c r="B18" s="10">
        <v>100</v>
      </c>
      <c r="C18" s="10">
        <f>_xlfn.CEILING.MATH(B18/PrCloudDet!$B$11)</f>
        <v>1</v>
      </c>
      <c r="D18" s="10">
        <f t="shared" si="3"/>
        <v>6855.5599999999995</v>
      </c>
      <c r="E18" s="10">
        <v>1</v>
      </c>
      <c r="F18" s="10">
        <f>_xlfn.IFNA(VLOOKUP($E$14,Prices!$B$2:$D$50,2,FALSE),0)</f>
        <v>2413.9899999999998</v>
      </c>
      <c r="G18" s="10">
        <f>(((_xlfn.IFNA(VLOOKUP($E$14,Prices!$B$2:$D$50,3,FALSE),0)*E18)*24*1826)/1000)*(_xlfn.IFNA(VLOOKUP($G$14,Prices!$B$2:$D$50,2,FALSE),0))*2</f>
        <v>335.25359999999995</v>
      </c>
      <c r="H18" s="10">
        <f t="shared" si="4"/>
        <v>1</v>
      </c>
      <c r="I18" s="10">
        <f>_xlfn.IFNA(VLOOKUP($I$14,Prices!$B$2:$D$50,2,FALSE),0)*H18</f>
        <v>526450</v>
      </c>
      <c r="J18" s="10">
        <f>(($G$11*24*1826)/1000)*(_xlfn.IFNA(VLOOKUP($J$14,Prices!$B$2:$D$50,2,FALSE),0))*C18*2</f>
        <v>5900.4633600000006</v>
      </c>
      <c r="K18" s="10">
        <f t="shared" si="1"/>
        <v>1</v>
      </c>
      <c r="L18" s="10">
        <f>_xlfn.IFNA(VLOOKUP($K$14,Prices!$B$2:$D$50,2,FALSE),0)*K18</f>
        <v>1654.73</v>
      </c>
      <c r="M18" s="10">
        <f>(((_xlfn.IFNA(VLOOKUP($K$14,Prices!$B$2:$D$50,3,FALSE),0)*K18)*24*1826)/1000)*(_xlfn.IFNA(VLOOKUP($M$14,Prices!$B$2:$D$50,2,FALSE),0))*2</f>
        <v>1341.0143999999998</v>
      </c>
      <c r="N18" s="10">
        <f t="shared" si="2"/>
        <v>544951.01136</v>
      </c>
      <c r="O18" s="10">
        <f t="shared" si="5"/>
        <v>12.434990219058051</v>
      </c>
      <c r="P18" s="10">
        <f>O18/(C18*PrCloudDet!$D$11)</f>
        <v>1.2953114811518803E-2</v>
      </c>
    </row>
    <row r="19" spans="2:16" s="10" customFormat="1" x14ac:dyDescent="0.25">
      <c r="B19" s="10">
        <v>1000</v>
      </c>
      <c r="C19" s="10">
        <f>_xlfn.CEILING.MATH(B19/PrCloudDet!$B$11)</f>
        <v>2</v>
      </c>
      <c r="D19" s="10">
        <f t="shared" si="3"/>
        <v>13711.119999999999</v>
      </c>
      <c r="E19" s="10">
        <v>1</v>
      </c>
      <c r="F19" s="10">
        <f>_xlfn.IFNA(VLOOKUP($E$14,Prices!$B$2:$D$50,2,FALSE),0)</f>
        <v>2413.9899999999998</v>
      </c>
      <c r="G19" s="10">
        <f>(((_xlfn.IFNA(VLOOKUP($E$14,Prices!$B$2:$D$50,3,FALSE),0)*E19)*24*1826)/1000)*(_xlfn.IFNA(VLOOKUP($G$14,Prices!$B$2:$D$50,2,FALSE),0))*2</f>
        <v>335.25359999999995</v>
      </c>
      <c r="H19" s="10">
        <f t="shared" si="4"/>
        <v>1</v>
      </c>
      <c r="I19" s="10">
        <f>_xlfn.IFNA(VLOOKUP($I$14,Prices!$B$2:$D$50,2,FALSE),0)*H19</f>
        <v>526450</v>
      </c>
      <c r="J19" s="10">
        <f>(($G$11*24*1826)/1000)*(_xlfn.IFNA(VLOOKUP($J$14,Prices!$B$2:$D$50,2,FALSE),0))*C19*2</f>
        <v>11800.926720000001</v>
      </c>
      <c r="K19" s="10">
        <f t="shared" si="1"/>
        <v>1</v>
      </c>
      <c r="L19" s="10">
        <f>_xlfn.IFNA(VLOOKUP($K$14,Prices!$B$2:$D$50,2,FALSE),0)*K19</f>
        <v>1654.73</v>
      </c>
      <c r="M19" s="10">
        <f>(((_xlfn.IFNA(VLOOKUP($K$14,Prices!$B$2:$D$50,3,FALSE),0)*K19)*24*1826)/1000)*(_xlfn.IFNA(VLOOKUP($M$14,Prices!$B$2:$D$50,2,FALSE),0))*2</f>
        <v>1341.0143999999998</v>
      </c>
      <c r="N19" s="10">
        <f t="shared" si="2"/>
        <v>557707.03472</v>
      </c>
      <c r="O19" s="10">
        <f t="shared" si="5"/>
        <v>12.726064136546185</v>
      </c>
      <c r="P19" s="10">
        <f>O19/(C19*PrCloudDet!$D$11)</f>
        <v>6.6281584044511378E-3</v>
      </c>
    </row>
    <row r="20" spans="2:16" s="10" customFormat="1" x14ac:dyDescent="0.25">
      <c r="B20" s="10">
        <v>10000</v>
      </c>
      <c r="C20" s="10">
        <f>_xlfn.CEILING.MATH(B20/PrCloudDet!$B$11)</f>
        <v>14</v>
      </c>
      <c r="D20" s="10">
        <f t="shared" si="3"/>
        <v>95977.84</v>
      </c>
      <c r="E20" s="10">
        <v>1</v>
      </c>
      <c r="F20" s="10">
        <f>_xlfn.IFNA(VLOOKUP($E$14,Prices!$B$2:$D$50,2,FALSE),0)</f>
        <v>2413.9899999999998</v>
      </c>
      <c r="G20" s="10">
        <f>(((_xlfn.IFNA(VLOOKUP($E$14,Prices!$B$2:$D$50,3,FALSE),0)*E20)*24*1826)/1000)*(_xlfn.IFNA(VLOOKUP($G$14,Prices!$B$2:$D$50,2,FALSE),0))*2</f>
        <v>335.25359999999995</v>
      </c>
      <c r="H20" s="10">
        <f t="shared" si="4"/>
        <v>1</v>
      </c>
      <c r="I20" s="10">
        <f>_xlfn.IFNA(VLOOKUP($I$14,Prices!$B$2:$D$50,2,FALSE),0)*H20</f>
        <v>526450</v>
      </c>
      <c r="J20" s="10">
        <f>(($G$11*24*1826)/1000)*(_xlfn.IFNA(VLOOKUP($J$14,Prices!$B$2:$D$50,2,FALSE),0))*C20*2</f>
        <v>82606.487040000007</v>
      </c>
      <c r="K20" s="10">
        <f t="shared" si="1"/>
        <v>1</v>
      </c>
      <c r="L20" s="10">
        <f>_xlfn.IFNA(VLOOKUP($K$14,Prices!$B$2:$D$50,2,FALSE),0)*K20</f>
        <v>1654.73</v>
      </c>
      <c r="M20" s="10">
        <f>(((_xlfn.IFNA(VLOOKUP($K$14,Prices!$B$2:$D$50,3,FALSE),0)*K20)*24*1826)/1000)*(_xlfn.IFNA(VLOOKUP($M$14,Prices!$B$2:$D$50,2,FALSE),0))*2</f>
        <v>1341.0143999999998</v>
      </c>
      <c r="N20" s="10">
        <f t="shared" si="2"/>
        <v>710779.31504000002</v>
      </c>
      <c r="O20" s="10">
        <f t="shared" si="5"/>
        <v>16.218951146403796</v>
      </c>
      <c r="P20" s="10">
        <f>O20/(C20*PrCloudDet!$D$11)</f>
        <v>1.2067671983931397E-3</v>
      </c>
    </row>
    <row r="21" spans="2:16" s="10" customFormat="1" x14ac:dyDescent="0.25">
      <c r="B21" s="10">
        <v>100000</v>
      </c>
      <c r="C21" s="10">
        <f>_xlfn.CEILING.MATH(B21/PrCloudDet!$B$11)</f>
        <v>131</v>
      </c>
      <c r="D21" s="10">
        <f t="shared" si="3"/>
        <v>898078.36</v>
      </c>
      <c r="E21" s="10">
        <v>1</v>
      </c>
      <c r="F21" s="10">
        <f>_xlfn.IFNA(VLOOKUP($E$14,Prices!$B$2:$D$50,2,FALSE),0)</f>
        <v>2413.9899999999998</v>
      </c>
      <c r="G21" s="10">
        <f>(((_xlfn.IFNA(VLOOKUP($E$14,Prices!$B$2:$D$50,3,FALSE),0)*E21)*24*1826)/1000)*(_xlfn.IFNA(VLOOKUP($G$14,Prices!$B$2:$D$50,2,FALSE),0))*2</f>
        <v>335.25359999999995</v>
      </c>
      <c r="H21" s="10">
        <f t="shared" si="4"/>
        <v>1</v>
      </c>
      <c r="I21" s="10">
        <f>_xlfn.IFNA(VLOOKUP($I$14,Prices!$B$2:$D$50,2,FALSE),0)*H21</f>
        <v>526450</v>
      </c>
      <c r="J21" s="10">
        <f>(($G$11*24*1826)/1000)*(_xlfn.IFNA(VLOOKUP($J$14,Prices!$B$2:$D$50,2,FALSE),0))*C21*2</f>
        <v>772960.70016000012</v>
      </c>
      <c r="K21" s="10">
        <f t="shared" si="1"/>
        <v>4</v>
      </c>
      <c r="L21" s="10">
        <f>_xlfn.IFNA(VLOOKUP($K$14,Prices!$B$2:$D$50,2,FALSE),0)*K21</f>
        <v>6618.92</v>
      </c>
      <c r="M21" s="10">
        <f>(((_xlfn.IFNA(VLOOKUP($K$14,Prices!$B$2:$D$50,3,FALSE),0)*K21)*24*1826)/1000)*(_xlfn.IFNA(VLOOKUP($M$14,Prices!$B$2:$D$50,2,FALSE),0))*2</f>
        <v>5364.0575999999992</v>
      </c>
      <c r="N21" s="10">
        <f t="shared" si="2"/>
        <v>2212221.2813599999</v>
      </c>
      <c r="O21" s="10">
        <f t="shared" si="5"/>
        <v>50.479675094925149</v>
      </c>
      <c r="P21" s="10">
        <f>O21/(C21*PrCloudDet!$D$11)</f>
        <v>4.0139690756142769E-4</v>
      </c>
    </row>
    <row r="22" spans="2:16" s="10" customFormat="1" x14ac:dyDescent="0.25">
      <c r="B22" s="10">
        <v>1000000</v>
      </c>
      <c r="C22" s="10">
        <f>_xlfn.CEILING.MATH(B22/PrCloudDet!$B$11)</f>
        <v>1303</v>
      </c>
      <c r="D22" s="10">
        <f t="shared" si="3"/>
        <v>8932794.6799999997</v>
      </c>
      <c r="E22" s="10">
        <v>1</v>
      </c>
      <c r="F22" s="10">
        <f>_xlfn.IFNA(VLOOKUP($E$14,Prices!$B$2:$D$50,2,FALSE),0)</f>
        <v>2413.9899999999998</v>
      </c>
      <c r="G22" s="10">
        <f>(((_xlfn.IFNA(VLOOKUP($E$14,Prices!$B$2:$D$50,3,FALSE),0)*E22)*24*1826)/1000)*(_xlfn.IFNA(VLOOKUP($G$14,Prices!$B$2:$D$50,2,FALSE),0))*2</f>
        <v>335.25359999999995</v>
      </c>
      <c r="H22" s="10">
        <f t="shared" si="4"/>
        <v>2</v>
      </c>
      <c r="I22" s="10">
        <f>_xlfn.IFNA(VLOOKUP($I$14,Prices!$B$2:$D$50,2,FALSE),0)*H22</f>
        <v>1052900</v>
      </c>
      <c r="J22" s="10">
        <f>(($G$11*24*1826)/1000)*(_xlfn.IFNA(VLOOKUP($J$14,Prices!$B$2:$D$50,2,FALSE),0))*C22*2</f>
        <v>7688303.758080001</v>
      </c>
      <c r="K22" s="10">
        <f t="shared" si="1"/>
        <v>32</v>
      </c>
      <c r="L22" s="10">
        <f>_xlfn.IFNA(VLOOKUP($K$14,Prices!$B$2:$D$50,2,FALSE),0)*K22</f>
        <v>52951.360000000001</v>
      </c>
      <c r="M22" s="10">
        <f>(((_xlfn.IFNA(VLOOKUP($K$14,Prices!$B$2:$D$50,3,FALSE),0)*K22)*24*1826)/1000)*(_xlfn.IFNA(VLOOKUP($M$14,Prices!$B$2:$D$50,2,FALSE),0))*2</f>
        <v>42912.460799999993</v>
      </c>
      <c r="N22" s="10">
        <f t="shared" si="2"/>
        <v>17772611.50248</v>
      </c>
      <c r="O22" s="10">
        <f t="shared" si="5"/>
        <v>405.54516937020816</v>
      </c>
      <c r="P22" s="10">
        <f>O22/(C22*PrCloudDet!$D$11)</f>
        <v>3.2420789313939639E-4</v>
      </c>
    </row>
    <row r="23" spans="2:16" s="8" customFormat="1" x14ac:dyDescent="0.25"/>
    <row r="24" spans="2:16" s="8" customFormat="1" x14ac:dyDescent="0.25"/>
  </sheetData>
  <mergeCells count="2">
    <mergeCell ref="E14:F14"/>
    <mergeCell ref="K14:L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P24"/>
  <sheetViews>
    <sheetView topLeftCell="C7" workbookViewId="0">
      <selection activeCell="P16" sqref="P16:P22"/>
    </sheetView>
  </sheetViews>
  <sheetFormatPr defaultRowHeight="15" x14ac:dyDescent="0.25"/>
  <cols>
    <col min="1" max="1" width="9.140625" style="2"/>
    <col min="2" max="2" width="18" style="2" customWidth="1"/>
    <col min="3" max="3" width="29.7109375" style="2" customWidth="1"/>
    <col min="4" max="4" width="14.85546875" style="2" customWidth="1"/>
    <col min="5" max="5" width="27.28515625" style="2" customWidth="1"/>
    <col min="6" max="6" width="15.5703125" style="2" customWidth="1"/>
    <col min="7" max="7" width="11.5703125" style="2" bestFit="1" customWidth="1"/>
    <col min="8" max="14" width="9.140625" style="2"/>
    <col min="15" max="15" width="11.5703125" style="2" bestFit="1" customWidth="1"/>
    <col min="16" max="16" width="10.5703125" style="2" bestFit="1" customWidth="1"/>
    <col min="17" max="16384" width="9.140625" style="2"/>
  </cols>
  <sheetData>
    <row r="1" spans="2:16" x14ac:dyDescent="0.25">
      <c r="B1" s="2" t="s">
        <v>28</v>
      </c>
    </row>
    <row r="3" spans="2:16" ht="45" x14ac:dyDescent="0.25">
      <c r="B3" s="2" t="s">
        <v>27</v>
      </c>
      <c r="C3" s="2" t="s">
        <v>33</v>
      </c>
      <c r="D3" s="2" t="s">
        <v>30</v>
      </c>
      <c r="E3" s="2" t="s">
        <v>31</v>
      </c>
      <c r="F3" s="2" t="s">
        <v>32</v>
      </c>
      <c r="G3" s="3" t="s">
        <v>89</v>
      </c>
    </row>
    <row r="4" spans="2:16" ht="30" x14ac:dyDescent="0.25">
      <c r="B4" s="2" t="s">
        <v>40</v>
      </c>
      <c r="C4" s="2" t="str">
        <f>PrCloudQty!E2</f>
        <v>NORCO RPC-170 Black 1U Rackmount Server Chassis</v>
      </c>
      <c r="D4" s="2">
        <v>1</v>
      </c>
      <c r="E4" s="8">
        <f>_xlfn.IFNA(VLOOKUP(TEXT(C4,"text"),Prices!$B$2:$C$300,2,FALSE),0)</f>
        <v>96.84</v>
      </c>
      <c r="F4" s="2">
        <f>_xlfn.IFNA(D4*E4,0)</f>
        <v>96.84</v>
      </c>
      <c r="G4" s="3">
        <f>_xlfn.IFNA(VLOOKUP(TEXT(C4,"text"),Prices!$B$2:$D$300,3,FALSE)*D4,0)</f>
        <v>10</v>
      </c>
    </row>
    <row r="5" spans="2:16" ht="60" x14ac:dyDescent="0.25">
      <c r="B5" s="2" t="s">
        <v>26</v>
      </c>
      <c r="C5" s="2" t="str">
        <f>PrCloudDet!E2</f>
        <v>Intel Xeon E5-2680 v2 Ivy Bridge-EP 2.8 GHz 25MB L3 Cache LGA 2011 115W BX80635E52680V2 Server Processor</v>
      </c>
      <c r="D5" s="2">
        <f>PrCloudQty!E4</f>
        <v>2</v>
      </c>
      <c r="E5" s="8">
        <f>_xlfn.IFNA(VLOOKUP(TEXT(C5,"text"),Prices!$B$2:$C$300,2,FALSE),0)</f>
        <v>1769.99</v>
      </c>
      <c r="F5" s="3">
        <f t="shared" ref="F5:F9" si="0">_xlfn.IFNA(D5*E5,0)</f>
        <v>3539.98</v>
      </c>
      <c r="G5" s="3">
        <f>_xlfn.IFNA(VLOOKUP(TEXT(C5,"text"),Prices!$B$2:$D$300,3,FALSE)*D5,0)</f>
        <v>230</v>
      </c>
    </row>
    <row r="6" spans="2:16" ht="75" x14ac:dyDescent="0.25">
      <c r="B6" s="2" t="s">
        <v>29</v>
      </c>
      <c r="C6" s="2" t="str">
        <f>PrCloudQty!E5</f>
        <v>Kingston 64GB (4 x 16GB) 288-Pin DDR4 SDRAM ECC Registered DDR4 2133 (PC4 17000) Server Memory Model KVR21R15D4K4/64</v>
      </c>
      <c r="D6" s="2">
        <f>PrCloudQty!E6</f>
        <v>1</v>
      </c>
      <c r="E6" s="8">
        <f>_xlfn.IFNA(VLOOKUP(TEXT(C6,"text"),Prices!$B$2:$C$300,2,FALSE),0)</f>
        <v>365.99</v>
      </c>
      <c r="F6" s="3">
        <f t="shared" si="0"/>
        <v>365.99</v>
      </c>
      <c r="G6" s="3">
        <f>_xlfn.IFNA(VLOOKUP(TEXT(C6,"text"),Prices!$B$2:$D$300,3,FALSE)*D6,0)</f>
        <v>20</v>
      </c>
    </row>
    <row r="7" spans="2:16" ht="45" x14ac:dyDescent="0.25">
      <c r="B7" s="2" t="s">
        <v>37</v>
      </c>
      <c r="C7" s="2" t="str">
        <f>PrCloudQty!E7</f>
        <v>GIGABYTE MD80-TM0 E-ATX / SSI EEB Server Motherboard Dual LGA 2011-3 Intel C612</v>
      </c>
      <c r="D7" s="2">
        <v>1</v>
      </c>
      <c r="E7" s="8">
        <f>_xlfn.IFNA(VLOOKUP(TEXT(C7,"text"),Prices!$B$2:$C$300,2,FALSE),0)</f>
        <v>659.99</v>
      </c>
      <c r="F7" s="3">
        <f t="shared" si="0"/>
        <v>659.99</v>
      </c>
      <c r="G7" s="3">
        <f>_xlfn.IFNA(VLOOKUP(TEXT(C7,"text"),Prices!$B$2:$D$300,3,FALSE)*D7,0)</f>
        <v>25</v>
      </c>
    </row>
    <row r="8" spans="2:16" ht="45" x14ac:dyDescent="0.25">
      <c r="B8" s="2" t="s">
        <v>34</v>
      </c>
      <c r="C8" s="2" t="str">
        <f>PrCloudQty!E8</f>
        <v>Black Diamond Memory Sonic Series BDSSDS1T 2.5" 1TB SATA III TLC Internal Solid State Drive</v>
      </c>
      <c r="D8" s="2">
        <f>PrCloudQty!E9</f>
        <v>1</v>
      </c>
      <c r="E8" s="8">
        <f>_xlfn.IFNA(VLOOKUP(TEXT(C8,"text"),Prices!$B$2:$C$300,2,FALSE),0)</f>
        <v>259.99</v>
      </c>
      <c r="F8" s="3">
        <f t="shared" si="0"/>
        <v>259.99</v>
      </c>
      <c r="G8" s="3">
        <f>_xlfn.IFNA(VLOOKUP(TEXT(C8,"text"),Prices!$B$2:$D$300,3,FALSE)*D8,0)</f>
        <v>25</v>
      </c>
    </row>
    <row r="9" spans="2:16" x14ac:dyDescent="0.25">
      <c r="B9" s="2" t="s">
        <v>35</v>
      </c>
      <c r="E9" s="8">
        <f>_xlfn.IFNA(VLOOKUP(TEXT(C9,"text"),Prices!$B$2:$C$300,2,FALSE),0)</f>
        <v>0</v>
      </c>
      <c r="F9" s="3">
        <f t="shared" si="0"/>
        <v>0</v>
      </c>
      <c r="G9" s="3">
        <f>_xlfn.IFNA(VLOOKUP(TEXT(C9,"text"),Prices!$B$2:$D$300,3,FALSE)*D9,0)</f>
        <v>0</v>
      </c>
    </row>
    <row r="10" spans="2:16" s="7" customFormat="1" x14ac:dyDescent="0.25"/>
    <row r="11" spans="2:16" s="8" customFormat="1" x14ac:dyDescent="0.25">
      <c r="F11" s="8">
        <f>SUM(F4:F10)</f>
        <v>4922.79</v>
      </c>
      <c r="G11" s="8">
        <f>SUM(G4:G10)</f>
        <v>310</v>
      </c>
    </row>
    <row r="12" spans="2:16" s="8" customFormat="1" x14ac:dyDescent="0.25"/>
    <row r="13" spans="2:16" s="10" customFormat="1" x14ac:dyDescent="0.25"/>
    <row r="14" spans="2:16" s="10" customFormat="1" ht="33.75" customHeight="1" x14ac:dyDescent="0.25">
      <c r="E14" s="12" t="str">
        <f>PrCloudQty!B19</f>
        <v>NETGEAR ProSAFE XS728T 28-Port 10-Gigabit Ethernet Smart Managed Switch (XS728T) - Lifetime Warranty</v>
      </c>
      <c r="F14" s="12"/>
      <c r="G14" s="10" t="s">
        <v>105</v>
      </c>
      <c r="I14" s="10" t="s">
        <v>39</v>
      </c>
      <c r="J14" s="10" t="s">
        <v>105</v>
      </c>
      <c r="K14" s="12" t="str">
        <f>PrCloudQty!B15</f>
        <v>APC AR3300 42U NetShelter SX 600mm Wide x 1200mm Deep Enclosure</v>
      </c>
      <c r="L14" s="12"/>
      <c r="M14" s="10" t="s">
        <v>105</v>
      </c>
    </row>
    <row r="15" spans="2:16" s="10" customFormat="1" ht="45" x14ac:dyDescent="0.25">
      <c r="B15" s="10" t="s">
        <v>97</v>
      </c>
      <c r="C15" s="10" t="s">
        <v>98</v>
      </c>
      <c r="D15" s="10" t="s">
        <v>99</v>
      </c>
      <c r="E15" s="10" t="s">
        <v>102</v>
      </c>
      <c r="F15" s="10" t="s">
        <v>100</v>
      </c>
      <c r="G15" s="10" t="s">
        <v>103</v>
      </c>
      <c r="H15" s="10" t="s">
        <v>122</v>
      </c>
      <c r="I15" s="10" t="s">
        <v>101</v>
      </c>
      <c r="J15" s="10" t="s">
        <v>104</v>
      </c>
      <c r="K15" s="10" t="s">
        <v>79</v>
      </c>
      <c r="L15" s="10" t="s">
        <v>106</v>
      </c>
      <c r="M15" s="10" t="s">
        <v>107</v>
      </c>
      <c r="N15" s="10" t="s">
        <v>108</v>
      </c>
      <c r="O15" s="10" t="s">
        <v>109</v>
      </c>
      <c r="P15" s="10" t="s">
        <v>110</v>
      </c>
    </row>
    <row r="16" spans="2:16" s="10" customFormat="1" x14ac:dyDescent="0.25">
      <c r="B16" s="10">
        <v>1</v>
      </c>
      <c r="C16" s="10">
        <f>_xlfn.CEILING.MATH(B16/PrCloudDet!$B$11)</f>
        <v>1</v>
      </c>
      <c r="D16" s="10">
        <f>$F$11*C16</f>
        <v>4922.79</v>
      </c>
      <c r="E16" s="10">
        <v>1</v>
      </c>
      <c r="F16" s="10">
        <f>_xlfn.IFNA(VLOOKUP($E$14,Prices!$B$2:$D$50,2,FALSE),0)*E16</f>
        <v>2413.9899999999998</v>
      </c>
      <c r="G16" s="10">
        <f>(((_xlfn.IFNA(VLOOKUP($E$14,Prices!$B$2:$D$50,3,FALSE),0)*E16)*24*1826)/1000)*(_xlfn.IFNA(VLOOKUP($G$14,Prices!$B$2:$D$50,2,FALSE),0))*2</f>
        <v>335.25359999999995</v>
      </c>
      <c r="H16" s="10">
        <f>_xlfn.CEILING.MATH(C16/1000)</f>
        <v>1</v>
      </c>
      <c r="I16" s="10">
        <f>_xlfn.IFNA(VLOOKUP($I$14,Prices!$B$2:$D$50,2,FALSE),0)*H16</f>
        <v>526450</v>
      </c>
      <c r="J16" s="10">
        <f>(($G$11*24*1826)/1000)*(_xlfn.IFNA(VLOOKUP($J$14,Prices!$B$2:$D$50,2,FALSE),0))*C16*2</f>
        <v>4157.1446400000004</v>
      </c>
      <c r="K16" s="10">
        <f t="shared" ref="K16:K22" si="1">_xlfn.CEILING.MATH(C16/42)</f>
        <v>1</v>
      </c>
      <c r="L16" s="10">
        <f>_xlfn.IFNA(VLOOKUP($K$14,Prices!$B$2:$D$50,2,FALSE),0)*K16</f>
        <v>1654.73</v>
      </c>
      <c r="M16" s="10">
        <f>(((_xlfn.IFNA(VLOOKUP($K$14,Prices!$B$2:$D$50,3,FALSE),0)*K16)*24*1826)/1000)*(_xlfn.IFNA(VLOOKUP($M$14,Prices!$B$2:$D$50,2,FALSE),0))*2</f>
        <v>1341.0143999999998</v>
      </c>
      <c r="N16" s="10">
        <f t="shared" ref="N16:N22" si="2">D16+F16+G16+I16+J16+L16+M16</f>
        <v>541274.92263999989</v>
      </c>
      <c r="O16" s="10">
        <f>N16/1826/24</f>
        <v>12.351107216137274</v>
      </c>
      <c r="P16" s="10">
        <f>O16/(C16*PrCloudDet!$E$11)</f>
        <v>2.2974529791922018E-2</v>
      </c>
    </row>
    <row r="17" spans="2:16" s="10" customFormat="1" x14ac:dyDescent="0.25">
      <c r="B17" s="10">
        <v>10</v>
      </c>
      <c r="C17" s="10">
        <f>_xlfn.CEILING.MATH(B17/PrCloudDet!$B$11)</f>
        <v>1</v>
      </c>
      <c r="D17" s="10">
        <f t="shared" ref="D17:D22" si="3">$F$11*C17</f>
        <v>4922.79</v>
      </c>
      <c r="E17" s="10">
        <v>1</v>
      </c>
      <c r="F17" s="10">
        <f>_xlfn.IFNA(VLOOKUP($E$14,Prices!$B$2:$D$50,2,FALSE),0)</f>
        <v>2413.9899999999998</v>
      </c>
      <c r="G17" s="10">
        <f>(((_xlfn.IFNA(VLOOKUP($E$14,Prices!$B$2:$D$50,3,FALSE),0)*E17)*24*1826)/1000)*(_xlfn.IFNA(VLOOKUP($G$14,Prices!$B$2:$D$50,2,FALSE),0))*2</f>
        <v>335.25359999999995</v>
      </c>
      <c r="H17" s="10">
        <f t="shared" ref="H17:H22" si="4">_xlfn.CEILING.MATH(C17/1000)</f>
        <v>1</v>
      </c>
      <c r="I17" s="10">
        <f>_xlfn.IFNA(VLOOKUP($I$14,Prices!$B$2:$D$50,2,FALSE),0)*H17</f>
        <v>526450</v>
      </c>
      <c r="J17" s="10">
        <f>(($G$11*24*1826)/1000)*(_xlfn.IFNA(VLOOKUP($J$14,Prices!$B$2:$D$50,2,FALSE),0))*C17*2</f>
        <v>4157.1446400000004</v>
      </c>
      <c r="K17" s="10">
        <f t="shared" si="1"/>
        <v>1</v>
      </c>
      <c r="L17" s="10">
        <f>_xlfn.IFNA(VLOOKUP($K$14,Prices!$B$2:$D$50,2,FALSE),0)*K17</f>
        <v>1654.73</v>
      </c>
      <c r="M17" s="10">
        <f>(((_xlfn.IFNA(VLOOKUP($K$14,Prices!$B$2:$D$50,3,FALSE),0)*K17)*24*1826)/1000)*(_xlfn.IFNA(VLOOKUP($M$14,Prices!$B$2:$D$50,2,FALSE),0))*2</f>
        <v>1341.0143999999998</v>
      </c>
      <c r="N17" s="10">
        <f t="shared" si="2"/>
        <v>541274.92263999989</v>
      </c>
      <c r="O17" s="10">
        <f t="shared" ref="O17:O22" si="5">N17/1826/24</f>
        <v>12.351107216137274</v>
      </c>
      <c r="P17" s="10">
        <f>O17/(C17*PrCloudDet!$E$11)</f>
        <v>2.2974529791922018E-2</v>
      </c>
    </row>
    <row r="18" spans="2:16" s="10" customFormat="1" x14ac:dyDescent="0.25">
      <c r="B18" s="10">
        <v>100</v>
      </c>
      <c r="C18" s="10">
        <f>_xlfn.CEILING.MATH(B18/PrCloudDet!$B$11)</f>
        <v>1</v>
      </c>
      <c r="D18" s="10">
        <f t="shared" si="3"/>
        <v>4922.79</v>
      </c>
      <c r="E18" s="10">
        <v>1</v>
      </c>
      <c r="F18" s="10">
        <f>_xlfn.IFNA(VLOOKUP($E$14,Prices!$B$2:$D$50,2,FALSE),0)</f>
        <v>2413.9899999999998</v>
      </c>
      <c r="G18" s="10">
        <f>(((_xlfn.IFNA(VLOOKUP($E$14,Prices!$B$2:$D$50,3,FALSE),0)*E18)*24*1826)/1000)*(_xlfn.IFNA(VLOOKUP($G$14,Prices!$B$2:$D$50,2,FALSE),0))*2</f>
        <v>335.25359999999995</v>
      </c>
      <c r="H18" s="10">
        <f t="shared" si="4"/>
        <v>1</v>
      </c>
      <c r="I18" s="10">
        <f>_xlfn.IFNA(VLOOKUP($I$14,Prices!$B$2:$D$50,2,FALSE),0)*H18</f>
        <v>526450</v>
      </c>
      <c r="J18" s="10">
        <f>(($G$11*24*1826)/1000)*(_xlfn.IFNA(VLOOKUP($J$14,Prices!$B$2:$D$50,2,FALSE),0))*C18*2</f>
        <v>4157.1446400000004</v>
      </c>
      <c r="K18" s="10">
        <f t="shared" si="1"/>
        <v>1</v>
      </c>
      <c r="L18" s="10">
        <f>_xlfn.IFNA(VLOOKUP($K$14,Prices!$B$2:$D$50,2,FALSE),0)*K18</f>
        <v>1654.73</v>
      </c>
      <c r="M18" s="10">
        <f>(((_xlfn.IFNA(VLOOKUP($K$14,Prices!$B$2:$D$50,3,FALSE),0)*K18)*24*1826)/1000)*(_xlfn.IFNA(VLOOKUP($M$14,Prices!$B$2:$D$50,2,FALSE),0))*2</f>
        <v>1341.0143999999998</v>
      </c>
      <c r="N18" s="10">
        <f t="shared" si="2"/>
        <v>541274.92263999989</v>
      </c>
      <c r="O18" s="10">
        <f t="shared" si="5"/>
        <v>12.351107216137274</v>
      </c>
      <c r="P18" s="10">
        <f>O18/(C18*PrCloudDet!$E$11)</f>
        <v>2.2974529791922018E-2</v>
      </c>
    </row>
    <row r="19" spans="2:16" s="10" customFormat="1" x14ac:dyDescent="0.25">
      <c r="B19" s="10">
        <v>1000</v>
      </c>
      <c r="C19" s="10">
        <f>_xlfn.CEILING.MATH(B19/PrCloudDet!$B$11)</f>
        <v>2</v>
      </c>
      <c r="D19" s="10">
        <f t="shared" si="3"/>
        <v>9845.58</v>
      </c>
      <c r="E19" s="10">
        <v>1</v>
      </c>
      <c r="F19" s="10">
        <f>_xlfn.IFNA(VLOOKUP($E$14,Prices!$B$2:$D$50,2,FALSE),0)</f>
        <v>2413.9899999999998</v>
      </c>
      <c r="G19" s="10">
        <f>(((_xlfn.IFNA(VLOOKUP($E$14,Prices!$B$2:$D$50,3,FALSE),0)*E19)*24*1826)/1000)*(_xlfn.IFNA(VLOOKUP($G$14,Prices!$B$2:$D$50,2,FALSE),0))*2</f>
        <v>335.25359999999995</v>
      </c>
      <c r="H19" s="10">
        <f t="shared" si="4"/>
        <v>1</v>
      </c>
      <c r="I19" s="10">
        <f>_xlfn.IFNA(VLOOKUP($I$14,Prices!$B$2:$D$50,2,FALSE),0)*H19</f>
        <v>526450</v>
      </c>
      <c r="J19" s="10">
        <f>(($G$11*24*1826)/1000)*(_xlfn.IFNA(VLOOKUP($J$14,Prices!$B$2:$D$50,2,FALSE),0))*C19*2</f>
        <v>8314.2892800000009</v>
      </c>
      <c r="K19" s="10">
        <f t="shared" si="1"/>
        <v>1</v>
      </c>
      <c r="L19" s="10">
        <f>_xlfn.IFNA(VLOOKUP($K$14,Prices!$B$2:$D$50,2,FALSE),0)*K19</f>
        <v>1654.73</v>
      </c>
      <c r="M19" s="10">
        <f>(((_xlfn.IFNA(VLOOKUP($K$14,Prices!$B$2:$D$50,3,FALSE),0)*K19)*24*1826)/1000)*(_xlfn.IFNA(VLOOKUP($M$14,Prices!$B$2:$D$50,2,FALSE),0))*2</f>
        <v>1341.0143999999998</v>
      </c>
      <c r="N19" s="10">
        <f t="shared" si="2"/>
        <v>550354.85728</v>
      </c>
      <c r="O19" s="10">
        <f t="shared" si="5"/>
        <v>12.558298130704637</v>
      </c>
      <c r="P19" s="10">
        <f>O19/(C19*PrCloudDet!$E$11)</f>
        <v>1.1679964779301191E-2</v>
      </c>
    </row>
    <row r="20" spans="2:16" s="10" customFormat="1" x14ac:dyDescent="0.25">
      <c r="B20" s="10">
        <v>10000</v>
      </c>
      <c r="C20" s="10">
        <f>_xlfn.CEILING.MATH(B20/PrCloudDet!$B$11)</f>
        <v>14</v>
      </c>
      <c r="D20" s="10">
        <f t="shared" si="3"/>
        <v>68919.06</v>
      </c>
      <c r="E20" s="10">
        <v>1</v>
      </c>
      <c r="F20" s="10">
        <f>_xlfn.IFNA(VLOOKUP($E$14,Prices!$B$2:$D$50,2,FALSE),0)</f>
        <v>2413.9899999999998</v>
      </c>
      <c r="G20" s="10">
        <f>(((_xlfn.IFNA(VLOOKUP($E$14,Prices!$B$2:$D$50,3,FALSE),0)*E20)*24*1826)/1000)*(_xlfn.IFNA(VLOOKUP($G$14,Prices!$B$2:$D$50,2,FALSE),0))*2</f>
        <v>335.25359999999995</v>
      </c>
      <c r="H20" s="10">
        <f t="shared" si="4"/>
        <v>1</v>
      </c>
      <c r="I20" s="10">
        <f>_xlfn.IFNA(VLOOKUP($I$14,Prices!$B$2:$D$50,2,FALSE),0)*H20</f>
        <v>526450</v>
      </c>
      <c r="J20" s="10">
        <f>(($G$11*24*1826)/1000)*(_xlfn.IFNA(VLOOKUP($J$14,Prices!$B$2:$D$50,2,FALSE),0))*C20*2</f>
        <v>58200.02496000001</v>
      </c>
      <c r="K20" s="10">
        <f t="shared" si="1"/>
        <v>1</v>
      </c>
      <c r="L20" s="10">
        <f>_xlfn.IFNA(VLOOKUP($K$14,Prices!$B$2:$D$50,2,FALSE),0)*K20</f>
        <v>1654.73</v>
      </c>
      <c r="M20" s="10">
        <f>(((_xlfn.IFNA(VLOOKUP($K$14,Prices!$B$2:$D$50,3,FALSE),0)*K20)*24*1826)/1000)*(_xlfn.IFNA(VLOOKUP($M$14,Prices!$B$2:$D$50,2,FALSE),0))*2</f>
        <v>1341.0143999999998</v>
      </c>
      <c r="N20" s="10">
        <f t="shared" si="2"/>
        <v>659314.07296000002</v>
      </c>
      <c r="O20" s="10">
        <f t="shared" si="5"/>
        <v>15.044589105512962</v>
      </c>
      <c r="P20" s="10">
        <f>O20/(C20*PrCloudDet!$E$11)</f>
        <v>1.9989090541976196E-3</v>
      </c>
    </row>
    <row r="21" spans="2:16" s="10" customFormat="1" x14ac:dyDescent="0.25">
      <c r="B21" s="10">
        <v>100000</v>
      </c>
      <c r="C21" s="10">
        <f>_xlfn.CEILING.MATH(B21/PrCloudDet!$B$11)</f>
        <v>131</v>
      </c>
      <c r="D21" s="10">
        <f t="shared" si="3"/>
        <v>644885.49</v>
      </c>
      <c r="E21" s="10">
        <v>1</v>
      </c>
      <c r="F21" s="10">
        <f>_xlfn.IFNA(VLOOKUP($E$14,Prices!$B$2:$D$50,2,FALSE),0)</f>
        <v>2413.9899999999998</v>
      </c>
      <c r="G21" s="10">
        <f>(((_xlfn.IFNA(VLOOKUP($E$14,Prices!$B$2:$D$50,3,FALSE),0)*E21)*24*1826)/1000)*(_xlfn.IFNA(VLOOKUP($G$14,Prices!$B$2:$D$50,2,FALSE),0))*2</f>
        <v>335.25359999999995</v>
      </c>
      <c r="H21" s="10">
        <f t="shared" si="4"/>
        <v>1</v>
      </c>
      <c r="I21" s="10">
        <f>_xlfn.IFNA(VLOOKUP($I$14,Prices!$B$2:$D$50,2,FALSE),0)*H21</f>
        <v>526450</v>
      </c>
      <c r="J21" s="10">
        <f>(($G$11*24*1826)/1000)*(_xlfn.IFNA(VLOOKUP($J$14,Prices!$B$2:$D$50,2,FALSE),0))*C21*2</f>
        <v>544585.94784000004</v>
      </c>
      <c r="K21" s="10">
        <f t="shared" si="1"/>
        <v>4</v>
      </c>
      <c r="L21" s="10">
        <f>_xlfn.IFNA(VLOOKUP($K$14,Prices!$B$2:$D$50,2,FALSE),0)*K21</f>
        <v>6618.92</v>
      </c>
      <c r="M21" s="10">
        <f>(((_xlfn.IFNA(VLOOKUP($K$14,Prices!$B$2:$D$50,3,FALSE),0)*K21)*24*1826)/1000)*(_xlfn.IFNA(VLOOKUP($M$14,Prices!$B$2:$D$50,2,FALSE),0))*2</f>
        <v>5364.0575999999992</v>
      </c>
      <c r="N21" s="10">
        <f t="shared" si="2"/>
        <v>1730653.6590399998</v>
      </c>
      <c r="O21" s="10">
        <f t="shared" si="5"/>
        <v>39.491001712303756</v>
      </c>
      <c r="P21" s="10">
        <f>O21/(C21*PrCloudDet!$E$11)</f>
        <v>5.6074782056956217E-4</v>
      </c>
    </row>
    <row r="22" spans="2:16" s="10" customFormat="1" x14ac:dyDescent="0.25">
      <c r="B22" s="10">
        <v>1000000</v>
      </c>
      <c r="C22" s="10">
        <f>_xlfn.CEILING.MATH(B22/PrCloudDet!$B$11)</f>
        <v>1303</v>
      </c>
      <c r="D22" s="10">
        <f t="shared" si="3"/>
        <v>6414395.3700000001</v>
      </c>
      <c r="E22" s="10">
        <v>1</v>
      </c>
      <c r="F22" s="10">
        <f>_xlfn.IFNA(VLOOKUP($E$14,Prices!$B$2:$D$50,2,FALSE),0)</f>
        <v>2413.9899999999998</v>
      </c>
      <c r="G22" s="10">
        <f>(((_xlfn.IFNA(VLOOKUP($E$14,Prices!$B$2:$D$50,3,FALSE),0)*E22)*24*1826)/1000)*(_xlfn.IFNA(VLOOKUP($G$14,Prices!$B$2:$D$50,2,FALSE),0))*2</f>
        <v>335.25359999999995</v>
      </c>
      <c r="H22" s="10">
        <f t="shared" si="4"/>
        <v>2</v>
      </c>
      <c r="I22" s="10">
        <f>_xlfn.IFNA(VLOOKUP($I$14,Prices!$B$2:$D$50,2,FALSE),0)*H22</f>
        <v>1052900</v>
      </c>
      <c r="J22" s="10">
        <f>(($G$11*24*1826)/1000)*(_xlfn.IFNA(VLOOKUP($J$14,Prices!$B$2:$D$50,2,FALSE),0))*C22*2</f>
        <v>5416759.4659200003</v>
      </c>
      <c r="K22" s="10">
        <f t="shared" si="1"/>
        <v>32</v>
      </c>
      <c r="L22" s="10">
        <f>_xlfn.IFNA(VLOOKUP($K$14,Prices!$B$2:$D$50,2,FALSE),0)*K22</f>
        <v>52951.360000000001</v>
      </c>
      <c r="M22" s="10">
        <f>(((_xlfn.IFNA(VLOOKUP($K$14,Prices!$B$2:$D$50,3,FALSE),0)*K22)*24*1826)/1000)*(_xlfn.IFNA(VLOOKUP($M$14,Prices!$B$2:$D$50,2,FALSE),0))*2</f>
        <v>42912.460799999993</v>
      </c>
      <c r="N22" s="10">
        <f t="shared" si="2"/>
        <v>12982667.900320001</v>
      </c>
      <c r="O22" s="10">
        <f t="shared" si="5"/>
        <v>296.24561656443962</v>
      </c>
      <c r="P22" s="10">
        <f>O22/(C22*PrCloudDet!$E$11)</f>
        <v>4.2291029481593477E-4</v>
      </c>
    </row>
    <row r="23" spans="2:16" s="8" customFormat="1" x14ac:dyDescent="0.25"/>
    <row r="24" spans="2:16" s="8" customFormat="1" x14ac:dyDescent="0.25"/>
  </sheetData>
  <mergeCells count="2">
    <mergeCell ref="E14:F14"/>
    <mergeCell ref="K14:L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Sheet1</vt:lpstr>
      <vt:lpstr>PrCloudDet</vt:lpstr>
      <vt:lpstr>PrCloudQty</vt:lpstr>
      <vt:lpstr>Prices</vt:lpstr>
      <vt:lpstr>m4.10xlarge</vt:lpstr>
      <vt:lpstr>m3.large</vt:lpstr>
      <vt:lpstr>m3.2xlarge</vt:lpstr>
      <vt:lpstr>c3.8xlarge</vt:lpstr>
      <vt:lpstr>g2.2xlarge</vt:lpstr>
      <vt:lpstr>r3.4xlarge</vt:lpstr>
      <vt:lpstr>i2.8xlarge</vt:lpstr>
      <vt:lpstr>d2.8xlarge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Niks</dc:creator>
  <cp:lastModifiedBy>Niks</cp:lastModifiedBy>
  <dcterms:created xsi:type="dcterms:W3CDTF">2016-04-05T00:40:46Z</dcterms:created>
  <dcterms:modified xsi:type="dcterms:W3CDTF">2016-04-16T06:16:08Z</dcterms:modified>
</cp:coreProperties>
</file>